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\Downloads\"/>
    </mc:Choice>
  </mc:AlternateContent>
  <xr:revisionPtr revIDLastSave="0" documentId="13_ncr:1_{C3FBAC4A-DD6A-4013-B015-B38CC58437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ctober  Payroll 22" sheetId="2" r:id="rId1"/>
    <sheet name="May 22 Final" sheetId="3" state="hidden" r:id="rId2"/>
    <sheet name="Sales Install" sheetId="4" r:id="rId3"/>
    <sheet name="Stack Incentive" sheetId="5" r:id="rId4"/>
    <sheet name="Qualified Appointment Septembe" sheetId="6" r:id="rId5"/>
    <sheet name="Break Exceed" sheetId="7" r:id="rId6"/>
    <sheet name="FNF" sheetId="8" r:id="rId7"/>
    <sheet name="ATTENDANCE" sheetId="9" r:id="rId8"/>
  </sheets>
  <definedNames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7" i="2" l="1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F17" i="9"/>
  <c r="AO17" i="9"/>
  <c r="AP17" i="9"/>
  <c r="AQ17" i="9"/>
  <c r="AN17" i="9" s="1"/>
  <c r="AR17" i="9"/>
  <c r="AS17" i="9"/>
  <c r="AT17" i="9"/>
  <c r="AU17" i="9" s="1"/>
  <c r="BA17" i="9"/>
  <c r="AY17" i="9" s="1"/>
  <c r="BA27" i="9"/>
  <c r="AY27" i="9" s="1"/>
  <c r="AT27" i="9"/>
  <c r="AU27" i="9" s="1"/>
  <c r="AS27" i="9"/>
  <c r="AR27" i="9"/>
  <c r="AQ27" i="9"/>
  <c r="AP27" i="9"/>
  <c r="AO27" i="9"/>
  <c r="BA26" i="9"/>
  <c r="AY26" i="9" s="1"/>
  <c r="AT26" i="9"/>
  <c r="AU26" i="9" s="1"/>
  <c r="AS26" i="9"/>
  <c r="AR26" i="9"/>
  <c r="AQ26" i="9"/>
  <c r="AP26" i="9"/>
  <c r="AO26" i="9"/>
  <c r="BA25" i="9"/>
  <c r="AY25" i="9" s="1"/>
  <c r="AT25" i="9"/>
  <c r="AU25" i="9" s="1"/>
  <c r="AS25" i="9"/>
  <c r="AR25" i="9"/>
  <c r="AQ25" i="9"/>
  <c r="AP25" i="9"/>
  <c r="AO25" i="9"/>
  <c r="F25" i="9"/>
  <c r="BA24" i="9"/>
  <c r="AY24" i="9" s="1"/>
  <c r="AT24" i="9"/>
  <c r="AS24" i="9"/>
  <c r="AR24" i="9"/>
  <c r="AQ24" i="9"/>
  <c r="AP24" i="9"/>
  <c r="AO24" i="9"/>
  <c r="F24" i="9"/>
  <c r="BA23" i="9"/>
  <c r="AY23" i="9" s="1"/>
  <c r="AT23" i="9"/>
  <c r="AU23" i="9" s="1"/>
  <c r="AS23" i="9"/>
  <c r="AR23" i="9"/>
  <c r="AQ23" i="9"/>
  <c r="AP23" i="9"/>
  <c r="AO23" i="9"/>
  <c r="F23" i="9"/>
  <c r="BA22" i="9"/>
  <c r="AY22" i="9" s="1"/>
  <c r="AT22" i="9"/>
  <c r="AU22" i="9" s="1"/>
  <c r="AS22" i="9"/>
  <c r="AR22" i="9"/>
  <c r="AQ22" i="9"/>
  <c r="AP22" i="9"/>
  <c r="AO22" i="9"/>
  <c r="F22" i="9"/>
  <c r="BA21" i="9"/>
  <c r="AY21" i="9" s="1"/>
  <c r="AT21" i="9"/>
  <c r="AU21" i="9" s="1"/>
  <c r="AS21" i="9"/>
  <c r="AR21" i="9"/>
  <c r="AQ21" i="9"/>
  <c r="AP21" i="9"/>
  <c r="AO21" i="9"/>
  <c r="F21" i="9"/>
  <c r="BA20" i="9"/>
  <c r="AY20" i="9" s="1"/>
  <c r="AT20" i="9"/>
  <c r="AU20" i="9" s="1"/>
  <c r="AS20" i="9"/>
  <c r="AR20" i="9"/>
  <c r="AQ20" i="9"/>
  <c r="AP20" i="9"/>
  <c r="AO20" i="9"/>
  <c r="F20" i="9"/>
  <c r="BA19" i="9"/>
  <c r="AY19" i="9" s="1"/>
  <c r="AT19" i="9"/>
  <c r="AU19" i="9" s="1"/>
  <c r="AS19" i="9"/>
  <c r="AR19" i="9"/>
  <c r="AQ19" i="9"/>
  <c r="AP19" i="9"/>
  <c r="AO19" i="9"/>
  <c r="F19" i="9"/>
  <c r="BA18" i="9"/>
  <c r="AY18" i="9" s="1"/>
  <c r="AT18" i="9"/>
  <c r="AU18" i="9" s="1"/>
  <c r="AS18" i="9"/>
  <c r="AR18" i="9"/>
  <c r="AQ18" i="9"/>
  <c r="AP18" i="9"/>
  <c r="AO18" i="9"/>
  <c r="F18" i="9"/>
  <c r="BA16" i="9"/>
  <c r="AY16" i="9" s="1"/>
  <c r="AT16" i="9"/>
  <c r="AU16" i="9" s="1"/>
  <c r="AS16" i="9"/>
  <c r="AR16" i="9"/>
  <c r="AQ16" i="9"/>
  <c r="AP16" i="9"/>
  <c r="AO16" i="9"/>
  <c r="F16" i="9"/>
  <c r="BA15" i="9"/>
  <c r="AY15" i="9" s="1"/>
  <c r="AT15" i="9"/>
  <c r="AU15" i="9" s="1"/>
  <c r="AS15" i="9"/>
  <c r="AR15" i="9"/>
  <c r="AQ15" i="9"/>
  <c r="AP15" i="9"/>
  <c r="AO15" i="9"/>
  <c r="F15" i="9"/>
  <c r="BA14" i="9"/>
  <c r="AY14" i="9" s="1"/>
  <c r="AT14" i="9"/>
  <c r="AU14" i="9" s="1"/>
  <c r="AS14" i="9"/>
  <c r="AR14" i="9"/>
  <c r="AQ14" i="9"/>
  <c r="AP14" i="9"/>
  <c r="AO14" i="9"/>
  <c r="F14" i="9"/>
  <c r="BA13" i="9"/>
  <c r="AY13" i="9" s="1"/>
  <c r="AT13" i="9"/>
  <c r="AU13" i="9" s="1"/>
  <c r="AS13" i="9"/>
  <c r="AR13" i="9"/>
  <c r="AQ13" i="9"/>
  <c r="AP13" i="9"/>
  <c r="AO13" i="9"/>
  <c r="F13" i="9"/>
  <c r="BA12" i="9"/>
  <c r="AY12" i="9" s="1"/>
  <c r="AT12" i="9"/>
  <c r="AU12" i="9" s="1"/>
  <c r="AS12" i="9"/>
  <c r="AR12" i="9"/>
  <c r="AQ12" i="9"/>
  <c r="AP12" i="9"/>
  <c r="AO12" i="9"/>
  <c r="F12" i="9"/>
  <c r="BA11" i="9"/>
  <c r="AY11" i="9" s="1"/>
  <c r="AT11" i="9"/>
  <c r="AU11" i="9" s="1"/>
  <c r="AS11" i="9"/>
  <c r="AR11" i="9"/>
  <c r="AQ11" i="9"/>
  <c r="AP11" i="9"/>
  <c r="AO11" i="9"/>
  <c r="F11" i="9"/>
  <c r="BA10" i="9"/>
  <c r="AY10" i="9" s="1"/>
  <c r="AT10" i="9"/>
  <c r="AU10" i="9" s="1"/>
  <c r="AS10" i="9"/>
  <c r="AR10" i="9"/>
  <c r="AQ10" i="9"/>
  <c r="AP10" i="9"/>
  <c r="AO10" i="9"/>
  <c r="F10" i="9"/>
  <c r="BA9" i="9"/>
  <c r="AY9" i="9" s="1"/>
  <c r="AT9" i="9"/>
  <c r="AU9" i="9" s="1"/>
  <c r="AS9" i="9"/>
  <c r="AR9" i="9"/>
  <c r="AQ9" i="9"/>
  <c r="AP9" i="9"/>
  <c r="AO9" i="9"/>
  <c r="F9" i="9"/>
  <c r="BA8" i="9"/>
  <c r="AY8" i="9" s="1"/>
  <c r="AT8" i="9"/>
  <c r="AU8" i="9" s="1"/>
  <c r="AS8" i="9"/>
  <c r="AR8" i="9"/>
  <c r="AQ8" i="9"/>
  <c r="AP8" i="9"/>
  <c r="AO8" i="9"/>
  <c r="F8" i="9"/>
  <c r="BA7" i="9"/>
  <c r="AY7" i="9" s="1"/>
  <c r="AT7" i="9"/>
  <c r="AU7" i="9" s="1"/>
  <c r="AS7" i="9"/>
  <c r="AR7" i="9"/>
  <c r="AQ7" i="9"/>
  <c r="AP7" i="9"/>
  <c r="AO7" i="9"/>
  <c r="F7" i="9"/>
  <c r="BA6" i="9"/>
  <c r="AY6" i="9" s="1"/>
  <c r="AT6" i="9"/>
  <c r="AU6" i="9" s="1"/>
  <c r="AS6" i="9"/>
  <c r="AR6" i="9"/>
  <c r="AQ6" i="9"/>
  <c r="AP6" i="9"/>
  <c r="AO6" i="9"/>
  <c r="F6" i="9"/>
  <c r="BA5" i="9"/>
  <c r="AY5" i="9" s="1"/>
  <c r="AT5" i="9"/>
  <c r="AU5" i="9" s="1"/>
  <c r="AS5" i="9"/>
  <c r="AR5" i="9"/>
  <c r="AQ5" i="9"/>
  <c r="AP5" i="9"/>
  <c r="AO5" i="9"/>
  <c r="F5" i="9"/>
  <c r="BA4" i="9"/>
  <c r="AY4" i="9" s="1"/>
  <c r="AT4" i="9"/>
  <c r="AU4" i="9" s="1"/>
  <c r="AS4" i="9"/>
  <c r="AR4" i="9"/>
  <c r="AQ4" i="9"/>
  <c r="AP4" i="9"/>
  <c r="AO4" i="9"/>
  <c r="F4" i="9"/>
  <c r="BA3" i="9"/>
  <c r="AY3" i="9" s="1"/>
  <c r="AT3" i="9"/>
  <c r="AU3" i="9" s="1"/>
  <c r="AS3" i="9"/>
  <c r="AR3" i="9"/>
  <c r="AQ3" i="9"/>
  <c r="AP3" i="9"/>
  <c r="AO3" i="9"/>
  <c r="F3" i="9"/>
  <c r="BA2" i="9"/>
  <c r="AY2" i="9" s="1"/>
  <c r="AT2" i="9"/>
  <c r="AU2" i="9" s="1"/>
  <c r="AS2" i="9"/>
  <c r="AR2" i="9"/>
  <c r="AQ2" i="9"/>
  <c r="AP2" i="9"/>
  <c r="AO2" i="9"/>
  <c r="F2" i="9"/>
  <c r="F6" i="8"/>
  <c r="AF14" i="7"/>
  <c r="AG14" i="7" s="1"/>
  <c r="AH14" i="7" s="1"/>
  <c r="AJ14" i="7" s="1"/>
  <c r="AE14" i="7"/>
  <c r="AG13" i="7"/>
  <c r="AH13" i="7" s="1"/>
  <c r="AJ13" i="7" s="1"/>
  <c r="AF13" i="7"/>
  <c r="AE13" i="7"/>
  <c r="AH12" i="7"/>
  <c r="AJ12" i="7" s="1"/>
  <c r="AG12" i="7"/>
  <c r="AF12" i="7"/>
  <c r="AE12" i="7"/>
  <c r="AJ11" i="7"/>
  <c r="AH11" i="7"/>
  <c r="AG11" i="7"/>
  <c r="AF11" i="7"/>
  <c r="AE11" i="7"/>
  <c r="AF10" i="7"/>
  <c r="AG10" i="7" s="1"/>
  <c r="AH10" i="7" s="1"/>
  <c r="AJ10" i="7" s="1"/>
  <c r="AE10" i="7"/>
  <c r="AG9" i="7"/>
  <c r="AH9" i="7" s="1"/>
  <c r="AJ9" i="7" s="1"/>
  <c r="AF9" i="7"/>
  <c r="AE9" i="7"/>
  <c r="AH8" i="7"/>
  <c r="AJ8" i="7" s="1"/>
  <c r="AG8" i="7"/>
  <c r="AF8" i="7"/>
  <c r="AE8" i="7"/>
  <c r="AJ7" i="7"/>
  <c r="AH7" i="7"/>
  <c r="AG7" i="7"/>
  <c r="AF7" i="7"/>
  <c r="AE7" i="7"/>
  <c r="AF6" i="7"/>
  <c r="AG6" i="7" s="1"/>
  <c r="AH6" i="7" s="1"/>
  <c r="AJ6" i="7" s="1"/>
  <c r="AE6" i="7"/>
  <c r="AG5" i="7"/>
  <c r="AH5" i="7" s="1"/>
  <c r="AJ5" i="7" s="1"/>
  <c r="AF5" i="7"/>
  <c r="AE5" i="7"/>
  <c r="AH4" i="7"/>
  <c r="AJ4" i="7" s="1"/>
  <c r="AG4" i="7"/>
  <c r="AF4" i="7"/>
  <c r="AE4" i="7"/>
  <c r="AF3" i="7"/>
  <c r="AG3" i="7" s="1"/>
  <c r="AH3" i="7" s="1"/>
  <c r="AJ3" i="7" s="1"/>
  <c r="AE3" i="7"/>
  <c r="AF2" i="7"/>
  <c r="AG2" i="7" s="1"/>
  <c r="AH2" i="7" s="1"/>
  <c r="AJ2" i="7" s="1"/>
  <c r="AE2" i="7"/>
  <c r="N31" i="5"/>
  <c r="M31" i="5"/>
  <c r="L31" i="5"/>
  <c r="K31" i="5"/>
  <c r="J31" i="5"/>
  <c r="I31" i="5"/>
  <c r="H31" i="5"/>
  <c r="G31" i="5"/>
  <c r="F31" i="5"/>
  <c r="E31" i="5"/>
  <c r="D31" i="5"/>
  <c r="C31" i="5"/>
  <c r="H12" i="5"/>
  <c r="H11" i="5"/>
  <c r="H10" i="5"/>
  <c r="H9" i="5"/>
  <c r="H8" i="5"/>
  <c r="H7" i="5"/>
  <c r="H6" i="5"/>
  <c r="H5" i="5"/>
  <c r="H4" i="5"/>
  <c r="H3" i="5"/>
  <c r="H2" i="5"/>
  <c r="C12" i="4"/>
  <c r="C13" i="4" s="1"/>
  <c r="CD42" i="3"/>
  <c r="CD41" i="3"/>
  <c r="CD40" i="3"/>
  <c r="CD39" i="3"/>
  <c r="CD38" i="3"/>
  <c r="CD37" i="3"/>
  <c r="CD36" i="3"/>
  <c r="CD35" i="3"/>
  <c r="CD34" i="3"/>
  <c r="CD33" i="3"/>
  <c r="CD32" i="3"/>
  <c r="CD31" i="3"/>
  <c r="CD30" i="3"/>
  <c r="CK28" i="3"/>
  <c r="CH28" i="3"/>
  <c r="BV28" i="3"/>
  <c r="BL28" i="3"/>
  <c r="BG28" i="3"/>
  <c r="BD28" i="3" s="1"/>
  <c r="BF28" i="3"/>
  <c r="BH28" i="3" s="1"/>
  <c r="BE28" i="3"/>
  <c r="BB28" i="3"/>
  <c r="BA28" i="3"/>
  <c r="AU28" i="3"/>
  <c r="AR28" i="3"/>
  <c r="AS28" i="3" s="1"/>
  <c r="AQ28" i="3"/>
  <c r="AP28" i="3"/>
  <c r="AO28" i="3"/>
  <c r="AN28" i="3"/>
  <c r="AM28" i="3"/>
  <c r="CK27" i="3"/>
  <c r="CH27" i="3"/>
  <c r="BV27" i="3"/>
  <c r="BL27" i="3"/>
  <c r="BG27" i="3"/>
  <c r="BF27" i="3"/>
  <c r="BH27" i="3" s="1"/>
  <c r="BE27" i="3"/>
  <c r="BB27" i="3"/>
  <c r="BA27" i="3"/>
  <c r="AU27" i="3"/>
  <c r="AR27" i="3"/>
  <c r="AS27" i="3" s="1"/>
  <c r="AQ27" i="3"/>
  <c r="AP27" i="3"/>
  <c r="AO27" i="3"/>
  <c r="AN27" i="3"/>
  <c r="AM27" i="3"/>
  <c r="CL26" i="3"/>
  <c r="CK26" i="3"/>
  <c r="CH26" i="3"/>
  <c r="BV26" i="3"/>
  <c r="BE26" i="3"/>
  <c r="BB26" i="3"/>
  <c r="BA26" i="3"/>
  <c r="AU26" i="3"/>
  <c r="AR26" i="3"/>
  <c r="AS26" i="3" s="1"/>
  <c r="AQ26" i="3"/>
  <c r="AP26" i="3"/>
  <c r="AO26" i="3"/>
  <c r="AN26" i="3"/>
  <c r="AM26" i="3"/>
  <c r="CL25" i="3"/>
  <c r="CK25" i="3"/>
  <c r="CG25" i="3"/>
  <c r="CH25" i="3" s="1"/>
  <c r="CD25" i="3"/>
  <c r="BV25" i="3"/>
  <c r="BL25" i="3"/>
  <c r="BG25" i="3"/>
  <c r="BF25" i="3"/>
  <c r="BH25" i="3" s="1"/>
  <c r="BE25" i="3"/>
  <c r="BB25" i="3"/>
  <c r="BA25" i="3"/>
  <c r="AU25" i="3"/>
  <c r="AR25" i="3"/>
  <c r="AS25" i="3" s="1"/>
  <c r="AQ25" i="3"/>
  <c r="AP25" i="3"/>
  <c r="AO25" i="3"/>
  <c r="AN25" i="3"/>
  <c r="AM25" i="3"/>
  <c r="CL24" i="3"/>
  <c r="CK24" i="3"/>
  <c r="CH24" i="3"/>
  <c r="CG24" i="3"/>
  <c r="CD24" i="3"/>
  <c r="BV24" i="3"/>
  <c r="BE24" i="3"/>
  <c r="BB24" i="3"/>
  <c r="BA24" i="3"/>
  <c r="AU24" i="3"/>
  <c r="AR24" i="3"/>
  <c r="AS24" i="3" s="1"/>
  <c r="AQ24" i="3"/>
  <c r="BI24" i="3" s="1"/>
  <c r="BK24" i="3" s="1"/>
  <c r="AP24" i="3"/>
  <c r="AO24" i="3"/>
  <c r="AN24" i="3"/>
  <c r="AM24" i="3"/>
  <c r="CL23" i="3"/>
  <c r="CK23" i="3"/>
  <c r="CH23" i="3"/>
  <c r="CD23" i="3"/>
  <c r="BV23" i="3"/>
  <c r="BE23" i="3"/>
  <c r="BB23" i="3"/>
  <c r="BA23" i="3"/>
  <c r="AU23" i="3"/>
  <c r="AS23" i="3"/>
  <c r="AR23" i="3"/>
  <c r="AQ23" i="3"/>
  <c r="AP23" i="3"/>
  <c r="AO23" i="3"/>
  <c r="BI23" i="3" s="1"/>
  <c r="BK23" i="3" s="1"/>
  <c r="AN23" i="3"/>
  <c r="AM23" i="3"/>
  <c r="CL22" i="3"/>
  <c r="CK22" i="3"/>
  <c r="CH22" i="3"/>
  <c r="CD22" i="3"/>
  <c r="BV22" i="3"/>
  <c r="BL22" i="3"/>
  <c r="BG22" i="3"/>
  <c r="BF22" i="3"/>
  <c r="BH22" i="3" s="1"/>
  <c r="BE22" i="3"/>
  <c r="BB22" i="3"/>
  <c r="BA22" i="3"/>
  <c r="AU22" i="3"/>
  <c r="AR22" i="3"/>
  <c r="AS22" i="3" s="1"/>
  <c r="AQ22" i="3"/>
  <c r="AP22" i="3"/>
  <c r="AO22" i="3"/>
  <c r="AN22" i="3"/>
  <c r="AM22" i="3"/>
  <c r="CL21" i="3"/>
  <c r="CK21" i="3"/>
  <c r="CH21" i="3"/>
  <c r="CD21" i="3"/>
  <c r="BV21" i="3"/>
  <c r="BI21" i="3"/>
  <c r="BK21" i="3" s="1"/>
  <c r="BE21" i="3"/>
  <c r="BB21" i="3"/>
  <c r="BA21" i="3"/>
  <c r="AU21" i="3"/>
  <c r="AS21" i="3"/>
  <c r="AR21" i="3"/>
  <c r="AQ21" i="3"/>
  <c r="AP21" i="3"/>
  <c r="AO21" i="3"/>
  <c r="AN21" i="3"/>
  <c r="AM21" i="3"/>
  <c r="CL20" i="3"/>
  <c r="CK20" i="3"/>
  <c r="CH20" i="3"/>
  <c r="CD20" i="3"/>
  <c r="BV20" i="3"/>
  <c r="BL20" i="3"/>
  <c r="BG20" i="3"/>
  <c r="BF20" i="3"/>
  <c r="BE20" i="3"/>
  <c r="BB20" i="3"/>
  <c r="BA20" i="3"/>
  <c r="AU20" i="3"/>
  <c r="AR20" i="3"/>
  <c r="AS20" i="3" s="1"/>
  <c r="AQ20" i="3"/>
  <c r="AP20" i="3"/>
  <c r="BI20" i="3" s="1"/>
  <c r="BK20" i="3" s="1"/>
  <c r="AO20" i="3"/>
  <c r="AN20" i="3"/>
  <c r="AM20" i="3"/>
  <c r="CL19" i="3"/>
  <c r="CK19" i="3"/>
  <c r="CH19" i="3"/>
  <c r="CD19" i="3"/>
  <c r="BV19" i="3"/>
  <c r="BI19" i="3"/>
  <c r="BK19" i="3" s="1"/>
  <c r="BE19" i="3"/>
  <c r="BF19" i="3" s="1"/>
  <c r="BB19" i="3"/>
  <c r="BA19" i="3"/>
  <c r="AU19" i="3"/>
  <c r="AR19" i="3"/>
  <c r="AS19" i="3" s="1"/>
  <c r="AQ19" i="3"/>
  <c r="AP19" i="3"/>
  <c r="AO19" i="3"/>
  <c r="AN19" i="3"/>
  <c r="AM19" i="3"/>
  <c r="CL18" i="3"/>
  <c r="CK18" i="3"/>
  <c r="CH18" i="3"/>
  <c r="CD18" i="3"/>
  <c r="BV18" i="3"/>
  <c r="BK18" i="3"/>
  <c r="BE18" i="3"/>
  <c r="BB18" i="3"/>
  <c r="BA18" i="3"/>
  <c r="AU18" i="3"/>
  <c r="AR18" i="3"/>
  <c r="AS18" i="3" s="1"/>
  <c r="AQ18" i="3"/>
  <c r="BI18" i="3" s="1"/>
  <c r="AP18" i="3"/>
  <c r="AO18" i="3"/>
  <c r="AN18" i="3"/>
  <c r="AM18" i="3"/>
  <c r="CL17" i="3"/>
  <c r="CK17" i="3"/>
  <c r="CH17" i="3"/>
  <c r="CD17" i="3"/>
  <c r="BV17" i="3"/>
  <c r="BE17" i="3"/>
  <c r="BF17" i="3" s="1"/>
  <c r="BB17" i="3"/>
  <c r="BA17" i="3"/>
  <c r="AU17" i="3"/>
  <c r="AR17" i="3"/>
  <c r="AS17" i="3" s="1"/>
  <c r="AQ17" i="3"/>
  <c r="AP17" i="3"/>
  <c r="AO17" i="3"/>
  <c r="AN17" i="3"/>
  <c r="AM17" i="3"/>
  <c r="CL16" i="3"/>
  <c r="CK16" i="3"/>
  <c r="CH16" i="3"/>
  <c r="CD16" i="3"/>
  <c r="BV16" i="3"/>
  <c r="BE16" i="3"/>
  <c r="BB16" i="3"/>
  <c r="BA16" i="3"/>
  <c r="AU16" i="3"/>
  <c r="AR16" i="3"/>
  <c r="AS16" i="3" s="1"/>
  <c r="AQ16" i="3"/>
  <c r="AP16" i="3"/>
  <c r="BI16" i="3" s="1"/>
  <c r="BK16" i="3" s="1"/>
  <c r="AO16" i="3"/>
  <c r="AN16" i="3"/>
  <c r="AM16" i="3"/>
  <c r="CL15" i="3"/>
  <c r="CK15" i="3"/>
  <c r="CH15" i="3"/>
  <c r="CD15" i="3"/>
  <c r="BV15" i="3"/>
  <c r="BL15" i="3"/>
  <c r="BG15" i="3"/>
  <c r="BE15" i="3"/>
  <c r="BF15" i="3" s="1"/>
  <c r="BB15" i="3"/>
  <c r="BA15" i="3"/>
  <c r="AU15" i="3"/>
  <c r="AR15" i="3"/>
  <c r="AS15" i="3" s="1"/>
  <c r="AQ15" i="3"/>
  <c r="AP15" i="3"/>
  <c r="AO15" i="3"/>
  <c r="AN15" i="3"/>
  <c r="AM15" i="3"/>
  <c r="CL14" i="3"/>
  <c r="CK14" i="3"/>
  <c r="CH14" i="3"/>
  <c r="CD14" i="3"/>
  <c r="BV14" i="3"/>
  <c r="BE14" i="3"/>
  <c r="BB14" i="3"/>
  <c r="BA14" i="3"/>
  <c r="AU14" i="3"/>
  <c r="AR14" i="3"/>
  <c r="AS14" i="3" s="1"/>
  <c r="AQ14" i="3"/>
  <c r="BI14" i="3" s="1"/>
  <c r="BK14" i="3" s="1"/>
  <c r="AP14" i="3"/>
  <c r="AO14" i="3"/>
  <c r="AN14" i="3"/>
  <c r="AM14" i="3"/>
  <c r="CL13" i="3"/>
  <c r="CK13" i="3"/>
  <c r="CH13" i="3"/>
  <c r="CD13" i="3"/>
  <c r="CB13" i="3"/>
  <c r="BV13" i="3"/>
  <c r="BE13" i="3"/>
  <c r="BB13" i="3"/>
  <c r="BA13" i="3"/>
  <c r="AU13" i="3"/>
  <c r="AS13" i="3"/>
  <c r="AR13" i="3"/>
  <c r="AQ13" i="3"/>
  <c r="AP13" i="3"/>
  <c r="AO13" i="3"/>
  <c r="AN13" i="3"/>
  <c r="AM13" i="3"/>
  <c r="CL12" i="3"/>
  <c r="CK12" i="3"/>
  <c r="CH12" i="3"/>
  <c r="CD12" i="3"/>
  <c r="BV12" i="3"/>
  <c r="BL12" i="3"/>
  <c r="BG12" i="3"/>
  <c r="BF12" i="3"/>
  <c r="BE12" i="3"/>
  <c r="BB12" i="3"/>
  <c r="BA12" i="3"/>
  <c r="AU12" i="3"/>
  <c r="AR12" i="3"/>
  <c r="AS12" i="3" s="1"/>
  <c r="AQ12" i="3"/>
  <c r="AP12" i="3"/>
  <c r="AO12" i="3"/>
  <c r="AN12" i="3"/>
  <c r="AM12" i="3"/>
  <c r="CL11" i="3"/>
  <c r="CK11" i="3"/>
  <c r="CH11" i="3"/>
  <c r="CD11" i="3"/>
  <c r="BV11" i="3"/>
  <c r="BE11" i="3"/>
  <c r="BB11" i="3"/>
  <c r="BA11" i="3"/>
  <c r="AU11" i="3"/>
  <c r="AS11" i="3"/>
  <c r="AR11" i="3"/>
  <c r="AQ11" i="3"/>
  <c r="AP11" i="3"/>
  <c r="AO11" i="3"/>
  <c r="BI11" i="3" s="1"/>
  <c r="BK11" i="3" s="1"/>
  <c r="AN11" i="3"/>
  <c r="AM11" i="3"/>
  <c r="CL10" i="3"/>
  <c r="CK10" i="3"/>
  <c r="CH10" i="3"/>
  <c r="CD10" i="3"/>
  <c r="BV10" i="3"/>
  <c r="BL10" i="3"/>
  <c r="BG10" i="3"/>
  <c r="BF10" i="3"/>
  <c r="BH10" i="3" s="1"/>
  <c r="BE10" i="3"/>
  <c r="BB10" i="3"/>
  <c r="BA10" i="3"/>
  <c r="AU10" i="3"/>
  <c r="AR10" i="3"/>
  <c r="AS10" i="3" s="1"/>
  <c r="AQ10" i="3"/>
  <c r="AP10" i="3"/>
  <c r="AO10" i="3"/>
  <c r="AN10" i="3"/>
  <c r="AM10" i="3"/>
  <c r="CL9" i="3"/>
  <c r="CK9" i="3"/>
  <c r="CH9" i="3"/>
  <c r="CD9" i="3"/>
  <c r="BV9" i="3"/>
  <c r="BN9" i="3"/>
  <c r="BE9" i="3"/>
  <c r="BB9" i="3"/>
  <c r="BA9" i="3"/>
  <c r="AU9" i="3"/>
  <c r="AS9" i="3"/>
  <c r="AR9" i="3"/>
  <c r="AQ9" i="3"/>
  <c r="BI9" i="3" s="1"/>
  <c r="BK9" i="3" s="1"/>
  <c r="AP9" i="3"/>
  <c r="AO9" i="3"/>
  <c r="AN9" i="3"/>
  <c r="AM9" i="3"/>
  <c r="CL8" i="3"/>
  <c r="CK8" i="3"/>
  <c r="CH8" i="3"/>
  <c r="CD8" i="3"/>
  <c r="CB8" i="3"/>
  <c r="BV8" i="3"/>
  <c r="BH8" i="3"/>
  <c r="BG8" i="3"/>
  <c r="BE8" i="3"/>
  <c r="BF8" i="3" s="1"/>
  <c r="BB8" i="3"/>
  <c r="BA8" i="3"/>
  <c r="AU8" i="3"/>
  <c r="AR8" i="3"/>
  <c r="AS8" i="3" s="1"/>
  <c r="AQ8" i="3"/>
  <c r="AP8" i="3"/>
  <c r="AO8" i="3"/>
  <c r="AN8" i="3"/>
  <c r="AM8" i="3"/>
  <c r="CL7" i="3"/>
  <c r="CK7" i="3"/>
  <c r="CH7" i="3"/>
  <c r="CD7" i="3"/>
  <c r="BV7" i="3"/>
  <c r="BL7" i="3"/>
  <c r="BG7" i="3"/>
  <c r="BF7" i="3"/>
  <c r="BE7" i="3"/>
  <c r="BH7" i="3" s="1"/>
  <c r="BB7" i="3"/>
  <c r="BA7" i="3"/>
  <c r="AU7" i="3"/>
  <c r="AR7" i="3"/>
  <c r="AS7" i="3" s="1"/>
  <c r="AQ7" i="3"/>
  <c r="AP7" i="3"/>
  <c r="AO7" i="3"/>
  <c r="AN7" i="3"/>
  <c r="AM7" i="3"/>
  <c r="CL6" i="3"/>
  <c r="CK6" i="3"/>
  <c r="CH6" i="3"/>
  <c r="CD6" i="3"/>
  <c r="BV6" i="3"/>
  <c r="BE6" i="3"/>
  <c r="BL6" i="3" s="1"/>
  <c r="BB6" i="3"/>
  <c r="BA6" i="3"/>
  <c r="AU6" i="3"/>
  <c r="AS6" i="3"/>
  <c r="AR6" i="3"/>
  <c r="AQ6" i="3"/>
  <c r="AP6" i="3"/>
  <c r="AO6" i="3"/>
  <c r="BI6" i="3" s="1"/>
  <c r="BK6" i="3" s="1"/>
  <c r="AN6" i="3"/>
  <c r="AM6" i="3"/>
  <c r="CL5" i="3"/>
  <c r="CK5" i="3"/>
  <c r="CH5" i="3"/>
  <c r="CD5" i="3"/>
  <c r="BV5" i="3"/>
  <c r="BL5" i="3"/>
  <c r="BG5" i="3"/>
  <c r="BF5" i="3"/>
  <c r="BE5" i="3"/>
  <c r="BH5" i="3" s="1"/>
  <c r="BB5" i="3"/>
  <c r="BA5" i="3"/>
  <c r="AU5" i="3"/>
  <c r="AR5" i="3"/>
  <c r="AS5" i="3" s="1"/>
  <c r="AQ5" i="3"/>
  <c r="AP5" i="3"/>
  <c r="AO5" i="3"/>
  <c r="BI5" i="3" s="1"/>
  <c r="BK5" i="3" s="1"/>
  <c r="AN5" i="3"/>
  <c r="AM5" i="3"/>
  <c r="CL4" i="3"/>
  <c r="CK4" i="3"/>
  <c r="CH4" i="3"/>
  <c r="CD4" i="3"/>
  <c r="BV4" i="3"/>
  <c r="BE4" i="3"/>
  <c r="BL4" i="3" s="1"/>
  <c r="BB4" i="3"/>
  <c r="BA4" i="3"/>
  <c r="AU4" i="3"/>
  <c r="AS4" i="3"/>
  <c r="AR4" i="3"/>
  <c r="AQ4" i="3"/>
  <c r="AP4" i="3"/>
  <c r="AO4" i="3"/>
  <c r="BI4" i="3" s="1"/>
  <c r="BK4" i="3" s="1"/>
  <c r="AN4" i="3"/>
  <c r="AM4" i="3"/>
  <c r="CL3" i="3"/>
  <c r="CK3" i="3"/>
  <c r="CH3" i="3"/>
  <c r="CD3" i="3"/>
  <c r="BV3" i="3"/>
  <c r="BL3" i="3"/>
  <c r="BG3" i="3"/>
  <c r="BF3" i="3"/>
  <c r="BE3" i="3"/>
  <c r="BB3" i="3"/>
  <c r="BA3" i="3"/>
  <c r="AU3" i="3"/>
  <c r="AR3" i="3"/>
  <c r="AS3" i="3" s="1"/>
  <c r="AQ3" i="3"/>
  <c r="AP3" i="3"/>
  <c r="AO3" i="3"/>
  <c r="BI3" i="3" s="1"/>
  <c r="BK3" i="3" s="1"/>
  <c r="AN3" i="3"/>
  <c r="AM3" i="3"/>
  <c r="CL2" i="3"/>
  <c r="CJ2" i="3"/>
  <c r="CK2" i="3" s="1"/>
  <c r="CH2" i="3"/>
  <c r="CD2" i="3"/>
  <c r="BV2" i="3"/>
  <c r="BE2" i="3"/>
  <c r="BB2" i="3"/>
  <c r="BA2" i="3"/>
  <c r="AU2" i="3"/>
  <c r="AR2" i="3"/>
  <c r="AS2" i="3" s="1"/>
  <c r="BI2" i="3" s="1"/>
  <c r="BK2" i="3" s="1"/>
  <c r="AQ2" i="3"/>
  <c r="AP2" i="3"/>
  <c r="AO2" i="3"/>
  <c r="AN2" i="3"/>
  <c r="AM2" i="3"/>
  <c r="AY27" i="2"/>
  <c r="AV27" i="2"/>
  <c r="AS27" i="2"/>
  <c r="AH27" i="2"/>
  <c r="AG27" i="2"/>
  <c r="AF27" i="2"/>
  <c r="AE27" i="2"/>
  <c r="P27" i="2"/>
  <c r="M27" i="2"/>
  <c r="L27" i="2"/>
  <c r="H27" i="2"/>
  <c r="AY26" i="2"/>
  <c r="AV26" i="2"/>
  <c r="AS26" i="2"/>
  <c r="AM26" i="2"/>
  <c r="AH26" i="2"/>
  <c r="AG26" i="2"/>
  <c r="AF26" i="2"/>
  <c r="AE26" i="2"/>
  <c r="P26" i="2"/>
  <c r="Q26" i="2" s="1"/>
  <c r="M26" i="2"/>
  <c r="L26" i="2"/>
  <c r="H26" i="2"/>
  <c r="F26" i="2"/>
  <c r="AY25" i="2"/>
  <c r="AV25" i="2"/>
  <c r="AS25" i="2"/>
  <c r="AH25" i="2"/>
  <c r="AG25" i="2"/>
  <c r="AF25" i="2"/>
  <c r="AE25" i="2"/>
  <c r="P25" i="2"/>
  <c r="Q25" i="2" s="1"/>
  <c r="M25" i="2"/>
  <c r="L25" i="2"/>
  <c r="H25" i="2"/>
  <c r="F25" i="2"/>
  <c r="AY24" i="2"/>
  <c r="AV24" i="2"/>
  <c r="AS24" i="2"/>
  <c r="AH24" i="2"/>
  <c r="AG24" i="2"/>
  <c r="AF24" i="2"/>
  <c r="AE24" i="2"/>
  <c r="P24" i="2"/>
  <c r="M24" i="2"/>
  <c r="L24" i="2"/>
  <c r="H24" i="2"/>
  <c r="F24" i="2"/>
  <c r="AY23" i="2"/>
  <c r="AV23" i="2"/>
  <c r="AS23" i="2"/>
  <c r="AH23" i="2"/>
  <c r="AG23" i="2"/>
  <c r="AF23" i="2"/>
  <c r="AE23" i="2"/>
  <c r="P23" i="2"/>
  <c r="Q23" i="2" s="1"/>
  <c r="M23" i="2"/>
  <c r="L23" i="2"/>
  <c r="H23" i="2"/>
  <c r="AY22" i="2"/>
  <c r="AV22" i="2"/>
  <c r="AS22" i="2"/>
  <c r="AH22" i="2"/>
  <c r="AG22" i="2"/>
  <c r="AF22" i="2"/>
  <c r="AE22" i="2"/>
  <c r="P22" i="2"/>
  <c r="Q22" i="2" s="1"/>
  <c r="M22" i="2"/>
  <c r="L22" i="2"/>
  <c r="H22" i="2"/>
  <c r="AY21" i="2"/>
  <c r="AV21" i="2"/>
  <c r="AS21" i="2"/>
  <c r="AH21" i="2"/>
  <c r="AG21" i="2"/>
  <c r="P21" i="2"/>
  <c r="Q21" i="2" s="1"/>
  <c r="R21" i="2" s="1"/>
  <c r="M21" i="2"/>
  <c r="L21" i="2"/>
  <c r="H21" i="2"/>
  <c r="AY20" i="2"/>
  <c r="AV20" i="2"/>
  <c r="AS20" i="2"/>
  <c r="AH20" i="2"/>
  <c r="AG20" i="2"/>
  <c r="AF20" i="2"/>
  <c r="AE20" i="2"/>
  <c r="W20" i="2"/>
  <c r="P20" i="2"/>
  <c r="Q20" i="2" s="1"/>
  <c r="M20" i="2"/>
  <c r="L20" i="2"/>
  <c r="H20" i="2"/>
  <c r="AY19" i="2"/>
  <c r="AV19" i="2"/>
  <c r="AS19" i="2"/>
  <c r="AH19" i="2"/>
  <c r="AG19" i="2"/>
  <c r="AF19" i="2"/>
  <c r="AE19" i="2"/>
  <c r="P19" i="2"/>
  <c r="Q19" i="2" s="1"/>
  <c r="M19" i="2"/>
  <c r="L19" i="2"/>
  <c r="H19" i="2"/>
  <c r="F19" i="2"/>
  <c r="AY18" i="2"/>
  <c r="AV18" i="2"/>
  <c r="AS18" i="2"/>
  <c r="AH18" i="2"/>
  <c r="AG18" i="2"/>
  <c r="AF18" i="2"/>
  <c r="AE18" i="2"/>
  <c r="P18" i="2"/>
  <c r="W18" i="2" s="1"/>
  <c r="M18" i="2"/>
  <c r="L18" i="2"/>
  <c r="H18" i="2"/>
  <c r="AY17" i="2"/>
  <c r="AV17" i="2"/>
  <c r="AS17" i="2"/>
  <c r="AH17" i="2"/>
  <c r="AG17" i="2"/>
  <c r="AF17" i="2"/>
  <c r="AE17" i="2"/>
  <c r="P17" i="2"/>
  <c r="Q17" i="2" s="1"/>
  <c r="M17" i="2"/>
  <c r="L17" i="2"/>
  <c r="H17" i="2"/>
  <c r="F17" i="2"/>
  <c r="AY16" i="2"/>
  <c r="AV16" i="2"/>
  <c r="AS16" i="2"/>
  <c r="AH16" i="2"/>
  <c r="AG16" i="2"/>
  <c r="AF16" i="2"/>
  <c r="AE16" i="2"/>
  <c r="P16" i="2"/>
  <c r="Q16" i="2" s="1"/>
  <c r="M16" i="2"/>
  <c r="L16" i="2"/>
  <c r="H16" i="2"/>
  <c r="AY15" i="2"/>
  <c r="AV15" i="2"/>
  <c r="AS15" i="2"/>
  <c r="AH15" i="2"/>
  <c r="AG15" i="2"/>
  <c r="AF15" i="2"/>
  <c r="AE15" i="2"/>
  <c r="P15" i="2"/>
  <c r="M15" i="2"/>
  <c r="L15" i="2"/>
  <c r="H15" i="2"/>
  <c r="AY14" i="2"/>
  <c r="AV14" i="2"/>
  <c r="AS14" i="2"/>
  <c r="AH14" i="2"/>
  <c r="AG14" i="2"/>
  <c r="AF14" i="2"/>
  <c r="AE14" i="2"/>
  <c r="P14" i="2"/>
  <c r="M14" i="2"/>
  <c r="L14" i="2"/>
  <c r="H14" i="2"/>
  <c r="AY13" i="2"/>
  <c r="AV13" i="2"/>
  <c r="AS13" i="2"/>
  <c r="AH13" i="2"/>
  <c r="AG13" i="2"/>
  <c r="AF13" i="2"/>
  <c r="AE13" i="2"/>
  <c r="P13" i="2"/>
  <c r="Q13" i="2" s="1"/>
  <c r="R13" i="2" s="1"/>
  <c r="M13" i="2"/>
  <c r="L13" i="2"/>
  <c r="H13" i="2"/>
  <c r="AY12" i="2"/>
  <c r="AV12" i="2"/>
  <c r="AS12" i="2"/>
  <c r="AH12" i="2"/>
  <c r="AG12" i="2"/>
  <c r="AF12" i="2"/>
  <c r="AE12" i="2"/>
  <c r="P12" i="2"/>
  <c r="Q12" i="2" s="1"/>
  <c r="R12" i="2" s="1"/>
  <c r="M12" i="2"/>
  <c r="L12" i="2"/>
  <c r="H12" i="2"/>
  <c r="AY11" i="2"/>
  <c r="AV11" i="2"/>
  <c r="AS11" i="2"/>
  <c r="AH11" i="2"/>
  <c r="AG11" i="2"/>
  <c r="AF11" i="2"/>
  <c r="AE11" i="2"/>
  <c r="P11" i="2"/>
  <c r="Q11" i="2" s="1"/>
  <c r="R11" i="2" s="1"/>
  <c r="M11" i="2"/>
  <c r="L11" i="2"/>
  <c r="H11" i="2"/>
  <c r="AY10" i="2"/>
  <c r="AV10" i="2"/>
  <c r="AS10" i="2"/>
  <c r="AH10" i="2"/>
  <c r="AG10" i="2"/>
  <c r="P10" i="2"/>
  <c r="Q10" i="2" s="1"/>
  <c r="R10" i="2" s="1"/>
  <c r="M10" i="2"/>
  <c r="L10" i="2"/>
  <c r="H10" i="2"/>
  <c r="AY9" i="2"/>
  <c r="AV9" i="2"/>
  <c r="AS9" i="2"/>
  <c r="AM9" i="2"/>
  <c r="AH9" i="2"/>
  <c r="AG9" i="2"/>
  <c r="AF9" i="2"/>
  <c r="AE9" i="2"/>
  <c r="P9" i="2"/>
  <c r="Q9" i="2" s="1"/>
  <c r="R9" i="2" s="1"/>
  <c r="M9" i="2"/>
  <c r="L9" i="2"/>
  <c r="H9" i="2"/>
  <c r="AY8" i="2"/>
  <c r="BG8" i="2" s="1"/>
  <c r="AV8" i="2"/>
  <c r="AS8" i="2"/>
  <c r="AH8" i="2"/>
  <c r="AG8" i="2"/>
  <c r="AF8" i="2"/>
  <c r="AE8" i="2"/>
  <c r="P8" i="2"/>
  <c r="Q8" i="2" s="1"/>
  <c r="M8" i="2"/>
  <c r="L8" i="2"/>
  <c r="H8" i="2"/>
  <c r="AY7" i="2"/>
  <c r="AU7" i="2"/>
  <c r="AV7" i="2" s="1"/>
  <c r="AS7" i="2"/>
  <c r="AH7" i="2"/>
  <c r="AG7" i="2"/>
  <c r="AF7" i="2"/>
  <c r="AE7" i="2"/>
  <c r="P7" i="2"/>
  <c r="Q7" i="2" s="1"/>
  <c r="R7" i="2" s="1"/>
  <c r="M7" i="2"/>
  <c r="L7" i="2"/>
  <c r="H7" i="2"/>
  <c r="AY6" i="2"/>
  <c r="AV6" i="2"/>
  <c r="AS6" i="2"/>
  <c r="AM6" i="2"/>
  <c r="AH6" i="2"/>
  <c r="AG6" i="2"/>
  <c r="AF6" i="2"/>
  <c r="AE6" i="2"/>
  <c r="P6" i="2"/>
  <c r="Q6" i="2" s="1"/>
  <c r="R6" i="2" s="1"/>
  <c r="M6" i="2"/>
  <c r="L6" i="2"/>
  <c r="H6" i="2"/>
  <c r="AY5" i="2"/>
  <c r="AV5" i="2"/>
  <c r="AS5" i="2"/>
  <c r="AH5" i="2"/>
  <c r="AG5" i="2"/>
  <c r="AF5" i="2"/>
  <c r="AE5" i="2"/>
  <c r="P5" i="2"/>
  <c r="W5" i="2" s="1"/>
  <c r="M5" i="2"/>
  <c r="L5" i="2"/>
  <c r="H5" i="2"/>
  <c r="AY4" i="2"/>
  <c r="AV4" i="2"/>
  <c r="AS4" i="2"/>
  <c r="AH4" i="2"/>
  <c r="AG4" i="2"/>
  <c r="AF4" i="2"/>
  <c r="AE4" i="2"/>
  <c r="W4" i="2"/>
  <c r="Q4" i="2"/>
  <c r="P4" i="2"/>
  <c r="M4" i="2"/>
  <c r="L4" i="2"/>
  <c r="H4" i="2"/>
  <c r="AY3" i="2"/>
  <c r="AV3" i="2"/>
  <c r="AS3" i="2"/>
  <c r="AH3" i="2"/>
  <c r="AG3" i="2"/>
  <c r="P3" i="2"/>
  <c r="Q3" i="2" s="1"/>
  <c r="M3" i="2"/>
  <c r="L3" i="2"/>
  <c r="H3" i="2"/>
  <c r="AY2" i="2"/>
  <c r="AV2" i="2"/>
  <c r="AU2" i="2"/>
  <c r="AS2" i="2"/>
  <c r="AH2" i="2"/>
  <c r="AG2" i="2"/>
  <c r="AF2" i="2"/>
  <c r="AE2" i="2"/>
  <c r="P2" i="2"/>
  <c r="W2" i="2" s="1"/>
  <c r="M2" i="2"/>
  <c r="L2" i="2"/>
  <c r="H2" i="2"/>
  <c r="Q5" i="2" l="1"/>
  <c r="W6" i="2"/>
  <c r="BG3" i="2"/>
  <c r="R4" i="2"/>
  <c r="W11" i="2"/>
  <c r="W12" i="2"/>
  <c r="S13" i="2"/>
  <c r="R5" i="2"/>
  <c r="W10" i="2"/>
  <c r="R8" i="2"/>
  <c r="S8" i="2" s="1"/>
  <c r="Q2" i="2"/>
  <c r="R2" i="2" s="1"/>
  <c r="BG5" i="2"/>
  <c r="W8" i="2"/>
  <c r="W9" i="2"/>
  <c r="BG9" i="2"/>
  <c r="W13" i="2"/>
  <c r="Q18" i="2"/>
  <c r="W21" i="2"/>
  <c r="R18" i="2"/>
  <c r="BG6" i="2"/>
  <c r="W7" i="2"/>
  <c r="R20" i="2"/>
  <c r="S20" i="2" s="1"/>
  <c r="AN9" i="9"/>
  <c r="AN11" i="9"/>
  <c r="AZ11" i="9" s="1"/>
  <c r="AN13" i="9"/>
  <c r="AZ13" i="9" s="1"/>
  <c r="AN18" i="9"/>
  <c r="AZ18" i="9" s="1"/>
  <c r="N10" i="5" s="1"/>
  <c r="AN3" i="9"/>
  <c r="AZ17" i="9"/>
  <c r="AW22" i="9"/>
  <c r="BB22" i="9" s="1"/>
  <c r="AN24" i="9"/>
  <c r="AW26" i="9"/>
  <c r="BB26" i="9" s="1"/>
  <c r="AN7" i="9"/>
  <c r="AZ7" i="9" s="1"/>
  <c r="AN15" i="9"/>
  <c r="AZ15" i="9" s="1"/>
  <c r="AN20" i="9"/>
  <c r="AZ20" i="9" s="1"/>
  <c r="AN23" i="9"/>
  <c r="AZ23" i="9" s="1"/>
  <c r="AN25" i="9"/>
  <c r="AZ25" i="9" s="1"/>
  <c r="AN27" i="9"/>
  <c r="AZ27" i="9" s="1"/>
  <c r="AW17" i="9"/>
  <c r="BB17" i="9" s="1"/>
  <c r="AN5" i="9"/>
  <c r="AZ5" i="9" s="1"/>
  <c r="AZ3" i="9"/>
  <c r="AZ9" i="9"/>
  <c r="AW7" i="9"/>
  <c r="AW8" i="9"/>
  <c r="AW15" i="9"/>
  <c r="AW16" i="9"/>
  <c r="AW20" i="9"/>
  <c r="T22" i="2"/>
  <c r="V22" i="2" s="1"/>
  <c r="Z22" i="2" s="1"/>
  <c r="AW5" i="9"/>
  <c r="AW13" i="9"/>
  <c r="AW18" i="9"/>
  <c r="AW9" i="9"/>
  <c r="AW3" i="9"/>
  <c r="AW11" i="9"/>
  <c r="AW23" i="9"/>
  <c r="W14" i="2"/>
  <c r="Q14" i="2"/>
  <c r="K13" i="2"/>
  <c r="O13" i="2"/>
  <c r="J13" i="2" s="1"/>
  <c r="BM2" i="3"/>
  <c r="BN2" i="3"/>
  <c r="BL2" i="3"/>
  <c r="BG2" i="3"/>
  <c r="BP2" i="3" s="1"/>
  <c r="BF2" i="3"/>
  <c r="BO2" i="3" s="1"/>
  <c r="BN3" i="3"/>
  <c r="BQ3" i="3"/>
  <c r="BM3" i="3"/>
  <c r="BP3" i="3"/>
  <c r="BO3" i="3"/>
  <c r="BP9" i="3"/>
  <c r="BM9" i="3"/>
  <c r="BM14" i="3"/>
  <c r="BN14" i="3"/>
  <c r="S7" i="2"/>
  <c r="S9" i="2"/>
  <c r="S10" i="2"/>
  <c r="S12" i="2"/>
  <c r="S21" i="2"/>
  <c r="W24" i="2"/>
  <c r="Q24" i="2"/>
  <c r="R24" i="2" s="1"/>
  <c r="S4" i="2"/>
  <c r="O4" i="2" s="1"/>
  <c r="J4" i="2" s="1"/>
  <c r="S6" i="2"/>
  <c r="S11" i="2"/>
  <c r="W15" i="2"/>
  <c r="Q15" i="2"/>
  <c r="BN5" i="3"/>
  <c r="BQ5" i="3"/>
  <c r="BM5" i="3"/>
  <c r="BP5" i="3"/>
  <c r="BO5" i="3"/>
  <c r="R3" i="2"/>
  <c r="S3" i="2" s="1"/>
  <c r="W3" i="2"/>
  <c r="R16" i="2"/>
  <c r="S16" i="2" s="1"/>
  <c r="W16" i="2"/>
  <c r="R17" i="2"/>
  <c r="S17" i="2" s="1"/>
  <c r="W17" i="2"/>
  <c r="R19" i="2"/>
  <c r="S19" i="2" s="1"/>
  <c r="W19" i="2"/>
  <c r="R22" i="2"/>
  <c r="S22" i="2" s="1"/>
  <c r="W22" i="2"/>
  <c r="R23" i="2"/>
  <c r="W23" i="2"/>
  <c r="W27" i="2"/>
  <c r="BP11" i="3"/>
  <c r="BM11" i="3"/>
  <c r="BM16" i="3"/>
  <c r="BN16" i="3"/>
  <c r="BO16" i="3"/>
  <c r="BG18" i="3"/>
  <c r="BP18" i="3" s="1"/>
  <c r="BL18" i="3"/>
  <c r="BF18" i="3"/>
  <c r="BH18" i="3" s="1"/>
  <c r="BQ18" i="3" s="1"/>
  <c r="W25" i="2"/>
  <c r="R25" i="2"/>
  <c r="Q27" i="2"/>
  <c r="BP4" i="3"/>
  <c r="BN4" i="3"/>
  <c r="BM4" i="3"/>
  <c r="BD8" i="3"/>
  <c r="AZ8" i="3"/>
  <c r="AV8" i="3" s="1"/>
  <c r="AY8" i="3" s="1"/>
  <c r="BL11" i="3"/>
  <c r="BG11" i="3"/>
  <c r="BF11" i="3"/>
  <c r="BO11" i="3" s="1"/>
  <c r="BI13" i="3"/>
  <c r="BK13" i="3" s="1"/>
  <c r="BO19" i="3"/>
  <c r="BN19" i="3"/>
  <c r="BM19" i="3"/>
  <c r="W26" i="2"/>
  <c r="R26" i="2"/>
  <c r="BH3" i="3"/>
  <c r="BN6" i="3"/>
  <c r="BM6" i="3"/>
  <c r="BI7" i="3"/>
  <c r="BK7" i="3" s="1"/>
  <c r="BN11" i="3"/>
  <c r="BD15" i="3"/>
  <c r="N4" i="5"/>
  <c r="F4" i="5"/>
  <c r="G4" i="5" s="1"/>
  <c r="I4" i="5" s="1"/>
  <c r="K4" i="5" s="1"/>
  <c r="BA7" i="2" s="1"/>
  <c r="BG7" i="2" s="1"/>
  <c r="BI8" i="3"/>
  <c r="BK8" i="3" s="1"/>
  <c r="BL13" i="3"/>
  <c r="BG13" i="3"/>
  <c r="BF13" i="3"/>
  <c r="BH13" i="3" s="1"/>
  <c r="BM18" i="3"/>
  <c r="BO18" i="3"/>
  <c r="BN18" i="3"/>
  <c r="BG24" i="3"/>
  <c r="BP24" i="3" s="1"/>
  <c r="BL24" i="3"/>
  <c r="BF24" i="3"/>
  <c r="BH24" i="3" s="1"/>
  <c r="BQ24" i="3" s="1"/>
  <c r="AZ3" i="3"/>
  <c r="AV3" i="3" s="1"/>
  <c r="AY3" i="3" s="1"/>
  <c r="BD3" i="3"/>
  <c r="BF4" i="3"/>
  <c r="AZ5" i="3"/>
  <c r="AV5" i="3" s="1"/>
  <c r="AY5" i="3" s="1"/>
  <c r="BD5" i="3"/>
  <c r="BF6" i="3"/>
  <c r="BH6" i="3" s="1"/>
  <c r="BQ6" i="3" s="1"/>
  <c r="AZ7" i="3"/>
  <c r="AV7" i="3" s="1"/>
  <c r="AY7" i="3" s="1"/>
  <c r="BD7" i="3"/>
  <c r="BL8" i="3"/>
  <c r="BL9" i="3"/>
  <c r="BG9" i="3"/>
  <c r="BI10" i="3"/>
  <c r="BK10" i="3" s="1"/>
  <c r="BD10" i="3"/>
  <c r="AZ10" i="3"/>
  <c r="AV10" i="3" s="1"/>
  <c r="AY10" i="3" s="1"/>
  <c r="BH12" i="3"/>
  <c r="BL14" i="3"/>
  <c r="BG14" i="3"/>
  <c r="BP14" i="3" s="1"/>
  <c r="BI15" i="3"/>
  <c r="BK15" i="3" s="1"/>
  <c r="BG4" i="3"/>
  <c r="BG6" i="3"/>
  <c r="BF9" i="3"/>
  <c r="BH9" i="3" s="1"/>
  <c r="BQ9" i="3" s="1"/>
  <c r="BC9" i="3" s="1"/>
  <c r="BI12" i="3"/>
  <c r="BK12" i="3" s="1"/>
  <c r="BD12" i="3"/>
  <c r="AZ12" i="3"/>
  <c r="AV12" i="3" s="1"/>
  <c r="AY12" i="3" s="1"/>
  <c r="BF14" i="3"/>
  <c r="BO14" i="3" s="1"/>
  <c r="BH15" i="3"/>
  <c r="AZ15" i="3" s="1"/>
  <c r="AV15" i="3" s="1"/>
  <c r="AY15" i="3" s="1"/>
  <c r="BM20" i="3"/>
  <c r="BP20" i="3"/>
  <c r="BO20" i="3"/>
  <c r="BN20" i="3"/>
  <c r="BP21" i="3"/>
  <c r="BO21" i="3"/>
  <c r="BN21" i="3"/>
  <c r="BM21" i="3"/>
  <c r="BP23" i="3"/>
  <c r="BN23" i="3"/>
  <c r="BM23" i="3"/>
  <c r="BM24" i="3"/>
  <c r="BN24" i="3"/>
  <c r="BO24" i="3"/>
  <c r="BH16" i="3"/>
  <c r="BQ16" i="3" s="1"/>
  <c r="BI17" i="3"/>
  <c r="BK17" i="3" s="1"/>
  <c r="BL19" i="3"/>
  <c r="BI22" i="3"/>
  <c r="BK22" i="3" s="1"/>
  <c r="BD22" i="3"/>
  <c r="AZ22" i="3"/>
  <c r="AV22" i="3" s="1"/>
  <c r="AY22" i="3" s="1"/>
  <c r="BF26" i="3"/>
  <c r="BH26" i="3" s="1"/>
  <c r="BG26" i="3"/>
  <c r="AW6" i="9"/>
  <c r="N8" i="5"/>
  <c r="F8" i="5"/>
  <c r="G8" i="5" s="1"/>
  <c r="I8" i="5" s="1"/>
  <c r="K8" i="5" s="1"/>
  <c r="BA13" i="2" s="1"/>
  <c r="AW14" i="9"/>
  <c r="AW21" i="9"/>
  <c r="BF16" i="3"/>
  <c r="BL16" i="3"/>
  <c r="BL17" i="3"/>
  <c r="BG19" i="3"/>
  <c r="BL21" i="3"/>
  <c r="BG21" i="3"/>
  <c r="BF21" i="3"/>
  <c r="BD25" i="3"/>
  <c r="AZ25" i="3"/>
  <c r="AV25" i="3" s="1"/>
  <c r="AY25" i="3" s="1"/>
  <c r="BI26" i="3"/>
  <c r="BK26" i="3" s="1"/>
  <c r="BD27" i="3"/>
  <c r="AZ27" i="3"/>
  <c r="AV27" i="3" s="1"/>
  <c r="AY27" i="3" s="1"/>
  <c r="BG16" i="3"/>
  <c r="BD16" i="3" s="1"/>
  <c r="BG17" i="3"/>
  <c r="BH20" i="3"/>
  <c r="BD20" i="3" s="1"/>
  <c r="BH21" i="3"/>
  <c r="BQ21" i="3" s="1"/>
  <c r="BL23" i="3"/>
  <c r="BG23" i="3"/>
  <c r="BF23" i="3"/>
  <c r="BL26" i="3"/>
  <c r="BI25" i="3"/>
  <c r="BK25" i="3" s="1"/>
  <c r="AW4" i="9"/>
  <c r="N6" i="5"/>
  <c r="F6" i="5"/>
  <c r="G6" i="5" s="1"/>
  <c r="I6" i="5" s="1"/>
  <c r="K6" i="5" s="1"/>
  <c r="BA11" i="2" s="1"/>
  <c r="BG11" i="2" s="1"/>
  <c r="AW12" i="9"/>
  <c r="AW19" i="9"/>
  <c r="AW25" i="9"/>
  <c r="BI27" i="3"/>
  <c r="BK27" i="3" s="1"/>
  <c r="BI28" i="3"/>
  <c r="BK28" i="3" s="1"/>
  <c r="AZ28" i="3"/>
  <c r="AV28" i="3" s="1"/>
  <c r="AY28" i="3" s="1"/>
  <c r="AW2" i="9"/>
  <c r="AW10" i="9"/>
  <c r="AW27" i="9"/>
  <c r="AU24" i="9"/>
  <c r="AW24" i="9" s="1"/>
  <c r="AN26" i="9"/>
  <c r="AZ26" i="9" s="1"/>
  <c r="AN2" i="9"/>
  <c r="AZ2" i="9" s="1"/>
  <c r="AN4" i="9"/>
  <c r="AZ4" i="9" s="1"/>
  <c r="AN6" i="9"/>
  <c r="AZ6" i="9" s="1"/>
  <c r="AN8" i="9"/>
  <c r="AZ8" i="9" s="1"/>
  <c r="AN10" i="9"/>
  <c r="AZ10" i="9" s="1"/>
  <c r="AN12" i="9"/>
  <c r="AZ12" i="9" s="1"/>
  <c r="AN14" i="9"/>
  <c r="AZ14" i="9" s="1"/>
  <c r="AN16" i="9"/>
  <c r="AZ16" i="9" s="1"/>
  <c r="AN19" i="9"/>
  <c r="AZ19" i="9" s="1"/>
  <c r="AN21" i="9"/>
  <c r="AZ21" i="9" s="1"/>
  <c r="AN22" i="9"/>
  <c r="AZ22" i="9" s="1"/>
  <c r="S5" i="2" l="1"/>
  <c r="K5" i="2" s="1"/>
  <c r="O20" i="2"/>
  <c r="J20" i="2" s="1"/>
  <c r="K20" i="2"/>
  <c r="O8" i="2"/>
  <c r="J8" i="2" s="1"/>
  <c r="K8" i="2"/>
  <c r="S2" i="2"/>
  <c r="O22" i="2"/>
  <c r="J22" i="2" s="1"/>
  <c r="O3" i="2"/>
  <c r="J3" i="2" s="1"/>
  <c r="S18" i="2"/>
  <c r="O18" i="2" s="1"/>
  <c r="J18" i="2" s="1"/>
  <c r="F10" i="5"/>
  <c r="G10" i="5" s="1"/>
  <c r="I10" i="5" s="1"/>
  <c r="K10" i="5" s="1"/>
  <c r="BA18" i="2" s="1"/>
  <c r="N12" i="5"/>
  <c r="F12" i="5"/>
  <c r="G12" i="5" s="1"/>
  <c r="I12" i="5" s="1"/>
  <c r="K12" i="5" s="1"/>
  <c r="BA23" i="2" s="1"/>
  <c r="T26" i="2"/>
  <c r="V26" i="2" s="1"/>
  <c r="AA22" i="2"/>
  <c r="AB22" i="2"/>
  <c r="X22" i="2"/>
  <c r="Y22" i="2"/>
  <c r="BB23" i="9"/>
  <c r="T23" i="2"/>
  <c r="V23" i="2" s="1"/>
  <c r="AA23" i="2" s="1"/>
  <c r="BB13" i="9"/>
  <c r="T13" i="2"/>
  <c r="V13" i="2" s="1"/>
  <c r="BB11" i="9"/>
  <c r="T11" i="2"/>
  <c r="V11" i="2" s="1"/>
  <c r="BB9" i="9"/>
  <c r="T9" i="2"/>
  <c r="V9" i="2" s="1"/>
  <c r="BB5" i="9"/>
  <c r="T5" i="2"/>
  <c r="V5" i="2" s="1"/>
  <c r="BB20" i="9"/>
  <c r="T20" i="2"/>
  <c r="V20" i="2" s="1"/>
  <c r="BB7" i="9"/>
  <c r="T7" i="2"/>
  <c r="V7" i="2" s="1"/>
  <c r="AB7" i="2" s="1"/>
  <c r="BB8" i="9"/>
  <c r="T8" i="2"/>
  <c r="V8" i="2" s="1"/>
  <c r="AZ24" i="9"/>
  <c r="BB3" i="9"/>
  <c r="T3" i="2"/>
  <c r="V3" i="2" s="1"/>
  <c r="AB3" i="2" s="1"/>
  <c r="BB16" i="9"/>
  <c r="T16" i="2"/>
  <c r="V16" i="2" s="1"/>
  <c r="AB16" i="2" s="1"/>
  <c r="X26" i="2"/>
  <c r="BB18" i="9"/>
  <c r="T18" i="2"/>
  <c r="V18" i="2" s="1"/>
  <c r="BB15" i="9"/>
  <c r="T15" i="2"/>
  <c r="V15" i="2" s="1"/>
  <c r="O16" i="2"/>
  <c r="J16" i="2" s="1"/>
  <c r="BR9" i="3"/>
  <c r="O19" i="2"/>
  <c r="J19" i="2" s="1"/>
  <c r="K19" i="2"/>
  <c r="K17" i="2"/>
  <c r="O17" i="2"/>
  <c r="J17" i="2" s="1"/>
  <c r="BB27" i="9"/>
  <c r="T27" i="2"/>
  <c r="V27" i="2" s="1"/>
  <c r="S25" i="2"/>
  <c r="K25" i="2" s="1"/>
  <c r="S24" i="2"/>
  <c r="O24" i="2" s="1"/>
  <c r="J24" i="2" s="1"/>
  <c r="BU2" i="3"/>
  <c r="BT2" i="3"/>
  <c r="F5" i="5"/>
  <c r="G5" i="5" s="1"/>
  <c r="I5" i="5" s="1"/>
  <c r="K5" i="5" s="1"/>
  <c r="BA10" i="2" s="1"/>
  <c r="BG10" i="2" s="1"/>
  <c r="N5" i="5"/>
  <c r="BN27" i="3"/>
  <c r="BO27" i="3"/>
  <c r="BM27" i="3"/>
  <c r="BQ27" i="3"/>
  <c r="BP27" i="3"/>
  <c r="BB21" i="9"/>
  <c r="T21" i="2"/>
  <c r="V21" i="2" s="1"/>
  <c r="BT23" i="3"/>
  <c r="BU23" i="3"/>
  <c r="BU20" i="3"/>
  <c r="BT20" i="3"/>
  <c r="AZ6" i="3"/>
  <c r="AV6" i="3" s="1"/>
  <c r="AY6" i="3" s="1"/>
  <c r="BD6" i="3"/>
  <c r="BH14" i="3"/>
  <c r="AZ24" i="3"/>
  <c r="AV24" i="3" s="1"/>
  <c r="AY24" i="3" s="1"/>
  <c r="AZ13" i="3"/>
  <c r="AV13" i="3" s="1"/>
  <c r="AY13" i="3" s="1"/>
  <c r="BD13" i="3"/>
  <c r="BC11" i="3"/>
  <c r="BO6" i="3"/>
  <c r="BP13" i="3"/>
  <c r="BO13" i="3"/>
  <c r="BQ13" i="3"/>
  <c r="BN13" i="3"/>
  <c r="BM13" i="3"/>
  <c r="BT4" i="3"/>
  <c r="BU4" i="3"/>
  <c r="K22" i="2"/>
  <c r="K16" i="2"/>
  <c r="K3" i="2"/>
  <c r="AZ18" i="3"/>
  <c r="AV18" i="3" s="1"/>
  <c r="AY18" i="3" s="1"/>
  <c r="BP16" i="3"/>
  <c r="BU5" i="3"/>
  <c r="BT5" i="3"/>
  <c r="K10" i="2"/>
  <c r="O10" i="2"/>
  <c r="J10" i="2" s="1"/>
  <c r="BS2" i="3"/>
  <c r="R14" i="2"/>
  <c r="F7" i="5"/>
  <c r="G7" i="5" s="1"/>
  <c r="I7" i="5" s="1"/>
  <c r="K7" i="5" s="1"/>
  <c r="BA12" i="2" s="1"/>
  <c r="BG12" i="2" s="1"/>
  <c r="N7" i="5"/>
  <c r="BN28" i="3"/>
  <c r="BO28" i="3"/>
  <c r="BM28" i="3"/>
  <c r="BP28" i="3"/>
  <c r="BQ28" i="3"/>
  <c r="BB12" i="9"/>
  <c r="T12" i="2"/>
  <c r="V12" i="2" s="1"/>
  <c r="BC6" i="3"/>
  <c r="K11" i="2"/>
  <c r="O11" i="2"/>
  <c r="J11" i="2" s="1"/>
  <c r="BT9" i="3"/>
  <c r="BU9" i="3"/>
  <c r="N2" i="5"/>
  <c r="F2" i="5"/>
  <c r="G2" i="5" s="1"/>
  <c r="I2" i="5" s="1"/>
  <c r="K2" i="5" s="1"/>
  <c r="BA2" i="2" s="1"/>
  <c r="BG2" i="2" s="1"/>
  <c r="BB10" i="9"/>
  <c r="T10" i="2"/>
  <c r="V10" i="2" s="1"/>
  <c r="BB19" i="9"/>
  <c r="T19" i="2"/>
  <c r="V19" i="2" s="1"/>
  <c r="BB6" i="9"/>
  <c r="T6" i="2"/>
  <c r="V6" i="2" s="1"/>
  <c r="BO17" i="3"/>
  <c r="BM17" i="3"/>
  <c r="BP17" i="3"/>
  <c r="BN17" i="3"/>
  <c r="BT21" i="3"/>
  <c r="BU21" i="3"/>
  <c r="F11" i="5"/>
  <c r="G11" i="5" s="1"/>
  <c r="I11" i="5" s="1"/>
  <c r="K11" i="5" s="1"/>
  <c r="BA22" i="2" s="1"/>
  <c r="N11" i="5"/>
  <c r="BB2" i="9"/>
  <c r="T2" i="2"/>
  <c r="V2" i="2" s="1"/>
  <c r="BB25" i="9"/>
  <c r="T25" i="2"/>
  <c r="V25" i="2" s="1"/>
  <c r="BH23" i="3"/>
  <c r="BQ23" i="3" s="1"/>
  <c r="BS23" i="3" s="1"/>
  <c r="AZ20" i="3"/>
  <c r="AV20" i="3" s="1"/>
  <c r="AY20" i="3" s="1"/>
  <c r="BD17" i="3"/>
  <c r="AZ17" i="3"/>
  <c r="AV17" i="3" s="1"/>
  <c r="AY17" i="3" s="1"/>
  <c r="BH17" i="3"/>
  <c r="BQ17" i="3" s="1"/>
  <c r="BO26" i="3"/>
  <c r="BN26" i="3"/>
  <c r="BM26" i="3"/>
  <c r="BQ26" i="3"/>
  <c r="BP26" i="3"/>
  <c r="AZ21" i="3"/>
  <c r="AV21" i="3" s="1"/>
  <c r="AY21" i="3" s="1"/>
  <c r="BD21" i="3"/>
  <c r="BB14" i="9"/>
  <c r="T14" i="2"/>
  <c r="V14" i="2" s="1"/>
  <c r="AZ26" i="3"/>
  <c r="AV26" i="3" s="1"/>
  <c r="AY26" i="3" s="1"/>
  <c r="BD26" i="3"/>
  <c r="AZ16" i="3"/>
  <c r="AV16" i="3" s="1"/>
  <c r="AY16" i="3" s="1"/>
  <c r="BS24" i="3"/>
  <c r="BR24" i="3"/>
  <c r="BX24" i="3" s="1"/>
  <c r="CN24" i="3" s="1"/>
  <c r="BC24" i="3"/>
  <c r="BC23" i="3"/>
  <c r="BR23" i="3"/>
  <c r="BC21" i="3"/>
  <c r="BS21" i="3"/>
  <c r="BR21" i="3"/>
  <c r="BX21" i="3" s="1"/>
  <c r="CN21" i="3" s="1"/>
  <c r="BC20" i="3"/>
  <c r="BS20" i="3"/>
  <c r="BR20" i="3"/>
  <c r="BX20" i="3" s="1"/>
  <c r="CN20" i="3" s="1"/>
  <c r="BQ20" i="3"/>
  <c r="AZ4" i="3"/>
  <c r="AV4" i="3" s="1"/>
  <c r="AY4" i="3" s="1"/>
  <c r="BN10" i="3"/>
  <c r="BQ10" i="3"/>
  <c r="BM10" i="3"/>
  <c r="BP10" i="3"/>
  <c r="BO10" i="3"/>
  <c r="BD24" i="3"/>
  <c r="BU18" i="3"/>
  <c r="BT18" i="3"/>
  <c r="BQ7" i="3"/>
  <c r="BN7" i="3"/>
  <c r="BM7" i="3"/>
  <c r="BP7" i="3"/>
  <c r="BO7" i="3"/>
  <c r="BP6" i="3"/>
  <c r="BS6" i="3" s="1"/>
  <c r="BT19" i="3"/>
  <c r="BU19" i="3"/>
  <c r="BH11" i="3"/>
  <c r="BQ11" i="3" s="1"/>
  <c r="BS11" i="3" s="1"/>
  <c r="BS4" i="3"/>
  <c r="BD18" i="3"/>
  <c r="BS16" i="3"/>
  <c r="BR16" i="3"/>
  <c r="BX16" i="3" s="1"/>
  <c r="CN16" i="3" s="1"/>
  <c r="BC16" i="3"/>
  <c r="BT11" i="3"/>
  <c r="BU11" i="3"/>
  <c r="S26" i="2"/>
  <c r="AB26" i="2" s="1"/>
  <c r="R15" i="2"/>
  <c r="AB9" i="2"/>
  <c r="K9" i="2"/>
  <c r="O9" i="2"/>
  <c r="J9" i="2" s="1"/>
  <c r="K7" i="2"/>
  <c r="O7" i="2"/>
  <c r="J7" i="2" s="1"/>
  <c r="BO9" i="3"/>
  <c r="BR3" i="3"/>
  <c r="BX3" i="3" s="1"/>
  <c r="CN3" i="3" s="1"/>
  <c r="BC3" i="3"/>
  <c r="BS3" i="3"/>
  <c r="BS9" i="3"/>
  <c r="S23" i="2"/>
  <c r="AB23" i="2" s="1"/>
  <c r="K4" i="2"/>
  <c r="F3" i="5"/>
  <c r="G3" i="5" s="1"/>
  <c r="I3" i="5" s="1"/>
  <c r="K3" i="5" s="1"/>
  <c r="BA4" i="2" s="1"/>
  <c r="BG4" i="2" s="1"/>
  <c r="N3" i="5"/>
  <c r="T17" i="2"/>
  <c r="V17" i="2" s="1"/>
  <c r="BN25" i="3"/>
  <c r="BP25" i="3"/>
  <c r="BO25" i="3"/>
  <c r="BQ25" i="3"/>
  <c r="BM25" i="3"/>
  <c r="AZ19" i="3"/>
  <c r="AV19" i="3" s="1"/>
  <c r="AY19" i="3" s="1"/>
  <c r="BD19" i="3"/>
  <c r="BB24" i="9"/>
  <c r="T24" i="2"/>
  <c r="V24" i="2" s="1"/>
  <c r="BO15" i="3"/>
  <c r="BN15" i="3"/>
  <c r="BQ15" i="3"/>
  <c r="BM15" i="3"/>
  <c r="BP15" i="3"/>
  <c r="BC18" i="3"/>
  <c r="BS18" i="3"/>
  <c r="BR18" i="3"/>
  <c r="BX18" i="3" s="1"/>
  <c r="CN18" i="3" s="1"/>
  <c r="BP19" i="3"/>
  <c r="BS19" i="3" s="1"/>
  <c r="K12" i="2"/>
  <c r="O12" i="2"/>
  <c r="J12" i="2" s="1"/>
  <c r="BU14" i="3"/>
  <c r="BT14" i="3"/>
  <c r="BU3" i="3"/>
  <c r="BT3" i="3"/>
  <c r="BH2" i="3"/>
  <c r="BQ2" i="3" s="1"/>
  <c r="BR2" i="3" s="1"/>
  <c r="BX2" i="3" s="1"/>
  <c r="CN2" i="3" s="1"/>
  <c r="CN29" i="3" s="1"/>
  <c r="BH19" i="3"/>
  <c r="BQ19" i="3" s="1"/>
  <c r="F9" i="5"/>
  <c r="G9" i="5" s="1"/>
  <c r="I9" i="5" s="1"/>
  <c r="K9" i="5" s="1"/>
  <c r="BA14" i="2" s="1"/>
  <c r="N9" i="5"/>
  <c r="BB4" i="9"/>
  <c r="T4" i="2"/>
  <c r="V4" i="2" s="1"/>
  <c r="AZ23" i="3"/>
  <c r="AV23" i="3" s="1"/>
  <c r="AY23" i="3" s="1"/>
  <c r="BD23" i="3"/>
  <c r="BN22" i="3"/>
  <c r="BQ22" i="3"/>
  <c r="BM22" i="3"/>
  <c r="BP22" i="3"/>
  <c r="BO22" i="3"/>
  <c r="BU24" i="3"/>
  <c r="BT24" i="3"/>
  <c r="BO23" i="3"/>
  <c r="BN12" i="3"/>
  <c r="BQ12" i="3"/>
  <c r="BM12" i="3"/>
  <c r="BP12" i="3"/>
  <c r="BO12" i="3"/>
  <c r="AZ9" i="3"/>
  <c r="AV9" i="3" s="1"/>
  <c r="AY9" i="3" s="1"/>
  <c r="BD9" i="3"/>
  <c r="BH4" i="3"/>
  <c r="BQ4" i="3" s="1"/>
  <c r="BR4" i="3" s="1"/>
  <c r="BX4" i="3" s="1"/>
  <c r="CN4" i="3" s="1"/>
  <c r="BO8" i="3"/>
  <c r="BM8" i="3"/>
  <c r="BQ8" i="3"/>
  <c r="BP8" i="3"/>
  <c r="BN8" i="3"/>
  <c r="BT6" i="3"/>
  <c r="BU6" i="3"/>
  <c r="BR19" i="3"/>
  <c r="BX19" i="3" s="1"/>
  <c r="CN19" i="3" s="1"/>
  <c r="BD11" i="3"/>
  <c r="BO4" i="3"/>
  <c r="BU16" i="3"/>
  <c r="BT16" i="3"/>
  <c r="R27" i="2"/>
  <c r="BR5" i="3"/>
  <c r="BX5" i="3" s="1"/>
  <c r="CN5" i="3" s="1"/>
  <c r="BC5" i="3"/>
  <c r="BS5" i="3"/>
  <c r="K6" i="2"/>
  <c r="O6" i="2"/>
  <c r="J6" i="2" s="1"/>
  <c r="K21" i="2"/>
  <c r="O21" i="2"/>
  <c r="J21" i="2" s="1"/>
  <c r="O5" i="2" l="1"/>
  <c r="J5" i="2" s="1"/>
  <c r="O23" i="2"/>
  <c r="J23" i="2" s="1"/>
  <c r="O25" i="2"/>
  <c r="J25" i="2" s="1"/>
  <c r="O2" i="2"/>
  <c r="J2" i="2" s="1"/>
  <c r="K2" i="2"/>
  <c r="O26" i="2"/>
  <c r="J26" i="2" s="1"/>
  <c r="K26" i="2"/>
  <c r="K24" i="2"/>
  <c r="K18" i="2"/>
  <c r="AC22" i="2"/>
  <c r="AI22" i="2" s="1"/>
  <c r="N22" i="2"/>
  <c r="Y26" i="2"/>
  <c r="AA26" i="2"/>
  <c r="Z26" i="2"/>
  <c r="AA16" i="2"/>
  <c r="AD22" i="2"/>
  <c r="Z16" i="2"/>
  <c r="X16" i="2"/>
  <c r="Y16" i="2"/>
  <c r="Y3" i="2"/>
  <c r="AA3" i="2"/>
  <c r="AF3" i="2"/>
  <c r="Z3" i="2"/>
  <c r="X3" i="2"/>
  <c r="AE3" i="2"/>
  <c r="Z8" i="2"/>
  <c r="AB8" i="2"/>
  <c r="AA8" i="2"/>
  <c r="Y8" i="2"/>
  <c r="X8" i="2"/>
  <c r="Z20" i="2"/>
  <c r="AA20" i="2"/>
  <c r="X20" i="2"/>
  <c r="Y20" i="2"/>
  <c r="AB20" i="2"/>
  <c r="X9" i="2"/>
  <c r="AA9" i="2"/>
  <c r="Z9" i="2"/>
  <c r="Y9" i="2"/>
  <c r="Z23" i="2"/>
  <c r="Y23" i="2"/>
  <c r="N23" i="2" s="1"/>
  <c r="X23" i="2"/>
  <c r="Z18" i="2"/>
  <c r="X18" i="2"/>
  <c r="AA18" i="2"/>
  <c r="AB18" i="2"/>
  <c r="Y18" i="2"/>
  <c r="AC16" i="2"/>
  <c r="Z15" i="2"/>
  <c r="Y15" i="2"/>
  <c r="X15" i="2"/>
  <c r="X7" i="2"/>
  <c r="AA7" i="2"/>
  <c r="Y7" i="2"/>
  <c r="Z7" i="2"/>
  <c r="Z5" i="2"/>
  <c r="Y5" i="2"/>
  <c r="X5" i="2"/>
  <c r="AA5" i="2"/>
  <c r="AB5" i="2"/>
  <c r="Y11" i="2"/>
  <c r="X11" i="2"/>
  <c r="AA11" i="2"/>
  <c r="Z11" i="2"/>
  <c r="AB13" i="2"/>
  <c r="X13" i="2"/>
  <c r="AA13" i="2"/>
  <c r="Y13" i="2"/>
  <c r="Z13" i="2"/>
  <c r="AB11" i="2"/>
  <c r="BS15" i="3"/>
  <c r="BR15" i="3"/>
  <c r="BX15" i="3" s="1"/>
  <c r="CN15" i="3" s="1"/>
  <c r="BC15" i="3"/>
  <c r="BU8" i="3"/>
  <c r="BT8" i="3"/>
  <c r="BU12" i="3"/>
  <c r="BT12" i="3"/>
  <c r="BU22" i="3"/>
  <c r="BT22" i="3"/>
  <c r="AZ2" i="3"/>
  <c r="AV2" i="3" s="1"/>
  <c r="AY2" i="3" s="1"/>
  <c r="AA15" i="2"/>
  <c r="BC4" i="3"/>
  <c r="BU7" i="3"/>
  <c r="BT7" i="3"/>
  <c r="BU10" i="3"/>
  <c r="BT10" i="3"/>
  <c r="BD4" i="3"/>
  <c r="BX23" i="3"/>
  <c r="CN23" i="3" s="1"/>
  <c r="BS26" i="3"/>
  <c r="BC26" i="3"/>
  <c r="BR26" i="3"/>
  <c r="BX26" i="3" s="1"/>
  <c r="CN26" i="3" s="1"/>
  <c r="AA6" i="2"/>
  <c r="Z6" i="2"/>
  <c r="Y6" i="2"/>
  <c r="AB6" i="2"/>
  <c r="X6" i="2"/>
  <c r="AE10" i="2"/>
  <c r="AA10" i="2"/>
  <c r="Z10" i="2"/>
  <c r="Y10" i="2"/>
  <c r="AF10" i="2"/>
  <c r="AB10" i="2"/>
  <c r="X10" i="2"/>
  <c r="AA12" i="2"/>
  <c r="Z12" i="2"/>
  <c r="Y12" i="2"/>
  <c r="AB12" i="2"/>
  <c r="X12" i="2"/>
  <c r="BT28" i="3"/>
  <c r="BU28" i="3"/>
  <c r="BC2" i="3"/>
  <c r="BC22" i="2"/>
  <c r="BC13" i="3"/>
  <c r="BS13" i="3"/>
  <c r="BR13" i="3"/>
  <c r="BX13" i="3" s="1"/>
  <c r="CN13" i="3" s="1"/>
  <c r="BR27" i="3"/>
  <c r="BX27" i="3" s="1"/>
  <c r="CN27" i="3" s="1"/>
  <c r="BS27" i="3"/>
  <c r="BC27" i="3"/>
  <c r="AA27" i="2"/>
  <c r="Y27" i="2"/>
  <c r="X27" i="2"/>
  <c r="Z27" i="2"/>
  <c r="BT26" i="3"/>
  <c r="BU26" i="3"/>
  <c r="BT13" i="3"/>
  <c r="BU13" i="3"/>
  <c r="BC19" i="3"/>
  <c r="BU15" i="3"/>
  <c r="BT15" i="3"/>
  <c r="AA24" i="2"/>
  <c r="Y24" i="2"/>
  <c r="X24" i="2"/>
  <c r="AB24" i="2"/>
  <c r="Z24" i="2"/>
  <c r="BU25" i="3"/>
  <c r="BT25" i="3"/>
  <c r="BR25" i="3"/>
  <c r="BX25" i="3" s="1"/>
  <c r="CN25" i="3" s="1"/>
  <c r="BC25" i="3"/>
  <c r="BS25" i="3"/>
  <c r="BS7" i="3"/>
  <c r="BR7" i="3"/>
  <c r="BX7" i="3" s="1"/>
  <c r="CN7" i="3" s="1"/>
  <c r="BC7" i="3"/>
  <c r="X14" i="2"/>
  <c r="AA14" i="2"/>
  <c r="Z14" i="2"/>
  <c r="Y14" i="2"/>
  <c r="Z2" i="2"/>
  <c r="Y2" i="2"/>
  <c r="AB2" i="2"/>
  <c r="X2" i="2"/>
  <c r="AA2" i="2"/>
  <c r="BR6" i="3"/>
  <c r="BX6" i="3" s="1"/>
  <c r="CN6" i="3" s="1"/>
  <c r="BR11" i="3"/>
  <c r="BX11" i="3" s="1"/>
  <c r="CN11" i="3" s="1"/>
  <c r="S14" i="2"/>
  <c r="AB14" i="2" s="1"/>
  <c r="K23" i="2"/>
  <c r="AA25" i="2"/>
  <c r="X25" i="2"/>
  <c r="AB25" i="2"/>
  <c r="Z25" i="2"/>
  <c r="Y25" i="2"/>
  <c r="BS17" i="3"/>
  <c r="BR17" i="3"/>
  <c r="BX17" i="3" s="1"/>
  <c r="CN17" i="3" s="1"/>
  <c r="BC17" i="3"/>
  <c r="BD14" i="3"/>
  <c r="BQ14" i="3"/>
  <c r="S27" i="2"/>
  <c r="AB27" i="2" s="1"/>
  <c r="BS8" i="3"/>
  <c r="BR8" i="3"/>
  <c r="BX8" i="3" s="1"/>
  <c r="CN8" i="3" s="1"/>
  <c r="BC8" i="3"/>
  <c r="AZ14" i="3"/>
  <c r="AV14" i="3" s="1"/>
  <c r="AY14" i="3" s="1"/>
  <c r="BD2" i="3"/>
  <c r="BR12" i="3"/>
  <c r="BX12" i="3" s="1"/>
  <c r="CN12" i="3" s="1"/>
  <c r="BC12" i="3"/>
  <c r="BS12" i="3"/>
  <c r="BR22" i="3"/>
  <c r="BX22" i="3" s="1"/>
  <c r="CN22" i="3" s="1"/>
  <c r="BS22" i="3"/>
  <c r="BC22" i="3"/>
  <c r="Z4" i="2"/>
  <c r="Y4" i="2"/>
  <c r="AB4" i="2"/>
  <c r="X4" i="2"/>
  <c r="AA4" i="2"/>
  <c r="Y17" i="2"/>
  <c r="AB17" i="2"/>
  <c r="X17" i="2"/>
  <c r="AA17" i="2"/>
  <c r="Z17" i="2"/>
  <c r="BR10" i="3"/>
  <c r="BX10" i="3" s="1"/>
  <c r="CN10" i="3" s="1"/>
  <c r="BS10" i="3"/>
  <c r="BC10" i="3"/>
  <c r="BU17" i="3"/>
  <c r="BT17" i="3"/>
  <c r="Y19" i="2"/>
  <c r="AB19" i="2"/>
  <c r="X19" i="2"/>
  <c r="AA19" i="2"/>
  <c r="Z19" i="2"/>
  <c r="BR28" i="3"/>
  <c r="BX28" i="3" s="1"/>
  <c r="CN28" i="3" s="1"/>
  <c r="BS28" i="3"/>
  <c r="BC28" i="3"/>
  <c r="AZ11" i="3"/>
  <c r="AV11" i="3" s="1"/>
  <c r="AY11" i="3" s="1"/>
  <c r="AE21" i="2"/>
  <c r="AA21" i="2"/>
  <c r="Z21" i="2"/>
  <c r="Y21" i="2"/>
  <c r="AF21" i="2"/>
  <c r="AB21" i="2"/>
  <c r="X21" i="2"/>
  <c r="BT27" i="3"/>
  <c r="BU27" i="3"/>
  <c r="BX9" i="3"/>
  <c r="CN9" i="3" s="1"/>
  <c r="S15" i="2"/>
  <c r="AB15" i="2" s="1"/>
  <c r="O27" i="2" l="1"/>
  <c r="J27" i="2" s="1"/>
  <c r="AD7" i="2"/>
  <c r="AD26" i="2"/>
  <c r="AC26" i="2"/>
  <c r="AI26" i="2" s="1"/>
  <c r="BC26" i="2" s="1"/>
  <c r="N26" i="2"/>
  <c r="AD16" i="2"/>
  <c r="N7" i="2"/>
  <c r="AI16" i="2"/>
  <c r="BC16" i="2" s="1"/>
  <c r="AC9" i="2"/>
  <c r="AI9" i="2" s="1"/>
  <c r="BC9" i="2" s="1"/>
  <c r="N11" i="2"/>
  <c r="AD11" i="2"/>
  <c r="AC11" i="2"/>
  <c r="AI11" i="2" s="1"/>
  <c r="BC11" i="2" s="1"/>
  <c r="AD5" i="2"/>
  <c r="N5" i="2"/>
  <c r="AC5" i="2"/>
  <c r="AI5" i="2" s="1"/>
  <c r="BC5" i="2" s="1"/>
  <c r="AC20" i="2"/>
  <c r="AI20" i="2" s="1"/>
  <c r="BC20" i="2" s="1"/>
  <c r="AD20" i="2"/>
  <c r="N20" i="2"/>
  <c r="N16" i="2"/>
  <c r="N13" i="2"/>
  <c r="AD13" i="2"/>
  <c r="AC13" i="2"/>
  <c r="AI13" i="2" s="1"/>
  <c r="BC13" i="2" s="1"/>
  <c r="AC7" i="2"/>
  <c r="AI7" i="2" s="1"/>
  <c r="BC7" i="2" s="1"/>
  <c r="N9" i="2"/>
  <c r="AC18" i="2"/>
  <c r="AI18" i="2" s="1"/>
  <c r="BC18" i="2" s="1"/>
  <c r="N18" i="2"/>
  <c r="AD18" i="2"/>
  <c r="N8" i="2"/>
  <c r="AD8" i="2"/>
  <c r="AC8" i="2"/>
  <c r="AI8" i="2" s="1"/>
  <c r="BC8" i="2" s="1"/>
  <c r="AD9" i="2"/>
  <c r="AC23" i="2"/>
  <c r="AI23" i="2" s="1"/>
  <c r="BC23" i="2" s="1"/>
  <c r="AD23" i="2"/>
  <c r="N3" i="2"/>
  <c r="AD3" i="2"/>
  <c r="AC3" i="2"/>
  <c r="AI3" i="2" s="1"/>
  <c r="BC3" i="2" s="1"/>
  <c r="AC17" i="2"/>
  <c r="AI17" i="2" s="1"/>
  <c r="BC17" i="2" s="1"/>
  <c r="N17" i="2"/>
  <c r="AD17" i="2"/>
  <c r="AD2" i="2"/>
  <c r="AC2" i="2"/>
  <c r="AI2" i="2" s="1"/>
  <c r="BC2" i="2" s="1"/>
  <c r="N2" i="2"/>
  <c r="N27" i="2"/>
  <c r="AD27" i="2"/>
  <c r="AC27" i="2"/>
  <c r="AI27" i="2" s="1"/>
  <c r="BC27" i="2" s="1"/>
  <c r="O14" i="2"/>
  <c r="J14" i="2" s="1"/>
  <c r="N6" i="2"/>
  <c r="AD6" i="2"/>
  <c r="AC6" i="2"/>
  <c r="AI6" i="2" s="1"/>
  <c r="BC6" i="2" s="1"/>
  <c r="O15" i="2"/>
  <c r="J15" i="2" s="1"/>
  <c r="K27" i="2"/>
  <c r="AC19" i="2"/>
  <c r="AI19" i="2" s="1"/>
  <c r="BC19" i="2" s="1"/>
  <c r="N19" i="2"/>
  <c r="AD19" i="2"/>
  <c r="N12" i="2"/>
  <c r="AD12" i="2"/>
  <c r="AC12" i="2"/>
  <c r="AI12" i="2" s="1"/>
  <c r="BC12" i="2" s="1"/>
  <c r="N21" i="2"/>
  <c r="AD21" i="2"/>
  <c r="AC21" i="2"/>
  <c r="AI21" i="2" s="1"/>
  <c r="BC21" i="2" s="1"/>
  <c r="AD4" i="2"/>
  <c r="AC4" i="2"/>
  <c r="AI4" i="2" s="1"/>
  <c r="BC4" i="2" s="1"/>
  <c r="N4" i="2"/>
  <c r="K14" i="2"/>
  <c r="N15" i="2"/>
  <c r="AC15" i="2"/>
  <c r="AI15" i="2" s="1"/>
  <c r="BC15" i="2" s="1"/>
  <c r="AD15" i="2"/>
  <c r="BS14" i="3"/>
  <c r="BR14" i="3"/>
  <c r="BX14" i="3" s="1"/>
  <c r="CN14" i="3" s="1"/>
  <c r="BC14" i="3"/>
  <c r="N25" i="2"/>
  <c r="AC25" i="2"/>
  <c r="AI25" i="2" s="1"/>
  <c r="BC25" i="2" s="1"/>
  <c r="AD25" i="2"/>
  <c r="N14" i="2"/>
  <c r="AD14" i="2"/>
  <c r="AC14" i="2"/>
  <c r="AI14" i="2" s="1"/>
  <c r="BC14" i="2" s="1"/>
  <c r="AD24" i="2"/>
  <c r="AC24" i="2"/>
  <c r="AI24" i="2" s="1"/>
  <c r="BC24" i="2" s="1"/>
  <c r="N24" i="2"/>
  <c r="N10" i="2"/>
  <c r="AD10" i="2"/>
  <c r="AC10" i="2"/>
  <c r="AI10" i="2" s="1"/>
  <c r="BC10" i="2" s="1"/>
  <c r="K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4" authorId="0" shapeId="0" xr:uid="{00000000-0006-0000-0100-000001000000}">
      <text>
        <r>
          <rPr>
            <sz val="10"/>
            <rFont val="Arial"/>
          </rPr>
          <t xml:space="preserve">10000 is balance
</t>
        </r>
      </text>
    </comment>
    <comment ref="AP8" authorId="0" shapeId="0" xr:uid="{00000000-0006-0000-0100-000002000000}">
      <text>
        <r>
          <rPr>
            <sz val="10"/>
            <rFont val="Arial"/>
          </rPr>
          <t xml:space="preserve">Referral Bonus
</t>
        </r>
      </text>
    </comment>
    <comment ref="AO17" authorId="0" shapeId="0" xr:uid="{00000000-0006-0000-0100-000003000000}">
      <text>
        <r>
          <rPr>
            <sz val="10"/>
            <rFont val="Arial"/>
          </rPr>
          <t xml:space="preserve">Half day of 14th sep was not adjusted in the  September Payroll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C7" authorId="0" shapeId="0" xr:uid="{00000000-0006-0000-0200-000001000000}">
      <text>
        <r>
          <rPr>
            <sz val="10"/>
            <rFont val="Arial"/>
          </rPr>
          <t xml:space="preserve">======
ID#AAAAWbEW78c
Deeksha Kumari    (2022-03-03 09:42:02)
Feb Attendance bonus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" authorId="0" shapeId="0" xr:uid="{00000000-0006-0000-0800-000001000000}">
      <text>
        <r>
          <rPr>
            <sz val="10"/>
            <rFont val="Arial"/>
          </rPr>
          <t xml:space="preserve">Add Her Salary Half Day/Leave Adjust in the month of August 22
</t>
        </r>
      </text>
    </comment>
  </commentList>
</comments>
</file>

<file path=xl/sharedStrings.xml><?xml version="1.0" encoding="utf-8"?>
<sst xmlns="http://schemas.openxmlformats.org/spreadsheetml/2006/main" count="2527" uniqueCount="2518">
  <si>
    <t>EMP ID</t>
  </si>
  <si>
    <t>Employee Name</t>
  </si>
  <si>
    <t>DOJ</t>
  </si>
  <si>
    <t>LOB</t>
  </si>
  <si>
    <t>Line Manager</t>
  </si>
  <si>
    <t>Ageing</t>
  </si>
  <si>
    <t>Status/LWD</t>
  </si>
  <si>
    <t>Leaves Adjusted</t>
  </si>
  <si>
    <t>GROSS SALARY</t>
  </si>
  <si>
    <t>In hand Salary</t>
  </si>
  <si>
    <t>Overall Employer PF share</t>
  </si>
  <si>
    <t>Actual Employer ESI Share</t>
  </si>
  <si>
    <t>Actual Employee ESI Share</t>
  </si>
  <si>
    <t>OCTOBER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</si>
  <si>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</si>
  <si>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</si>
  <si>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</si>
  <si>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</si>
  <si>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</si>
  <si>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</si>
  <si>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</si>
  <si>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</si>
  <si>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</si>
  <si>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</si>
  <si>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October  BASIC</t>
  </si>
  <si>
    <t>October HRA</t>
  </si>
  <si>
    <t>October  SA</t>
  </si>
  <si>
    <t>October OA</t>
  </si>
  <si>
    <t>OCTOBER EMPLOYEE PF CONTRIBUTION</t>
  </si>
  <si>
    <t>Employers PF  Share &amp; payable</t>
  </si>
  <si>
    <t>OCTOBER EMPLOYEE ESIC CONTRIBUTION</t>
  </si>
  <si>
    <t>OCTOBER Employers ESIC Share &amp; payable</t>
  </si>
  <si>
    <t>Daily Pay</t>
  </si>
  <si>
    <t>Leave balance at beginning of OCTOBER</t>
  </si>
  <si>
    <t>FIXED OCTOBER  PAY</t>
  </si>
  <si>
    <t>TDS Deduction</t>
  </si>
  <si>
    <t>Penalties/Advance Adjustment</t>
  </si>
  <si>
    <t>Sandwich leaves deduction</t>
  </si>
  <si>
    <t>Transport</t>
  </si>
  <si>
    <t>Other Incentives/Dues</t>
  </si>
  <si>
    <t xml:space="preserve">Arrears </t>
  </si>
  <si>
    <t>Incentive (Referral Bonus)</t>
  </si>
  <si>
    <t>Qualified Appointments Achieved in  September</t>
  </si>
  <si>
    <t>Qualified % Ach in September 2022</t>
  </si>
  <si>
    <t>Incentive qualified</t>
  </si>
  <si>
    <t>Special Allowances</t>
  </si>
  <si>
    <t>OTP Install</t>
  </si>
  <si>
    <t>Incentive</t>
  </si>
  <si>
    <t>Rate</t>
  </si>
  <si>
    <t>KW Installed</t>
  </si>
  <si>
    <t>Incentive Install</t>
  </si>
  <si>
    <t>RATE KW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</si>
  <si>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</si>
  <si>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</si>
  <si>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</si>
  <si>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</si>
  <si>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</si>
  <si>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</si>
  <si>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Incentive</t>
  </si>
  <si>
    <t>FNF Date</t>
  </si>
  <si>
    <t>GSYNC015</t>
  </si>
  <si>
    <t>Sonu K Babu</t>
  </si>
  <si>
    <t>GEE Solar</t>
  </si>
  <si>
    <t xml:space="preserve">Sandeep Pandey </t>
  </si>
  <si>
    <t>Active</t>
  </si>
  <si>
    <t>GSYNC025</t>
  </si>
  <si>
    <t>Dharmendra kumar</t>
  </si>
  <si>
    <t>Globalsync</t>
  </si>
  <si>
    <t>Shivani</t>
  </si>
  <si>
    <t>Active</t>
  </si>
  <si>
    <t>GSYNC058</t>
  </si>
  <si>
    <t>Sonia Titus</t>
  </si>
  <si>
    <t>GEE Solar</t>
  </si>
  <si>
    <t xml:space="preserve">Sandeep Pandey </t>
  </si>
  <si>
    <t>Active</t>
  </si>
  <si>
    <t>GSYNC077</t>
  </si>
  <si>
    <t>Chetan Sharma</t>
  </si>
  <si>
    <t>Projects</t>
  </si>
  <si>
    <t>Hemant Singh</t>
  </si>
  <si>
    <t>Active</t>
  </si>
  <si>
    <t>GSYNC081</t>
  </si>
  <si>
    <t>Rhytham Rathore</t>
  </si>
  <si>
    <t>Marketing</t>
  </si>
  <si>
    <t>Atul Kumar Pandey</t>
  </si>
  <si>
    <t>Active</t>
  </si>
  <si>
    <t>GSYNC098</t>
  </si>
  <si>
    <t>Saurav Yadav</t>
  </si>
  <si>
    <t>GEE Solar</t>
  </si>
  <si>
    <t xml:space="preserve">Sandeep Pandey </t>
  </si>
  <si>
    <t>Active</t>
  </si>
  <si>
    <t>GSYNC105</t>
  </si>
  <si>
    <t>Atul Kumar Pandey</t>
  </si>
  <si>
    <t>Marketing</t>
  </si>
  <si>
    <t>Hemant Singh</t>
  </si>
  <si>
    <t>Active</t>
  </si>
  <si>
    <t>GSYNC111</t>
  </si>
  <si>
    <t>Sandeep Pandey</t>
  </si>
  <si>
    <t>GEE Solar</t>
  </si>
  <si>
    <t>Hemant Singh</t>
  </si>
  <si>
    <t>Active</t>
  </si>
  <si>
    <t>GSYNC116</t>
  </si>
  <si>
    <t>Rajat Mishra</t>
  </si>
  <si>
    <t>GEE Solar</t>
  </si>
  <si>
    <t xml:space="preserve">Sandeep Pandey </t>
  </si>
  <si>
    <t>Active</t>
  </si>
  <si>
    <t>GSYNC121</t>
  </si>
  <si>
    <t>Suryakant Mishra</t>
  </si>
  <si>
    <t>GEE Solar</t>
  </si>
  <si>
    <t xml:space="preserve">Sandeep Pandey </t>
  </si>
  <si>
    <t>Active</t>
  </si>
  <si>
    <t>GSYNC129</t>
  </si>
  <si>
    <t>Yash Aggarwal</t>
  </si>
  <si>
    <t>GEE Solar</t>
  </si>
  <si>
    <t xml:space="preserve">Sandeep Pandey </t>
  </si>
  <si>
    <t>Active</t>
  </si>
  <si>
    <t>GSYNC136</t>
  </si>
  <si>
    <t>Rishab Mehra</t>
  </si>
  <si>
    <t>GEE Solar</t>
  </si>
  <si>
    <t xml:space="preserve">Sandeep Pandey </t>
  </si>
  <si>
    <t>Active</t>
  </si>
  <si>
    <t>GSYNC137</t>
  </si>
  <si>
    <t>Kuldeep Choudhary</t>
  </si>
  <si>
    <t>GEE Solar</t>
  </si>
  <si>
    <t xml:space="preserve">Sandeep Pandey </t>
  </si>
  <si>
    <t>Active</t>
  </si>
  <si>
    <t>GSYNC138</t>
  </si>
  <si>
    <t>Prerna Talwar</t>
  </si>
  <si>
    <t>L&amp;D</t>
  </si>
  <si>
    <t>Hemant Singh</t>
  </si>
  <si>
    <t>Active</t>
  </si>
  <si>
    <t>GSYNC140</t>
  </si>
  <si>
    <t>Shivam Kumar Pandey</t>
  </si>
  <si>
    <t>Finance</t>
  </si>
  <si>
    <t>Hemant Singh</t>
  </si>
  <si>
    <t>Active</t>
  </si>
  <si>
    <t>GSYNC144</t>
  </si>
  <si>
    <t>Rohini Gangwar</t>
  </si>
  <si>
    <t>Globalsync</t>
  </si>
  <si>
    <t>Hemant Singh</t>
  </si>
  <si>
    <t>Active</t>
  </si>
  <si>
    <t>GSYNC146</t>
  </si>
  <si>
    <t>Somesh Mamglain</t>
  </si>
  <si>
    <t>GEE Solar</t>
  </si>
  <si>
    <t xml:space="preserve">Sandeep Pandey </t>
  </si>
  <si>
    <t>Active</t>
  </si>
  <si>
    <t>GSYNC149</t>
  </si>
  <si>
    <t>Bharat Nebhnani</t>
  </si>
  <si>
    <t>Globalsync</t>
  </si>
  <si>
    <t>Hemant Singh</t>
  </si>
  <si>
    <t>Active</t>
  </si>
  <si>
    <t>GSYNC152</t>
  </si>
  <si>
    <t>Chandan Kumar</t>
  </si>
  <si>
    <t>Globalsync</t>
  </si>
  <si>
    <t>Hemant Singh</t>
  </si>
  <si>
    <t>Active</t>
  </si>
  <si>
    <t>GSYNC157</t>
  </si>
  <si>
    <t>Rajat Kumar</t>
  </si>
  <si>
    <t>Globalsync</t>
  </si>
  <si>
    <t>Atul Kumar Pandey</t>
  </si>
  <si>
    <t>Active</t>
  </si>
  <si>
    <t>GSYNC161</t>
  </si>
  <si>
    <t>Tshering Doma Lepcha</t>
  </si>
  <si>
    <t>GEE Solar</t>
  </si>
  <si>
    <t xml:space="preserve">Sandeep Pandey </t>
  </si>
  <si>
    <t>Active</t>
  </si>
  <si>
    <t>GSYNC166</t>
  </si>
  <si>
    <t>Tushar Aggarwal</t>
  </si>
  <si>
    <t>GEE Solar</t>
  </si>
  <si>
    <t xml:space="preserve">Sandeep Pandey </t>
  </si>
  <si>
    <t>Active</t>
  </si>
  <si>
    <t>GSYNC167</t>
  </si>
  <si>
    <t>Subhasmita Malla</t>
  </si>
  <si>
    <t>GEE Energy IT</t>
  </si>
  <si>
    <t>Hemant Singh</t>
  </si>
  <si>
    <t>Active</t>
  </si>
  <si>
    <t>GSYNC168</t>
  </si>
  <si>
    <t>Bhawna Kukreja</t>
  </si>
  <si>
    <t>GlobalSync</t>
  </si>
  <si>
    <t>Hemant Singh</t>
  </si>
  <si>
    <t>Active</t>
  </si>
  <si>
    <t>GSYNC169</t>
  </si>
  <si>
    <t>Deepak Kumar</t>
  </si>
  <si>
    <t>GlobalSync</t>
  </si>
  <si>
    <t>Hemant Singh</t>
  </si>
  <si>
    <t>Active</t>
  </si>
  <si>
    <t>GSYNC171</t>
  </si>
  <si>
    <t>Bhavdeep Bhardwaj</t>
  </si>
  <si>
    <t>GEE Energy IT</t>
  </si>
  <si>
    <t>Hemant Singh</t>
  </si>
  <si>
    <t>Active</t>
  </si>
  <si>
    <t>Employee Name</t>
  </si>
  <si>
    <t>DOJ</t>
  </si>
  <si>
    <t>LOB</t>
  </si>
  <si>
    <t>Line Manager</t>
  </si>
  <si>
    <t>Ageing</t>
  </si>
  <si>
    <t>Status/LWD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</si>
  <si>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</si>
  <si>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</si>
  <si>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</si>
  <si>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</si>
  <si>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</si>
  <si>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</si>
  <si>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</si>
  <si>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</si>
  <si>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Difference of PF</t>
  </si>
  <si>
    <t>Difference of PF</t>
  </si>
  <si>
    <t>Monthly Revised Salary</t>
  </si>
  <si>
    <t>Monthly Old Salary</t>
  </si>
  <si>
    <t>Proposed New Salary</t>
  </si>
  <si>
    <t>Overall Employer PF share</t>
  </si>
  <si>
    <t>Actual Employer ESI Share</t>
  </si>
  <si>
    <t>Actual Employee ESI Share</t>
  </si>
  <si>
    <t>May EMPLOYER CONTRI</t>
  </si>
  <si>
    <t>Overall Employee PF</t>
  </si>
  <si>
    <t>Basic</t>
  </si>
  <si>
    <t>HRA</t>
  </si>
  <si>
    <t>Special Allowance</t>
  </si>
  <si>
    <t>Other Allowance</t>
  </si>
  <si>
    <t>Net Payable Days</t>
  </si>
  <si>
    <t>Total Days</t>
  </si>
  <si>
    <t>Payable days Ratio</t>
  </si>
  <si>
    <t>Daily Basic Pay</t>
  </si>
  <si>
    <t>Attendance based Salary</t>
  </si>
  <si>
    <t>May BASIC</t>
  </si>
  <si>
    <t>May HRA</t>
  </si>
  <si>
    <t>May SA</t>
  </si>
  <si>
    <t>May OA</t>
  </si>
  <si>
    <t>May EMPLOYEE PF CONTRIBUTION</t>
  </si>
  <si>
    <t>Employers PF  Share &amp; payable</t>
  </si>
  <si>
    <t>May EMPLOYEE ESIC CONTRIBUTION</t>
  </si>
  <si>
    <t>May Employers ESIC Share &amp; payable</t>
  </si>
  <si>
    <t>Daily Pay</t>
  </si>
  <si>
    <t>Leave balance at beginning of May</t>
  </si>
  <si>
    <t>FIXED May PAY</t>
  </si>
  <si>
    <t>TDS Deduction</t>
  </si>
  <si>
    <t>Penalties/Advance Adjustment/TDS</t>
  </si>
  <si>
    <t>Sandwich leaves deduction</t>
  </si>
  <si>
    <t>Transport</t>
  </si>
  <si>
    <t>Other Incentives/Dues</t>
  </si>
  <si>
    <t xml:space="preserve">Arrears </t>
  </si>
  <si>
    <t>Incentive (Referral Bonus)</t>
  </si>
  <si>
    <t>Qualified Appointments % Achieved in  April</t>
  </si>
  <si>
    <t>Qualified % Ach in April 2022</t>
  </si>
  <si>
    <t>Incentive qualified</t>
  </si>
  <si>
    <t>Special Allowances</t>
  </si>
  <si>
    <t>KW Installed</t>
  </si>
  <si>
    <t>Incentive Install</t>
  </si>
  <si>
    <t>Stack incentive</t>
  </si>
  <si>
    <t>Adjustment</t>
  </si>
  <si>
    <t>Net Salary</t>
  </si>
  <si>
    <t>Status</t>
  </si>
  <si>
    <t>Incentive amount</t>
  </si>
  <si>
    <t xml:space="preserve">Clawback </t>
  </si>
  <si>
    <t>GSYNC015</t>
  </si>
  <si>
    <t>Sonu K Babu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</si>
  <si>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</si>
  <si>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</si>
  <si>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</si>
  <si>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</si>
  <si>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</si>
  <si>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</si>
  <si>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</si>
  <si>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</si>
  <si>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</si>
  <si>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</si>
  <si>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</si>
  <si>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</si>
  <si>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</si>
  <si>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</si>
  <si>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</si>
  <si>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</si>
  <si>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</si>
  <si>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</si>
  <si>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</si>
  <si>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</si>
  <si>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</si>
  <si>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</si>
  <si>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</si>
  <si>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</si>
  <si>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</si>
  <si>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</si>
  <si>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</si>
  <si>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</si>
  <si>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</si>
  <si>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</si>
  <si>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</si>
  <si>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</si>
  <si>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</si>
  <si>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AB</t>
  </si>
  <si>
    <t>GSYNC025</t>
  </si>
  <si>
    <t>Dharmendra kumar</t>
  </si>
  <si>
    <t>Globalsync</t>
  </si>
  <si>
    <t>Shilpa Tyagi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</si>
  <si>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</si>
  <si>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</si>
  <si>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</si>
  <si>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</si>
  <si>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</si>
  <si>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</si>
  <si>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</si>
  <si>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</si>
  <si>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</si>
  <si>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</si>
  <si>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</si>
  <si>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</si>
  <si>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</si>
  <si>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</si>
  <si>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</si>
  <si>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</si>
  <si>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</si>
  <si>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</si>
  <si>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AB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</si>
  <si>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</si>
  <si>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</si>
  <si>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</si>
  <si>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</si>
  <si>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</si>
  <si>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</si>
  <si>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</si>
  <si>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</si>
  <si>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</si>
  <si>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</si>
  <si>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</si>
  <si>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</si>
  <si>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</si>
  <si>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GSYNC049</t>
  </si>
  <si>
    <t>Deeksha Kumari</t>
  </si>
  <si>
    <t>Globalsync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</si>
  <si>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</si>
  <si>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</si>
  <si>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</si>
  <si>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</si>
  <si>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</si>
  <si>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</si>
  <si>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</si>
  <si>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</si>
  <si>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</si>
  <si>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</si>
  <si>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</si>
  <si>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</si>
  <si>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</si>
  <si>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WFH</t>
  </si>
  <si>
    <t>HD-WFH</t>
  </si>
  <si>
    <t>WFH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</si>
  <si>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</si>
  <si>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</si>
  <si>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</si>
  <si>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</si>
  <si>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</si>
  <si>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</si>
  <si>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</si>
  <si>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</si>
  <si>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</si>
  <si>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</si>
  <si>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</si>
  <si>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</si>
  <si>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</si>
  <si>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</si>
  <si>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</si>
  <si>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</si>
  <si>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</si>
  <si>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GSYNC058</t>
  </si>
  <si>
    <t>Sonia Titus</t>
  </si>
  <si>
    <t>GEE Solar</t>
  </si>
  <si>
    <t>Sandeep Pandey</t>
  </si>
  <si>
    <t>Active</t>
  </si>
  <si>
    <t>W/O</t>
  </si>
  <si>
    <t>P</t>
  </si>
  <si>
    <t>P</t>
  </si>
  <si>
    <t>P</t>
  </si>
  <si>
    <t>P</t>
  </si>
  <si>
    <t>AB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</si>
  <si>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</si>
  <si>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</si>
  <si>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</si>
  <si>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</si>
  <si>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</si>
  <si>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</si>
  <si>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</si>
  <si>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</si>
  <si>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</si>
  <si>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</si>
  <si>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</si>
  <si>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</si>
  <si>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</si>
  <si>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LATE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</si>
  <si>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</si>
  <si>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</si>
  <si>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</si>
  <si>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</si>
  <si>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</si>
  <si>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</si>
  <si>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</si>
  <si>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</si>
  <si>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</si>
  <si>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</si>
  <si>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</si>
  <si>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GSYNC061</t>
  </si>
  <si>
    <t>Rajat Bansal</t>
  </si>
  <si>
    <t>GEE Solar</t>
  </si>
  <si>
    <t>Sandeep Pandey</t>
  </si>
  <si>
    <t>Active</t>
  </si>
  <si>
    <t>W/O</t>
  </si>
  <si>
    <t>WFH</t>
  </si>
  <si>
    <t>AB</t>
  </si>
  <si>
    <t>WFH</t>
  </si>
  <si>
    <t>WFH</t>
  </si>
  <si>
    <t>WFH</t>
  </si>
  <si>
    <t>W/O</t>
  </si>
  <si>
    <t>W/O</t>
  </si>
  <si>
    <t>WFH</t>
  </si>
  <si>
    <t>WFH</t>
  </si>
  <si>
    <t>LATE-WFH</t>
  </si>
  <si>
    <t>HD-WFH</t>
  </si>
  <si>
    <t>UPL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</si>
  <si>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</si>
  <si>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</si>
  <si>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</si>
  <si>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</si>
  <si>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</si>
  <si>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</si>
  <si>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</si>
  <si>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</si>
  <si>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</si>
  <si>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</si>
  <si>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</si>
  <si>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</si>
  <si>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</si>
  <si>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</si>
  <si>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</si>
  <si>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NA</t>
  </si>
  <si>
    <t>NA</t>
  </si>
  <si>
    <t>NA</t>
  </si>
  <si>
    <t>FNF - Hold</t>
  </si>
  <si>
    <t>GSYNC077</t>
  </si>
  <si>
    <t>Chetan Sharma</t>
  </si>
  <si>
    <t>Projects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</si>
  <si>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</si>
  <si>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</si>
  <si>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</si>
  <si>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</si>
  <si>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</si>
  <si>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</si>
  <si>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</si>
  <si>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</si>
  <si>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</si>
  <si>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</si>
  <si>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</si>
  <si>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</si>
  <si>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</si>
  <si>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</si>
  <si>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</si>
  <si>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</si>
  <si>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</si>
  <si>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</si>
  <si>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</si>
  <si>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</si>
  <si>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</si>
  <si>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</si>
  <si>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</si>
  <si>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</si>
  <si>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</si>
  <si>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</si>
  <si>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</si>
  <si>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</si>
  <si>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LATE</t>
  </si>
  <si>
    <t>LATE</t>
  </si>
  <si>
    <t>W/O</t>
  </si>
  <si>
    <t>AB</t>
  </si>
  <si>
    <t>P</t>
  </si>
  <si>
    <t>GSYNC081</t>
  </si>
  <si>
    <t>Rhytham Rathore</t>
  </si>
  <si>
    <t>Marketing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</si>
  <si>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</si>
  <si>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</si>
  <si>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</si>
  <si>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</si>
  <si>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</si>
  <si>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</si>
  <si>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</si>
  <si>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</si>
  <si>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</si>
  <si>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</si>
  <si>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</si>
  <si>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</si>
  <si>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</si>
  <si>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</si>
  <si>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</si>
  <si>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</si>
  <si>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</si>
  <si>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</si>
  <si>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</si>
  <si>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</si>
  <si>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</si>
  <si>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</si>
  <si>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</si>
  <si>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</si>
  <si>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</si>
  <si>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</si>
  <si>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</si>
  <si>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</si>
  <si>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LATE</t>
  </si>
  <si>
    <t>LATE</t>
  </si>
  <si>
    <t>W/O</t>
  </si>
  <si>
    <t>P</t>
  </si>
  <si>
    <t>P</t>
  </si>
  <si>
    <t>GSYNC098</t>
  </si>
  <si>
    <t>Saurav Yadav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</si>
  <si>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</si>
  <si>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</si>
  <si>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</si>
  <si>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</si>
  <si>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</si>
  <si>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</si>
  <si>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</si>
  <si>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</si>
  <si>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</si>
  <si>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</si>
  <si>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</si>
  <si>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</si>
  <si>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</si>
  <si>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</si>
  <si>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</si>
  <si>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</si>
  <si>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</si>
  <si>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</si>
  <si>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</si>
  <si>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</si>
  <si>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</si>
  <si>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</si>
  <si>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</si>
  <si>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</si>
  <si>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</si>
  <si>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</si>
  <si>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</si>
  <si>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</si>
  <si>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</si>
  <si>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</si>
  <si>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</si>
  <si>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</si>
  <si>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</si>
  <si>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</si>
  <si>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GSYNC100</t>
  </si>
  <si>
    <t>Rashi Saxena</t>
  </si>
  <si>
    <t>GEE Solar</t>
  </si>
  <si>
    <t>Sandeep Pandey</t>
  </si>
  <si>
    <t>Active</t>
  </si>
  <si>
    <t>W/O</t>
  </si>
  <si>
    <t>P</t>
  </si>
  <si>
    <t>P</t>
  </si>
  <si>
    <t>WFH</t>
  </si>
  <si>
    <t>AB</t>
  </si>
  <si>
    <t>AB</t>
  </si>
  <si>
    <t>W/O</t>
  </si>
  <si>
    <t>W/O</t>
  </si>
  <si>
    <t>AB</t>
  </si>
  <si>
    <t>P</t>
  </si>
  <si>
    <t>P</t>
  </si>
  <si>
    <t>P</t>
  </si>
  <si>
    <t>P</t>
  </si>
  <si>
    <t>P</t>
  </si>
  <si>
    <t>W/O</t>
  </si>
  <si>
    <t>AB</t>
  </si>
  <si>
    <t>HD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</si>
  <si>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</si>
  <si>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</si>
  <si>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</si>
  <si>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</si>
  <si>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</si>
  <si>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</si>
  <si>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</si>
  <si>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</si>
  <si>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</si>
  <si>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</si>
  <si>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</si>
  <si>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</si>
  <si>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</si>
  <si>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</si>
  <si>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GSYNC105</t>
  </si>
  <si>
    <t>Atul Kumar Pandey</t>
  </si>
  <si>
    <t>Marketing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</si>
  <si>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</si>
  <si>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</si>
  <si>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</si>
  <si>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</si>
  <si>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</si>
  <si>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</si>
  <si>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</si>
  <si>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</si>
  <si>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</si>
  <si>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</si>
  <si>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WFH</t>
  </si>
  <si>
    <t>WFH</t>
  </si>
  <si>
    <t>WFH</t>
  </si>
  <si>
    <t>WFH</t>
  </si>
  <si>
    <t>WFH</t>
  </si>
  <si>
    <t>WFH</t>
  </si>
  <si>
    <t>W/O</t>
  </si>
  <si>
    <t>AB</t>
  </si>
  <si>
    <t>P</t>
  </si>
  <si>
    <t>P</t>
  </si>
  <si>
    <t>P</t>
  </si>
  <si>
    <t>P</t>
  </si>
  <si>
    <t>W/O</t>
  </si>
  <si>
    <t>W/O</t>
  </si>
  <si>
    <t>P</t>
  </si>
  <si>
    <t>P</t>
  </si>
  <si>
    <t>LATE</t>
  </si>
  <si>
    <t>LATE</t>
  </si>
  <si>
    <t>P</t>
  </si>
  <si>
    <t>P</t>
  </si>
  <si>
    <t>W/O</t>
  </si>
  <si>
    <t>P</t>
  </si>
  <si>
    <t>P</t>
  </si>
  <si>
    <t>GSYNC106</t>
  </si>
  <si>
    <t>Shiny Atorthy</t>
  </si>
  <si>
    <t>Marketing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</si>
  <si>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</si>
  <si>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</si>
  <si>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</si>
  <si>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</si>
  <si>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</si>
  <si>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</si>
  <si>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</si>
  <si>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</si>
  <si>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</si>
  <si>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</si>
  <si>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</si>
  <si>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</si>
  <si>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</si>
  <si>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</si>
  <si>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</si>
  <si>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WFH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</si>
  <si>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</si>
  <si>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</si>
  <si>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</si>
  <si>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</si>
  <si>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</si>
  <si>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</si>
  <si>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</si>
  <si>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</si>
  <si>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</si>
  <si>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</si>
  <si>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</si>
  <si>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</si>
  <si>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</si>
  <si>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</si>
  <si>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</si>
  <si>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</si>
  <si>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</si>
  <si>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GSYNC111</t>
  </si>
  <si>
    <t>Sandeep Pandey</t>
  </si>
  <si>
    <t>GEE Solar</t>
  </si>
  <si>
    <t>Hemant Singh</t>
  </si>
  <si>
    <t>Active</t>
  </si>
  <si>
    <t>W/O</t>
  </si>
  <si>
    <t>AB</t>
  </si>
  <si>
    <t>AB</t>
  </si>
  <si>
    <t>WFH</t>
  </si>
  <si>
    <t>WFH</t>
  </si>
  <si>
    <t>WFH</t>
  </si>
  <si>
    <t>W/O</t>
  </si>
  <si>
    <t>W/O</t>
  </si>
  <si>
    <t>P</t>
  </si>
  <si>
    <t>P</t>
  </si>
  <si>
    <t>P</t>
  </si>
  <si>
    <t>WFH</t>
  </si>
  <si>
    <t>WFH</t>
  </si>
  <si>
    <t>P</t>
  </si>
  <si>
    <t>W/O</t>
  </si>
  <si>
    <t>P</t>
  </si>
  <si>
    <t>P</t>
  </si>
  <si>
    <t>P</t>
  </si>
  <si>
    <t>WFH</t>
  </si>
  <si>
    <t>P</t>
  </si>
  <si>
    <t>W/O</t>
  </si>
  <si>
    <t>W/O</t>
  </si>
  <si>
    <t>P</t>
  </si>
  <si>
    <t>LATE</t>
  </si>
  <si>
    <t>P</t>
  </si>
  <si>
    <t>P</t>
  </si>
  <si>
    <t>P</t>
  </si>
  <si>
    <t>P</t>
  </si>
  <si>
    <t>W/O</t>
  </si>
  <si>
    <t>LATE</t>
  </si>
  <si>
    <t>P</t>
  </si>
  <si>
    <t>GSYNC114</t>
  </si>
  <si>
    <t>Sakshi Khurana</t>
  </si>
  <si>
    <t>GEE Solar</t>
  </si>
  <si>
    <t>Sandeep Pandey</t>
  </si>
  <si>
    <t>Active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</si>
  <si>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</si>
  <si>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</si>
  <si>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</si>
  <si>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</si>
  <si>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</si>
  <si>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</si>
  <si>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</si>
  <si>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</si>
  <si>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</si>
  <si>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</si>
  <si>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</si>
  <si>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UPL</t>
  </si>
  <si>
    <t>UPL</t>
  </si>
  <si>
    <t>UPL</t>
  </si>
  <si>
    <t>AB</t>
  </si>
  <si>
    <t>UPL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</si>
  <si>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</si>
  <si>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</si>
  <si>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</si>
  <si>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</si>
  <si>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</si>
  <si>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</si>
  <si>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</si>
  <si>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</si>
  <si>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</si>
  <si>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</si>
  <si>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</si>
  <si>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</si>
  <si>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</si>
  <si>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</si>
  <si>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</si>
  <si>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HOLD</t>
  </si>
  <si>
    <t>GSYNC116</t>
  </si>
  <si>
    <t>Rajat Mishra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</si>
  <si>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</si>
  <si>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</si>
  <si>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</si>
  <si>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</si>
  <si>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</si>
  <si>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</si>
  <si>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</si>
  <si>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</si>
  <si>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</si>
  <si>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</si>
  <si>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</si>
  <si>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UPL</t>
  </si>
  <si>
    <t>P</t>
  </si>
  <si>
    <t>UPL</t>
  </si>
  <si>
    <t>UPL</t>
  </si>
  <si>
    <t>HD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</si>
  <si>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</si>
  <si>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</si>
  <si>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</si>
  <si>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</si>
  <si>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</si>
  <si>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</si>
  <si>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</si>
  <si>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</si>
  <si>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</si>
  <si>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AB</t>
  </si>
  <si>
    <t>P</t>
  </si>
  <si>
    <t>P</t>
  </si>
  <si>
    <t>P</t>
  </si>
  <si>
    <t>P</t>
  </si>
  <si>
    <t>P</t>
  </si>
  <si>
    <t>W/O</t>
  </si>
  <si>
    <t>P</t>
  </si>
  <si>
    <t>P</t>
  </si>
  <si>
    <t>GSYNC117</t>
  </si>
  <si>
    <t>Karan Vadhera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</si>
  <si>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</si>
  <si>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</si>
  <si>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</si>
  <si>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</si>
  <si>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</si>
  <si>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</si>
  <si>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</si>
  <si>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</si>
  <si>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</si>
  <si>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</si>
  <si>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</si>
  <si>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</si>
  <si>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</si>
  <si>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</si>
  <si>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</si>
  <si>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</si>
  <si>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</si>
  <si>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</si>
  <si>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</si>
  <si>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</si>
  <si>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</si>
  <si>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</si>
  <si>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</si>
  <si>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</si>
  <si>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AB</t>
  </si>
  <si>
    <t>P</t>
  </si>
  <si>
    <t>AB</t>
  </si>
  <si>
    <t>AB</t>
  </si>
  <si>
    <t>AB</t>
  </si>
  <si>
    <t>AB</t>
  </si>
  <si>
    <t>AB</t>
  </si>
  <si>
    <t>AB</t>
  </si>
  <si>
    <t>AB</t>
  </si>
  <si>
    <t>AB</t>
  </si>
  <si>
    <t>Hold</t>
  </si>
  <si>
    <t>GSYNC121</t>
  </si>
  <si>
    <t>Suryakant Mishra</t>
  </si>
  <si>
    <t>GEE Solar</t>
  </si>
  <si>
    <t>Sandeep Pandey</t>
  </si>
  <si>
    <t>Active</t>
  </si>
  <si>
    <t>W/O</t>
  </si>
  <si>
    <t>P</t>
  </si>
  <si>
    <t>HD</t>
  </si>
  <si>
    <t>P</t>
  </si>
  <si>
    <t>P</t>
  </si>
  <si>
    <t>P</t>
  </si>
  <si>
    <t>W/O</t>
  </si>
  <si>
    <t>W/O</t>
  </si>
  <si>
    <t>P</t>
  </si>
  <si>
    <t>P</t>
  </si>
  <si>
    <t>AB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</si>
  <si>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</si>
  <si>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</si>
  <si>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</si>
  <si>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</si>
  <si>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</si>
  <si>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</si>
  <si>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</si>
  <si>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</si>
  <si>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</si>
  <si>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</si>
  <si>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</si>
  <si>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</si>
  <si>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</si>
  <si>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AB</t>
  </si>
  <si>
    <t>P</t>
  </si>
  <si>
    <t>P</t>
  </si>
  <si>
    <t>P</t>
  </si>
  <si>
    <t>W/O</t>
  </si>
  <si>
    <t>AB</t>
  </si>
  <si>
    <t>P</t>
  </si>
  <si>
    <t>GSYNC123</t>
  </si>
  <si>
    <t>Saurabh Sahu</t>
  </si>
  <si>
    <t>IT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</si>
  <si>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</si>
  <si>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</si>
  <si>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</si>
  <si>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</si>
  <si>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</si>
  <si>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</si>
  <si>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</si>
  <si>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</si>
  <si>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</si>
  <si>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</si>
  <si>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LATE</t>
  </si>
  <si>
    <t>P</t>
  </si>
  <si>
    <t>P</t>
  </si>
  <si>
    <t>P</t>
  </si>
  <si>
    <t>P</t>
  </si>
  <si>
    <t>AB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</si>
  <si>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</si>
  <si>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</si>
  <si>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</si>
  <si>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</si>
  <si>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</si>
  <si>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</si>
  <si>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</si>
  <si>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</si>
  <si>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</si>
  <si>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LATE</t>
  </si>
  <si>
    <t>P</t>
  </si>
  <si>
    <t>P</t>
  </si>
  <si>
    <t>P</t>
  </si>
  <si>
    <t>P</t>
  </si>
  <si>
    <t>W/O</t>
  </si>
  <si>
    <t>P</t>
  </si>
  <si>
    <t>P</t>
  </si>
  <si>
    <t>GSYNC124</t>
  </si>
  <si>
    <t>Sarv Vijay</t>
  </si>
  <si>
    <t>Projects</t>
  </si>
  <si>
    <t>Atul Kumar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</si>
  <si>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</si>
  <si>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</si>
  <si>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</si>
  <si>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</si>
  <si>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</si>
  <si>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</si>
  <si>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</si>
  <si>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</si>
  <si>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</si>
  <si>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</si>
  <si>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</si>
  <si>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</si>
  <si>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</si>
  <si>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</si>
  <si>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</si>
  <si>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</si>
  <si>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</si>
  <si>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</si>
  <si>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</si>
  <si>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</si>
  <si>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</si>
  <si>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</si>
  <si>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</si>
  <si>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</si>
  <si>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</si>
  <si>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</si>
  <si>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</si>
  <si>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</si>
  <si>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</si>
  <si>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</si>
  <si>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</si>
  <si>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</si>
  <si>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GSYNC128</t>
  </si>
  <si>
    <t>Manish Siddhu</t>
  </si>
  <si>
    <t>IT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</si>
  <si>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</si>
  <si>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</si>
  <si>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</si>
  <si>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</si>
  <si>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</si>
  <si>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</si>
  <si>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</si>
  <si>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</si>
  <si>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</si>
  <si>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</si>
  <si>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</si>
  <si>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</si>
  <si>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</si>
  <si>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</si>
  <si>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</si>
  <si>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</si>
  <si>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</si>
  <si>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</si>
  <si>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</si>
  <si>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</si>
  <si>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</si>
  <si>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</si>
  <si>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</si>
  <si>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</si>
  <si>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</si>
  <si>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</si>
  <si>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</si>
  <si>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</si>
  <si>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</si>
  <si>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</si>
  <si>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</si>
  <si>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</si>
  <si>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</si>
  <si>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GSYNC129</t>
  </si>
  <si>
    <t>Yash Aggarwal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</si>
  <si>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</si>
  <si>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</si>
  <si>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</si>
  <si>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</si>
  <si>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</si>
  <si>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</si>
  <si>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</si>
  <si>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</si>
  <si>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</si>
  <si>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</si>
  <si>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</si>
  <si>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</si>
  <si>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</si>
  <si>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</si>
  <si>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</si>
  <si>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</si>
  <si>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</si>
  <si>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</si>
  <si>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LATE</t>
  </si>
  <si>
    <t>P</t>
  </si>
  <si>
    <t>P</t>
  </si>
  <si>
    <t>P</t>
  </si>
  <si>
    <t>P</t>
  </si>
  <si>
    <t>W/O</t>
  </si>
  <si>
    <t>W/O</t>
  </si>
  <si>
    <t>UPL</t>
  </si>
  <si>
    <t>P</t>
  </si>
  <si>
    <t>P</t>
  </si>
  <si>
    <t>P</t>
  </si>
  <si>
    <t>AB</t>
  </si>
  <si>
    <t>P</t>
  </si>
  <si>
    <t>W/O</t>
  </si>
  <si>
    <t>LATE</t>
  </si>
  <si>
    <t>P</t>
  </si>
  <si>
    <t>GSYNC131</t>
  </si>
  <si>
    <t>Aman Yadav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</si>
  <si>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</si>
  <si>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</si>
  <si>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</si>
  <si>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</si>
  <si>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</si>
  <si>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</si>
  <si>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</si>
  <si>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</si>
  <si>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</si>
  <si>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</si>
  <si>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</si>
  <si>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</si>
  <si>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</si>
  <si>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</si>
  <si>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</si>
  <si>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</si>
  <si>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</si>
  <si>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</si>
  <si>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</si>
  <si>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</si>
  <si>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LATE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</si>
  <si>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</si>
  <si>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</si>
  <si>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</si>
  <si>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</si>
  <si>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</si>
  <si>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</si>
  <si>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</si>
  <si>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</si>
  <si>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</si>
  <si>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</si>
  <si>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</si>
  <si>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</si>
  <si>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</si>
  <si>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GSYNC132</t>
  </si>
  <si>
    <t>Yash Jain</t>
  </si>
  <si>
    <t>GEE Solar</t>
  </si>
  <si>
    <t>Sandeep Pandey</t>
  </si>
  <si>
    <t>Active</t>
  </si>
  <si>
    <t>W/O</t>
  </si>
  <si>
    <t>P</t>
  </si>
  <si>
    <t>P</t>
  </si>
  <si>
    <t>P</t>
  </si>
  <si>
    <t>AB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</si>
  <si>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</si>
  <si>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</si>
  <si>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</si>
  <si>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</si>
  <si>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</si>
  <si>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</si>
  <si>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</si>
  <si>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</si>
  <si>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</si>
  <si>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</si>
  <si>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</si>
  <si>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LATE</t>
  </si>
  <si>
    <t>P</t>
  </si>
  <si>
    <t>HD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</si>
  <si>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</si>
  <si>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</si>
  <si>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</si>
  <si>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</si>
  <si>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</si>
  <si>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</si>
  <si>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</si>
  <si>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</si>
  <si>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</si>
  <si>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</si>
  <si>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</si>
  <si>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</si>
  <si>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GSYNC136</t>
  </si>
  <si>
    <t>Rishab Mehra</t>
  </si>
  <si>
    <t>GEE Solar</t>
  </si>
  <si>
    <t>Sandeep Pandey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</si>
  <si>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</si>
  <si>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</si>
  <si>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</si>
  <si>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</si>
  <si>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</si>
  <si>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</si>
  <si>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</si>
  <si>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</si>
  <si>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</si>
  <si>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</si>
  <si>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</si>
  <si>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</si>
  <si>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</si>
  <si>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</si>
  <si>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</si>
  <si>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</si>
  <si>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</si>
  <si>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</si>
  <si>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</si>
  <si>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</si>
  <si>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</si>
  <si>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</si>
  <si>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</si>
  <si>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</si>
  <si>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</si>
  <si>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</si>
  <si>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</si>
  <si>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</si>
  <si>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AB</t>
  </si>
  <si>
    <t>W/O</t>
  </si>
  <si>
    <t>P</t>
  </si>
  <si>
    <t>P</t>
  </si>
  <si>
    <t>GSYNC137</t>
  </si>
  <si>
    <t>Kuldeep Choudhary</t>
  </si>
  <si>
    <t>GEE Solar</t>
  </si>
  <si>
    <t>Sandeep Pandey</t>
  </si>
  <si>
    <t>Active</t>
  </si>
  <si>
    <t>W/O</t>
  </si>
  <si>
    <t>HD</t>
  </si>
  <si>
    <t>UPL</t>
  </si>
  <si>
    <t>P</t>
  </si>
  <si>
    <t>LATE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</si>
  <si>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</si>
  <si>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</si>
  <si>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</si>
  <si>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</si>
  <si>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</si>
  <si>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</si>
  <si>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</si>
  <si>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</si>
  <si>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</si>
  <si>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</si>
  <si>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</si>
  <si>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</si>
  <si>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</si>
  <si>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</si>
  <si>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</si>
  <si>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</si>
  <si>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</si>
  <si>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</si>
  <si>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</si>
  <si>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</si>
  <si>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</si>
  <si>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</si>
  <si>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</si>
  <si>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</si>
  <si>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</si>
  <si>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</si>
  <si>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GSYNC138</t>
  </si>
  <si>
    <t>Prerna Talwar</t>
  </si>
  <si>
    <t>L&amp;D</t>
  </si>
  <si>
    <t>Hemant Singh</t>
  </si>
  <si>
    <t>Active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</si>
  <si>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</si>
  <si>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</si>
  <si>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</si>
  <si>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</si>
  <si>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</si>
  <si>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</si>
  <si>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</si>
  <si>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</si>
  <si>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</si>
  <si>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</si>
  <si>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</si>
  <si>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</si>
  <si>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</si>
  <si>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</si>
  <si>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</si>
  <si>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</si>
  <si>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</si>
  <si>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</si>
  <si>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</si>
  <si>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</si>
  <si>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</si>
  <si>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</si>
  <si>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</si>
  <si>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</si>
  <si>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</si>
  <si>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</si>
  <si>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</si>
  <si>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</si>
  <si>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</si>
  <si>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</si>
  <si>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</si>
  <si>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GSYNC139</t>
  </si>
  <si>
    <t>Shilpa Rathi</t>
  </si>
  <si>
    <t>Globalsync</t>
  </si>
  <si>
    <t>Hemant Singh</t>
  </si>
  <si>
    <t>Active</t>
  </si>
  <si>
    <t>NA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</si>
  <si>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</si>
  <si>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</si>
  <si>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</si>
  <si>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</si>
  <si>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</si>
  <si>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</si>
  <si>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</si>
  <si>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</si>
  <si>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</si>
  <si>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</si>
  <si>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</si>
  <si>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</si>
  <si>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</si>
  <si>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</si>
  <si>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</si>
  <si>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</si>
  <si>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</si>
  <si>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</si>
  <si>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</si>
  <si>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</si>
  <si>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</si>
  <si>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</si>
  <si>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</si>
  <si>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</si>
  <si>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</si>
  <si>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</si>
  <si>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AB</t>
  </si>
  <si>
    <t>W/O</t>
  </si>
  <si>
    <t>P</t>
  </si>
  <si>
    <t>P</t>
  </si>
  <si>
    <t>GSYNC140</t>
  </si>
  <si>
    <t>Shivam Kumar Pandey</t>
  </si>
  <si>
    <t>Finance</t>
  </si>
  <si>
    <t>Hemant Singh</t>
  </si>
  <si>
    <t>Active</t>
  </si>
  <si>
    <t>NA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</si>
  <si>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</si>
  <si>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</si>
  <si>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</si>
  <si>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</si>
  <si>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</si>
  <si>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</si>
  <si>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</si>
  <si>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</si>
  <si>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</si>
  <si>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</si>
  <si>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</si>
  <si>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</si>
  <si>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</si>
  <si>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</si>
  <si>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</si>
  <si>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</si>
  <si>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P</t>
  </si>
  <si>
    <t>P</t>
  </si>
  <si>
    <t>P</t>
  </si>
  <si>
    <t>W/O</t>
  </si>
  <si>
    <t>W/O</t>
  </si>
  <si>
    <t>P</t>
  </si>
  <si>
    <t>P</t>
  </si>
  <si>
    <t>P</t>
  </si>
  <si>
    <t>P</t>
  </si>
  <si>
    <t>P</t>
  </si>
  <si>
    <t>P</t>
  </si>
  <si>
    <t>W/O</t>
  </si>
  <si>
    <t>P</t>
  </si>
  <si>
    <t>P</t>
  </si>
  <si>
    <t>GSYNC110</t>
  </si>
  <si>
    <t>Ruchi Srivastava</t>
  </si>
  <si>
    <t>GSYNC112</t>
  </si>
  <si>
    <t>Asgar Ali</t>
  </si>
  <si>
    <t>GEE Solar</t>
  </si>
  <si>
    <t>GSYNC113</t>
  </si>
  <si>
    <t>Sumit Rathore</t>
  </si>
  <si>
    <t>GEE Solar</t>
  </si>
  <si>
    <t>GSYNC115</t>
  </si>
  <si>
    <t>Aadya Singh</t>
  </si>
  <si>
    <t>GEE Solar</t>
  </si>
  <si>
    <t>GSYNC122</t>
  </si>
  <si>
    <t>Muskan Singh</t>
  </si>
  <si>
    <t>GEE Solar</t>
  </si>
  <si>
    <t>GSYNC125</t>
  </si>
  <si>
    <t>Aakriti Tyagi</t>
  </si>
  <si>
    <t>GlobalSync</t>
  </si>
  <si>
    <t>GSYNC127</t>
  </si>
  <si>
    <t>Shafiq Ahmed</t>
  </si>
  <si>
    <t>GEE Solar</t>
  </si>
  <si>
    <t>GSYNC130</t>
  </si>
  <si>
    <t>Veerender</t>
  </si>
  <si>
    <t>GEE Solar</t>
  </si>
  <si>
    <t>GSYNC133</t>
  </si>
  <si>
    <t>Terrin Sunny</t>
  </si>
  <si>
    <t>GEE Solar</t>
  </si>
  <si>
    <t>GSYNC134</t>
  </si>
  <si>
    <t>Priya Srivastava</t>
  </si>
  <si>
    <t>SA-2</t>
  </si>
  <si>
    <t>GSYNC135</t>
  </si>
  <si>
    <t>Kirti Kumari</t>
  </si>
  <si>
    <t>GEE Solar</t>
  </si>
  <si>
    <t>GSYNC120</t>
  </si>
  <si>
    <t>Nitin Yadav</t>
  </si>
  <si>
    <t>GEE Solar</t>
  </si>
  <si>
    <t>GSYNC126</t>
  </si>
  <si>
    <t>Poorvi Mishra</t>
  </si>
  <si>
    <t>GlobalSync</t>
  </si>
  <si>
    <t>EPCM Project Name</t>
  </si>
  <si>
    <t>Installation Completion Date</t>
  </si>
  <si>
    <t>Total Installing KW</t>
  </si>
  <si>
    <t>State</t>
  </si>
  <si>
    <t>Sale Owner</t>
  </si>
  <si>
    <t>Lead Source</t>
  </si>
  <si>
    <t>Sale Type</t>
  </si>
  <si>
    <t>CC-Lead ID</t>
  </si>
  <si>
    <t>CSR</t>
  </si>
  <si>
    <t>TL</t>
  </si>
  <si>
    <t>TEAM</t>
  </si>
  <si>
    <t>Total Sale KW</t>
  </si>
  <si>
    <t>Incentive Rate CSR</t>
  </si>
  <si>
    <t>Incentive Rate Tele Specialist</t>
  </si>
  <si>
    <t>Amanda Lohrey</t>
  </si>
  <si>
    <t>#########</t>
  </si>
  <si>
    <t>TAS</t>
  </si>
  <si>
    <t>Vihar Nikhare</t>
  </si>
  <si>
    <t>Cold Call</t>
  </si>
  <si>
    <t>Physical</t>
  </si>
  <si>
    <t>GS9132</t>
  </si>
  <si>
    <t>Mark</t>
  </si>
  <si>
    <t>Rio</t>
  </si>
  <si>
    <t>Spartans</t>
  </si>
  <si>
    <t>300/Kw</t>
  </si>
  <si>
    <t>200/KW</t>
  </si>
  <si>
    <t>Amanda Lohrey</t>
  </si>
  <si>
    <t>#########</t>
  </si>
  <si>
    <t>TAS</t>
  </si>
  <si>
    <t>Vihar Nikhare</t>
  </si>
  <si>
    <t>Cold Call</t>
  </si>
  <si>
    <t>Physical</t>
  </si>
  <si>
    <t>GS9132</t>
  </si>
  <si>
    <t>Mark</t>
  </si>
  <si>
    <t>Rio</t>
  </si>
  <si>
    <t>Spartans</t>
  </si>
  <si>
    <t>300/Kw</t>
  </si>
  <si>
    <t>200/KW</t>
  </si>
  <si>
    <t>Beaulands Farms Pty Ltd</t>
  </si>
  <si>
    <t>#########</t>
  </si>
  <si>
    <t>NSW</t>
  </si>
  <si>
    <t>Peter Thomson</t>
  </si>
  <si>
    <t>Cold Call</t>
  </si>
  <si>
    <t>OTP</t>
  </si>
  <si>
    <t>GS9077</t>
  </si>
  <si>
    <t>Kevin Wilson</t>
  </si>
  <si>
    <t>Peter</t>
  </si>
  <si>
    <t>Titans</t>
  </si>
  <si>
    <t>600/Kw</t>
  </si>
  <si>
    <t>400/kw</t>
  </si>
  <si>
    <t>JONATHAN EMMETT</t>
  </si>
  <si>
    <t>#########</t>
  </si>
  <si>
    <t>TAS</t>
  </si>
  <si>
    <t>Chris Leach</t>
  </si>
  <si>
    <t>Cold Call</t>
  </si>
  <si>
    <t>Physical</t>
  </si>
  <si>
    <t>GS8733</t>
  </si>
  <si>
    <t>Kevin Wilson</t>
  </si>
  <si>
    <t>Peter</t>
  </si>
  <si>
    <t>Titans</t>
  </si>
  <si>
    <t>300/Kw</t>
  </si>
  <si>
    <t>200/KW</t>
  </si>
  <si>
    <t>ANTHONY STAATZ/Koala Farms PTY LTD</t>
  </si>
  <si>
    <t>#########</t>
  </si>
  <si>
    <t>QLD</t>
  </si>
  <si>
    <t>Vihar Nikhare</t>
  </si>
  <si>
    <t>BSC/BDR LEAD</t>
  </si>
  <si>
    <t>Field</t>
  </si>
  <si>
    <t>NA</t>
  </si>
  <si>
    <t>-</t>
  </si>
  <si>
    <t>BRIAN HOPE Step-2</t>
  </si>
  <si>
    <t>VIC</t>
  </si>
  <si>
    <t>Vihar Nikhare</t>
  </si>
  <si>
    <t>BSC/BDR LEAD</t>
  </si>
  <si>
    <t>Field</t>
  </si>
  <si>
    <t>NA</t>
  </si>
  <si>
    <t>-</t>
  </si>
  <si>
    <t>Rotary dairy/Hawker</t>
  </si>
  <si>
    <t>31-10-2022</t>
  </si>
  <si>
    <t>VIC</t>
  </si>
  <si>
    <t>Peter Thompson</t>
  </si>
  <si>
    <t>Cold Call</t>
  </si>
  <si>
    <t>OTP</t>
  </si>
  <si>
    <t>GS9014</t>
  </si>
  <si>
    <t>Mark</t>
  </si>
  <si>
    <t>-</t>
  </si>
  <si>
    <t>600/Kw</t>
  </si>
  <si>
    <t>400/kw</t>
  </si>
  <si>
    <t>Emp code</t>
  </si>
  <si>
    <t>Employee Name</t>
  </si>
  <si>
    <t>Nick Name</t>
  </si>
  <si>
    <t>DOJ</t>
  </si>
  <si>
    <t>ATTENDANCE P %</t>
  </si>
  <si>
    <t>ATTENDENCE STACK</t>
  </si>
  <si>
    <t>FEEDBACK STACK</t>
  </si>
  <si>
    <t>TOTAL STACK</t>
  </si>
  <si>
    <t>Payable Stack Ratio</t>
  </si>
  <si>
    <t>Payable STACK</t>
  </si>
  <si>
    <t>LOGIC OF JUNE 95% AND ABOVE</t>
  </si>
  <si>
    <t>AS PER ATENDANCE</t>
  </si>
  <si>
    <t>GSYNC015</t>
  </si>
  <si>
    <t>Sonu K Babu</t>
  </si>
  <si>
    <t>Peter</t>
  </si>
  <si>
    <t>GSYNC058</t>
  </si>
  <si>
    <t>Sonia Titus</t>
  </si>
  <si>
    <t>Sonia</t>
  </si>
  <si>
    <t>GSYNC098</t>
  </si>
  <si>
    <t>Saurav Yadav</t>
  </si>
  <si>
    <t>Rio</t>
  </si>
  <si>
    <t>GSYNC116</t>
  </si>
  <si>
    <t>Rajat Mishra</t>
  </si>
  <si>
    <t>John</t>
  </si>
  <si>
    <t>GSYNC121</t>
  </si>
  <si>
    <t>Suryakant Mishra</t>
  </si>
  <si>
    <t>Shawn</t>
  </si>
  <si>
    <t>GSYNC129</t>
  </si>
  <si>
    <t>Yash Aggarwal</t>
  </si>
  <si>
    <t>Mark</t>
  </si>
  <si>
    <t>GSYNC136</t>
  </si>
  <si>
    <t>Rishab Mehra</t>
  </si>
  <si>
    <t>Robin</t>
  </si>
  <si>
    <t>GSYNC137</t>
  </si>
  <si>
    <t>Kuldeep Choudhary</t>
  </si>
  <si>
    <t>Kevin Wilson</t>
  </si>
  <si>
    <t>GSYNC146</t>
  </si>
  <si>
    <t>Somesh Mamglain</t>
  </si>
  <si>
    <t>Alex</t>
  </si>
  <si>
    <t>GSYNC161</t>
  </si>
  <si>
    <t>Tshering Doma Lepcha</t>
  </si>
  <si>
    <t>Daisy</t>
  </si>
  <si>
    <t>GSYNC166</t>
  </si>
  <si>
    <t>Tushar Aggarwal</t>
  </si>
  <si>
    <t>Edward</t>
  </si>
  <si>
    <t>Emp Full Name</t>
  </si>
  <si>
    <t>Emp ID</t>
  </si>
  <si>
    <t>Peter</t>
  </si>
  <si>
    <t>Kevin Wilson</t>
  </si>
  <si>
    <t>Rio</t>
  </si>
  <si>
    <t>Sonia</t>
  </si>
  <si>
    <t>Robin</t>
  </si>
  <si>
    <t>John</t>
  </si>
  <si>
    <t>Shawn</t>
  </si>
  <si>
    <t>Mark</t>
  </si>
  <si>
    <t>Alex</t>
  </si>
  <si>
    <t>Edward</t>
  </si>
  <si>
    <t>Daisy</t>
  </si>
  <si>
    <t>Score</t>
  </si>
  <si>
    <t>Tshering doma lepcha</t>
  </si>
  <si>
    <t>GSync161</t>
  </si>
  <si>
    <t>Kuldeep Chaudhary</t>
  </si>
  <si>
    <t>GSync137</t>
  </si>
  <si>
    <t>Saurav Yadav</t>
  </si>
  <si>
    <t>GSync098</t>
  </si>
  <si>
    <t>Somesh Mamgain</t>
  </si>
  <si>
    <t>GSync146</t>
  </si>
  <si>
    <t>Rajat Mishra</t>
  </si>
  <si>
    <t>GSync116</t>
  </si>
  <si>
    <t>Robin</t>
  </si>
  <si>
    <t>GSync136</t>
  </si>
  <si>
    <t>Tushar Aggarwal</t>
  </si>
  <si>
    <t>GSync166</t>
  </si>
  <si>
    <t>Sonu k babu</t>
  </si>
  <si>
    <t>GSync015</t>
  </si>
  <si>
    <t>Yash Aggarwal</t>
  </si>
  <si>
    <t>GSync129</t>
  </si>
  <si>
    <t>Shawn</t>
  </si>
  <si>
    <t>GSync121</t>
  </si>
  <si>
    <t>Appointment Status</t>
  </si>
  <si>
    <t>(Multiple Items)</t>
  </si>
  <si>
    <t>Count of Appointment Status</t>
  </si>
  <si>
    <t>Column Labels</t>
  </si>
  <si>
    <t>Leads Source</t>
  </si>
  <si>
    <t>Cold Call</t>
  </si>
  <si>
    <t>Allocation</t>
  </si>
  <si>
    <t>(Multiple Items)</t>
  </si>
  <si>
    <t>Appointment Status</t>
  </si>
  <si>
    <t>(Multiple Items)</t>
  </si>
  <si>
    <t>Row Labels</t>
  </si>
  <si>
    <t>Count of Appointment Status</t>
  </si>
  <si>
    <t>Alex</t>
  </si>
  <si>
    <t>Daniel</t>
  </si>
  <si>
    <t>Edward</t>
  </si>
  <si>
    <t>John</t>
  </si>
  <si>
    <t>Kevin Wilson</t>
  </si>
  <si>
    <t>Mark</t>
  </si>
  <si>
    <t>Robin</t>
  </si>
  <si>
    <t>Shawn</t>
  </si>
  <si>
    <t>Tshering Doma Nepcha</t>
  </si>
  <si>
    <t>Grand Total</t>
  </si>
  <si>
    <t>S no.</t>
  </si>
  <si>
    <t>Employee ID</t>
  </si>
  <si>
    <t>Agents name</t>
  </si>
  <si>
    <t>Status</t>
  </si>
  <si>
    <t>Break Type</t>
  </si>
  <si>
    <t>TOTAL</t>
  </si>
  <si>
    <t>COUNTIF 1 min+</t>
  </si>
  <si>
    <t>COUNT A</t>
  </si>
  <si>
    <t>Beak exceed Penalty</t>
  </si>
  <si>
    <t>Other Penalties</t>
  </si>
  <si>
    <t>Total</t>
  </si>
  <si>
    <t>GSYNC058</t>
  </si>
  <si>
    <t>Sonia Titus</t>
  </si>
  <si>
    <t>Sonia</t>
  </si>
  <si>
    <t>Active</t>
  </si>
  <si>
    <t>GSYNC129</t>
  </si>
  <si>
    <t>Yash Agarwal</t>
  </si>
  <si>
    <t>Mark</t>
  </si>
  <si>
    <t>Active</t>
  </si>
  <si>
    <t>Break Fast Break, bio,bio,Bio</t>
  </si>
  <si>
    <t>GSYNC015</t>
  </si>
  <si>
    <t>Sonu K babu</t>
  </si>
  <si>
    <t>Peter</t>
  </si>
  <si>
    <t>Active</t>
  </si>
  <si>
    <t>GSYNC098</t>
  </si>
  <si>
    <t>Saurabh Yadav</t>
  </si>
  <si>
    <t>Rio</t>
  </si>
  <si>
    <t>Active</t>
  </si>
  <si>
    <t>GSYNC121</t>
  </si>
  <si>
    <t>Surya Kant mishra</t>
  </si>
  <si>
    <t>Shawn</t>
  </si>
  <si>
    <t>Active</t>
  </si>
  <si>
    <t>GSYNC146</t>
  </si>
  <si>
    <t>Somesh Memgain</t>
  </si>
  <si>
    <t>Alex</t>
  </si>
  <si>
    <t>Active</t>
  </si>
  <si>
    <t>GSYNC116</t>
  </si>
  <si>
    <t>Rajat Mishra</t>
  </si>
  <si>
    <t>John</t>
  </si>
  <si>
    <t>Active</t>
  </si>
  <si>
    <t>GSYNC137</t>
  </si>
  <si>
    <t>Kuldeep Chaudhary</t>
  </si>
  <si>
    <t>Kevin</t>
  </si>
  <si>
    <t>Active</t>
  </si>
  <si>
    <t>GSYNC136</t>
  </si>
  <si>
    <t>Rishabh</t>
  </si>
  <si>
    <t>Robin</t>
  </si>
  <si>
    <t>Active</t>
  </si>
  <si>
    <t>Break Fast Break</t>
  </si>
  <si>
    <t>GSYNC159</t>
  </si>
  <si>
    <t>Amit Raj Singh</t>
  </si>
  <si>
    <t>Daniel</t>
  </si>
  <si>
    <t>Inactive</t>
  </si>
  <si>
    <t>GSYNC158</t>
  </si>
  <si>
    <t>Rishabh Pathak</t>
  </si>
  <si>
    <t>Mike</t>
  </si>
  <si>
    <t>Active</t>
  </si>
  <si>
    <t>GSYNC161</t>
  </si>
  <si>
    <t>Tshering Doma Lepcha</t>
  </si>
  <si>
    <t>Daisy</t>
  </si>
  <si>
    <t>Active</t>
  </si>
  <si>
    <t>Breakfast Break</t>
  </si>
  <si>
    <t>GSYNC166</t>
  </si>
  <si>
    <t>Tushar agarwal</t>
  </si>
  <si>
    <t>Edward</t>
  </si>
  <si>
    <t>Active</t>
  </si>
  <si>
    <t>Emp code</t>
  </si>
  <si>
    <t>Employee Name</t>
  </si>
  <si>
    <t>DOJ</t>
  </si>
  <si>
    <t>LWD</t>
  </si>
  <si>
    <t>Payable date</t>
  </si>
  <si>
    <t>Amount</t>
  </si>
  <si>
    <t>Notice Buyout</t>
  </si>
  <si>
    <t>Final Payable</t>
  </si>
  <si>
    <t>Remarks</t>
  </si>
  <si>
    <t>GSYNC106</t>
  </si>
  <si>
    <t>Shiny Atorthy</t>
  </si>
  <si>
    <t>NA</t>
  </si>
  <si>
    <t>Done</t>
  </si>
  <si>
    <t>GSYNC151</t>
  </si>
  <si>
    <t>Anjali Goswami</t>
  </si>
  <si>
    <t>NA</t>
  </si>
  <si>
    <t>Done</t>
  </si>
  <si>
    <t>GSYNC160</t>
  </si>
  <si>
    <t>Swapnil Tyagi</t>
  </si>
  <si>
    <t>NA</t>
  </si>
  <si>
    <t>Done</t>
  </si>
  <si>
    <t>GSYNC158</t>
  </si>
  <si>
    <t>Rishabh Pathak</t>
  </si>
  <si>
    <t>NA</t>
  </si>
  <si>
    <t>Done</t>
  </si>
  <si>
    <t>GSYNC165</t>
  </si>
  <si>
    <t>Bikram Mandal</t>
  </si>
  <si>
    <t>NA</t>
  </si>
  <si>
    <t>Done</t>
  </si>
  <si>
    <t>GSYNC147</t>
  </si>
  <si>
    <t>Arun Kumar Chauhan</t>
  </si>
  <si>
    <t>NA</t>
  </si>
  <si>
    <t>Done</t>
  </si>
  <si>
    <t>GSYNC143</t>
  </si>
  <si>
    <t>Shivani Upadhyay</t>
  </si>
  <si>
    <t>NA</t>
  </si>
  <si>
    <t>Pending</t>
  </si>
  <si>
    <t>EMP ID</t>
  </si>
  <si>
    <t>Employee Name</t>
  </si>
  <si>
    <t>DOJ</t>
  </si>
  <si>
    <t>LOB</t>
  </si>
  <si>
    <t>Line Manager</t>
  </si>
  <si>
    <t>Ageing</t>
  </si>
  <si>
    <t>Status/LWD</t>
  </si>
  <si>
    <t>LEAVE BALANCE @ October End</t>
  </si>
  <si>
    <t>P+LATE FOR STACK</t>
  </si>
  <si>
    <t>TOTAL AB</t>
  </si>
  <si>
    <t>Total UPL</t>
  </si>
  <si>
    <t>Total P</t>
  </si>
  <si>
    <t xml:space="preserve">Total HD </t>
  </si>
  <si>
    <t>W/O+PH</t>
  </si>
  <si>
    <t>Late comings</t>
  </si>
  <si>
    <t>HD Marked For late Coming</t>
  </si>
  <si>
    <t>Leaves Adjusted</t>
  </si>
  <si>
    <t>Net Payable Days</t>
  </si>
  <si>
    <t>Total Days</t>
  </si>
  <si>
    <t>ACTIVE DAYS</t>
  </si>
  <si>
    <t>FINAL STACK Attendance</t>
  </si>
  <si>
    <t>NA DAYS</t>
  </si>
  <si>
    <t>Payable days Ratio</t>
  </si>
  <si>
    <t>Leave balance at beginning of October</t>
  </si>
  <si>
    <t>GSYNC015</t>
  </si>
  <si>
    <t>Sonu K Babu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</si>
  <si>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</si>
  <si>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</si>
  <si>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</si>
  <si>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</si>
  <si>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</si>
  <si>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</si>
  <si>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</si>
  <si>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</si>
  <si>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</si>
  <si>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</si>
  <si>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</si>
  <si>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</si>
  <si>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</si>
  <si>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</si>
  <si>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</si>
  <si>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</si>
  <si>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</si>
  <si>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</si>
  <si>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</si>
  <si>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</si>
  <si>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</si>
  <si>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</si>
  <si>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</si>
  <si>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</si>
  <si>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</si>
  <si>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</si>
  <si>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</si>
  <si>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</si>
  <si>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UPL</t>
  </si>
  <si>
    <t>WFO-P</t>
  </si>
  <si>
    <t>WFO-P</t>
  </si>
  <si>
    <t>W/O</t>
  </si>
  <si>
    <t>W/O</t>
  </si>
  <si>
    <t>WFO-P</t>
  </si>
  <si>
    <t>GSYNC025</t>
  </si>
  <si>
    <t>Dharmendra kumar</t>
  </si>
  <si>
    <t>Globalsync</t>
  </si>
  <si>
    <t>Shilpa Rathi</t>
  </si>
  <si>
    <t>Active</t>
  </si>
  <si>
    <t>W/O</t>
  </si>
  <si>
    <t>W/O</t>
  </si>
  <si>
    <t>WFO-P</t>
  </si>
  <si>
    <t>WFO-P</t>
  </si>
  <si>
    <t>WFO-P</t>
  </si>
  <si>
    <t>WFO-P</t>
  </si>
  <si>
    <t>LATE</t>
  </si>
  <si>
    <t>WFO-P</t>
  </si>
  <si>
    <t>W/O</t>
  </si>
  <si>
    <t>AB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</si>
  <si>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</si>
  <si>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</si>
  <si>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</si>
  <si>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</si>
  <si>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</si>
  <si>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</si>
  <si>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</si>
  <si>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</si>
  <si>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</si>
  <si>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</si>
  <si>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</si>
  <si>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</si>
  <si>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</si>
  <si>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AB</t>
  </si>
  <si>
    <t>PH</t>
  </si>
  <si>
    <t>WFO-P</t>
  </si>
  <si>
    <t>WFO-P</t>
  </si>
  <si>
    <t>WFO-P</t>
  </si>
  <si>
    <t>W/O</t>
  </si>
  <si>
    <t>W/O</t>
  </si>
  <si>
    <t>WFO-P</t>
  </si>
  <si>
    <t>GSYNC058</t>
  </si>
  <si>
    <t>Sonia Titus</t>
  </si>
  <si>
    <t>GEE Solar</t>
  </si>
  <si>
    <t xml:space="preserve">Sandeep Pandey </t>
  </si>
  <si>
    <t>Active</t>
  </si>
  <si>
    <t>W/O</t>
  </si>
  <si>
    <t>W/O</t>
  </si>
  <si>
    <t>WFO-P</t>
  </si>
  <si>
    <t>SD</t>
  </si>
  <si>
    <t>AB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</si>
  <si>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</si>
  <si>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</si>
  <si>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</si>
  <si>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</si>
  <si>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</si>
  <si>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</si>
  <si>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</si>
  <si>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</si>
  <si>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WFO-HD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</si>
  <si>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</si>
  <si>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</si>
  <si>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</si>
  <si>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</si>
  <si>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</si>
  <si>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</si>
  <si>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</si>
  <si>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</si>
  <si>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</si>
  <si>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</si>
  <si>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</si>
  <si>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</si>
  <si>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</si>
  <si>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</si>
  <si>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</si>
  <si>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</si>
  <si>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AB</t>
  </si>
  <si>
    <t>GSYNC077</t>
  </si>
  <si>
    <t>Chetan Sharma</t>
  </si>
  <si>
    <t>Projects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</si>
  <si>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</si>
  <si>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</si>
  <si>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</si>
  <si>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</si>
  <si>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</si>
  <si>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</si>
  <si>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</si>
  <si>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</si>
  <si>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</si>
  <si>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</si>
  <si>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</si>
  <si>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</si>
  <si>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</si>
  <si>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</si>
  <si>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</si>
  <si>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</si>
  <si>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WFH-P</t>
  </si>
  <si>
    <t>W/O</t>
  </si>
  <si>
    <t>WFO-P</t>
  </si>
  <si>
    <t>WFO-P</t>
  </si>
  <si>
    <t>WFO-P</t>
  </si>
  <si>
    <t>WFO-P</t>
  </si>
  <si>
    <t>LATE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</si>
  <si>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</si>
  <si>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</si>
  <si>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</si>
  <si>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</si>
  <si>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</si>
  <si>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</si>
  <si>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</si>
  <si>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</si>
  <si>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</si>
  <si>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</si>
  <si>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GSYNC081</t>
  </si>
  <si>
    <t>Rhytham Rathore</t>
  </si>
  <si>
    <t>Marketing</t>
  </si>
  <si>
    <t>Atul Kumar Pandey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</si>
  <si>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</si>
  <si>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</si>
  <si>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</si>
  <si>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</si>
  <si>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</si>
  <si>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</si>
  <si>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</si>
  <si>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</si>
  <si>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</si>
  <si>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</si>
  <si>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</si>
  <si>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</si>
  <si>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</si>
  <si>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</si>
  <si>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</si>
  <si>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</si>
  <si>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</si>
  <si>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AB</t>
  </si>
  <si>
    <t>AB</t>
  </si>
  <si>
    <t>AB</t>
  </si>
  <si>
    <t>AB</t>
  </si>
  <si>
    <t>LATE</t>
  </si>
  <si>
    <t>W/O</t>
  </si>
  <si>
    <t>W/O</t>
  </si>
  <si>
    <t>WFH-P</t>
  </si>
  <si>
    <t>PH</t>
  </si>
  <si>
    <t>WFO-P</t>
  </si>
  <si>
    <t>SD</t>
  </si>
  <si>
    <t>WFO-P</t>
  </si>
  <si>
    <t>W/O</t>
  </si>
  <si>
    <t>W/O</t>
  </si>
  <si>
    <t>WFO-P</t>
  </si>
  <si>
    <t>GSYNC098</t>
  </si>
  <si>
    <t>Saurav Yadav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</si>
  <si>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</si>
  <si>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</si>
  <si>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</si>
  <si>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</si>
  <si>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</si>
  <si>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</si>
  <si>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</si>
  <si>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</si>
  <si>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WFO-HD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</si>
  <si>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</si>
  <si>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</si>
  <si>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</si>
  <si>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</si>
  <si>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</si>
  <si>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</si>
  <si>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</si>
  <si>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</si>
  <si>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</si>
  <si>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</si>
  <si>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</si>
  <si>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</si>
  <si>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</si>
  <si>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</si>
  <si>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</si>
  <si>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</si>
  <si>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</si>
  <si>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</si>
  <si>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</si>
  <si>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WFO-HD</t>
  </si>
  <si>
    <t>WFO-P</t>
  </si>
  <si>
    <t>WFO-P</t>
  </si>
  <si>
    <t>W/O</t>
  </si>
  <si>
    <t>W/O</t>
  </si>
  <si>
    <t>WFO-P</t>
  </si>
  <si>
    <t>GSYNC105</t>
  </si>
  <si>
    <t>Atul Kumar Pandey</t>
  </si>
  <si>
    <t>Marketing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</si>
  <si>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</si>
  <si>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</si>
  <si>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</si>
  <si>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</si>
  <si>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</si>
  <si>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</si>
  <si>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</si>
  <si>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</si>
  <si>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</si>
  <si>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</si>
  <si>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</si>
  <si>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</si>
  <si>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</si>
  <si>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LATE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</si>
  <si>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</si>
  <si>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</si>
  <si>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</si>
  <si>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</si>
  <si>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</si>
  <si>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</si>
  <si>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</si>
  <si>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</si>
  <si>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LATE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</si>
  <si>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</si>
  <si>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</si>
  <si>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</si>
  <si>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</si>
  <si>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</si>
  <si>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</si>
  <si>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</si>
  <si>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</si>
  <si>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</si>
  <si>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</si>
  <si>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GSYNC111</t>
  </si>
  <si>
    <t>Sandeep Pandey</t>
  </si>
  <si>
    <t>GEE Solar</t>
  </si>
  <si>
    <t>Hemant Singh</t>
  </si>
  <si>
    <t>Active</t>
  </si>
  <si>
    <t>W/O</t>
  </si>
  <si>
    <t>W/O</t>
  </si>
  <si>
    <t>WFH-HD</t>
  </si>
  <si>
    <t>AB</t>
  </si>
  <si>
    <t>WFH-P</t>
  </si>
  <si>
    <t>AB</t>
  </si>
  <si>
    <t>LATE</t>
  </si>
  <si>
    <t>WFO-P</t>
  </si>
  <si>
    <t>W/O</t>
  </si>
  <si>
    <t>WFO-P</t>
  </si>
  <si>
    <t>WFO-P</t>
  </si>
  <si>
    <t>WFO-P</t>
  </si>
  <si>
    <t>LATE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</si>
  <si>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</si>
  <si>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</si>
  <si>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</si>
  <si>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</si>
  <si>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</si>
  <si>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</si>
  <si>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</si>
  <si>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</si>
  <si>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</si>
  <si>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</si>
  <si>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</si>
  <si>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</si>
  <si>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</si>
  <si>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</si>
  <si>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</si>
  <si>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</si>
  <si>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</si>
  <si>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AB</t>
  </si>
  <si>
    <t>GSYNC116</t>
  </si>
  <si>
    <t>Rajat Mishra</t>
  </si>
  <si>
    <t>GEE Solar</t>
  </si>
  <si>
    <t xml:space="preserve">Sandeep Pandey </t>
  </si>
  <si>
    <t>Active</t>
  </si>
  <si>
    <t>W/O</t>
  </si>
  <si>
    <t>W/O</t>
  </si>
  <si>
    <t>LATE</t>
  </si>
  <si>
    <t>WFO-P</t>
  </si>
  <si>
    <t>WFO-P</t>
  </si>
  <si>
    <t>WFO-P</t>
  </si>
  <si>
    <t>WFO-P</t>
  </si>
  <si>
    <t>UPL</t>
  </si>
  <si>
    <t>UPL</t>
  </si>
  <si>
    <t>UPL</t>
  </si>
  <si>
    <t>SD</t>
  </si>
  <si>
    <t>WFO-HD</t>
  </si>
  <si>
    <t>WFO-P</t>
  </si>
  <si>
    <t>WFO-HD</t>
  </si>
  <si>
    <t>LATE</t>
  </si>
  <si>
    <t>W/O</t>
  </si>
  <si>
    <t>WFO-HD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</si>
  <si>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</si>
  <si>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</si>
  <si>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</si>
  <si>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</si>
  <si>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</si>
  <si>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</si>
  <si>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</si>
  <si>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</si>
  <si>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WFO-HD</t>
  </si>
  <si>
    <t>WFO-P</t>
  </si>
  <si>
    <t>WFO-P</t>
  </si>
  <si>
    <t>W/O</t>
  </si>
  <si>
    <t>W/O</t>
  </si>
  <si>
    <t>WFO-P</t>
  </si>
  <si>
    <t>GSYNC121</t>
  </si>
  <si>
    <t>Suryakant Mishra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</si>
  <si>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</si>
  <si>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</si>
  <si>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</si>
  <si>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</si>
  <si>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</si>
  <si>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</si>
  <si>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</si>
  <si>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</si>
  <si>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WFO-P</t>
  </si>
  <si>
    <t>SD</t>
  </si>
  <si>
    <t>WFO-P</t>
  </si>
  <si>
    <t>W/O</t>
  </si>
  <si>
    <t>WFO-P</t>
  </si>
  <si>
    <t>WFO-P</t>
  </si>
  <si>
    <t>AB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</si>
  <si>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</si>
  <si>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</si>
  <si>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</si>
  <si>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</si>
  <si>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</si>
  <si>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</si>
  <si>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</si>
  <si>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</si>
  <si>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WFO-HD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</si>
  <si>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</si>
  <si>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</si>
  <si>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</si>
  <si>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</si>
  <si>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</si>
  <si>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</si>
  <si>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</si>
  <si>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</si>
  <si>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</si>
  <si>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</si>
  <si>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GSYNC129</t>
  </si>
  <si>
    <t>Yash Aggarwal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</si>
  <si>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</si>
  <si>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</si>
  <si>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</si>
  <si>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</si>
  <si>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</si>
  <si>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</si>
  <si>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</si>
  <si>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</si>
  <si>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</si>
  <si>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</si>
  <si>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</si>
  <si>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</si>
  <si>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</si>
  <si>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UPL</t>
  </si>
  <si>
    <t>WFO-P</t>
  </si>
  <si>
    <t>WFO-P</t>
  </si>
  <si>
    <t>WFO-P</t>
  </si>
  <si>
    <t>UPL</t>
  </si>
  <si>
    <t>W/O</t>
  </si>
  <si>
    <t>WFO-P</t>
  </si>
  <si>
    <t>WFO-P</t>
  </si>
  <si>
    <t>UPL</t>
  </si>
  <si>
    <t>WFO-P</t>
  </si>
  <si>
    <t>WFO-P</t>
  </si>
  <si>
    <t>W/O</t>
  </si>
  <si>
    <t>W/O</t>
  </si>
  <si>
    <t>AB</t>
  </si>
  <si>
    <t>PH</t>
  </si>
  <si>
    <t>SD</t>
  </si>
  <si>
    <t>AB</t>
  </si>
  <si>
    <t>WFO-P</t>
  </si>
  <si>
    <t>W/O</t>
  </si>
  <si>
    <t>W/O</t>
  </si>
  <si>
    <t>AB</t>
  </si>
  <si>
    <t>GSYNC136</t>
  </si>
  <si>
    <t>Rishab Mehra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</si>
  <si>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</si>
  <si>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</si>
  <si>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</si>
  <si>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</si>
  <si>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</si>
  <si>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</si>
  <si>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</si>
  <si>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WFO-HD</t>
  </si>
  <si>
    <t>WFO-P</t>
  </si>
  <si>
    <t>WFO-P</t>
  </si>
  <si>
    <t>WFO-P</t>
  </si>
  <si>
    <t>W/O</t>
  </si>
  <si>
    <t>WFO-P</t>
  </si>
  <si>
    <t>WFO-P</t>
  </si>
  <si>
    <t>LATE</t>
  </si>
  <si>
    <t>WFO-P</t>
  </si>
  <si>
    <t>WFO-P</t>
  </si>
  <si>
    <t>WFO-P</t>
  </si>
  <si>
    <t>W/O</t>
  </si>
  <si>
    <t>WFO-P</t>
  </si>
  <si>
    <t>LATE</t>
  </si>
  <si>
    <t>AB</t>
  </si>
  <si>
    <t>WFO-P</t>
  </si>
  <si>
    <t>WFO-P</t>
  </si>
  <si>
    <t>W/O</t>
  </si>
  <si>
    <t>W/O</t>
  </si>
  <si>
    <t>WFH-P</t>
  </si>
  <si>
    <t>PH</t>
  </si>
  <si>
    <t>WFH-P</t>
  </si>
  <si>
    <t>AB</t>
  </si>
  <si>
    <t>WFO-P</t>
  </si>
  <si>
    <t>W/O</t>
  </si>
  <si>
    <t>W/O</t>
  </si>
  <si>
    <t>WFO-P</t>
  </si>
  <si>
    <t>GSYNC137</t>
  </si>
  <si>
    <t>Kuldeep Choudhary</t>
  </si>
  <si>
    <t>GEE Solar</t>
  </si>
  <si>
    <t xml:space="preserve">Sandeep Pandey </t>
  </si>
  <si>
    <t>Active</t>
  </si>
  <si>
    <t>W/O</t>
  </si>
  <si>
    <t>W/O</t>
  </si>
  <si>
    <t>AB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</si>
  <si>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</si>
  <si>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</si>
  <si>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</si>
  <si>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</si>
  <si>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</si>
  <si>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</si>
  <si>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</si>
  <si>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</si>
  <si>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LATE</t>
  </si>
  <si>
    <t>WFO-P</t>
  </si>
  <si>
    <t>WFO-P</t>
  </si>
  <si>
    <t>WFO-P</t>
  </si>
  <si>
    <t>W/O</t>
  </si>
  <si>
    <t>WFO-HD</t>
  </si>
  <si>
    <t>WFO-P</t>
  </si>
  <si>
    <t>AB</t>
  </si>
  <si>
    <t>LATE</t>
  </si>
  <si>
    <t>WFO-HD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</si>
  <si>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</si>
  <si>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</si>
  <si>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</si>
  <si>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</si>
  <si>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</si>
  <si>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</si>
  <si>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</si>
  <si>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</si>
  <si>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</si>
  <si>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</si>
  <si>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GSYNC138</t>
  </si>
  <si>
    <t>Prerna Talwar</t>
  </si>
  <si>
    <t>L&amp;D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</si>
  <si>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</si>
  <si>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</si>
  <si>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</si>
  <si>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</si>
  <si>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</si>
  <si>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</si>
  <si>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</si>
  <si>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</si>
  <si>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</si>
  <si>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</si>
  <si>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</si>
  <si>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</si>
  <si>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WFO-HD</t>
  </si>
  <si>
    <t>WFO-P</t>
  </si>
  <si>
    <t>WFO-P</t>
  </si>
  <si>
    <t>UPL</t>
  </si>
  <si>
    <t>WFO-P</t>
  </si>
  <si>
    <t>W/O</t>
  </si>
  <si>
    <t>WFO-P</t>
  </si>
  <si>
    <t>WFO-P</t>
  </si>
  <si>
    <t>WFO-P</t>
  </si>
  <si>
    <t>WFO-P</t>
  </si>
  <si>
    <t>LATE</t>
  </si>
  <si>
    <t>W/O</t>
  </si>
  <si>
    <t>W/O</t>
  </si>
  <si>
    <t>WFH-P</t>
  </si>
  <si>
    <t>PH</t>
  </si>
  <si>
    <t>UPL</t>
  </si>
  <si>
    <t>AB</t>
  </si>
  <si>
    <t>AB</t>
  </si>
  <si>
    <t>W/O</t>
  </si>
  <si>
    <t>W/O</t>
  </si>
  <si>
    <t>WFO-P</t>
  </si>
  <si>
    <t>GSYNC140</t>
  </si>
  <si>
    <t>Shivam Kumar Pandey</t>
  </si>
  <si>
    <t>Finance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</si>
  <si>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</si>
  <si>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</si>
  <si>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</si>
  <si>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</si>
  <si>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</si>
  <si>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</si>
  <si>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</si>
  <si>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</si>
  <si>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</si>
  <si>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</si>
  <si>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</si>
  <si>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</si>
  <si>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</si>
  <si>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</si>
  <si>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</si>
  <si>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</si>
  <si>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</si>
  <si>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</si>
  <si>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</si>
  <si>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AB</t>
  </si>
  <si>
    <t>AB</t>
  </si>
  <si>
    <t>AB</t>
  </si>
  <si>
    <t>AB</t>
  </si>
  <si>
    <t>W/O</t>
  </si>
  <si>
    <t>W/O</t>
  </si>
  <si>
    <t>WFH-P</t>
  </si>
  <si>
    <t>PH</t>
  </si>
  <si>
    <t>LATE</t>
  </si>
  <si>
    <t>LATE</t>
  </si>
  <si>
    <t>WFO-P</t>
  </si>
  <si>
    <t>W/O</t>
  </si>
  <si>
    <t>W/O</t>
  </si>
  <si>
    <t>WFO-P</t>
  </si>
  <si>
    <t>GSYNC144</t>
  </si>
  <si>
    <t>Rohini Gangwar</t>
  </si>
  <si>
    <t>GEE HR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</si>
  <si>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</si>
  <si>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</si>
  <si>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</si>
  <si>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</si>
  <si>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</si>
  <si>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</si>
  <si>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</si>
  <si>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</si>
  <si>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</si>
  <si>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</si>
  <si>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</si>
  <si>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</si>
  <si>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</si>
  <si>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</si>
  <si>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</si>
  <si>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</si>
  <si>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</si>
  <si>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</si>
  <si>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</si>
  <si>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</si>
  <si>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</si>
  <si>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</si>
  <si>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</si>
  <si>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</si>
  <si>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</si>
  <si>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AB</t>
  </si>
  <si>
    <t>PH</t>
  </si>
  <si>
    <t>WFO-P</t>
  </si>
  <si>
    <t>WFO-P</t>
  </si>
  <si>
    <t>WFO-P</t>
  </si>
  <si>
    <t>W/O</t>
  </si>
  <si>
    <t>W/O</t>
  </si>
  <si>
    <t>LATE</t>
  </si>
  <si>
    <t>GSYNC146</t>
  </si>
  <si>
    <t>Somesh Mamglain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</si>
  <si>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</si>
  <si>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</si>
  <si>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</si>
  <si>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</si>
  <si>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</si>
  <si>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</si>
  <si>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</si>
  <si>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</si>
  <si>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</si>
  <si>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</si>
  <si>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</si>
  <si>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</si>
  <si>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AB</t>
  </si>
  <si>
    <t>AB</t>
  </si>
  <si>
    <t>WFH-P</t>
  </si>
  <si>
    <t>WFH-P</t>
  </si>
  <si>
    <t>WFH-P</t>
  </si>
  <si>
    <t>WFH-P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</si>
  <si>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</si>
  <si>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</si>
  <si>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</si>
  <si>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</si>
  <si>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</si>
  <si>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</si>
  <si>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</si>
  <si>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</si>
  <si>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</si>
  <si>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</si>
  <si>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</si>
  <si>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</si>
  <si>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</si>
  <si>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</si>
  <si>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</si>
  <si>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</si>
  <si>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GSYNC149</t>
  </si>
  <si>
    <t>Bharat Nebhnani</t>
  </si>
  <si>
    <t>Globalsync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</si>
  <si>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</si>
  <si>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</si>
  <si>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</si>
  <si>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</si>
  <si>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</si>
  <si>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</si>
  <si>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</si>
  <si>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</si>
  <si>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</si>
  <si>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</si>
  <si>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</si>
  <si>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</si>
  <si>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</si>
  <si>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</si>
  <si>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</si>
  <si>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</si>
  <si>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</si>
  <si>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</si>
  <si>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</si>
  <si>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</si>
  <si>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</si>
  <si>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WFH-P</t>
  </si>
  <si>
    <t>WFH-P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</si>
  <si>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</si>
  <si>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</si>
  <si>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</si>
  <si>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</si>
  <si>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</si>
  <si>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</si>
  <si>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</si>
  <si>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</si>
  <si>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</si>
  <si>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</si>
  <si>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GSYNC152</t>
  </si>
  <si>
    <t>Chandan Kumar</t>
  </si>
  <si>
    <t>Projects</t>
  </si>
  <si>
    <t>Hemant Singh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</si>
  <si>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</si>
  <si>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</si>
  <si>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</si>
  <si>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</si>
  <si>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</si>
  <si>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</si>
  <si>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</si>
  <si>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</si>
  <si>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</si>
  <si>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</si>
  <si>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</si>
  <si>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</si>
  <si>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</si>
  <si>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</si>
  <si>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</si>
  <si>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</si>
  <si>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</si>
  <si>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</si>
  <si>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</si>
  <si>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</si>
  <si>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</si>
  <si>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</si>
  <si>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</si>
  <si>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</si>
  <si>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</si>
  <si>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</si>
  <si>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</si>
  <si>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</si>
  <si>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</si>
  <si>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</si>
  <si>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</si>
  <si>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</si>
  <si>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GSYNC157</t>
  </si>
  <si>
    <t>Rajat Kumar</t>
  </si>
  <si>
    <t>Marketing</t>
  </si>
  <si>
    <t>Atul Kumar Pandey</t>
  </si>
  <si>
    <t>Active</t>
  </si>
  <si>
    <t>W/O</t>
  </si>
  <si>
    <t>W/O</t>
  </si>
  <si>
    <t>WFO-HD</t>
  </si>
  <si>
    <t>WFO-P</t>
  </si>
  <si>
    <t>LATE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</si>
  <si>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</si>
  <si>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</si>
  <si>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</si>
  <si>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</si>
  <si>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</si>
  <si>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</si>
  <si>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</si>
  <si>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</si>
  <si>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</si>
  <si>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</si>
  <si>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</si>
  <si>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</si>
  <si>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</si>
  <si>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LATE</t>
  </si>
  <si>
    <t>WFO-P</t>
  </si>
  <si>
    <t>WFO-P</t>
  </si>
  <si>
    <t>W/O</t>
  </si>
  <si>
    <t>W/O</t>
  </si>
  <si>
    <t>WFH-P</t>
  </si>
  <si>
    <t>PH</t>
  </si>
  <si>
    <t>AB</t>
  </si>
  <si>
    <t>WFO-P</t>
  </si>
  <si>
    <t>WFO-P</t>
  </si>
  <si>
    <t>W/O</t>
  </si>
  <si>
    <t>W/O</t>
  </si>
  <si>
    <t>WFO-P</t>
  </si>
  <si>
    <t>GSYNC161</t>
  </si>
  <si>
    <t>Tshering Doma Lepcha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</si>
  <si>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</si>
  <si>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</si>
  <si>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</si>
  <si>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</si>
  <si>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</si>
  <si>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</si>
  <si>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</si>
  <si>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</si>
  <si>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</si>
  <si>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</si>
  <si>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AB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</si>
  <si>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</si>
  <si>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</si>
  <si>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</si>
  <si>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</si>
  <si>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</si>
  <si>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</si>
  <si>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</si>
  <si>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</si>
  <si>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</si>
  <si>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</si>
  <si>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</si>
  <si>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</si>
  <si>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</si>
  <si>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</si>
  <si>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</si>
  <si>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</si>
  <si>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</si>
  <si>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</si>
  <si>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</si>
  <si>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</si>
  <si>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</si>
  <si>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</si>
  <si>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</si>
  <si>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GSYNC166</t>
  </si>
  <si>
    <t>Tushar Aggarwal</t>
  </si>
  <si>
    <t>GEE Solar</t>
  </si>
  <si>
    <t xml:space="preserve">Sandeep Pandey </t>
  </si>
  <si>
    <t>Active</t>
  </si>
  <si>
    <t>W/O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</si>
  <si>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</si>
  <si>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</si>
  <si>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</si>
  <si>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</si>
  <si>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</si>
  <si>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</si>
  <si>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</si>
  <si>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</si>
  <si>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</si>
  <si>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</si>
  <si>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</si>
  <si>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</si>
  <si>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</si>
  <si>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</si>
  <si>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</si>
  <si>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</si>
  <si>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</si>
  <si>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</si>
  <si>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</si>
  <si>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</si>
  <si>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</si>
  <si>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</si>
  <si>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</si>
  <si>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</si>
  <si>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</si>
  <si>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</si>
  <si>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</si>
  <si>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</si>
  <si>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</si>
  <si>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</si>
  <si>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GSYNC167</t>
  </si>
  <si>
    <t>Subhasmita Malla</t>
  </si>
  <si>
    <t>GEE Energy IT</t>
  </si>
  <si>
    <t>Hemant Singh</t>
  </si>
  <si>
    <t>Active</t>
  </si>
  <si>
    <t>W/O</t>
  </si>
  <si>
    <t>W/O</t>
  </si>
  <si>
    <t>WFH-P</t>
  </si>
  <si>
    <t>WFH-P</t>
  </si>
  <si>
    <t>WFH-P</t>
  </si>
  <si>
    <t>WFH-P</t>
  </si>
  <si>
    <t>WFH-P</t>
  </si>
  <si>
    <t>LATE</t>
  </si>
  <si>
    <t>W/O</t>
  </si>
  <si>
    <t>WFH-P</t>
  </si>
  <si>
    <t>WFH-P</t>
  </si>
  <si>
    <t>WFH-P</t>
  </si>
  <si>
    <t>WFH-P</t>
  </si>
  <si>
    <t>WFH-P</t>
  </si>
  <si>
    <t>WFH-P</t>
  </si>
  <si>
    <t>W/O</t>
  </si>
  <si>
    <t>WFH-P</t>
  </si>
  <si>
    <t>WFH-P</t>
  </si>
  <si>
    <t>WFH-P</t>
  </si>
  <si>
    <t>WFH-P</t>
  </si>
  <si>
    <t>WFH-P</t>
  </si>
  <si>
    <t>W/O</t>
  </si>
  <si>
    <t>W/O</t>
  </si>
  <si>
    <t>WFH-P</t>
  </si>
  <si>
    <t>PH</t>
  </si>
  <si>
    <t>WFH-P</t>
  </si>
  <si>
    <t>WFH-P</t>
  </si>
  <si>
    <t>WFH-P</t>
  </si>
  <si>
    <t>W/O</t>
  </si>
  <si>
    <t>W/O</t>
  </si>
  <si>
    <t>WFH-P</t>
  </si>
  <si>
    <t>GSYNC168</t>
  </si>
  <si>
    <t>Bhawna Kukreja</t>
  </si>
  <si>
    <t>GlobalSync</t>
  </si>
  <si>
    <t>Hemant Singh</t>
  </si>
  <si>
    <t>Active</t>
  </si>
  <si>
    <t>W/O</t>
  </si>
  <si>
    <t>W/O</t>
  </si>
  <si>
    <t>WFO-P</t>
  </si>
  <si>
    <t>WFO-P</t>
  </si>
  <si>
    <t>AB</t>
  </si>
  <si>
    <t>WFH-P</t>
  </si>
  <si>
    <t>WFO-P</t>
  </si>
  <si>
    <t>WFO-P</t>
  </si>
  <si>
    <t>W/O</t>
  </si>
  <si>
    <t>WFO-P</t>
  </si>
  <si>
    <t>WFO-P</t>
  </si>
  <si>
    <t>WFO-P</t>
  </si>
  <si>
    <t>SD</t>
  </si>
  <si>
    <t>WFO-HD</t>
  </si>
  <si>
    <t>UPL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</si>
  <si>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</si>
  <si>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</si>
  <si>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</si>
  <si>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</si>
  <si>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</si>
  <si>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</si>
  <si>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</si>
  <si>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</si>
  <si>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</si>
  <si>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</si>
  <si>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WFH-HD</t>
  </si>
  <si>
    <t>AB</t>
  </si>
  <si>
    <t>AB</t>
  </si>
  <si>
    <t>AB</t>
  </si>
  <si>
    <t>AB</t>
  </si>
  <si>
    <t>AB</t>
  </si>
  <si>
    <t>GSYNC169</t>
  </si>
  <si>
    <t>Deepak Kumar</t>
  </si>
  <si>
    <t>Globalsync</t>
  </si>
  <si>
    <t>Hemant Singh</t>
  </si>
  <si>
    <t>Active</t>
  </si>
  <si>
    <t>W/O</t>
  </si>
  <si>
    <t>W/O</t>
  </si>
  <si>
    <t>WFO-P</t>
  </si>
  <si>
    <t>LATE</t>
  </si>
  <si>
    <t>WFO-HD</t>
  </si>
  <si>
    <t>WFO-P</t>
  </si>
  <si>
    <t>WFO-P</t>
  </si>
  <si>
    <t>WFO-P</t>
  </si>
  <si>
    <t>W/O</t>
  </si>
  <si>
    <t>LATE</t>
  </si>
  <si>
    <t>LATE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</si>
  <si>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</si>
  <si>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</si>
  <si>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</si>
  <si>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</si>
  <si>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</si>
  <si>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</si>
  <si>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</si>
  <si>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</si>
  <si>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</si>
  <si>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</si>
  <si>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</si>
  <si>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</si>
  <si>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</si>
  <si>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</si>
  <si>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</si>
  <si>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</si>
  <si>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</si>
  <si>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</si>
  <si>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</si>
  <si>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</si>
  <si>
    <t>GSYNC171</t>
  </si>
  <si>
    <t>Bhavdeep Bhardwaj</t>
  </si>
  <si>
    <t>GEE Energy IT</t>
  </si>
  <si>
    <t>Hemant Singh</t>
  </si>
  <si>
    <t>Active</t>
  </si>
  <si>
    <t>NA</t>
  </si>
  <si>
    <t>NA</t>
  </si>
  <si>
    <t>NA</t>
  </si>
  <si>
    <t>NA</t>
  </si>
  <si>
    <t>NA</t>
  </si>
  <si>
    <t>NA</t>
  </si>
  <si>
    <t>NA</t>
  </si>
  <si>
    <t>NA</t>
  </si>
  <si>
    <t>NA</t>
  </si>
  <si>
    <t>WFO-P</t>
  </si>
  <si>
    <t>WFO-P</t>
  </si>
  <si>
    <t>WFO-P</t>
  </si>
  <si>
    <t>WFO-P</t>
  </si>
  <si>
    <t>WFO-P</t>
  </si>
  <si>
    <t>WFO-P</t>
  </si>
  <si>
    <t>W/O</t>
  </si>
  <si>
    <t>WFO-P</t>
  </si>
  <si>
    <t>WFO-P</t>
  </si>
  <si>
    <t>WFO-P</t>
  </si>
  <si>
    <t>WFO-P</t>
  </si>
  <si>
    <t>WFO-P</t>
  </si>
  <si>
    <t>W/O</t>
  </si>
  <si>
    <t>W/O</t>
  </si>
  <si>
    <t>WFH-P</t>
  </si>
  <si>
    <t>PH</t>
  </si>
  <si>
    <t>WFO-P</t>
  </si>
  <si>
    <t>WFO-P</t>
  </si>
  <si>
    <t>WFO-P</t>
  </si>
  <si>
    <t>W/O</t>
  </si>
  <si>
    <t>W/O</t>
  </si>
  <si>
    <t>WFO-P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</si>
</sst>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&quot;-&quot;mmm&quot;-&quot;yy"/>
    <numFmt numFmtId="165" formatCode="#0.0"/>
    <numFmt numFmtId="166" formatCode="d\-mmm\-yy"/>
    <numFmt numFmtId="167" formatCode="#0.00%"/>
    <numFmt numFmtId="168" formatCode="#0%"/>
    <numFmt numFmtId="169" formatCode="#0.00"/>
    <numFmt numFmtId="170" formatCode="#"/>
    <numFmt numFmtId="171" formatCode="#0"/>
    <numFmt numFmtId="173" formatCode="m/d/yyyy"/>
    <numFmt numFmtId="174" formatCode="#0.##%"/>
    <numFmt numFmtId="175" formatCode="[hh]:mm:ss"/>
    <numFmt numFmtId="176" formatCode="[hh]:mm"/>
    <numFmt numFmtId="177" formatCode="d\ mmm\ yyyy"/>
    <numFmt numFmtId="178" formatCode="dd\ mmm\ yyyy"/>
    <numFmt numFmtId="179" formatCode="d&quot; &quot;mmm&quot; &quot;yyyy"/>
  </numFmts>
  <fonts count="37">
    <font>
      <sz val="10"/>
      <name val="Arial"/>
    </font>
    <font>
      <b/>
      <sz val="10"/>
      <color rgb="FFFFFFFF"/>
      <name val="Calibri"/>
    </font>
    <font>
      <b/>
      <sz val="10"/>
      <color rgb="FFFF0000"/>
      <name val="Calibri"/>
    </font>
    <font>
      <sz val="10"/>
      <name val="Calibri"/>
    </font>
    <font>
      <sz val="10"/>
      <name val="Verdana"/>
    </font>
    <font>
      <sz val="11"/>
      <name val="Inconsolata"/>
    </font>
    <font>
      <sz val="11"/>
      <name val="Calibri"/>
    </font>
    <font>
      <sz val="10"/>
      <color rgb="FF8FAADC"/>
      <name val="Calibri"/>
    </font>
    <font>
      <sz val="10"/>
      <name val="Calibri"/>
    </font>
    <font>
      <sz val="8"/>
      <name val="Tahoma"/>
    </font>
    <font>
      <sz val="9"/>
      <name val="Calibri"/>
    </font>
    <font>
      <sz val="10"/>
      <name val="Calibri"/>
    </font>
    <font>
      <b/>
      <sz val="10"/>
      <name val="Calibri"/>
    </font>
    <font>
      <sz val="10"/>
      <color rgb="FFFFFFFF"/>
      <name val="Calibri"/>
    </font>
    <font>
      <sz val="10"/>
      <color rgb="FFFFFFFF"/>
      <name val="Arial"/>
    </font>
    <font>
      <sz val="10"/>
      <name val="Verdana"/>
    </font>
    <font>
      <sz val="9"/>
      <name val="Verdana"/>
    </font>
    <font>
      <sz val="13"/>
      <color rgb="FF1D1D1D"/>
      <name val="Helvetica"/>
    </font>
    <font>
      <b/>
      <sz val="10"/>
      <name val="Arial"/>
    </font>
    <font>
      <sz val="10"/>
      <name val="Tahoma"/>
    </font>
    <font>
      <sz val="11"/>
      <name val="Calibri"/>
    </font>
    <font>
      <sz val="10"/>
      <name val="Arial"/>
    </font>
    <font>
      <sz val="10"/>
      <name val="Tahoma"/>
    </font>
    <font>
      <sz val="9"/>
      <name val="Arial"/>
    </font>
    <font>
      <b/>
      <sz val="11"/>
      <name val="Calibri"/>
    </font>
    <font>
      <b/>
      <sz val="9"/>
      <name val="Verdana"/>
    </font>
    <font>
      <sz val="11"/>
      <name val="Calibri"/>
    </font>
    <font>
      <sz val="10"/>
      <color rgb="FFE31414"/>
      <name val="Arial"/>
    </font>
    <font>
      <b/>
      <sz val="10"/>
      <color rgb="FFE31414"/>
      <name val="Tahoma"/>
    </font>
    <font>
      <b/>
      <sz val="10"/>
      <color rgb="FFE31414"/>
      <name val="Calibri"/>
    </font>
    <font>
      <sz val="10"/>
      <name val="lato_regular"/>
    </font>
    <font>
      <sz val="10"/>
      <color rgb="FF1D1D1D"/>
      <name val="lato_regular"/>
    </font>
    <font>
      <sz val="10"/>
      <color rgb="FFE31414"/>
      <name val="Calibri"/>
    </font>
    <font>
      <sz val="11"/>
      <name val="Inconsolata"/>
    </font>
    <font>
      <sz val="11"/>
      <name val="Calibri"/>
    </font>
    <font>
      <sz val="11"/>
      <name val="Calibri"/>
    </font>
    <font>
      <sz val="9"/>
      <name val="Arial"/>
    </font>
  </fonts>
  <fills count="24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948A54"/>
      </patternFill>
    </fill>
    <fill>
      <patternFill patternType="solid">
        <fgColor rgb="FFB7E1CD"/>
      </patternFill>
    </fill>
    <fill>
      <patternFill patternType="solid">
        <fgColor rgb="FFFFF2CC"/>
      </patternFill>
    </fill>
    <fill>
      <patternFill patternType="solid">
        <fgColor rgb="FF5B9BD5"/>
      </patternFill>
    </fill>
    <fill>
      <patternFill patternType="solid">
        <fgColor rgb="FFFBBC0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8FAADC"/>
      </patternFill>
    </fill>
    <fill>
      <patternFill patternType="solid">
        <fgColor rgb="FFFFC000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CE6A4"/>
      </patternFill>
    </fill>
    <fill>
      <patternFill patternType="solid">
        <fgColor rgb="FFF1C40F"/>
      </patternFill>
    </fill>
    <fill>
      <patternFill patternType="solid">
        <fgColor rgb="FF172F5A"/>
      </patternFill>
    </fill>
    <fill>
      <patternFill patternType="solid">
        <fgColor rgb="FF2ECC71"/>
      </patternFill>
    </fill>
    <fill>
      <patternFill patternType="solid">
        <fgColor rgb="FF144D73"/>
      </patternFill>
    </fill>
    <fill>
      <patternFill patternType="solid">
        <fgColor rgb="FFD6EAF8"/>
      </patternFill>
    </fill>
    <fill>
      <patternFill patternType="solid">
        <fgColor rgb="FFD9E1F2"/>
      </patternFill>
    </fill>
    <fill>
      <patternFill patternType="solid">
        <fgColor rgb="FFF6B26B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1" fillId="7" borderId="1" xfId="0" applyNumberFormat="1" applyFont="1" applyFill="1" applyBorder="1" applyAlignment="1">
      <alignment horizontal="center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65" fontId="1" fillId="7" borderId="2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166" fontId="3" fillId="15" borderId="1" xfId="0" applyNumberFormat="1" applyFont="1" applyFill="1" applyBorder="1" applyAlignment="1">
      <alignment horizontal="center" wrapText="1"/>
    </xf>
    <xf numFmtId="0" fontId="0" fillId="15" borderId="0" xfId="0" applyFill="1"/>
    <xf numFmtId="0" fontId="6" fillId="0" borderId="1" xfId="0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0" fontId="0" fillId="9" borderId="0" xfId="0" applyFill="1"/>
    <xf numFmtId="169" fontId="0" fillId="0" borderId="0" xfId="0" applyNumberFormat="1"/>
    <xf numFmtId="0" fontId="0" fillId="6" borderId="0" xfId="0" applyFill="1"/>
    <xf numFmtId="170" fontId="0" fillId="0" borderId="0" xfId="0" applyNumberFormat="1"/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69" fontId="3" fillId="9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 vertical="center"/>
    </xf>
    <xf numFmtId="165" fontId="3" fillId="11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5" fontId="3" fillId="11" borderId="3" xfId="0" applyNumberFormat="1" applyFont="1" applyFill="1" applyBorder="1" applyAlignment="1">
      <alignment horizontal="center" vertical="center"/>
    </xf>
    <xf numFmtId="165" fontId="3" fillId="9" borderId="3" xfId="0" applyNumberFormat="1" applyFont="1" applyFill="1" applyBorder="1" applyAlignment="1">
      <alignment horizontal="center" vertical="center"/>
    </xf>
    <xf numFmtId="169" fontId="3" fillId="15" borderId="1" xfId="0" applyNumberFormat="1" applyFont="1" applyFill="1" applyBorder="1" applyAlignment="1">
      <alignment horizontal="center" wrapText="1"/>
    </xf>
    <xf numFmtId="165" fontId="3" fillId="11" borderId="2" xfId="0" applyNumberFormat="1" applyFont="1" applyFill="1" applyBorder="1" applyAlignment="1">
      <alignment horizontal="center" vertical="center"/>
    </xf>
    <xf numFmtId="4" fontId="3" fillId="13" borderId="1" xfId="0" applyNumberFormat="1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/>
    </xf>
    <xf numFmtId="165" fontId="3" fillId="12" borderId="1" xfId="0" applyNumberFormat="1" applyFont="1" applyFill="1" applyBorder="1" applyAlignment="1">
      <alignment horizontal="center" vertical="center"/>
    </xf>
    <xf numFmtId="165" fontId="3" fillId="13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3" fillId="14" borderId="1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0" fillId="16" borderId="0" xfId="0" applyFill="1"/>
    <xf numFmtId="165" fontId="3" fillId="16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165" fontId="3" fillId="17" borderId="1" xfId="0" applyNumberFormat="1" applyFont="1" applyFill="1" applyBorder="1" applyAlignment="1">
      <alignment horizontal="center" vertical="center"/>
    </xf>
    <xf numFmtId="169" fontId="3" fillId="13" borderId="1" xfId="0" applyNumberFormat="1" applyFont="1" applyFill="1" applyBorder="1" applyAlignment="1">
      <alignment horizontal="center" vertical="center"/>
    </xf>
    <xf numFmtId="165" fontId="7" fillId="9" borderId="1" xfId="0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/>
    </xf>
    <xf numFmtId="165" fontId="3" fillId="9" borderId="4" xfId="0" applyNumberFormat="1" applyFont="1" applyFill="1" applyBorder="1" applyAlignment="1">
      <alignment horizontal="center" vertical="center"/>
    </xf>
    <xf numFmtId="165" fontId="3" fillId="11" borderId="4" xfId="0" applyNumberFormat="1" applyFont="1" applyFill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11" borderId="5" xfId="0" applyNumberFormat="1" applyFont="1" applyFill="1" applyBorder="1" applyAlignment="1">
      <alignment horizontal="center" vertical="center"/>
    </xf>
    <xf numFmtId="165" fontId="3" fillId="11" borderId="6" xfId="0" applyNumberFormat="1" applyFont="1" applyFill="1" applyBorder="1" applyAlignment="1">
      <alignment horizontal="center" vertical="center"/>
    </xf>
    <xf numFmtId="170" fontId="3" fillId="0" borderId="4" xfId="0" applyNumberFormat="1" applyFont="1" applyBorder="1" applyAlignment="1">
      <alignment horizontal="center" vertical="center"/>
    </xf>
    <xf numFmtId="165" fontId="3" fillId="15" borderId="4" xfId="0" applyNumberFormat="1" applyFont="1" applyFill="1" applyBorder="1" applyAlignment="1">
      <alignment horizontal="center" vertical="center"/>
    </xf>
    <xf numFmtId="165" fontId="3" fillId="13" borderId="4" xfId="0" applyNumberFormat="1" applyFont="1" applyFill="1" applyBorder="1" applyAlignment="1">
      <alignment horizontal="center" vertical="center"/>
    </xf>
    <xf numFmtId="165" fontId="7" fillId="9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7" fontId="3" fillId="9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165" fontId="3" fillId="9" borderId="5" xfId="0" applyNumberFormat="1" applyFont="1" applyFill="1" applyBorder="1" applyAlignment="1">
      <alignment horizontal="center" vertical="center"/>
    </xf>
    <xf numFmtId="165" fontId="3" fillId="12" borderId="4" xfId="0" applyNumberFormat="1" applyFont="1" applyFill="1" applyBorder="1" applyAlignment="1">
      <alignment horizontal="center" vertical="center"/>
    </xf>
    <xf numFmtId="4" fontId="3" fillId="5" borderId="4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 vertical="center"/>
    </xf>
    <xf numFmtId="171" fontId="8" fillId="0" borderId="8" xfId="0" applyNumberFormat="1" applyFont="1" applyBorder="1" applyAlignment="1">
      <alignment horizontal="center" vertical="center"/>
    </xf>
    <xf numFmtId="171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7" fillId="9" borderId="6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167" fontId="3" fillId="9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8" xfId="0" applyFont="1" applyBorder="1" applyAlignment="1">
      <alignment horizontal="center" vertical="top"/>
    </xf>
    <xf numFmtId="166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4" fontId="3" fillId="13" borderId="4" xfId="0" applyNumberFormat="1" applyFont="1" applyFill="1" applyBorder="1" applyAlignment="1">
      <alignment horizontal="center" vertical="center"/>
    </xf>
    <xf numFmtId="4" fontId="3" fillId="5" borderId="4" xfId="0" applyNumberFormat="1" applyFont="1" applyFill="1" applyBorder="1" applyAlignment="1">
      <alignment horizontal="center" vertical="center"/>
    </xf>
    <xf numFmtId="0" fontId="3" fillId="0" borderId="4" xfId="0" applyFont="1" applyBorder="1"/>
    <xf numFmtId="167" fontId="3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3" fillId="9" borderId="2" xfId="0" applyNumberFormat="1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165" fontId="5" fillId="11" borderId="3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4" fontId="0" fillId="13" borderId="1" xfId="0" applyNumberFormat="1" applyFill="1" applyBorder="1" applyAlignment="1">
      <alignment horizontal="center" vertical="center"/>
    </xf>
    <xf numFmtId="168" fontId="3" fillId="12" borderId="1" xfId="0" applyNumberFormat="1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68" fontId="3" fillId="5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166" fontId="3" fillId="15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165" fontId="5" fillId="15" borderId="1" xfId="0" applyNumberFormat="1" applyFont="1" applyFill="1" applyBorder="1" applyAlignment="1">
      <alignment horizontal="center" vertical="center"/>
    </xf>
    <xf numFmtId="165" fontId="5" fillId="15" borderId="3" xfId="0" applyNumberFormat="1" applyFont="1" applyFill="1" applyBorder="1" applyAlignment="1">
      <alignment horizontal="center" vertical="center"/>
    </xf>
    <xf numFmtId="165" fontId="3" fillId="15" borderId="3" xfId="0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4" fontId="0" fillId="15" borderId="1" xfId="0" applyNumberFormat="1" applyFill="1" applyBorder="1" applyAlignment="1">
      <alignment horizontal="center" vertical="center"/>
    </xf>
    <xf numFmtId="168" fontId="3" fillId="1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66" fontId="3" fillId="15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left" wrapText="1"/>
    </xf>
    <xf numFmtId="0" fontId="10" fillId="14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/>
    </xf>
    <xf numFmtId="173" fontId="10" fillId="0" borderId="1" xfId="0" applyNumberFormat="1" applyFont="1" applyBorder="1"/>
    <xf numFmtId="0" fontId="11" fillId="9" borderId="0" xfId="0" applyFont="1" applyFill="1" applyAlignment="1">
      <alignment horizontal="left"/>
    </xf>
    <xf numFmtId="0" fontId="11" fillId="9" borderId="0" xfId="0" applyFont="1" applyFill="1"/>
    <xf numFmtId="0" fontId="12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center"/>
    </xf>
    <xf numFmtId="0" fontId="0" fillId="19" borderId="0" xfId="0" applyFill="1"/>
    <xf numFmtId="0" fontId="14" fillId="20" borderId="0" xfId="0" applyFont="1" applyFill="1"/>
    <xf numFmtId="0" fontId="3" fillId="0" borderId="1" xfId="0" applyFont="1" applyBorder="1" applyAlignment="1">
      <alignment horizontal="left"/>
    </xf>
    <xf numFmtId="15" fontId="3" fillId="21" borderId="1" xfId="0" applyNumberFormat="1" applyFont="1" applyFill="1" applyBorder="1" applyAlignment="1">
      <alignment horizontal="center"/>
    </xf>
    <xf numFmtId="174" fontId="15" fillId="21" borderId="1" xfId="0" applyNumberFormat="1" applyFont="1" applyFill="1" applyBorder="1" applyAlignment="1">
      <alignment horizontal="center"/>
    </xf>
    <xf numFmtId="0" fontId="15" fillId="21" borderId="1" xfId="0" applyFont="1" applyFill="1" applyBorder="1" applyAlignment="1">
      <alignment horizontal="center"/>
    </xf>
    <xf numFmtId="0" fontId="15" fillId="21" borderId="3" xfId="0" applyFont="1" applyFill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7" fontId="0" fillId="0" borderId="0" xfId="0" applyNumberFormat="1"/>
    <xf numFmtId="166" fontId="3" fillId="2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16" fillId="21" borderId="1" xfId="0" applyNumberFormat="1" applyFont="1" applyFill="1" applyBorder="1" applyAlignment="1">
      <alignment horizontal="center"/>
    </xf>
    <xf numFmtId="166" fontId="16" fillId="21" borderId="3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9" borderId="0" xfId="0" applyFill="1" applyAlignment="1">
      <alignment horizontal="left"/>
    </xf>
    <xf numFmtId="0" fontId="18" fillId="9" borderId="1" xfId="0" applyFont="1" applyFill="1" applyBorder="1" applyAlignment="1">
      <alignment horizontal="left"/>
    </xf>
    <xf numFmtId="0" fontId="18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0" fillId="22" borderId="1" xfId="0" applyFont="1" applyFill="1" applyBorder="1"/>
    <xf numFmtId="0" fontId="20" fillId="0" borderId="1" xfId="0" applyFont="1" applyBorder="1"/>
    <xf numFmtId="0" fontId="20" fillId="22" borderId="0" xfId="0" applyFont="1" applyFill="1"/>
    <xf numFmtId="0" fontId="20" fillId="0" borderId="0" xfId="0" applyFont="1"/>
    <xf numFmtId="0" fontId="20" fillId="0" borderId="0" xfId="0" applyFont="1" applyAlignment="1">
      <alignment horizontal="left"/>
    </xf>
    <xf numFmtId="0" fontId="20" fillId="22" borderId="0" xfId="0" applyFont="1" applyFill="1" applyAlignment="1">
      <alignment horizontal="left"/>
    </xf>
    <xf numFmtId="0" fontId="21" fillId="23" borderId="1" xfId="0" applyFont="1" applyFill="1" applyBorder="1" applyAlignment="1">
      <alignment horizontal="center" wrapText="1"/>
    </xf>
    <xf numFmtId="14" fontId="21" fillId="23" borderId="1" xfId="0" applyNumberFormat="1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75" fontId="21" fillId="0" borderId="1" xfId="0" applyNumberFormat="1" applyFont="1" applyBorder="1" applyAlignment="1">
      <alignment horizontal="center" wrapText="1"/>
    </xf>
    <xf numFmtId="176" fontId="21" fillId="0" borderId="1" xfId="0" applyNumberFormat="1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4" fillId="9" borderId="4" xfId="0" applyFont="1" applyFill="1" applyBorder="1" applyAlignment="1">
      <alignment horizontal="center"/>
    </xf>
    <xf numFmtId="15" fontId="24" fillId="9" borderId="5" xfId="0" applyNumberFormat="1" applyFont="1" applyFill="1" applyBorder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8" fontId="18" fillId="0" borderId="4" xfId="0" applyNumberFormat="1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4" fillId="9" borderId="1" xfId="0" applyFont="1" applyFill="1" applyBorder="1" applyAlignment="1">
      <alignment horizontal="center" vertical="center"/>
    </xf>
    <xf numFmtId="164" fontId="25" fillId="9" borderId="1" xfId="0" applyNumberFormat="1" applyFont="1" applyFill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8" fontId="18" fillId="0" borderId="1" xfId="0" applyNumberFormat="1" applyFont="1" applyBorder="1" applyAlignment="1">
      <alignment horizontal="center"/>
    </xf>
    <xf numFmtId="171" fontId="24" fillId="9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164" fontId="24" fillId="9" borderId="1" xfId="0" applyNumberFormat="1" applyFont="1" applyFill="1" applyBorder="1" applyAlignment="1">
      <alignment horizontal="center" vertical="center" wrapText="1"/>
    </xf>
    <xf numFmtId="177" fontId="18" fillId="9" borderId="4" xfId="0" applyNumberFormat="1" applyFont="1" applyFill="1" applyBorder="1" applyAlignment="1">
      <alignment horizontal="center" vertical="center"/>
    </xf>
    <xf numFmtId="178" fontId="18" fillId="0" borderId="4" xfId="0" applyNumberFormat="1" applyFont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25" fillId="9" borderId="3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7" fillId="0" borderId="0" xfId="0" applyFont="1"/>
    <xf numFmtId="179" fontId="28" fillId="16" borderId="1" xfId="0" applyNumberFormat="1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 wrapText="1"/>
    </xf>
    <xf numFmtId="0" fontId="1" fillId="15" borderId="4" xfId="0" applyFont="1" applyFill="1" applyBorder="1" applyAlignment="1">
      <alignment horizontal="center" wrapText="1"/>
    </xf>
    <xf numFmtId="0" fontId="3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left"/>
    </xf>
    <xf numFmtId="165" fontId="32" fillId="9" borderId="1" xfId="0" applyNumberFormat="1" applyFont="1" applyFill="1" applyBorder="1" applyAlignment="1">
      <alignment horizontal="center" vertical="center"/>
    </xf>
    <xf numFmtId="169" fontId="3" fillId="9" borderId="3" xfId="0" applyNumberFormat="1" applyFont="1" applyFill="1" applyBorder="1" applyAlignment="1">
      <alignment horizontal="center" vertical="center"/>
    </xf>
    <xf numFmtId="167" fontId="3" fillId="9" borderId="3" xfId="0" applyNumberFormat="1" applyFont="1" applyFill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3" fillId="9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9" borderId="1" xfId="0" applyFont="1" applyFill="1" applyBorder="1" applyAlignment="1">
      <alignment horizontal="center"/>
    </xf>
    <xf numFmtId="0" fontId="34" fillId="0" borderId="4" xfId="0" applyFont="1" applyBorder="1" applyAlignment="1">
      <alignment horizontal="center"/>
    </xf>
    <xf numFmtId="164" fontId="6" fillId="9" borderId="4" xfId="0" applyNumberFormat="1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wrapText="1"/>
    </xf>
    <xf numFmtId="0" fontId="19" fillId="9" borderId="8" xfId="0" applyFont="1" applyFill="1" applyBorder="1" applyAlignment="1">
      <alignment horizontal="center"/>
    </xf>
    <xf numFmtId="0" fontId="33" fillId="9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1" fontId="35" fillId="0" borderId="8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71" fontId="3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33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71" fontId="35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1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65" fontId="32" fillId="9" borderId="4" xfId="0" applyNumberFormat="1" applyFont="1" applyFill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3" fillId="9" borderId="5" xfId="0" applyNumberFormat="1" applyFont="1" applyFill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71" fontId="35" fillId="0" borderId="3" xfId="0" applyNumberFormat="1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166" fontId="19" fillId="0" borderId="1" xfId="0" applyNumberFormat="1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169" fontId="19" fillId="15" borderId="1" xfId="0" applyNumberFormat="1" applyFont="1" applyFill="1" applyBorder="1" applyAlignment="1">
      <alignment horizont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349250</xdr:colOff>
      <xdr:row>32</xdr:row>
      <xdr:rowOff>6350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2A64B7CC-2051-0F66-7F49-2E0C69FB48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596900</xdr:colOff>
      <xdr:row>27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EA2C73B7-1AD8-4B8B-BC37-7C8020E969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571500</xdr:colOff>
      <xdr:row>26</xdr:row>
      <xdr:rowOff>139700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95959A5D-F931-975C-4329-72AF2D153C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D7D31"/>
  </sheetPr>
  <dimension ref="A1:AKP27"/>
  <sheetViews>
    <sheetView tabSelected="1" workbookViewId="0">
      <pane xSplit="2" ySplit="1" topLeftCell="AQ2" activePane="bottomRight" state="frozen"/>
      <selection pane="topRight"/>
      <selection pane="bottomLeft"/>
      <selection pane="bottomRight" activeCell="AV13" sqref="AV1:AV1048576"/>
    </sheetView>
  </sheetViews>
  <sheetFormatPr defaultRowHeight="16.5" customHeight="1"/>
  <cols>
    <col min="1" max="1" width="14.54296875"/>
    <col min="2" max="2" width="24.81640625"/>
    <col min="3" max="3" width="13"/>
    <col min="4" max="4" width="12.26953125"/>
    <col min="5" max="5" width="21.26953125"/>
    <col min="6" max="7" width="12.26953125"/>
    <col min="8" max="8" width="12.26953125" style="23"/>
    <col min="9" max="9" width="12.26953125" style="24"/>
    <col min="10" max="19" width="12.26953125"/>
    <col min="20" max="20" width="12.26953125" style="23"/>
    <col min="21" max="34" width="12.26953125"/>
    <col min="35" max="35" width="17.26953125"/>
    <col min="36" max="38" width="12.26953125"/>
    <col min="39" max="39" width="10.453125"/>
    <col min="40" max="40" width="12.26953125"/>
    <col min="41" max="41" width="9.54296875"/>
    <col min="42" max="42" width="9.453125"/>
    <col min="43" max="43" width="12.26953125" style="25"/>
    <col min="44" max="44" width="12.26953125" style="17"/>
    <col min="45" max="54" width="12.26953125"/>
    <col min="55" max="55" width="13"/>
    <col min="56" max="56" width="14.54296875"/>
    <col min="57" max="57" width="23.54296875"/>
    <col min="58" max="979" width="14.54296875"/>
    <col min="980" max="1027" width="13.26953125"/>
    <col min="1028" max="1028" width="11.453125"/>
  </cols>
  <sheetData>
    <row r="1" spans="1:970" s="27" customFormat="1" ht="5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6" t="s">
        <v>58</v>
      </c>
      <c r="BH1" s="1"/>
      <c r="BI1" s="1" t="s">
        <v>59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</row>
    <row r="2" spans="1:970" ht="13">
      <c r="A2" s="28" t="s">
        <v>60</v>
      </c>
      <c r="B2" s="28" t="s">
        <v>61</v>
      </c>
      <c r="C2" s="29">
        <v>43895</v>
      </c>
      <c r="D2" s="28" t="s">
        <v>62</v>
      </c>
      <c r="E2" s="28" t="s">
        <v>63</v>
      </c>
      <c r="F2" s="28">
        <v>32</v>
      </c>
      <c r="G2" s="28" t="s">
        <v>64</v>
      </c>
      <c r="H2" s="30">
        <f>VLOOKUP(A2,ATTENDANCE!$A$1:$AV$27,48,0)</f>
        <v>1</v>
      </c>
      <c r="I2" s="31">
        <v>35417</v>
      </c>
      <c r="J2" s="32">
        <f t="shared" ref="J2:J27" si="0">I2-O2-M2</f>
        <v>33617</v>
      </c>
      <c r="K2" s="32">
        <f t="shared" ref="K2:K27" si="1">IF(P2+R2+S2&gt;15000,1950,(P2+R2+S2)*0.13)</f>
        <v>1950</v>
      </c>
      <c r="L2" s="32">
        <f t="shared" ref="L2:L27" si="2">IF(I2&lt;21000,I2*3.25%,0)</f>
        <v>0</v>
      </c>
      <c r="M2" s="32">
        <f t="shared" ref="M2:M27" si="3">IF(I2&lt;21000,I2*0.75%,0)</f>
        <v>0</v>
      </c>
      <c r="N2" s="33">
        <f t="shared" ref="N2:N27" si="4">IF(Y2+AA2+AB2&gt;15000,1950,(Y2+AA2+AB2)*0.13)</f>
        <v>1950</v>
      </c>
      <c r="O2" s="32">
        <f t="shared" ref="O2:O27" si="5">IF(P2+R2+S2&gt;15000,1800,(P2+R2+S2)*0.12)</f>
        <v>1800</v>
      </c>
      <c r="P2" s="32">
        <f t="shared" ref="P2:P27" si="6">IF(I2*40%&lt;12000,12000,I2*40%)</f>
        <v>14166.800000000001</v>
      </c>
      <c r="Q2" s="32">
        <f t="shared" ref="Q2:Q27" si="7">IF(P2+P2*50%&lt;I2,P2*50%,I2-P2)</f>
        <v>7083.4000000000005</v>
      </c>
      <c r="R2" s="32">
        <f t="shared" ref="R2:R27" si="8">IF(I2-SUM(P2:Q2)&gt;6000,P2*50%,I2-SUM(P2:Q2))</f>
        <v>7083.4000000000005</v>
      </c>
      <c r="S2" s="32">
        <f t="shared" ref="S2:S27" si="9">I2-SUM(P2:R2)</f>
        <v>7083.3999999999978</v>
      </c>
      <c r="T2" s="34">
        <f>VLOOKUP(A2,ATTENDANCE!A2:AW2,49,0)</f>
        <v>31</v>
      </c>
      <c r="U2" s="19">
        <v>31</v>
      </c>
      <c r="V2" s="35">
        <f t="shared" ref="V2:V27" si="10">T2/U2</f>
        <v>1</v>
      </c>
      <c r="W2" s="19">
        <f t="shared" ref="W2:W27" si="11">P2/U2</f>
        <v>456.99354838709684</v>
      </c>
      <c r="X2" s="32">
        <f t="shared" ref="X2:X27" si="12">I2*V2</f>
        <v>35417</v>
      </c>
      <c r="Y2" s="33">
        <f t="shared" ref="Y2:Y27" si="13">V2*P2</f>
        <v>14166.800000000001</v>
      </c>
      <c r="Z2" s="33">
        <f t="shared" ref="Z2:Z27" si="14">V2*Q2</f>
        <v>7083.4000000000005</v>
      </c>
      <c r="AA2" s="33">
        <f t="shared" ref="AA2:AA27" si="15">V2*R2</f>
        <v>7083.4000000000005</v>
      </c>
      <c r="AB2" s="33">
        <f t="shared" ref="AB2:AB27" si="16">V2*S2</f>
        <v>7083.3999999999978</v>
      </c>
      <c r="AC2" s="33">
        <f t="shared" ref="AC2:AC27" si="17">IF(Y2+AA2+AB2&gt;15000,1800,(Y2+AA2+AB2)*0.12)</f>
        <v>1800</v>
      </c>
      <c r="AD2" s="36">
        <f t="shared" ref="AD2:AD27" si="18">IF(Y2+AA2+AB2&gt;15000,1950,(Y2+AA2+AB2)*0.13)</f>
        <v>1950</v>
      </c>
      <c r="AE2" s="36">
        <f t="shared" ref="AE2:AE27" si="19">IF(I2&lt;21000,I2*V2*0.75%,0)</f>
        <v>0</v>
      </c>
      <c r="AF2" s="36">
        <f t="shared" ref="AF2:AF27" si="20">IF(I2&lt;21000,I2*V2*3.25%,0)</f>
        <v>0</v>
      </c>
      <c r="AG2" s="37">
        <f t="shared" ref="AG2:AG27" si="21">I2/U2</f>
        <v>1142.483870967742</v>
      </c>
      <c r="AH2" s="38">
        <f>VLOOKUP(A2,ATTENDANCE!$A$1:$BC$27,55,0)</f>
        <v>6.5</v>
      </c>
      <c r="AI2" s="39">
        <f t="shared" ref="AI2:AI27" si="22">SUM(Y2:AB2)-AC2-AE2</f>
        <v>33617</v>
      </c>
      <c r="AJ2" s="39">
        <v>0</v>
      </c>
      <c r="AK2" s="19">
        <v>0</v>
      </c>
      <c r="AL2" s="19">
        <v>0</v>
      </c>
      <c r="AM2" s="32">
        <v>0</v>
      </c>
      <c r="AN2" s="33">
        <v>0</v>
      </c>
      <c r="AO2" s="40">
        <v>0</v>
      </c>
      <c r="AP2" s="19">
        <v>0</v>
      </c>
      <c r="AQ2" s="41">
        <v>0</v>
      </c>
      <c r="AR2" s="42">
        <v>0</v>
      </c>
      <c r="AS2" s="43">
        <f t="shared" ref="AS2:AS27" si="23">IFERROR(IF(AQ2&lt;5,0,IF(AQ2&gt;=5,AQ2*300,)),"0")</f>
        <v>0</v>
      </c>
      <c r="AT2" s="44">
        <v>0</v>
      </c>
      <c r="AU2" s="44">
        <f>30.34+101.5*75%</f>
        <v>106.465</v>
      </c>
      <c r="AV2" s="44">
        <f t="shared" ref="AV2:AV27" si="24">AU2*AW2</f>
        <v>42586</v>
      </c>
      <c r="AW2" s="44">
        <v>400</v>
      </c>
      <c r="AX2" s="44">
        <v>20.28</v>
      </c>
      <c r="AY2" s="44">
        <f t="shared" ref="AY2:AY27" si="25">AX2*AZ2</f>
        <v>4056</v>
      </c>
      <c r="AZ2" s="45">
        <v>200</v>
      </c>
      <c r="BA2" s="45">
        <f>IFERROR(_xlfn.XLOOKUP(A2,'Stack Incentive'!A:A,'Stack Incentive'!K:K),"")</f>
        <v>1875</v>
      </c>
      <c r="BB2" s="46">
        <v>0</v>
      </c>
      <c r="BC2" s="47">
        <f t="shared" ref="BC2:BC27" si="26">AI2-AJ2-AK2-AL2+AM2+AN2+AO2+AP2+AS2+AT2+AY2+BA2+BB2+AV2</f>
        <v>82134</v>
      </c>
      <c r="BD2" s="19"/>
      <c r="BE2" s="19"/>
      <c r="BF2" s="48"/>
      <c r="BG2" s="49">
        <f t="shared" ref="BG2:BG27" si="27">BA2+AY2+AT2+AS2+AP2</f>
        <v>5931</v>
      </c>
    </row>
    <row r="3" spans="1:970" ht="13">
      <c r="A3" s="28" t="s">
        <v>65</v>
      </c>
      <c r="B3" s="28" t="s">
        <v>66</v>
      </c>
      <c r="C3" s="50">
        <v>43906</v>
      </c>
      <c r="D3" s="28" t="s">
        <v>67</v>
      </c>
      <c r="E3" s="28" t="s">
        <v>68</v>
      </c>
      <c r="F3" s="28">
        <v>32</v>
      </c>
      <c r="G3" s="28" t="s">
        <v>69</v>
      </c>
      <c r="H3" s="30">
        <f>VLOOKUP(A3,ATTENDANCE!$A$1:$AV$27,48,0)</f>
        <v>2</v>
      </c>
      <c r="I3" s="31">
        <v>15000</v>
      </c>
      <c r="J3" s="32">
        <f t="shared" si="0"/>
        <v>13447.5</v>
      </c>
      <c r="K3" s="32">
        <f t="shared" si="1"/>
        <v>1560</v>
      </c>
      <c r="L3" s="32">
        <f t="shared" si="2"/>
        <v>487.5</v>
      </c>
      <c r="M3" s="32">
        <f t="shared" si="3"/>
        <v>112.5</v>
      </c>
      <c r="N3" s="33">
        <f t="shared" si="4"/>
        <v>1560</v>
      </c>
      <c r="O3" s="32">
        <f t="shared" si="5"/>
        <v>1440</v>
      </c>
      <c r="P3" s="32">
        <f t="shared" si="6"/>
        <v>12000</v>
      </c>
      <c r="Q3" s="32">
        <f t="shared" si="7"/>
        <v>3000</v>
      </c>
      <c r="R3" s="32">
        <f t="shared" si="8"/>
        <v>0</v>
      </c>
      <c r="S3" s="32">
        <f t="shared" si="9"/>
        <v>0</v>
      </c>
      <c r="T3" s="34">
        <f>VLOOKUP(A3,ATTENDANCE!$A:$AW,49,0)</f>
        <v>31</v>
      </c>
      <c r="U3" s="19">
        <v>31</v>
      </c>
      <c r="V3" s="35">
        <f t="shared" si="10"/>
        <v>1</v>
      </c>
      <c r="W3" s="19">
        <f t="shared" si="11"/>
        <v>387.09677419354841</v>
      </c>
      <c r="X3" s="32">
        <f t="shared" si="12"/>
        <v>15000</v>
      </c>
      <c r="Y3" s="33">
        <f t="shared" si="13"/>
        <v>12000</v>
      </c>
      <c r="Z3" s="33">
        <f t="shared" si="14"/>
        <v>3000</v>
      </c>
      <c r="AA3" s="33">
        <f t="shared" si="15"/>
        <v>0</v>
      </c>
      <c r="AB3" s="33">
        <f t="shared" si="16"/>
        <v>0</v>
      </c>
      <c r="AC3" s="33">
        <f t="shared" si="17"/>
        <v>1440</v>
      </c>
      <c r="AD3" s="36">
        <f t="shared" si="18"/>
        <v>1560</v>
      </c>
      <c r="AE3" s="36">
        <f t="shared" si="19"/>
        <v>112.5</v>
      </c>
      <c r="AF3" s="36">
        <f t="shared" si="20"/>
        <v>487.5</v>
      </c>
      <c r="AG3" s="37">
        <f t="shared" si="21"/>
        <v>483.87096774193549</v>
      </c>
      <c r="AH3" s="38">
        <f>VLOOKUP(A3,ATTENDANCE!$A$1:$BC$27,55,0)</f>
        <v>6</v>
      </c>
      <c r="AI3" s="39">
        <f t="shared" si="22"/>
        <v>13447.5</v>
      </c>
      <c r="AJ3" s="39">
        <v>0</v>
      </c>
      <c r="AK3" s="19">
        <v>0</v>
      </c>
      <c r="AL3" s="19">
        <v>0</v>
      </c>
      <c r="AM3" s="19">
        <v>0</v>
      </c>
      <c r="AN3" s="33">
        <v>0</v>
      </c>
      <c r="AO3" s="40">
        <v>0</v>
      </c>
      <c r="AP3" s="19">
        <v>0</v>
      </c>
      <c r="AQ3" s="41">
        <v>0</v>
      </c>
      <c r="AR3" s="42"/>
      <c r="AS3" s="43">
        <f t="shared" si="23"/>
        <v>0</v>
      </c>
      <c r="AT3" s="44">
        <v>0</v>
      </c>
      <c r="AU3" s="44"/>
      <c r="AV3" s="44">
        <f t="shared" si="24"/>
        <v>0</v>
      </c>
      <c r="AW3" s="44"/>
      <c r="AX3" s="44"/>
      <c r="AY3" s="44">
        <f t="shared" si="25"/>
        <v>0</v>
      </c>
      <c r="AZ3" s="45">
        <v>0</v>
      </c>
      <c r="BA3" s="45">
        <v>0</v>
      </c>
      <c r="BB3" s="19">
        <v>0</v>
      </c>
      <c r="BC3" s="47">
        <f t="shared" si="26"/>
        <v>13447.5</v>
      </c>
      <c r="BD3" s="19"/>
      <c r="BE3" s="19"/>
      <c r="BF3" s="48"/>
      <c r="BG3" s="49">
        <f t="shared" si="27"/>
        <v>0</v>
      </c>
    </row>
    <row r="4" spans="1:970" ht="13">
      <c r="A4" s="28" t="s">
        <v>70</v>
      </c>
      <c r="B4" s="28" t="s">
        <v>71</v>
      </c>
      <c r="C4" s="29">
        <v>44048</v>
      </c>
      <c r="D4" s="28" t="s">
        <v>72</v>
      </c>
      <c r="E4" s="28" t="s">
        <v>73</v>
      </c>
      <c r="F4" s="28">
        <v>27</v>
      </c>
      <c r="G4" s="28" t="s">
        <v>74</v>
      </c>
      <c r="H4" s="30">
        <f>VLOOKUP(A4,ATTENDANCE!$A$1:$AV$27,48,0)</f>
        <v>2.5</v>
      </c>
      <c r="I4" s="31">
        <v>33333</v>
      </c>
      <c r="J4" s="32">
        <f t="shared" si="0"/>
        <v>31533</v>
      </c>
      <c r="K4" s="32">
        <f t="shared" si="1"/>
        <v>1950</v>
      </c>
      <c r="L4" s="32">
        <f t="shared" si="2"/>
        <v>0</v>
      </c>
      <c r="M4" s="32">
        <f t="shared" si="3"/>
        <v>0</v>
      </c>
      <c r="N4" s="33">
        <f t="shared" si="4"/>
        <v>1950</v>
      </c>
      <c r="O4" s="32">
        <f t="shared" si="5"/>
        <v>1800</v>
      </c>
      <c r="P4" s="32">
        <f t="shared" si="6"/>
        <v>13333.2</v>
      </c>
      <c r="Q4" s="32">
        <f t="shared" si="7"/>
        <v>6666.6</v>
      </c>
      <c r="R4" s="32">
        <f t="shared" si="8"/>
        <v>6666.6</v>
      </c>
      <c r="S4" s="32">
        <f t="shared" si="9"/>
        <v>6666.5999999999985</v>
      </c>
      <c r="T4" s="34">
        <f>VLOOKUP(A4,ATTENDANCE!$A:$AW,49,0)</f>
        <v>31</v>
      </c>
      <c r="U4" s="19">
        <v>31</v>
      </c>
      <c r="V4" s="35">
        <f t="shared" si="10"/>
        <v>1</v>
      </c>
      <c r="W4" s="19">
        <f t="shared" si="11"/>
        <v>430.10322580645163</v>
      </c>
      <c r="X4" s="32">
        <f t="shared" si="12"/>
        <v>33333</v>
      </c>
      <c r="Y4" s="33">
        <f t="shared" si="13"/>
        <v>13333.2</v>
      </c>
      <c r="Z4" s="33">
        <f t="shared" si="14"/>
        <v>6666.6</v>
      </c>
      <c r="AA4" s="33">
        <f t="shared" si="15"/>
        <v>6666.6</v>
      </c>
      <c r="AB4" s="33">
        <f t="shared" si="16"/>
        <v>6666.5999999999985</v>
      </c>
      <c r="AC4" s="33">
        <f t="shared" si="17"/>
        <v>1800</v>
      </c>
      <c r="AD4" s="36">
        <f t="shared" si="18"/>
        <v>1950</v>
      </c>
      <c r="AE4" s="36">
        <f t="shared" si="19"/>
        <v>0</v>
      </c>
      <c r="AF4" s="36">
        <f t="shared" si="20"/>
        <v>0</v>
      </c>
      <c r="AG4" s="37">
        <f t="shared" si="21"/>
        <v>1075.258064516129</v>
      </c>
      <c r="AH4" s="38">
        <f>VLOOKUP(A4,ATTENDANCE!$A$1:$BC$27,55,0)</f>
        <v>3.5</v>
      </c>
      <c r="AI4" s="39">
        <f t="shared" si="22"/>
        <v>31533</v>
      </c>
      <c r="AJ4" s="39">
        <v>0</v>
      </c>
      <c r="AK4" s="19">
        <v>25000</v>
      </c>
      <c r="AL4" s="19">
        <v>0</v>
      </c>
      <c r="AM4" s="19">
        <v>0</v>
      </c>
      <c r="AN4" s="33">
        <v>0</v>
      </c>
      <c r="AO4" s="40">
        <v>0</v>
      </c>
      <c r="AP4" s="19">
        <v>0</v>
      </c>
      <c r="AQ4" s="41">
        <v>0</v>
      </c>
      <c r="AR4" s="42">
        <v>0</v>
      </c>
      <c r="AS4" s="43">
        <f t="shared" si="23"/>
        <v>0</v>
      </c>
      <c r="AT4" s="44">
        <v>0</v>
      </c>
      <c r="AU4" s="44"/>
      <c r="AV4" s="44">
        <f t="shared" si="24"/>
        <v>0</v>
      </c>
      <c r="AW4" s="44"/>
      <c r="AX4" s="44">
        <v>0</v>
      </c>
      <c r="AY4" s="44">
        <f t="shared" si="25"/>
        <v>0</v>
      </c>
      <c r="AZ4" s="45">
        <v>200</v>
      </c>
      <c r="BA4" s="45">
        <f>IFERROR(_xlfn.XLOOKUP(A4,'Stack Incentive'!A:A,'Stack Incentive'!K:K),"")</f>
        <v>0</v>
      </c>
      <c r="BB4" s="46">
        <v>0</v>
      </c>
      <c r="BC4" s="47">
        <f t="shared" si="26"/>
        <v>6533</v>
      </c>
      <c r="BD4" s="19"/>
      <c r="BE4" s="19"/>
      <c r="BF4" s="48"/>
      <c r="BG4" s="49">
        <f t="shared" si="27"/>
        <v>0</v>
      </c>
    </row>
    <row r="5" spans="1:970" s="51" customFormat="1" ht="13">
      <c r="A5" s="28" t="s">
        <v>75</v>
      </c>
      <c r="B5" s="28" t="s">
        <v>76</v>
      </c>
      <c r="C5" s="29">
        <v>44172</v>
      </c>
      <c r="D5" s="28" t="s">
        <v>77</v>
      </c>
      <c r="E5" s="28" t="s">
        <v>78</v>
      </c>
      <c r="F5" s="28">
        <v>23</v>
      </c>
      <c r="G5" s="28" t="s">
        <v>79</v>
      </c>
      <c r="H5" s="30">
        <f>VLOOKUP(A5,ATTENDANCE!$A$1:$AV$27,48,0)</f>
        <v>0</v>
      </c>
      <c r="I5" s="31">
        <v>58000</v>
      </c>
      <c r="J5" s="32">
        <f t="shared" si="0"/>
        <v>56200</v>
      </c>
      <c r="K5" s="19">
        <f t="shared" si="1"/>
        <v>1950</v>
      </c>
      <c r="L5" s="19">
        <f t="shared" si="2"/>
        <v>0</v>
      </c>
      <c r="M5" s="19">
        <f t="shared" si="3"/>
        <v>0</v>
      </c>
      <c r="N5" s="33">
        <f t="shared" si="4"/>
        <v>1950</v>
      </c>
      <c r="O5" s="19">
        <f t="shared" si="5"/>
        <v>1800</v>
      </c>
      <c r="P5" s="32">
        <f t="shared" si="6"/>
        <v>23200</v>
      </c>
      <c r="Q5" s="32">
        <f t="shared" si="7"/>
        <v>11600</v>
      </c>
      <c r="R5" s="32">
        <f t="shared" si="8"/>
        <v>11600</v>
      </c>
      <c r="S5" s="32">
        <f t="shared" si="9"/>
        <v>11600</v>
      </c>
      <c r="T5" s="34">
        <f>VLOOKUP(A5,ATTENDANCE!$A:$AW,49,0)</f>
        <v>31</v>
      </c>
      <c r="U5" s="19">
        <v>31</v>
      </c>
      <c r="V5" s="35">
        <f t="shared" si="10"/>
        <v>1</v>
      </c>
      <c r="W5" s="19">
        <f t="shared" si="11"/>
        <v>748.38709677419354</v>
      </c>
      <c r="X5" s="32">
        <f t="shared" si="12"/>
        <v>58000</v>
      </c>
      <c r="Y5" s="33">
        <f t="shared" si="13"/>
        <v>23200</v>
      </c>
      <c r="Z5" s="33">
        <f t="shared" si="14"/>
        <v>11600</v>
      </c>
      <c r="AA5" s="33">
        <f t="shared" si="15"/>
        <v>11600</v>
      </c>
      <c r="AB5" s="33">
        <f t="shared" si="16"/>
        <v>11600</v>
      </c>
      <c r="AC5" s="33">
        <f t="shared" si="17"/>
        <v>1800</v>
      </c>
      <c r="AD5" s="36">
        <f t="shared" si="18"/>
        <v>1950</v>
      </c>
      <c r="AE5" s="36">
        <f t="shared" si="19"/>
        <v>0</v>
      </c>
      <c r="AF5" s="36">
        <f t="shared" si="20"/>
        <v>0</v>
      </c>
      <c r="AG5" s="37">
        <f t="shared" si="21"/>
        <v>1870.9677419354839</v>
      </c>
      <c r="AH5" s="38">
        <f>VLOOKUP(A5,ATTENDANCE!$A$1:$BC$27,55,0)</f>
        <v>7.75</v>
      </c>
      <c r="AI5" s="39">
        <f t="shared" si="22"/>
        <v>56200</v>
      </c>
      <c r="AJ5" s="39">
        <v>0</v>
      </c>
      <c r="AK5" s="19">
        <v>0</v>
      </c>
      <c r="AL5" s="19"/>
      <c r="AM5" s="19"/>
      <c r="AN5" s="33">
        <v>0</v>
      </c>
      <c r="AO5" s="40">
        <v>0</v>
      </c>
      <c r="AP5" s="19">
        <v>0</v>
      </c>
      <c r="AQ5" s="41"/>
      <c r="AR5" s="42"/>
      <c r="AS5" s="43">
        <f t="shared" si="23"/>
        <v>0</v>
      </c>
      <c r="AT5" s="44">
        <v>0</v>
      </c>
      <c r="AU5" s="44"/>
      <c r="AV5" s="44">
        <f t="shared" si="24"/>
        <v>0</v>
      </c>
      <c r="AW5" s="44"/>
      <c r="AX5" s="44"/>
      <c r="AY5" s="44">
        <f t="shared" si="25"/>
        <v>0</v>
      </c>
      <c r="AZ5" s="45"/>
      <c r="BA5" s="45">
        <v>0</v>
      </c>
      <c r="BB5" s="19"/>
      <c r="BC5" s="47">
        <f t="shared" si="26"/>
        <v>56200</v>
      </c>
      <c r="BD5" s="19"/>
      <c r="BE5" s="19"/>
      <c r="BF5" s="48"/>
      <c r="BG5" s="49">
        <f t="shared" si="27"/>
        <v>0</v>
      </c>
    </row>
    <row r="6" spans="1:970" ht="13">
      <c r="A6" s="28" t="s">
        <v>80</v>
      </c>
      <c r="B6" s="28" t="s">
        <v>81</v>
      </c>
      <c r="C6" s="29">
        <v>44228</v>
      </c>
      <c r="D6" s="28" t="s">
        <v>82</v>
      </c>
      <c r="E6" s="28" t="s">
        <v>83</v>
      </c>
      <c r="F6" s="28">
        <v>21</v>
      </c>
      <c r="G6" s="28" t="s">
        <v>84</v>
      </c>
      <c r="H6" s="30">
        <f>VLOOKUP(A6,ATTENDANCE!$A$1:$AV$27,48,0)</f>
        <v>4</v>
      </c>
      <c r="I6" s="31">
        <v>35294</v>
      </c>
      <c r="J6" s="32">
        <f t="shared" si="0"/>
        <v>33494</v>
      </c>
      <c r="K6" s="32">
        <f t="shared" si="1"/>
        <v>1950</v>
      </c>
      <c r="L6" s="32">
        <f t="shared" si="2"/>
        <v>0</v>
      </c>
      <c r="M6" s="32">
        <f t="shared" si="3"/>
        <v>0</v>
      </c>
      <c r="N6" s="33">
        <f t="shared" si="4"/>
        <v>1950</v>
      </c>
      <c r="O6" s="32">
        <f t="shared" si="5"/>
        <v>1800</v>
      </c>
      <c r="P6" s="32">
        <f t="shared" si="6"/>
        <v>14117.6</v>
      </c>
      <c r="Q6" s="32">
        <f t="shared" si="7"/>
        <v>7058.8</v>
      </c>
      <c r="R6" s="32">
        <f t="shared" si="8"/>
        <v>7058.8</v>
      </c>
      <c r="S6" s="32">
        <f t="shared" si="9"/>
        <v>7058.7999999999993</v>
      </c>
      <c r="T6" s="34">
        <f>VLOOKUP(A6,ATTENDANCE!$A:$AW,49,0)</f>
        <v>31</v>
      </c>
      <c r="U6" s="19">
        <v>31</v>
      </c>
      <c r="V6" s="35">
        <f t="shared" si="10"/>
        <v>1</v>
      </c>
      <c r="W6" s="19">
        <f t="shared" si="11"/>
        <v>455.40645161290325</v>
      </c>
      <c r="X6" s="32">
        <f t="shared" si="12"/>
        <v>35294</v>
      </c>
      <c r="Y6" s="33">
        <f t="shared" si="13"/>
        <v>14117.6</v>
      </c>
      <c r="Z6" s="33">
        <f t="shared" si="14"/>
        <v>7058.8</v>
      </c>
      <c r="AA6" s="33">
        <f t="shared" si="15"/>
        <v>7058.8</v>
      </c>
      <c r="AB6" s="33">
        <f t="shared" si="16"/>
        <v>7058.7999999999993</v>
      </c>
      <c r="AC6" s="33">
        <f t="shared" si="17"/>
        <v>1800</v>
      </c>
      <c r="AD6" s="36">
        <f t="shared" si="18"/>
        <v>1950</v>
      </c>
      <c r="AE6" s="36">
        <f t="shared" si="19"/>
        <v>0</v>
      </c>
      <c r="AF6" s="36">
        <f t="shared" si="20"/>
        <v>0</v>
      </c>
      <c r="AG6" s="37">
        <f t="shared" si="21"/>
        <v>1138.516129032258</v>
      </c>
      <c r="AH6" s="38">
        <f>VLOOKUP(A6,ATTENDANCE!$A$1:$BC$27,55,0)</f>
        <v>8.5</v>
      </c>
      <c r="AI6" s="39">
        <f t="shared" si="22"/>
        <v>33494</v>
      </c>
      <c r="AJ6" s="39">
        <v>0</v>
      </c>
      <c r="AK6" s="19">
        <v>0</v>
      </c>
      <c r="AL6" s="19"/>
      <c r="AM6" s="52">
        <f>4400*27/31</f>
        <v>3832.2580645161293</v>
      </c>
      <c r="AN6" s="33">
        <v>0</v>
      </c>
      <c r="AO6" s="40">
        <v>0</v>
      </c>
      <c r="AP6" s="19">
        <v>0</v>
      </c>
      <c r="AQ6" s="41"/>
      <c r="AR6" s="42"/>
      <c r="AS6" s="43">
        <f t="shared" si="23"/>
        <v>0</v>
      </c>
      <c r="AT6" s="44">
        <v>0</v>
      </c>
      <c r="AU6" s="44"/>
      <c r="AV6" s="44">
        <f t="shared" si="24"/>
        <v>0</v>
      </c>
      <c r="AW6" s="44"/>
      <c r="AX6" s="44"/>
      <c r="AY6" s="44">
        <f t="shared" si="25"/>
        <v>0</v>
      </c>
      <c r="AZ6" s="45"/>
      <c r="BA6" s="45">
        <v>0</v>
      </c>
      <c r="BB6" s="46"/>
      <c r="BC6" s="47">
        <f t="shared" si="26"/>
        <v>37326.258064516129</v>
      </c>
      <c r="BD6" s="19"/>
      <c r="BE6" s="19"/>
      <c r="BF6" s="37"/>
      <c r="BG6" s="49">
        <f t="shared" si="27"/>
        <v>0</v>
      </c>
    </row>
    <row r="7" spans="1:970" ht="13">
      <c r="A7" s="28" t="s">
        <v>85</v>
      </c>
      <c r="B7" s="29" t="s">
        <v>86</v>
      </c>
      <c r="C7" s="29">
        <v>44356</v>
      </c>
      <c r="D7" s="28" t="s">
        <v>87</v>
      </c>
      <c r="E7" s="28" t="s">
        <v>88</v>
      </c>
      <c r="F7" s="28">
        <v>17</v>
      </c>
      <c r="G7" s="28" t="s">
        <v>89</v>
      </c>
      <c r="H7" s="30">
        <f>VLOOKUP(A7,ATTENDANCE!$A$1:$AV$27,48,0)</f>
        <v>1</v>
      </c>
      <c r="I7" s="31">
        <v>35417</v>
      </c>
      <c r="J7" s="32">
        <f t="shared" si="0"/>
        <v>33617</v>
      </c>
      <c r="K7" s="32">
        <f t="shared" si="1"/>
        <v>1950</v>
      </c>
      <c r="L7" s="32">
        <f t="shared" si="2"/>
        <v>0</v>
      </c>
      <c r="M7" s="32">
        <f t="shared" si="3"/>
        <v>0</v>
      </c>
      <c r="N7" s="33">
        <f t="shared" si="4"/>
        <v>1950</v>
      </c>
      <c r="O7" s="32">
        <f t="shared" si="5"/>
        <v>1800</v>
      </c>
      <c r="P7" s="32">
        <f t="shared" si="6"/>
        <v>14166.800000000001</v>
      </c>
      <c r="Q7" s="32">
        <f t="shared" si="7"/>
        <v>7083.4000000000005</v>
      </c>
      <c r="R7" s="32">
        <f t="shared" si="8"/>
        <v>7083.4000000000005</v>
      </c>
      <c r="S7" s="32">
        <f t="shared" si="9"/>
        <v>7083.3999999999978</v>
      </c>
      <c r="T7" s="34">
        <f>VLOOKUP(A7,ATTENDANCE!$A:$AW,49,0)</f>
        <v>31</v>
      </c>
      <c r="U7" s="19">
        <v>31</v>
      </c>
      <c r="V7" s="35">
        <f t="shared" si="10"/>
        <v>1</v>
      </c>
      <c r="W7" s="19">
        <f t="shared" si="11"/>
        <v>456.99354838709684</v>
      </c>
      <c r="X7" s="32">
        <f t="shared" si="12"/>
        <v>35417</v>
      </c>
      <c r="Y7" s="33">
        <f t="shared" si="13"/>
        <v>14166.800000000001</v>
      </c>
      <c r="Z7" s="33">
        <f t="shared" si="14"/>
        <v>7083.4000000000005</v>
      </c>
      <c r="AA7" s="33">
        <f t="shared" si="15"/>
        <v>7083.4000000000005</v>
      </c>
      <c r="AB7" s="33">
        <f t="shared" si="16"/>
        <v>7083.3999999999978</v>
      </c>
      <c r="AC7" s="33">
        <f t="shared" si="17"/>
        <v>1800</v>
      </c>
      <c r="AD7" s="36">
        <f t="shared" si="18"/>
        <v>1950</v>
      </c>
      <c r="AE7" s="36">
        <f t="shared" si="19"/>
        <v>0</v>
      </c>
      <c r="AF7" s="36">
        <f t="shared" si="20"/>
        <v>0</v>
      </c>
      <c r="AG7" s="37">
        <f t="shared" si="21"/>
        <v>1142.483870967742</v>
      </c>
      <c r="AH7" s="38">
        <f>VLOOKUP(A7,ATTENDANCE!$A$1:$BC$27,55,0)</f>
        <v>7.5</v>
      </c>
      <c r="AI7" s="39">
        <f t="shared" si="22"/>
        <v>33617</v>
      </c>
      <c r="AJ7" s="39">
        <v>0</v>
      </c>
      <c r="AK7" s="19">
        <v>0</v>
      </c>
      <c r="AL7" s="19">
        <v>0</v>
      </c>
      <c r="AM7" s="19">
        <v>0</v>
      </c>
      <c r="AN7" s="33">
        <v>0</v>
      </c>
      <c r="AO7" s="40">
        <v>0</v>
      </c>
      <c r="AP7" s="19">
        <v>0</v>
      </c>
      <c r="AQ7" s="41">
        <v>0</v>
      </c>
      <c r="AR7" s="42">
        <v>0</v>
      </c>
      <c r="AS7" s="43">
        <f t="shared" si="23"/>
        <v>0</v>
      </c>
      <c r="AT7" s="44">
        <v>0</v>
      </c>
      <c r="AU7" s="44">
        <f>101.52*25%</f>
        <v>25.38</v>
      </c>
      <c r="AV7" s="44">
        <f t="shared" si="24"/>
        <v>10152</v>
      </c>
      <c r="AW7" s="44">
        <v>400</v>
      </c>
      <c r="AX7" s="44">
        <v>19.61</v>
      </c>
      <c r="AY7" s="44">
        <f t="shared" si="25"/>
        <v>3922</v>
      </c>
      <c r="AZ7" s="45">
        <v>200</v>
      </c>
      <c r="BA7" s="45">
        <f>IFERROR(_xlfn.XLOOKUP(A7,'Stack Incentive'!A:A,'Stack Incentive'!K:K),"")</f>
        <v>625</v>
      </c>
      <c r="BB7" s="46">
        <v>0</v>
      </c>
      <c r="BC7" s="47">
        <f t="shared" si="26"/>
        <v>48316</v>
      </c>
      <c r="BD7" s="19"/>
      <c r="BE7" s="19"/>
      <c r="BF7" s="48"/>
      <c r="BG7" s="49">
        <f t="shared" si="27"/>
        <v>4547</v>
      </c>
    </row>
    <row r="8" spans="1:970" ht="13">
      <c r="A8" s="28" t="s">
        <v>90</v>
      </c>
      <c r="B8" s="28" t="s">
        <v>91</v>
      </c>
      <c r="C8" s="29">
        <v>44417</v>
      </c>
      <c r="D8" s="28" t="s">
        <v>92</v>
      </c>
      <c r="E8" s="28" t="s">
        <v>93</v>
      </c>
      <c r="F8" s="28">
        <v>15</v>
      </c>
      <c r="G8" s="28" t="s">
        <v>94</v>
      </c>
      <c r="H8" s="30">
        <f>VLOOKUP(A8,ATTENDANCE!$A$1:$AV$27,48,0)</f>
        <v>0</v>
      </c>
      <c r="I8" s="31">
        <v>54000</v>
      </c>
      <c r="J8" s="32">
        <f t="shared" si="0"/>
        <v>52200</v>
      </c>
      <c r="K8" s="32">
        <f t="shared" si="1"/>
        <v>1950</v>
      </c>
      <c r="L8" s="32">
        <f t="shared" si="2"/>
        <v>0</v>
      </c>
      <c r="M8" s="32">
        <f t="shared" si="3"/>
        <v>0</v>
      </c>
      <c r="N8" s="33">
        <f t="shared" si="4"/>
        <v>1950</v>
      </c>
      <c r="O8" s="32">
        <f t="shared" si="5"/>
        <v>1800</v>
      </c>
      <c r="P8" s="32">
        <f t="shared" si="6"/>
        <v>21600</v>
      </c>
      <c r="Q8" s="32">
        <f t="shared" si="7"/>
        <v>10800</v>
      </c>
      <c r="R8" s="32">
        <f t="shared" si="8"/>
        <v>10800</v>
      </c>
      <c r="S8" s="32">
        <f t="shared" si="9"/>
        <v>10800</v>
      </c>
      <c r="T8" s="34">
        <f>VLOOKUP(A8,ATTENDANCE!$A:$AW,49,0)</f>
        <v>31</v>
      </c>
      <c r="U8" s="19">
        <v>31</v>
      </c>
      <c r="V8" s="35">
        <f t="shared" si="10"/>
        <v>1</v>
      </c>
      <c r="W8" s="19">
        <f t="shared" si="11"/>
        <v>696.77419354838707</v>
      </c>
      <c r="X8" s="32">
        <f t="shared" si="12"/>
        <v>54000</v>
      </c>
      <c r="Y8" s="33">
        <f t="shared" si="13"/>
        <v>21600</v>
      </c>
      <c r="Z8" s="33">
        <f t="shared" si="14"/>
        <v>10800</v>
      </c>
      <c r="AA8" s="33">
        <f t="shared" si="15"/>
        <v>10800</v>
      </c>
      <c r="AB8" s="33">
        <f t="shared" si="16"/>
        <v>10800</v>
      </c>
      <c r="AC8" s="33">
        <f t="shared" si="17"/>
        <v>1800</v>
      </c>
      <c r="AD8" s="36">
        <f t="shared" si="18"/>
        <v>1950</v>
      </c>
      <c r="AE8" s="36">
        <f t="shared" si="19"/>
        <v>0</v>
      </c>
      <c r="AF8" s="36">
        <f t="shared" si="20"/>
        <v>0</v>
      </c>
      <c r="AG8" s="37">
        <f t="shared" si="21"/>
        <v>1741.9354838709678</v>
      </c>
      <c r="AH8" s="38">
        <f>VLOOKUP(A8,ATTENDANCE!$A$1:$BC$27,55,0)</f>
        <v>7.5</v>
      </c>
      <c r="AI8" s="39">
        <f t="shared" si="22"/>
        <v>52200</v>
      </c>
      <c r="AJ8" s="39">
        <v>0</v>
      </c>
      <c r="AK8" s="19">
        <v>0</v>
      </c>
      <c r="AL8" s="19"/>
      <c r="AM8" s="19"/>
      <c r="AN8" s="33"/>
      <c r="AO8" s="40">
        <v>0</v>
      </c>
      <c r="AP8" s="19">
        <v>4000</v>
      </c>
      <c r="AQ8" s="41"/>
      <c r="AR8" s="42"/>
      <c r="AS8" s="43">
        <f t="shared" si="23"/>
        <v>0</v>
      </c>
      <c r="AT8" s="44">
        <v>0</v>
      </c>
      <c r="AU8" s="44"/>
      <c r="AV8" s="44">
        <f t="shared" si="24"/>
        <v>0</v>
      </c>
      <c r="AW8" s="44"/>
      <c r="AX8" s="44"/>
      <c r="AY8" s="44">
        <f t="shared" si="25"/>
        <v>0</v>
      </c>
      <c r="AZ8" s="45"/>
      <c r="BA8" s="45">
        <v>0</v>
      </c>
      <c r="BB8" s="46"/>
      <c r="BC8" s="47">
        <f t="shared" si="26"/>
        <v>56200</v>
      </c>
      <c r="BD8" s="19"/>
      <c r="BE8" s="19"/>
      <c r="BF8" s="48"/>
      <c r="BG8" s="49">
        <f t="shared" si="27"/>
        <v>4000</v>
      </c>
    </row>
    <row r="9" spans="1:970" s="17" customFormat="1" ht="13">
      <c r="A9" s="28" t="s">
        <v>95</v>
      </c>
      <c r="B9" s="28" t="s">
        <v>96</v>
      </c>
      <c r="C9" s="29">
        <v>44522</v>
      </c>
      <c r="D9" s="28" t="s">
        <v>97</v>
      </c>
      <c r="E9" s="28" t="s">
        <v>98</v>
      </c>
      <c r="F9" s="28">
        <v>12</v>
      </c>
      <c r="G9" s="28" t="s">
        <v>99</v>
      </c>
      <c r="H9" s="30">
        <f>VLOOKUP(A9,ATTENDANCE!$A$1:$AV$27,48,0)</f>
        <v>3</v>
      </c>
      <c r="I9" s="53">
        <v>125000</v>
      </c>
      <c r="J9" s="19">
        <f t="shared" si="0"/>
        <v>123200</v>
      </c>
      <c r="K9" s="19">
        <f t="shared" si="1"/>
        <v>1950</v>
      </c>
      <c r="L9" s="19">
        <f t="shared" si="2"/>
        <v>0</v>
      </c>
      <c r="M9" s="19">
        <f t="shared" si="3"/>
        <v>0</v>
      </c>
      <c r="N9" s="54">
        <f t="shared" si="4"/>
        <v>1950</v>
      </c>
      <c r="O9" s="19">
        <f t="shared" si="5"/>
        <v>1800</v>
      </c>
      <c r="P9" s="19">
        <f t="shared" si="6"/>
        <v>50000</v>
      </c>
      <c r="Q9" s="19">
        <f t="shared" si="7"/>
        <v>25000</v>
      </c>
      <c r="R9" s="19">
        <f t="shared" si="8"/>
        <v>25000</v>
      </c>
      <c r="S9" s="19">
        <f t="shared" si="9"/>
        <v>25000</v>
      </c>
      <c r="T9" s="34">
        <f>VLOOKUP(A9,ATTENDANCE!$A:$AW,49,0)</f>
        <v>30.5</v>
      </c>
      <c r="U9" s="19">
        <v>31</v>
      </c>
      <c r="V9" s="35">
        <f t="shared" si="10"/>
        <v>0.9838709677419355</v>
      </c>
      <c r="W9" s="19">
        <f t="shared" si="11"/>
        <v>1612.9032258064517</v>
      </c>
      <c r="X9" s="32">
        <f t="shared" si="12"/>
        <v>122983.87096774194</v>
      </c>
      <c r="Y9" s="33">
        <f t="shared" si="13"/>
        <v>49193.548387096773</v>
      </c>
      <c r="Z9" s="33">
        <f t="shared" si="14"/>
        <v>24596.774193548386</v>
      </c>
      <c r="AA9" s="33">
        <f t="shared" si="15"/>
        <v>24596.774193548386</v>
      </c>
      <c r="AB9" s="33">
        <f t="shared" si="16"/>
        <v>24596.774193548386</v>
      </c>
      <c r="AC9" s="33">
        <f t="shared" si="17"/>
        <v>1800</v>
      </c>
      <c r="AD9" s="36">
        <f t="shared" si="18"/>
        <v>1950</v>
      </c>
      <c r="AE9" s="36">
        <f t="shared" si="19"/>
        <v>0</v>
      </c>
      <c r="AF9" s="36">
        <f t="shared" si="20"/>
        <v>0</v>
      </c>
      <c r="AG9" s="48">
        <f t="shared" si="21"/>
        <v>4032.2580645161293</v>
      </c>
      <c r="AH9" s="38">
        <f>VLOOKUP(A9,ATTENDANCE!$A$1:$BC$27,55,0)</f>
        <v>3.12</v>
      </c>
      <c r="AI9" s="39">
        <f t="shared" si="22"/>
        <v>121183.87096774194</v>
      </c>
      <c r="AJ9" s="39">
        <v>5000</v>
      </c>
      <c r="AK9" s="19">
        <v>0</v>
      </c>
      <c r="AL9" s="19"/>
      <c r="AM9" s="52">
        <f>4400*27.5/31</f>
        <v>3903.2258064516127</v>
      </c>
      <c r="AN9" s="33">
        <v>0</v>
      </c>
      <c r="AO9" s="40">
        <v>0</v>
      </c>
      <c r="AP9" s="19">
        <v>0</v>
      </c>
      <c r="AQ9" s="41"/>
      <c r="AR9" s="42"/>
      <c r="AS9" s="43">
        <f t="shared" si="23"/>
        <v>0</v>
      </c>
      <c r="AT9" s="44">
        <v>0</v>
      </c>
      <c r="AU9" s="44">
        <v>131.86000000000001</v>
      </c>
      <c r="AV9" s="44">
        <f t="shared" si="24"/>
        <v>26372.000000000004</v>
      </c>
      <c r="AW9" s="44">
        <v>200</v>
      </c>
      <c r="AX9" s="55">
        <v>209.21</v>
      </c>
      <c r="AY9" s="44">
        <f t="shared" si="25"/>
        <v>20921</v>
      </c>
      <c r="AZ9" s="45">
        <v>100</v>
      </c>
      <c r="BA9" s="45">
        <v>0</v>
      </c>
      <c r="BB9" s="46"/>
      <c r="BC9" s="47">
        <f t="shared" si="26"/>
        <v>167380.09677419355</v>
      </c>
      <c r="BD9" s="19"/>
      <c r="BE9" s="19"/>
      <c r="BF9" s="48"/>
      <c r="BG9" s="49">
        <f t="shared" si="27"/>
        <v>20921</v>
      </c>
    </row>
    <row r="10" spans="1:970" ht="13">
      <c r="A10" s="28" t="s">
        <v>100</v>
      </c>
      <c r="B10" s="28" t="s">
        <v>101</v>
      </c>
      <c r="C10" s="29">
        <v>44515</v>
      </c>
      <c r="D10" s="28" t="s">
        <v>102</v>
      </c>
      <c r="E10" s="28" t="s">
        <v>103</v>
      </c>
      <c r="F10" s="28">
        <v>12</v>
      </c>
      <c r="G10" s="28" t="s">
        <v>104</v>
      </c>
      <c r="H10" s="30">
        <f>VLOOKUP(A10,ATTENDANCE!$A$1:$AV$27,48,0)</f>
        <v>1.5</v>
      </c>
      <c r="I10" s="31">
        <v>20000</v>
      </c>
      <c r="J10" s="32">
        <f t="shared" si="0"/>
        <v>18170</v>
      </c>
      <c r="K10" s="32">
        <f t="shared" si="1"/>
        <v>1820</v>
      </c>
      <c r="L10" s="32">
        <f t="shared" si="2"/>
        <v>650</v>
      </c>
      <c r="M10" s="32">
        <f t="shared" si="3"/>
        <v>150</v>
      </c>
      <c r="N10" s="33">
        <f t="shared" si="4"/>
        <v>1614.5161290322583</v>
      </c>
      <c r="O10" s="32">
        <f t="shared" si="5"/>
        <v>1680</v>
      </c>
      <c r="P10" s="32">
        <f t="shared" si="6"/>
        <v>12000</v>
      </c>
      <c r="Q10" s="32">
        <f t="shared" si="7"/>
        <v>6000</v>
      </c>
      <c r="R10" s="32">
        <f t="shared" si="8"/>
        <v>2000</v>
      </c>
      <c r="S10" s="32">
        <f t="shared" si="9"/>
        <v>0</v>
      </c>
      <c r="T10" s="34">
        <f>VLOOKUP(A10,ATTENDANCE!$A:$AW,49,0)</f>
        <v>27.5</v>
      </c>
      <c r="U10" s="19">
        <v>31</v>
      </c>
      <c r="V10" s="35">
        <f t="shared" si="10"/>
        <v>0.88709677419354838</v>
      </c>
      <c r="W10" s="19">
        <f t="shared" si="11"/>
        <v>387.09677419354841</v>
      </c>
      <c r="X10" s="32">
        <f t="shared" si="12"/>
        <v>17741.935483870966</v>
      </c>
      <c r="Y10" s="33">
        <f t="shared" si="13"/>
        <v>10645.161290322581</v>
      </c>
      <c r="Z10" s="33">
        <f t="shared" si="14"/>
        <v>5322.5806451612907</v>
      </c>
      <c r="AA10" s="33">
        <f t="shared" si="15"/>
        <v>1774.1935483870968</v>
      </c>
      <c r="AB10" s="33">
        <f t="shared" si="16"/>
        <v>0</v>
      </c>
      <c r="AC10" s="33">
        <f t="shared" si="17"/>
        <v>1490.3225806451612</v>
      </c>
      <c r="AD10" s="36">
        <f t="shared" si="18"/>
        <v>1614.5161290322583</v>
      </c>
      <c r="AE10" s="36">
        <f t="shared" si="19"/>
        <v>133.06451612903223</v>
      </c>
      <c r="AF10" s="36">
        <f t="shared" si="20"/>
        <v>576.61290322580646</v>
      </c>
      <c r="AG10" s="37">
        <f t="shared" si="21"/>
        <v>645.16129032258061</v>
      </c>
      <c r="AH10" s="38">
        <f>VLOOKUP(A10,ATTENDANCE!$A$1:$BC$27,55,0)</f>
        <v>1.5</v>
      </c>
      <c r="AI10" s="39">
        <f t="shared" si="22"/>
        <v>16118.548387096776</v>
      </c>
      <c r="AJ10" s="39">
        <v>0</v>
      </c>
      <c r="AK10" s="19">
        <v>0</v>
      </c>
      <c r="AL10" s="32">
        <v>1</v>
      </c>
      <c r="AM10" s="32"/>
      <c r="AN10" s="33"/>
      <c r="AO10" s="40">
        <v>0</v>
      </c>
      <c r="AP10" s="19">
        <v>0</v>
      </c>
      <c r="AQ10" s="41">
        <v>6</v>
      </c>
      <c r="AR10" s="42"/>
      <c r="AS10" s="43">
        <f t="shared" si="23"/>
        <v>1800</v>
      </c>
      <c r="AT10" s="44">
        <v>0</v>
      </c>
      <c r="AU10" s="44"/>
      <c r="AV10" s="44">
        <f t="shared" si="24"/>
        <v>0</v>
      </c>
      <c r="AW10" s="44"/>
      <c r="AX10" s="44"/>
      <c r="AY10" s="44">
        <f t="shared" si="25"/>
        <v>0</v>
      </c>
      <c r="AZ10" s="45">
        <v>300</v>
      </c>
      <c r="BA10" s="45">
        <f>IFERROR(_xlfn.XLOOKUP(A10,'Stack Incentive'!A:A,'Stack Incentive'!K:K),"")</f>
        <v>0</v>
      </c>
      <c r="BB10" s="46"/>
      <c r="BC10" s="47">
        <f t="shared" si="26"/>
        <v>17917.548387096776</v>
      </c>
      <c r="BD10" s="19"/>
      <c r="BE10" s="19"/>
      <c r="BF10" s="48"/>
      <c r="BG10" s="49">
        <f t="shared" si="27"/>
        <v>1800</v>
      </c>
    </row>
    <row r="11" spans="1:970" ht="13">
      <c r="A11" s="28" t="s">
        <v>105</v>
      </c>
      <c r="B11" s="28" t="s">
        <v>106</v>
      </c>
      <c r="C11" s="29">
        <v>44531</v>
      </c>
      <c r="D11" s="28" t="s">
        <v>107</v>
      </c>
      <c r="E11" s="28" t="s">
        <v>108</v>
      </c>
      <c r="F11" s="28">
        <v>11</v>
      </c>
      <c r="G11" s="28" t="s">
        <v>109</v>
      </c>
      <c r="H11" s="30">
        <f>VLOOKUP(A11,ATTENDANCE!$A$1:$AV$27,48,0)</f>
        <v>1.5</v>
      </c>
      <c r="I11" s="31">
        <v>28887</v>
      </c>
      <c r="J11" s="32">
        <f t="shared" si="0"/>
        <v>27087</v>
      </c>
      <c r="K11" s="32">
        <f t="shared" si="1"/>
        <v>1950</v>
      </c>
      <c r="L11" s="32">
        <f t="shared" si="2"/>
        <v>0</v>
      </c>
      <c r="M11" s="32">
        <f t="shared" si="3"/>
        <v>0</v>
      </c>
      <c r="N11" s="33">
        <f t="shared" si="4"/>
        <v>1950</v>
      </c>
      <c r="O11" s="32">
        <f t="shared" si="5"/>
        <v>1800</v>
      </c>
      <c r="P11" s="32">
        <f t="shared" si="6"/>
        <v>12000</v>
      </c>
      <c r="Q11" s="32">
        <f t="shared" si="7"/>
        <v>6000</v>
      </c>
      <c r="R11" s="32">
        <f t="shared" si="8"/>
        <v>6000</v>
      </c>
      <c r="S11" s="32">
        <f t="shared" si="9"/>
        <v>4887</v>
      </c>
      <c r="T11" s="34">
        <f>VLOOKUP(A11,ATTENDANCE!$A:$AW,49,0)</f>
        <v>31</v>
      </c>
      <c r="U11" s="19">
        <v>31</v>
      </c>
      <c r="V11" s="35">
        <f t="shared" si="10"/>
        <v>1</v>
      </c>
      <c r="W11" s="19">
        <f t="shared" si="11"/>
        <v>387.09677419354841</v>
      </c>
      <c r="X11" s="32">
        <f t="shared" si="12"/>
        <v>28887</v>
      </c>
      <c r="Y11" s="33">
        <f t="shared" si="13"/>
        <v>12000</v>
      </c>
      <c r="Z11" s="33">
        <f t="shared" si="14"/>
        <v>6000</v>
      </c>
      <c r="AA11" s="33">
        <f t="shared" si="15"/>
        <v>6000</v>
      </c>
      <c r="AB11" s="33">
        <f t="shared" si="16"/>
        <v>4887</v>
      </c>
      <c r="AC11" s="33">
        <f t="shared" si="17"/>
        <v>1800</v>
      </c>
      <c r="AD11" s="36">
        <f t="shared" si="18"/>
        <v>1950</v>
      </c>
      <c r="AE11" s="36">
        <f t="shared" si="19"/>
        <v>0</v>
      </c>
      <c r="AF11" s="36">
        <f t="shared" si="20"/>
        <v>0</v>
      </c>
      <c r="AG11" s="37">
        <f t="shared" si="21"/>
        <v>931.83870967741939</v>
      </c>
      <c r="AH11" s="38">
        <f>VLOOKUP(A11,ATTENDANCE!$A$1:$BC$27,55,0)</f>
        <v>2</v>
      </c>
      <c r="AI11" s="39">
        <f t="shared" si="22"/>
        <v>27087</v>
      </c>
      <c r="AJ11" s="39">
        <v>0</v>
      </c>
      <c r="AK11" s="32">
        <v>0</v>
      </c>
      <c r="AL11" s="32"/>
      <c r="AM11" s="32"/>
      <c r="AN11" s="33"/>
      <c r="AO11" s="40">
        <v>0</v>
      </c>
      <c r="AP11" s="19">
        <v>0</v>
      </c>
      <c r="AQ11" s="41">
        <v>4</v>
      </c>
      <c r="AR11" s="42"/>
      <c r="AS11" s="43">
        <f t="shared" si="23"/>
        <v>0</v>
      </c>
      <c r="AT11" s="44">
        <v>0</v>
      </c>
      <c r="AU11" s="44"/>
      <c r="AV11" s="44">
        <f t="shared" si="24"/>
        <v>0</v>
      </c>
      <c r="AW11" s="44"/>
      <c r="AX11" s="44"/>
      <c r="AY11" s="44">
        <f t="shared" si="25"/>
        <v>0</v>
      </c>
      <c r="AZ11" s="45">
        <v>300</v>
      </c>
      <c r="BA11" s="45">
        <f>IFERROR(_xlfn.XLOOKUP(A11,'Stack Incentive'!A:A,'Stack Incentive'!K:K),"")</f>
        <v>0</v>
      </c>
      <c r="BB11" s="46"/>
      <c r="BC11" s="47">
        <f t="shared" si="26"/>
        <v>27087</v>
      </c>
      <c r="BD11" s="19"/>
      <c r="BE11" s="19"/>
      <c r="BF11" s="48"/>
      <c r="BG11" s="49">
        <f t="shared" si="27"/>
        <v>0</v>
      </c>
    </row>
    <row r="12" spans="1:970" ht="13">
      <c r="A12" s="28" t="s">
        <v>110</v>
      </c>
      <c r="B12" s="28" t="s">
        <v>111</v>
      </c>
      <c r="C12" s="29">
        <v>44593</v>
      </c>
      <c r="D12" s="28" t="s">
        <v>112</v>
      </c>
      <c r="E12" s="28" t="s">
        <v>113</v>
      </c>
      <c r="F12" s="28">
        <v>9</v>
      </c>
      <c r="G12" s="28" t="s">
        <v>114</v>
      </c>
      <c r="H12" s="30">
        <f>VLOOKUP(A12,ATTENDANCE!$A$1:$AV$27,48,0)</f>
        <v>1</v>
      </c>
      <c r="I12" s="31">
        <v>25606</v>
      </c>
      <c r="J12" s="32">
        <f t="shared" si="0"/>
        <v>23806</v>
      </c>
      <c r="K12" s="32">
        <f t="shared" si="1"/>
        <v>1950</v>
      </c>
      <c r="L12" s="32">
        <f t="shared" si="2"/>
        <v>0</v>
      </c>
      <c r="M12" s="32">
        <f t="shared" si="3"/>
        <v>0</v>
      </c>
      <c r="N12" s="33">
        <f t="shared" si="4"/>
        <v>1950</v>
      </c>
      <c r="O12" s="32">
        <f t="shared" si="5"/>
        <v>1800</v>
      </c>
      <c r="P12" s="32">
        <f t="shared" si="6"/>
        <v>12000</v>
      </c>
      <c r="Q12" s="32">
        <f t="shared" si="7"/>
        <v>6000</v>
      </c>
      <c r="R12" s="32">
        <f t="shared" si="8"/>
        <v>6000</v>
      </c>
      <c r="S12" s="32">
        <f t="shared" si="9"/>
        <v>1606</v>
      </c>
      <c r="T12" s="34">
        <f>VLOOKUP(A12,ATTENDANCE!$A:$AW,49,0)</f>
        <v>26</v>
      </c>
      <c r="U12" s="19">
        <v>31</v>
      </c>
      <c r="V12" s="35">
        <f t="shared" si="10"/>
        <v>0.83870967741935487</v>
      </c>
      <c r="W12" s="19">
        <f t="shared" si="11"/>
        <v>387.09677419354841</v>
      </c>
      <c r="X12" s="32">
        <f t="shared" si="12"/>
        <v>21476</v>
      </c>
      <c r="Y12" s="33">
        <f t="shared" si="13"/>
        <v>10064.516129032258</v>
      </c>
      <c r="Z12" s="33">
        <f t="shared" si="14"/>
        <v>5032.2580645161288</v>
      </c>
      <c r="AA12" s="33">
        <f t="shared" si="15"/>
        <v>5032.2580645161288</v>
      </c>
      <c r="AB12" s="33">
        <f t="shared" si="16"/>
        <v>1346.9677419354839</v>
      </c>
      <c r="AC12" s="33">
        <f t="shared" si="17"/>
        <v>1800</v>
      </c>
      <c r="AD12" s="36">
        <f t="shared" si="18"/>
        <v>1950</v>
      </c>
      <c r="AE12" s="36">
        <f t="shared" si="19"/>
        <v>0</v>
      </c>
      <c r="AF12" s="36">
        <f t="shared" si="20"/>
        <v>0</v>
      </c>
      <c r="AG12" s="37">
        <f t="shared" si="21"/>
        <v>826</v>
      </c>
      <c r="AH12" s="38">
        <f>VLOOKUP(A12,ATTENDANCE!$A$1:$BC$27,55,0)</f>
        <v>1.25</v>
      </c>
      <c r="AI12" s="39">
        <f t="shared" si="22"/>
        <v>19676</v>
      </c>
      <c r="AJ12" s="39">
        <v>0</v>
      </c>
      <c r="AK12" s="32">
        <v>500</v>
      </c>
      <c r="AL12" s="32"/>
      <c r="AM12" s="32"/>
      <c r="AN12" s="33"/>
      <c r="AO12" s="40">
        <v>0</v>
      </c>
      <c r="AP12" s="19">
        <v>0</v>
      </c>
      <c r="AQ12" s="41">
        <v>5</v>
      </c>
      <c r="AR12" s="42"/>
      <c r="AS12" s="43">
        <f t="shared" si="23"/>
        <v>1500</v>
      </c>
      <c r="AT12" s="44">
        <v>0</v>
      </c>
      <c r="AU12" s="44">
        <v>101.52</v>
      </c>
      <c r="AV12" s="44">
        <f t="shared" si="24"/>
        <v>60912</v>
      </c>
      <c r="AW12" s="44">
        <v>600</v>
      </c>
      <c r="AX12" s="44">
        <v>19.600000000000001</v>
      </c>
      <c r="AY12" s="44">
        <f t="shared" si="25"/>
        <v>5880</v>
      </c>
      <c r="AZ12" s="45">
        <v>300</v>
      </c>
      <c r="BA12" s="45">
        <f>IFERROR(_xlfn.XLOOKUP(A12,'Stack Incentive'!A:A,'Stack Incentive'!K:K),"")</f>
        <v>625</v>
      </c>
      <c r="BB12" s="46"/>
      <c r="BC12" s="47">
        <f t="shared" si="26"/>
        <v>88093</v>
      </c>
      <c r="BD12" s="19"/>
      <c r="BE12" s="19"/>
      <c r="BF12" s="48"/>
      <c r="BG12" s="49">
        <f t="shared" si="27"/>
        <v>8005</v>
      </c>
    </row>
    <row r="13" spans="1:970" ht="13">
      <c r="A13" s="28" t="s">
        <v>115</v>
      </c>
      <c r="B13" s="28" t="s">
        <v>116</v>
      </c>
      <c r="C13" s="29">
        <v>44635</v>
      </c>
      <c r="D13" s="28" t="s">
        <v>117</v>
      </c>
      <c r="E13" s="28" t="s">
        <v>118</v>
      </c>
      <c r="F13" s="28">
        <v>8</v>
      </c>
      <c r="G13" s="28" t="s">
        <v>119</v>
      </c>
      <c r="H13" s="30">
        <f>VLOOKUP(A13,ATTENDANCE!$A$1:$AV$27,48,0)</f>
        <v>1</v>
      </c>
      <c r="I13" s="31">
        <v>23709</v>
      </c>
      <c r="J13" s="32">
        <f t="shared" si="0"/>
        <v>21909</v>
      </c>
      <c r="K13" s="32">
        <f t="shared" si="1"/>
        <v>1950</v>
      </c>
      <c r="L13" s="32">
        <f t="shared" si="2"/>
        <v>0</v>
      </c>
      <c r="M13" s="32">
        <f t="shared" si="3"/>
        <v>0</v>
      </c>
      <c r="N13" s="33">
        <f t="shared" si="4"/>
        <v>1950</v>
      </c>
      <c r="O13" s="32">
        <f t="shared" si="5"/>
        <v>1800</v>
      </c>
      <c r="P13" s="32">
        <f t="shared" si="6"/>
        <v>12000</v>
      </c>
      <c r="Q13" s="32">
        <f t="shared" si="7"/>
        <v>6000</v>
      </c>
      <c r="R13" s="32">
        <f t="shared" si="8"/>
        <v>5709</v>
      </c>
      <c r="S13" s="32">
        <f t="shared" si="9"/>
        <v>0</v>
      </c>
      <c r="T13" s="34">
        <f>VLOOKUP(A13,ATTENDANCE!$A:$AW,49,0)</f>
        <v>29.5</v>
      </c>
      <c r="U13" s="19">
        <v>31</v>
      </c>
      <c r="V13" s="35">
        <f t="shared" si="10"/>
        <v>0.95161290322580649</v>
      </c>
      <c r="W13" s="19">
        <f t="shared" si="11"/>
        <v>387.09677419354841</v>
      </c>
      <c r="X13" s="32">
        <f t="shared" si="12"/>
        <v>22561.790322580648</v>
      </c>
      <c r="Y13" s="33">
        <f t="shared" si="13"/>
        <v>11419.354838709678</v>
      </c>
      <c r="Z13" s="33">
        <f t="shared" si="14"/>
        <v>5709.677419354839</v>
      </c>
      <c r="AA13" s="33">
        <f t="shared" si="15"/>
        <v>5432.7580645161297</v>
      </c>
      <c r="AB13" s="33">
        <f t="shared" si="16"/>
        <v>0</v>
      </c>
      <c r="AC13" s="33">
        <f t="shared" si="17"/>
        <v>1800</v>
      </c>
      <c r="AD13" s="36">
        <f t="shared" si="18"/>
        <v>1950</v>
      </c>
      <c r="AE13" s="36">
        <f t="shared" si="19"/>
        <v>0</v>
      </c>
      <c r="AF13" s="36">
        <f t="shared" si="20"/>
        <v>0</v>
      </c>
      <c r="AG13" s="37">
        <f t="shared" si="21"/>
        <v>764.80645161290317</v>
      </c>
      <c r="AH13" s="38">
        <f>VLOOKUP(A13,ATTENDANCE!$A$1:$BC$27,55,0)</f>
        <v>1.25</v>
      </c>
      <c r="AI13" s="39">
        <f t="shared" si="22"/>
        <v>20761.790322580644</v>
      </c>
      <c r="AJ13" s="39">
        <v>0</v>
      </c>
      <c r="AK13" s="32">
        <v>0</v>
      </c>
      <c r="AL13" s="32"/>
      <c r="AM13" s="32"/>
      <c r="AN13" s="33"/>
      <c r="AO13" s="40">
        <v>0</v>
      </c>
      <c r="AP13" s="19">
        <v>0</v>
      </c>
      <c r="AQ13" s="41">
        <v>7</v>
      </c>
      <c r="AR13" s="42"/>
      <c r="AS13" s="43">
        <f t="shared" si="23"/>
        <v>2100</v>
      </c>
      <c r="AT13" s="44">
        <v>0</v>
      </c>
      <c r="AU13" s="44"/>
      <c r="AV13" s="44">
        <f t="shared" si="24"/>
        <v>0</v>
      </c>
      <c r="AW13" s="44"/>
      <c r="AX13" s="44"/>
      <c r="AY13" s="44">
        <f t="shared" si="25"/>
        <v>0</v>
      </c>
      <c r="AZ13" s="45">
        <v>300</v>
      </c>
      <c r="BA13" s="45">
        <f>IFERROR(_xlfn.XLOOKUP(A13,'Stack Incentive'!A:A,'Stack Incentive'!K:K),"")</f>
        <v>625</v>
      </c>
      <c r="BB13" s="46"/>
      <c r="BC13" s="47">
        <f t="shared" si="26"/>
        <v>23486.790322580644</v>
      </c>
      <c r="BD13" s="19"/>
      <c r="BE13" s="19"/>
      <c r="BF13" s="48"/>
      <c r="BG13" s="49">
        <f t="shared" si="27"/>
        <v>2725</v>
      </c>
    </row>
    <row r="14" spans="1:970" ht="13">
      <c r="A14" s="28" t="s">
        <v>120</v>
      </c>
      <c r="B14" s="28" t="s">
        <v>121</v>
      </c>
      <c r="C14" s="29">
        <v>44641</v>
      </c>
      <c r="D14" s="28" t="s">
        <v>122</v>
      </c>
      <c r="E14" s="28" t="s">
        <v>123</v>
      </c>
      <c r="F14" s="28">
        <v>8</v>
      </c>
      <c r="G14" s="28" t="s">
        <v>124</v>
      </c>
      <c r="H14" s="30">
        <f>VLOOKUP(A14,ATTENDANCE!$A$1:$AV$27,48,0)</f>
        <v>2.5</v>
      </c>
      <c r="I14" s="31">
        <v>27503</v>
      </c>
      <c r="J14" s="32">
        <f t="shared" si="0"/>
        <v>25703</v>
      </c>
      <c r="K14" s="32">
        <f t="shared" si="1"/>
        <v>1950</v>
      </c>
      <c r="L14" s="32">
        <f t="shared" si="2"/>
        <v>0</v>
      </c>
      <c r="M14" s="32">
        <f t="shared" si="3"/>
        <v>0</v>
      </c>
      <c r="N14" s="33">
        <f t="shared" si="4"/>
        <v>1950</v>
      </c>
      <c r="O14" s="32">
        <f t="shared" si="5"/>
        <v>1800</v>
      </c>
      <c r="P14" s="32">
        <f t="shared" si="6"/>
        <v>12000</v>
      </c>
      <c r="Q14" s="32">
        <f t="shared" si="7"/>
        <v>6000</v>
      </c>
      <c r="R14" s="32">
        <f t="shared" si="8"/>
        <v>6000</v>
      </c>
      <c r="S14" s="32">
        <f t="shared" si="9"/>
        <v>3503</v>
      </c>
      <c r="T14" s="34">
        <f>VLOOKUP(A14,ATTENDANCE!$A:$AW,49,0)</f>
        <v>30.5</v>
      </c>
      <c r="U14" s="19">
        <v>31</v>
      </c>
      <c r="V14" s="35">
        <f t="shared" si="10"/>
        <v>0.9838709677419355</v>
      </c>
      <c r="W14" s="19">
        <f t="shared" si="11"/>
        <v>387.09677419354841</v>
      </c>
      <c r="X14" s="32">
        <f t="shared" si="12"/>
        <v>27059.403225806451</v>
      </c>
      <c r="Y14" s="33">
        <f t="shared" si="13"/>
        <v>11806.451612903225</v>
      </c>
      <c r="Z14" s="33">
        <f t="shared" si="14"/>
        <v>5903.2258064516127</v>
      </c>
      <c r="AA14" s="33">
        <f t="shared" si="15"/>
        <v>5903.2258064516127</v>
      </c>
      <c r="AB14" s="33">
        <f t="shared" si="16"/>
        <v>3446.5</v>
      </c>
      <c r="AC14" s="33">
        <f t="shared" si="17"/>
        <v>1800</v>
      </c>
      <c r="AD14" s="36">
        <f t="shared" si="18"/>
        <v>1950</v>
      </c>
      <c r="AE14" s="36">
        <f t="shared" si="19"/>
        <v>0</v>
      </c>
      <c r="AF14" s="36">
        <f t="shared" si="20"/>
        <v>0</v>
      </c>
      <c r="AG14" s="37">
        <f t="shared" si="21"/>
        <v>887.19354838709683</v>
      </c>
      <c r="AH14" s="38">
        <f>VLOOKUP(A14,ATTENDANCE!$A$1:$BC$27,55,0)</f>
        <v>2.5</v>
      </c>
      <c r="AI14" s="39">
        <f t="shared" si="22"/>
        <v>25259.403225806451</v>
      </c>
      <c r="AJ14" s="39">
        <v>0</v>
      </c>
      <c r="AK14" s="32">
        <v>100</v>
      </c>
      <c r="AL14" s="32"/>
      <c r="AM14" s="32"/>
      <c r="AN14" s="33"/>
      <c r="AO14" s="40">
        <v>0</v>
      </c>
      <c r="AP14" s="19">
        <v>0</v>
      </c>
      <c r="AQ14" s="41">
        <v>3</v>
      </c>
      <c r="AR14" s="42"/>
      <c r="AS14" s="43">
        <f t="shared" si="23"/>
        <v>0</v>
      </c>
      <c r="AT14" s="44">
        <v>0</v>
      </c>
      <c r="AU14" s="44">
        <v>30.34</v>
      </c>
      <c r="AV14" s="44">
        <f t="shared" si="24"/>
        <v>18204</v>
      </c>
      <c r="AW14" s="44">
        <v>600</v>
      </c>
      <c r="AX14" s="44">
        <v>20.28</v>
      </c>
      <c r="AY14" s="44">
        <f t="shared" si="25"/>
        <v>6084</v>
      </c>
      <c r="AZ14" s="45">
        <v>300</v>
      </c>
      <c r="BA14" s="45">
        <f>IFERROR(_xlfn.XLOOKUP(A14,'Stack Incentive'!A:A,'Stack Incentive'!K:K),"")</f>
        <v>0</v>
      </c>
      <c r="BB14" s="46"/>
      <c r="BC14" s="47">
        <f t="shared" si="26"/>
        <v>49447.403225806454</v>
      </c>
      <c r="BD14" s="19"/>
      <c r="BE14" s="19"/>
      <c r="BF14" s="48"/>
      <c r="BG14" s="49">
        <f t="shared" si="27"/>
        <v>6084</v>
      </c>
    </row>
    <row r="15" spans="1:970" ht="13">
      <c r="A15" s="28" t="s">
        <v>125</v>
      </c>
      <c r="B15" s="28" t="s">
        <v>126</v>
      </c>
      <c r="C15" s="29">
        <v>44671</v>
      </c>
      <c r="D15" s="28" t="s">
        <v>127</v>
      </c>
      <c r="E15" s="28" t="s">
        <v>128</v>
      </c>
      <c r="F15" s="28">
        <v>7</v>
      </c>
      <c r="G15" s="28" t="s">
        <v>129</v>
      </c>
      <c r="H15" s="30">
        <f>VLOOKUP(A15,ATTENDANCE!$A$1:$AV$27,48,0)</f>
        <v>2.5</v>
      </c>
      <c r="I15" s="31">
        <v>30348</v>
      </c>
      <c r="J15" s="32">
        <f t="shared" si="0"/>
        <v>28548</v>
      </c>
      <c r="K15" s="32">
        <f t="shared" si="1"/>
        <v>1950</v>
      </c>
      <c r="L15" s="32">
        <f t="shared" si="2"/>
        <v>0</v>
      </c>
      <c r="M15" s="32">
        <f t="shared" si="3"/>
        <v>0</v>
      </c>
      <c r="N15" s="33">
        <f t="shared" si="4"/>
        <v>1950</v>
      </c>
      <c r="O15" s="32">
        <f t="shared" si="5"/>
        <v>1800</v>
      </c>
      <c r="P15" s="32">
        <f t="shared" si="6"/>
        <v>12139.2</v>
      </c>
      <c r="Q15" s="32">
        <f t="shared" si="7"/>
        <v>6069.6</v>
      </c>
      <c r="R15" s="32">
        <f t="shared" si="8"/>
        <v>6069.6</v>
      </c>
      <c r="S15" s="32">
        <f t="shared" si="9"/>
        <v>6069.5999999999985</v>
      </c>
      <c r="T15" s="34">
        <f>VLOOKUP(A15,ATTENDANCE!$A:$AW,49,0)</f>
        <v>29</v>
      </c>
      <c r="U15" s="19">
        <v>31</v>
      </c>
      <c r="V15" s="35">
        <f t="shared" si="10"/>
        <v>0.93548387096774188</v>
      </c>
      <c r="W15" s="19">
        <f t="shared" si="11"/>
        <v>391.58709677419358</v>
      </c>
      <c r="X15" s="32">
        <f t="shared" si="12"/>
        <v>28390.06451612903</v>
      </c>
      <c r="Y15" s="33">
        <f t="shared" si="13"/>
        <v>11356.025806451613</v>
      </c>
      <c r="Z15" s="33">
        <f t="shared" si="14"/>
        <v>5678.0129032258064</v>
      </c>
      <c r="AA15" s="33">
        <f t="shared" si="15"/>
        <v>5678.0129032258064</v>
      </c>
      <c r="AB15" s="33">
        <f t="shared" si="16"/>
        <v>5678.0129032258046</v>
      </c>
      <c r="AC15" s="33">
        <f t="shared" si="17"/>
        <v>1800</v>
      </c>
      <c r="AD15" s="36">
        <f t="shared" si="18"/>
        <v>1950</v>
      </c>
      <c r="AE15" s="36">
        <f t="shared" si="19"/>
        <v>0</v>
      </c>
      <c r="AF15" s="36">
        <f t="shared" si="20"/>
        <v>0</v>
      </c>
      <c r="AG15" s="37">
        <f t="shared" si="21"/>
        <v>978.9677419354839</v>
      </c>
      <c r="AH15" s="38">
        <f>VLOOKUP(A15,ATTENDANCE!$A$1:$BC$27,55,0)</f>
        <v>2.875</v>
      </c>
      <c r="AI15" s="39">
        <f t="shared" si="22"/>
        <v>26590.06451612903</v>
      </c>
      <c r="AJ15" s="39">
        <v>0</v>
      </c>
      <c r="AK15" s="32">
        <v>0</v>
      </c>
      <c r="AL15" s="32"/>
      <c r="AM15" s="32"/>
      <c r="AN15" s="33"/>
      <c r="AO15" s="40">
        <v>0</v>
      </c>
      <c r="AP15" s="19">
        <v>0</v>
      </c>
      <c r="AQ15" s="41"/>
      <c r="AR15" s="42"/>
      <c r="AS15" s="43">
        <f t="shared" si="23"/>
        <v>0</v>
      </c>
      <c r="AT15" s="44">
        <v>0</v>
      </c>
      <c r="AU15" s="44"/>
      <c r="AV15" s="44">
        <f t="shared" si="24"/>
        <v>0</v>
      </c>
      <c r="AW15" s="44"/>
      <c r="AX15" s="44"/>
      <c r="AY15" s="44">
        <f t="shared" si="25"/>
        <v>0</v>
      </c>
      <c r="AZ15" s="45"/>
      <c r="BA15" s="45">
        <v>0</v>
      </c>
      <c r="BB15" s="56"/>
      <c r="BC15" s="47">
        <f t="shared" si="26"/>
        <v>26590.06451612903</v>
      </c>
      <c r="BD15" s="19"/>
      <c r="BE15" s="19"/>
      <c r="BF15" s="48"/>
      <c r="BG15" s="49">
        <f t="shared" si="27"/>
        <v>0</v>
      </c>
    </row>
    <row r="16" spans="1:970" ht="13">
      <c r="A16" s="28" t="s">
        <v>130</v>
      </c>
      <c r="B16" s="28" t="s">
        <v>131</v>
      </c>
      <c r="C16" s="29">
        <v>44683</v>
      </c>
      <c r="D16" s="28" t="s">
        <v>132</v>
      </c>
      <c r="E16" s="28" t="s">
        <v>133</v>
      </c>
      <c r="F16" s="28">
        <v>6</v>
      </c>
      <c r="G16" s="28" t="s">
        <v>134</v>
      </c>
      <c r="H16" s="30">
        <f>VLOOKUP(A16,ATTENDANCE!$A$1:$AV$27,48,0)</f>
        <v>3.5</v>
      </c>
      <c r="I16" s="57">
        <v>31518</v>
      </c>
      <c r="J16" s="32">
        <f t="shared" si="0"/>
        <v>29718</v>
      </c>
      <c r="K16" s="58">
        <f t="shared" si="1"/>
        <v>1950</v>
      </c>
      <c r="L16" s="58">
        <f t="shared" si="2"/>
        <v>0</v>
      </c>
      <c r="M16" s="58">
        <f t="shared" si="3"/>
        <v>0</v>
      </c>
      <c r="N16" s="59">
        <f t="shared" si="4"/>
        <v>1950</v>
      </c>
      <c r="O16" s="58">
        <f t="shared" si="5"/>
        <v>1800</v>
      </c>
      <c r="P16" s="32">
        <f t="shared" si="6"/>
        <v>12607.2</v>
      </c>
      <c r="Q16" s="32">
        <f t="shared" si="7"/>
        <v>6303.6</v>
      </c>
      <c r="R16" s="32">
        <f t="shared" si="8"/>
        <v>6303.6</v>
      </c>
      <c r="S16" s="32">
        <f t="shared" si="9"/>
        <v>6303.5999999999985</v>
      </c>
      <c r="T16" s="34">
        <f>VLOOKUP(A16,ATTENDANCE!$A:$AW,49,0)</f>
        <v>30.5</v>
      </c>
      <c r="U16" s="19">
        <v>31</v>
      </c>
      <c r="V16" s="60">
        <f t="shared" si="10"/>
        <v>0.9838709677419355</v>
      </c>
      <c r="W16" s="61">
        <f t="shared" si="11"/>
        <v>406.68387096774194</v>
      </c>
      <c r="X16" s="32">
        <f t="shared" si="12"/>
        <v>31009.645161290322</v>
      </c>
      <c r="Y16" s="59">
        <f t="shared" si="13"/>
        <v>12403.858064516129</v>
      </c>
      <c r="Z16" s="59">
        <f t="shared" si="14"/>
        <v>6201.9290322580646</v>
      </c>
      <c r="AA16" s="59">
        <f t="shared" si="15"/>
        <v>6201.9290322580646</v>
      </c>
      <c r="AB16" s="59">
        <f t="shared" si="16"/>
        <v>6201.9290322580628</v>
      </c>
      <c r="AC16" s="59">
        <f t="shared" si="17"/>
        <v>1800</v>
      </c>
      <c r="AD16" s="62">
        <f t="shared" si="18"/>
        <v>1950</v>
      </c>
      <c r="AE16" s="62">
        <f t="shared" si="19"/>
        <v>0</v>
      </c>
      <c r="AF16" s="62">
        <f t="shared" si="20"/>
        <v>0</v>
      </c>
      <c r="AG16" s="37">
        <f t="shared" si="21"/>
        <v>1016.7096774193549</v>
      </c>
      <c r="AH16" s="38">
        <f>VLOOKUP(A16,ATTENDANCE!$A$1:$BC$27,55,0)</f>
        <v>3.75</v>
      </c>
      <c r="AI16" s="63">
        <f t="shared" si="22"/>
        <v>29209.645161290322</v>
      </c>
      <c r="AJ16" s="39">
        <v>0</v>
      </c>
      <c r="AK16" s="19">
        <v>3000</v>
      </c>
      <c r="AL16" s="58"/>
      <c r="AM16" s="58"/>
      <c r="AN16" s="59"/>
      <c r="AO16" s="40">
        <v>0</v>
      </c>
      <c r="AP16" s="19">
        <v>0</v>
      </c>
      <c r="AQ16" s="64"/>
      <c r="AR16" s="65"/>
      <c r="AS16" s="43">
        <f t="shared" si="23"/>
        <v>0</v>
      </c>
      <c r="AT16" s="44">
        <v>0</v>
      </c>
      <c r="AU16" s="44"/>
      <c r="AV16" s="44">
        <f t="shared" si="24"/>
        <v>0</v>
      </c>
      <c r="AW16" s="44"/>
      <c r="AX16" s="66"/>
      <c r="AY16" s="44">
        <f t="shared" si="25"/>
        <v>0</v>
      </c>
      <c r="AZ16" s="45"/>
      <c r="BA16" s="45">
        <v>0</v>
      </c>
      <c r="BB16" s="67"/>
      <c r="BC16" s="47">
        <f t="shared" si="26"/>
        <v>26209.645161290322</v>
      </c>
      <c r="BD16" s="19"/>
      <c r="BE16" s="19"/>
      <c r="BF16" s="48"/>
      <c r="BG16" s="49">
        <f t="shared" si="27"/>
        <v>0</v>
      </c>
    </row>
    <row r="17" spans="1:978" ht="13">
      <c r="A17" s="14" t="s">
        <v>135</v>
      </c>
      <c r="B17" s="68" t="s">
        <v>136</v>
      </c>
      <c r="C17" s="69">
        <v>44726</v>
      </c>
      <c r="D17" s="70" t="s">
        <v>137</v>
      </c>
      <c r="E17" s="28" t="s">
        <v>138</v>
      </c>
      <c r="F17" s="28">
        <f ca="1">DATEDIF(C17,TODAY(),"M")</f>
        <v>4</v>
      </c>
      <c r="G17" s="28" t="s">
        <v>139</v>
      </c>
      <c r="H17" s="30">
        <f>VLOOKUP(A17,ATTENDANCE!$A$1:$AV$27,48,0)</f>
        <v>1</v>
      </c>
      <c r="I17" s="57">
        <v>40000</v>
      </c>
      <c r="J17" s="32">
        <f t="shared" si="0"/>
        <v>38200</v>
      </c>
      <c r="K17" s="58">
        <f t="shared" si="1"/>
        <v>1950</v>
      </c>
      <c r="L17" s="58">
        <f t="shared" si="2"/>
        <v>0</v>
      </c>
      <c r="M17" s="58">
        <f t="shared" si="3"/>
        <v>0</v>
      </c>
      <c r="N17" s="59">
        <f t="shared" si="4"/>
        <v>1950</v>
      </c>
      <c r="O17" s="58">
        <f t="shared" si="5"/>
        <v>1800</v>
      </c>
      <c r="P17" s="32">
        <f t="shared" si="6"/>
        <v>16000</v>
      </c>
      <c r="Q17" s="32">
        <f t="shared" si="7"/>
        <v>8000</v>
      </c>
      <c r="R17" s="32">
        <f t="shared" si="8"/>
        <v>8000</v>
      </c>
      <c r="S17" s="32">
        <f t="shared" si="9"/>
        <v>8000</v>
      </c>
      <c r="T17" s="34">
        <f>VLOOKUP(A17,ATTENDANCE!$A:$AW,49,0)</f>
        <v>31</v>
      </c>
      <c r="U17" s="19">
        <v>31</v>
      </c>
      <c r="V17" s="60">
        <f t="shared" si="10"/>
        <v>1</v>
      </c>
      <c r="W17" s="61">
        <f t="shared" si="11"/>
        <v>516.12903225806451</v>
      </c>
      <c r="X17" s="32">
        <f t="shared" si="12"/>
        <v>40000</v>
      </c>
      <c r="Y17" s="59">
        <f t="shared" si="13"/>
        <v>16000</v>
      </c>
      <c r="Z17" s="59">
        <f t="shared" si="14"/>
        <v>8000</v>
      </c>
      <c r="AA17" s="59">
        <f t="shared" si="15"/>
        <v>8000</v>
      </c>
      <c r="AB17" s="59">
        <f t="shared" si="16"/>
        <v>8000</v>
      </c>
      <c r="AC17" s="59">
        <f t="shared" si="17"/>
        <v>1800</v>
      </c>
      <c r="AD17" s="62">
        <f t="shared" si="18"/>
        <v>1950</v>
      </c>
      <c r="AE17" s="62">
        <f t="shared" si="19"/>
        <v>0</v>
      </c>
      <c r="AF17" s="62">
        <f t="shared" si="20"/>
        <v>0</v>
      </c>
      <c r="AG17" s="37">
        <f t="shared" si="21"/>
        <v>1290.3225806451612</v>
      </c>
      <c r="AH17" s="38">
        <f>VLOOKUP(A17,ATTENDANCE!$A$1:$BC$27,55,0)</f>
        <v>1.25</v>
      </c>
      <c r="AI17" s="63">
        <f t="shared" si="22"/>
        <v>38200</v>
      </c>
      <c r="AJ17" s="39">
        <v>0</v>
      </c>
      <c r="AK17" s="19">
        <v>0</v>
      </c>
      <c r="AL17" s="58"/>
      <c r="AM17" s="58"/>
      <c r="AN17" s="59"/>
      <c r="AO17" s="40">
        <v>636.65</v>
      </c>
      <c r="AP17" s="19">
        <v>0</v>
      </c>
      <c r="AQ17" s="64"/>
      <c r="AR17" s="65"/>
      <c r="AS17" s="43">
        <f t="shared" si="23"/>
        <v>0</v>
      </c>
      <c r="AT17" s="44">
        <v>0</v>
      </c>
      <c r="AU17" s="44"/>
      <c r="AV17" s="44">
        <f t="shared" si="24"/>
        <v>0</v>
      </c>
      <c r="AW17" s="44"/>
      <c r="AX17" s="66"/>
      <c r="AY17" s="44">
        <f t="shared" si="25"/>
        <v>0</v>
      </c>
      <c r="AZ17" s="45"/>
      <c r="BA17" s="45">
        <v>0</v>
      </c>
      <c r="BB17" s="67">
        <v>0</v>
      </c>
      <c r="BC17" s="47">
        <f t="shared" si="26"/>
        <v>38836.65</v>
      </c>
      <c r="BD17" s="19"/>
      <c r="BE17" s="61"/>
      <c r="BF17" s="48"/>
      <c r="BG17" s="49">
        <f t="shared" si="27"/>
        <v>0</v>
      </c>
    </row>
    <row r="18" spans="1:978" ht="13">
      <c r="A18" s="71" t="s">
        <v>140</v>
      </c>
      <c r="B18" s="72" t="s">
        <v>141</v>
      </c>
      <c r="C18" s="69">
        <v>44720</v>
      </c>
      <c r="D18" s="70" t="s">
        <v>142</v>
      </c>
      <c r="E18" s="28" t="s">
        <v>143</v>
      </c>
      <c r="F18" s="28">
        <v>5</v>
      </c>
      <c r="G18" s="28" t="s">
        <v>144</v>
      </c>
      <c r="H18" s="30">
        <f>VLOOKUP(A18,ATTENDANCE!$A$1:$AV$27,48,0)</f>
        <v>2</v>
      </c>
      <c r="I18" s="57">
        <v>29300</v>
      </c>
      <c r="J18" s="32">
        <f t="shared" si="0"/>
        <v>27500</v>
      </c>
      <c r="K18" s="58">
        <f t="shared" si="1"/>
        <v>1950</v>
      </c>
      <c r="L18" s="58">
        <f t="shared" si="2"/>
        <v>0</v>
      </c>
      <c r="M18" s="58">
        <f t="shared" si="3"/>
        <v>0</v>
      </c>
      <c r="N18" s="59">
        <f t="shared" si="4"/>
        <v>1950</v>
      </c>
      <c r="O18" s="58">
        <f t="shared" si="5"/>
        <v>1800</v>
      </c>
      <c r="P18" s="32">
        <f t="shared" si="6"/>
        <v>12000</v>
      </c>
      <c r="Q18" s="32">
        <f t="shared" si="7"/>
        <v>6000</v>
      </c>
      <c r="R18" s="32">
        <f t="shared" si="8"/>
        <v>6000</v>
      </c>
      <c r="S18" s="32">
        <f t="shared" si="9"/>
        <v>5300</v>
      </c>
      <c r="T18" s="34">
        <f>VLOOKUP(A18,ATTENDANCE!$A:$AW,49,0)</f>
        <v>31</v>
      </c>
      <c r="U18" s="19">
        <v>31</v>
      </c>
      <c r="V18" s="60">
        <f t="shared" si="10"/>
        <v>1</v>
      </c>
      <c r="W18" s="61">
        <f t="shared" si="11"/>
        <v>387.09677419354841</v>
      </c>
      <c r="X18" s="32">
        <f t="shared" si="12"/>
        <v>29300</v>
      </c>
      <c r="Y18" s="59">
        <f t="shared" si="13"/>
        <v>12000</v>
      </c>
      <c r="Z18" s="59">
        <f t="shared" si="14"/>
        <v>6000</v>
      </c>
      <c r="AA18" s="59">
        <f t="shared" si="15"/>
        <v>6000</v>
      </c>
      <c r="AB18" s="59">
        <f t="shared" si="16"/>
        <v>5300</v>
      </c>
      <c r="AC18" s="59">
        <f t="shared" si="17"/>
        <v>1800</v>
      </c>
      <c r="AD18" s="62">
        <f t="shared" si="18"/>
        <v>1950</v>
      </c>
      <c r="AE18" s="62">
        <f t="shared" si="19"/>
        <v>0</v>
      </c>
      <c r="AF18" s="62">
        <f t="shared" si="20"/>
        <v>0</v>
      </c>
      <c r="AG18" s="37">
        <f t="shared" si="21"/>
        <v>945.16129032258061</v>
      </c>
      <c r="AH18" s="38">
        <f>VLOOKUP(A18,ATTENDANCE!$A$1:$BC$27,55,0)</f>
        <v>5</v>
      </c>
      <c r="AI18" s="63">
        <f t="shared" si="22"/>
        <v>27500</v>
      </c>
      <c r="AJ18" s="39">
        <v>0</v>
      </c>
      <c r="AK18" s="19">
        <v>0</v>
      </c>
      <c r="AL18" s="58"/>
      <c r="AM18" s="58"/>
      <c r="AN18" s="59"/>
      <c r="AO18" s="40">
        <v>0</v>
      </c>
      <c r="AP18" s="19">
        <v>0</v>
      </c>
      <c r="AQ18" s="64">
        <v>2</v>
      </c>
      <c r="AR18" s="65"/>
      <c r="AS18" s="43">
        <f t="shared" si="23"/>
        <v>0</v>
      </c>
      <c r="AT18" s="44">
        <v>0</v>
      </c>
      <c r="AU18" s="44"/>
      <c r="AV18" s="44">
        <f t="shared" si="24"/>
        <v>0</v>
      </c>
      <c r="AW18" s="44"/>
      <c r="AX18" s="66"/>
      <c r="AY18" s="44">
        <f t="shared" si="25"/>
        <v>0</v>
      </c>
      <c r="AZ18" s="45">
        <v>300</v>
      </c>
      <c r="BA18" s="45">
        <f>IFERROR(_xlfn.XLOOKUP(A18,'Stack Incentive'!A:A,'Stack Incentive'!K:K),"")</f>
        <v>625</v>
      </c>
      <c r="BB18" s="67"/>
      <c r="BC18" s="47">
        <f t="shared" si="26"/>
        <v>28125</v>
      </c>
      <c r="BD18" s="19"/>
      <c r="BE18" s="61"/>
      <c r="BF18" s="48"/>
      <c r="BG18" s="49">
        <f t="shared" si="27"/>
        <v>625</v>
      </c>
    </row>
    <row r="19" spans="1:978" s="17" customFormat="1" ht="13">
      <c r="A19" s="73" t="s">
        <v>145</v>
      </c>
      <c r="B19" s="74" t="s">
        <v>146</v>
      </c>
      <c r="C19" s="69">
        <v>44739</v>
      </c>
      <c r="D19" s="70" t="s">
        <v>147</v>
      </c>
      <c r="E19" s="28" t="s">
        <v>148</v>
      </c>
      <c r="F19" s="28">
        <f ca="1">DATEDIF(C19,TODAY(),"M")</f>
        <v>4</v>
      </c>
      <c r="G19" s="28" t="s">
        <v>149</v>
      </c>
      <c r="H19" s="30">
        <f>VLOOKUP(A19,ATTENDANCE!$A$1:$AV$27,48,0)</f>
        <v>0</v>
      </c>
      <c r="I19" s="57">
        <v>30000</v>
      </c>
      <c r="J19" s="32">
        <f t="shared" si="0"/>
        <v>28200</v>
      </c>
      <c r="K19" s="58">
        <f t="shared" si="1"/>
        <v>1950</v>
      </c>
      <c r="L19" s="58">
        <f t="shared" si="2"/>
        <v>0</v>
      </c>
      <c r="M19" s="58">
        <f t="shared" si="3"/>
        <v>0</v>
      </c>
      <c r="N19" s="59">
        <f t="shared" si="4"/>
        <v>1950</v>
      </c>
      <c r="O19" s="58">
        <f t="shared" si="5"/>
        <v>1800</v>
      </c>
      <c r="P19" s="32">
        <f t="shared" si="6"/>
        <v>12000</v>
      </c>
      <c r="Q19" s="32">
        <f t="shared" si="7"/>
        <v>6000</v>
      </c>
      <c r="R19" s="32">
        <f t="shared" si="8"/>
        <v>6000</v>
      </c>
      <c r="S19" s="32">
        <f t="shared" si="9"/>
        <v>6000</v>
      </c>
      <c r="T19" s="34">
        <f>VLOOKUP(A19,ATTENDANCE!$A:$AW,49,0)</f>
        <v>31</v>
      </c>
      <c r="U19" s="19">
        <v>31</v>
      </c>
      <c r="V19" s="75">
        <f t="shared" si="10"/>
        <v>1</v>
      </c>
      <c r="W19" s="58">
        <f t="shared" si="11"/>
        <v>387.09677419354841</v>
      </c>
      <c r="X19" s="32">
        <f t="shared" si="12"/>
        <v>30000</v>
      </c>
      <c r="Y19" s="59">
        <f t="shared" si="13"/>
        <v>12000</v>
      </c>
      <c r="Z19" s="59">
        <f t="shared" si="14"/>
        <v>6000</v>
      </c>
      <c r="AA19" s="59">
        <f t="shared" si="15"/>
        <v>6000</v>
      </c>
      <c r="AB19" s="59">
        <f t="shared" si="16"/>
        <v>6000</v>
      </c>
      <c r="AC19" s="59">
        <f t="shared" si="17"/>
        <v>1800</v>
      </c>
      <c r="AD19" s="62">
        <f t="shared" si="18"/>
        <v>1950</v>
      </c>
      <c r="AE19" s="62">
        <f t="shared" si="19"/>
        <v>0</v>
      </c>
      <c r="AF19" s="62">
        <f t="shared" si="20"/>
        <v>0</v>
      </c>
      <c r="AG19" s="37">
        <f t="shared" si="21"/>
        <v>967.74193548387098</v>
      </c>
      <c r="AH19" s="38">
        <f>VLOOKUP(A19,ATTENDANCE!$A$1:$BC$27,55,0)</f>
        <v>1.25</v>
      </c>
      <c r="AI19" s="63">
        <f t="shared" si="22"/>
        <v>28200</v>
      </c>
      <c r="AJ19" s="39">
        <v>0</v>
      </c>
      <c r="AK19" s="19">
        <v>0</v>
      </c>
      <c r="AL19" s="58"/>
      <c r="AM19" s="58"/>
      <c r="AN19" s="59"/>
      <c r="AO19" s="40">
        <v>0</v>
      </c>
      <c r="AP19" s="19">
        <v>0</v>
      </c>
      <c r="AQ19" s="64"/>
      <c r="AR19" s="65"/>
      <c r="AS19" s="43">
        <f t="shared" si="23"/>
        <v>0</v>
      </c>
      <c r="AT19" s="44">
        <v>0</v>
      </c>
      <c r="AU19" s="44"/>
      <c r="AV19" s="44">
        <f t="shared" si="24"/>
        <v>0</v>
      </c>
      <c r="AW19" s="44"/>
      <c r="AX19" s="66"/>
      <c r="AY19" s="44">
        <f t="shared" si="25"/>
        <v>0</v>
      </c>
      <c r="AZ19" s="45"/>
      <c r="BA19" s="45">
        <v>0</v>
      </c>
      <c r="BB19" s="67"/>
      <c r="BC19" s="47">
        <f t="shared" si="26"/>
        <v>28200</v>
      </c>
      <c r="BD19" s="19"/>
      <c r="BE19" s="58"/>
      <c r="BF19" s="37"/>
      <c r="BG19" s="49">
        <f t="shared" si="27"/>
        <v>0</v>
      </c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</row>
    <row r="20" spans="1:978" ht="13">
      <c r="A20" s="73" t="s">
        <v>150</v>
      </c>
      <c r="B20" s="70" t="s">
        <v>151</v>
      </c>
      <c r="C20" s="76">
        <v>44746</v>
      </c>
      <c r="D20" s="28" t="s">
        <v>152</v>
      </c>
      <c r="E20" s="28" t="s">
        <v>153</v>
      </c>
      <c r="F20" s="28">
        <v>4</v>
      </c>
      <c r="G20" s="28" t="s">
        <v>154</v>
      </c>
      <c r="H20" s="30">
        <f>VLOOKUP(A20,ATTENDANCE!$A$1:$AV$27,48,0)</f>
        <v>0</v>
      </c>
      <c r="I20" s="57">
        <v>40000</v>
      </c>
      <c r="J20" s="32">
        <f t="shared" si="0"/>
        <v>38200</v>
      </c>
      <c r="K20" s="58">
        <f t="shared" si="1"/>
        <v>1950</v>
      </c>
      <c r="L20" s="58">
        <f t="shared" si="2"/>
        <v>0</v>
      </c>
      <c r="M20" s="58">
        <f t="shared" si="3"/>
        <v>0</v>
      </c>
      <c r="N20" s="59">
        <f t="shared" si="4"/>
        <v>1950</v>
      </c>
      <c r="O20" s="58">
        <f t="shared" si="5"/>
        <v>1800</v>
      </c>
      <c r="P20" s="58">
        <f t="shared" si="6"/>
        <v>16000</v>
      </c>
      <c r="Q20" s="58">
        <f t="shared" si="7"/>
        <v>8000</v>
      </c>
      <c r="R20" s="58">
        <f t="shared" si="8"/>
        <v>8000</v>
      </c>
      <c r="S20" s="58">
        <f t="shared" si="9"/>
        <v>8000</v>
      </c>
      <c r="T20" s="34">
        <f>VLOOKUP(A20,ATTENDANCE!$A:$AW,49,0)</f>
        <v>31</v>
      </c>
      <c r="U20" s="19">
        <v>31</v>
      </c>
      <c r="V20" s="75">
        <f t="shared" si="10"/>
        <v>1</v>
      </c>
      <c r="W20" s="58">
        <f t="shared" si="11"/>
        <v>516.12903225806451</v>
      </c>
      <c r="X20" s="32">
        <f t="shared" si="12"/>
        <v>40000</v>
      </c>
      <c r="Y20" s="59">
        <f t="shared" si="13"/>
        <v>16000</v>
      </c>
      <c r="Z20" s="59">
        <f t="shared" si="14"/>
        <v>8000</v>
      </c>
      <c r="AA20" s="59">
        <f t="shared" si="15"/>
        <v>8000</v>
      </c>
      <c r="AB20" s="59">
        <f t="shared" si="16"/>
        <v>8000</v>
      </c>
      <c r="AC20" s="59">
        <f t="shared" si="17"/>
        <v>1800</v>
      </c>
      <c r="AD20" s="59">
        <f t="shared" si="18"/>
        <v>1950</v>
      </c>
      <c r="AE20" s="59">
        <f t="shared" si="19"/>
        <v>0</v>
      </c>
      <c r="AF20" s="59">
        <f t="shared" si="20"/>
        <v>0</v>
      </c>
      <c r="AG20" s="77">
        <f t="shared" si="21"/>
        <v>1290.3225806451612</v>
      </c>
      <c r="AH20" s="38">
        <f>VLOOKUP(A20,ATTENDANCE!$A$1:$BC$27,55,0)</f>
        <v>1.25</v>
      </c>
      <c r="AI20" s="59">
        <f t="shared" si="22"/>
        <v>38200</v>
      </c>
      <c r="AJ20" s="39">
        <v>0</v>
      </c>
      <c r="AK20" s="19">
        <v>0</v>
      </c>
      <c r="AL20" s="58"/>
      <c r="AM20" s="58"/>
      <c r="AN20" s="59"/>
      <c r="AO20" s="40">
        <v>0</v>
      </c>
      <c r="AP20" s="19">
        <v>0</v>
      </c>
      <c r="AQ20" s="64"/>
      <c r="AR20" s="65"/>
      <c r="AS20" s="78">
        <f t="shared" si="23"/>
        <v>0</v>
      </c>
      <c r="AT20" s="44">
        <v>0</v>
      </c>
      <c r="AU20" s="44"/>
      <c r="AV20" s="44">
        <f t="shared" si="24"/>
        <v>0</v>
      </c>
      <c r="AW20" s="44"/>
      <c r="AX20" s="66"/>
      <c r="AY20" s="44">
        <f t="shared" si="25"/>
        <v>0</v>
      </c>
      <c r="AZ20" s="45"/>
      <c r="BA20" s="45">
        <v>0</v>
      </c>
      <c r="BB20" s="67"/>
      <c r="BC20" s="47">
        <f t="shared" si="26"/>
        <v>38200</v>
      </c>
      <c r="BD20" s="19"/>
      <c r="BE20" s="58"/>
      <c r="BF20" s="77"/>
      <c r="BG20" s="49">
        <f t="shared" si="27"/>
        <v>0</v>
      </c>
    </row>
    <row r="21" spans="1:978" ht="13">
      <c r="A21" s="73" t="s">
        <v>155</v>
      </c>
      <c r="B21" s="70" t="s">
        <v>156</v>
      </c>
      <c r="C21" s="50">
        <v>44753</v>
      </c>
      <c r="D21" s="28" t="s">
        <v>157</v>
      </c>
      <c r="E21" s="28" t="s">
        <v>158</v>
      </c>
      <c r="F21" s="28">
        <v>3</v>
      </c>
      <c r="G21" s="28" t="s">
        <v>159</v>
      </c>
      <c r="H21" s="30">
        <f>VLOOKUP(A21,ATTENDANCE!$A$1:$AV$27,48,0)</f>
        <v>1.5</v>
      </c>
      <c r="I21" s="57">
        <v>15000</v>
      </c>
      <c r="J21" s="32">
        <f t="shared" si="0"/>
        <v>13447.5</v>
      </c>
      <c r="K21" s="58">
        <f t="shared" si="1"/>
        <v>1560</v>
      </c>
      <c r="L21" s="58">
        <f t="shared" si="2"/>
        <v>487.5</v>
      </c>
      <c r="M21" s="58">
        <f t="shared" si="3"/>
        <v>112.5</v>
      </c>
      <c r="N21" s="59">
        <f t="shared" si="4"/>
        <v>1560</v>
      </c>
      <c r="O21" s="58">
        <f t="shared" si="5"/>
        <v>1440</v>
      </c>
      <c r="P21" s="58">
        <f t="shared" si="6"/>
        <v>12000</v>
      </c>
      <c r="Q21" s="58">
        <f t="shared" si="7"/>
        <v>3000</v>
      </c>
      <c r="R21" s="58">
        <f t="shared" si="8"/>
        <v>0</v>
      </c>
      <c r="S21" s="58">
        <f t="shared" si="9"/>
        <v>0</v>
      </c>
      <c r="T21" s="34">
        <f>VLOOKUP(A21,ATTENDANCE!$A:$AW,49,0)</f>
        <v>31</v>
      </c>
      <c r="U21" s="19">
        <v>31</v>
      </c>
      <c r="V21" s="75">
        <f t="shared" si="10"/>
        <v>1</v>
      </c>
      <c r="W21" s="58">
        <f t="shared" si="11"/>
        <v>387.09677419354841</v>
      </c>
      <c r="X21" s="32">
        <f t="shared" si="12"/>
        <v>15000</v>
      </c>
      <c r="Y21" s="59">
        <f t="shared" si="13"/>
        <v>12000</v>
      </c>
      <c r="Z21" s="59">
        <f t="shared" si="14"/>
        <v>3000</v>
      </c>
      <c r="AA21" s="59">
        <f t="shared" si="15"/>
        <v>0</v>
      </c>
      <c r="AB21" s="59">
        <f t="shared" si="16"/>
        <v>0</v>
      </c>
      <c r="AC21" s="59">
        <f t="shared" si="17"/>
        <v>1440</v>
      </c>
      <c r="AD21" s="59">
        <f t="shared" si="18"/>
        <v>1560</v>
      </c>
      <c r="AE21" s="59">
        <f t="shared" si="19"/>
        <v>112.5</v>
      </c>
      <c r="AF21" s="59">
        <f t="shared" si="20"/>
        <v>487.5</v>
      </c>
      <c r="AG21" s="77">
        <f t="shared" si="21"/>
        <v>483.87096774193549</v>
      </c>
      <c r="AH21" s="38">
        <f>VLOOKUP(A21,ATTENDANCE!$A$1:$BC$27,55,0)</f>
        <v>1.5</v>
      </c>
      <c r="AI21" s="59">
        <f t="shared" si="22"/>
        <v>13447.5</v>
      </c>
      <c r="AJ21" s="39">
        <v>0</v>
      </c>
      <c r="AK21" s="19">
        <v>0</v>
      </c>
      <c r="AL21" s="58"/>
      <c r="AM21" s="58"/>
      <c r="AN21" s="59"/>
      <c r="AO21" s="40">
        <v>0</v>
      </c>
      <c r="AP21" s="19">
        <v>0</v>
      </c>
      <c r="AQ21" s="64"/>
      <c r="AR21" s="65"/>
      <c r="AS21" s="78">
        <f t="shared" si="23"/>
        <v>0</v>
      </c>
      <c r="AT21" s="44">
        <v>0</v>
      </c>
      <c r="AU21" s="44"/>
      <c r="AV21" s="44">
        <f t="shared" si="24"/>
        <v>0</v>
      </c>
      <c r="AW21" s="44"/>
      <c r="AX21" s="66"/>
      <c r="AY21" s="44">
        <f t="shared" si="25"/>
        <v>0</v>
      </c>
      <c r="AZ21" s="79"/>
      <c r="BA21" s="45">
        <v>0</v>
      </c>
      <c r="BB21" s="67"/>
      <c r="BC21" s="47">
        <f t="shared" si="26"/>
        <v>13447.5</v>
      </c>
      <c r="BD21" s="19"/>
      <c r="BE21" s="58"/>
      <c r="BF21" s="77"/>
      <c r="BG21" s="49">
        <f t="shared" si="27"/>
        <v>0</v>
      </c>
    </row>
    <row r="22" spans="1:978" ht="13">
      <c r="A22" s="82" t="s">
        <v>160</v>
      </c>
      <c r="B22" s="70" t="s">
        <v>161</v>
      </c>
      <c r="C22" s="50">
        <v>44760</v>
      </c>
      <c r="D22" s="28" t="s">
        <v>162</v>
      </c>
      <c r="E22" s="28" t="s">
        <v>163</v>
      </c>
      <c r="F22" s="28">
        <v>3</v>
      </c>
      <c r="G22" s="28" t="s">
        <v>164</v>
      </c>
      <c r="H22" s="30">
        <f>VLOOKUP(A22,ATTENDANCE!$A$1:$AV$27,48,0)</f>
        <v>1</v>
      </c>
      <c r="I22" s="57">
        <v>21000</v>
      </c>
      <c r="J22" s="32">
        <f t="shared" si="0"/>
        <v>19200</v>
      </c>
      <c r="K22" s="58">
        <f t="shared" si="1"/>
        <v>1950</v>
      </c>
      <c r="L22" s="58">
        <f t="shared" si="2"/>
        <v>0</v>
      </c>
      <c r="M22" s="58">
        <f t="shared" si="3"/>
        <v>0</v>
      </c>
      <c r="N22" s="59">
        <f t="shared" si="4"/>
        <v>1950</v>
      </c>
      <c r="O22" s="58">
        <f t="shared" si="5"/>
        <v>1800</v>
      </c>
      <c r="P22" s="58">
        <f t="shared" si="6"/>
        <v>12000</v>
      </c>
      <c r="Q22" s="58">
        <f t="shared" si="7"/>
        <v>6000</v>
      </c>
      <c r="R22" s="58">
        <f t="shared" si="8"/>
        <v>3000</v>
      </c>
      <c r="S22" s="58">
        <f t="shared" si="9"/>
        <v>0</v>
      </c>
      <c r="T22" s="34">
        <f>VLOOKUP(A22,ATTENDANCE!$A:$AW,49,0)</f>
        <v>31</v>
      </c>
      <c r="U22" s="19">
        <v>31</v>
      </c>
      <c r="V22" s="75">
        <f t="shared" si="10"/>
        <v>1</v>
      </c>
      <c r="W22" s="58">
        <f t="shared" si="11"/>
        <v>387.09677419354841</v>
      </c>
      <c r="X22" s="32">
        <f t="shared" si="12"/>
        <v>21000</v>
      </c>
      <c r="Y22" s="59">
        <f t="shared" si="13"/>
        <v>12000</v>
      </c>
      <c r="Z22" s="59">
        <f t="shared" si="14"/>
        <v>6000</v>
      </c>
      <c r="AA22" s="59">
        <f t="shared" si="15"/>
        <v>3000</v>
      </c>
      <c r="AB22" s="59">
        <f t="shared" si="16"/>
        <v>0</v>
      </c>
      <c r="AC22" s="59">
        <f t="shared" si="17"/>
        <v>1800</v>
      </c>
      <c r="AD22" s="59">
        <f t="shared" si="18"/>
        <v>1950</v>
      </c>
      <c r="AE22" s="59">
        <f t="shared" si="19"/>
        <v>0</v>
      </c>
      <c r="AF22" s="59">
        <f t="shared" si="20"/>
        <v>0</v>
      </c>
      <c r="AG22" s="77">
        <f t="shared" si="21"/>
        <v>677.41935483870964</v>
      </c>
      <c r="AH22" s="38">
        <f>VLOOKUP(A22,ATTENDANCE!$A$1:$BC$27,55,0)</f>
        <v>2</v>
      </c>
      <c r="AI22" s="59">
        <f t="shared" si="22"/>
        <v>19200</v>
      </c>
      <c r="AJ22" s="39">
        <v>0</v>
      </c>
      <c r="AK22" s="19">
        <v>0</v>
      </c>
      <c r="AL22" s="58"/>
      <c r="AM22" s="58"/>
      <c r="AN22" s="59"/>
      <c r="AO22" s="40">
        <v>0</v>
      </c>
      <c r="AP22" s="19">
        <v>0</v>
      </c>
      <c r="AQ22" s="64">
        <v>5</v>
      </c>
      <c r="AR22" s="65"/>
      <c r="AS22" s="78">
        <f t="shared" si="23"/>
        <v>1500</v>
      </c>
      <c r="AT22" s="44">
        <v>0</v>
      </c>
      <c r="AU22" s="44"/>
      <c r="AV22" s="44">
        <f t="shared" si="24"/>
        <v>0</v>
      </c>
      <c r="AW22" s="44"/>
      <c r="AX22" s="66"/>
      <c r="AY22" s="44">
        <f t="shared" si="25"/>
        <v>0</v>
      </c>
      <c r="AZ22" s="79">
        <v>300</v>
      </c>
      <c r="BA22" s="45">
        <f>IFERROR(_xlfn.XLOOKUP(A22,'Stack Incentive'!A:A,'Stack Incentive'!K:K),"")</f>
        <v>1250</v>
      </c>
      <c r="BB22" s="67"/>
      <c r="BC22" s="47">
        <f t="shared" si="26"/>
        <v>21950</v>
      </c>
      <c r="BD22" s="19"/>
      <c r="BE22" s="58"/>
      <c r="BF22" s="77"/>
      <c r="BG22" s="49">
        <f t="shared" si="27"/>
        <v>2750</v>
      </c>
    </row>
    <row r="23" spans="1:978" ht="13">
      <c r="A23" s="83" t="s">
        <v>165</v>
      </c>
      <c r="B23" s="84" t="s">
        <v>166</v>
      </c>
      <c r="C23" s="85">
        <v>44761</v>
      </c>
      <c r="D23" s="84" t="s">
        <v>167</v>
      </c>
      <c r="E23" s="84" t="s">
        <v>168</v>
      </c>
      <c r="F23" s="84">
        <v>3</v>
      </c>
      <c r="G23" s="84" t="s">
        <v>169</v>
      </c>
      <c r="H23" s="30">
        <f>VLOOKUP(A23,ATTENDANCE!$A$1:$AV$27,48,0)</f>
        <v>0</v>
      </c>
      <c r="I23" s="57">
        <v>25000</v>
      </c>
      <c r="J23" s="58">
        <f t="shared" si="0"/>
        <v>23200</v>
      </c>
      <c r="K23" s="58">
        <f t="shared" si="1"/>
        <v>1950</v>
      </c>
      <c r="L23" s="58">
        <f t="shared" si="2"/>
        <v>0</v>
      </c>
      <c r="M23" s="58">
        <f t="shared" si="3"/>
        <v>0</v>
      </c>
      <c r="N23" s="59">
        <f t="shared" si="4"/>
        <v>1950</v>
      </c>
      <c r="O23" s="58">
        <f t="shared" si="5"/>
        <v>1800</v>
      </c>
      <c r="P23" s="58">
        <f t="shared" si="6"/>
        <v>12000</v>
      </c>
      <c r="Q23" s="58">
        <f t="shared" si="7"/>
        <v>6000</v>
      </c>
      <c r="R23" s="58">
        <f t="shared" si="8"/>
        <v>6000</v>
      </c>
      <c r="S23" s="58">
        <f t="shared" si="9"/>
        <v>1000</v>
      </c>
      <c r="T23" s="34">
        <f>VLOOKUP(A23,ATTENDANCE!$A:$AW,49,0)</f>
        <v>31</v>
      </c>
      <c r="U23" s="19">
        <v>31</v>
      </c>
      <c r="V23" s="75">
        <f t="shared" si="10"/>
        <v>1</v>
      </c>
      <c r="W23" s="58">
        <f t="shared" si="11"/>
        <v>387.09677419354841</v>
      </c>
      <c r="X23" s="32">
        <f t="shared" si="12"/>
        <v>25000</v>
      </c>
      <c r="Y23" s="59">
        <f t="shared" si="13"/>
        <v>12000</v>
      </c>
      <c r="Z23" s="59">
        <f t="shared" si="14"/>
        <v>6000</v>
      </c>
      <c r="AA23" s="59">
        <f t="shared" si="15"/>
        <v>6000</v>
      </c>
      <c r="AB23" s="59">
        <f t="shared" si="16"/>
        <v>1000</v>
      </c>
      <c r="AC23" s="59">
        <f t="shared" si="17"/>
        <v>1800</v>
      </c>
      <c r="AD23" s="59">
        <f t="shared" si="18"/>
        <v>1950</v>
      </c>
      <c r="AE23" s="59">
        <f t="shared" si="19"/>
        <v>0</v>
      </c>
      <c r="AF23" s="59">
        <f t="shared" si="20"/>
        <v>0</v>
      </c>
      <c r="AG23" s="58">
        <f t="shared" si="21"/>
        <v>806.45161290322585</v>
      </c>
      <c r="AH23" s="38">
        <f>VLOOKUP(A23,ATTENDANCE!$A$1:$BC$27,55,0)</f>
        <v>2.5</v>
      </c>
      <c r="AI23" s="59">
        <f t="shared" si="22"/>
        <v>23200</v>
      </c>
      <c r="AJ23" s="59">
        <v>0</v>
      </c>
      <c r="AK23" s="19">
        <v>0</v>
      </c>
      <c r="AL23" s="58"/>
      <c r="AM23" s="58"/>
      <c r="AN23" s="59"/>
      <c r="AO23" s="40">
        <v>0</v>
      </c>
      <c r="AP23" s="19">
        <v>0</v>
      </c>
      <c r="AQ23" s="64">
        <v>4</v>
      </c>
      <c r="AR23" s="65"/>
      <c r="AS23" s="78">
        <f t="shared" si="23"/>
        <v>0</v>
      </c>
      <c r="AT23" s="66">
        <v>0</v>
      </c>
      <c r="AU23" s="66"/>
      <c r="AV23" s="44">
        <f t="shared" si="24"/>
        <v>0</v>
      </c>
      <c r="AW23" s="66"/>
      <c r="AX23" s="66"/>
      <c r="AY23" s="66">
        <f t="shared" si="25"/>
        <v>0</v>
      </c>
      <c r="AZ23" s="79">
        <v>300</v>
      </c>
      <c r="BA23" s="45">
        <f>IFERROR(_xlfn.XLOOKUP(A23,'Stack Incentive'!A:A,'Stack Incentive'!K:K),"")</f>
        <v>1250</v>
      </c>
      <c r="BB23" s="86"/>
      <c r="BC23" s="47">
        <f t="shared" si="26"/>
        <v>24450</v>
      </c>
      <c r="BD23" s="61"/>
      <c r="BE23" s="77"/>
      <c r="BF23" s="77"/>
      <c r="BG23" s="49">
        <f t="shared" si="27"/>
        <v>1250</v>
      </c>
    </row>
    <row r="24" spans="1:978" ht="13">
      <c r="A24" s="73" t="s">
        <v>170</v>
      </c>
      <c r="B24" s="87" t="s">
        <v>171</v>
      </c>
      <c r="C24" s="50">
        <v>44782</v>
      </c>
      <c r="D24" s="28" t="s">
        <v>172</v>
      </c>
      <c r="E24" s="28" t="s">
        <v>173</v>
      </c>
      <c r="F24" s="28">
        <f ca="1">DATEDIF(C24,TODAY(),"M")</f>
        <v>2</v>
      </c>
      <c r="G24" s="88" t="s">
        <v>174</v>
      </c>
      <c r="H24" s="30">
        <f>VLOOKUP(A24,ATTENDANCE!$A$1:$AV$27,48,0)</f>
        <v>0</v>
      </c>
      <c r="I24" s="31">
        <v>45834</v>
      </c>
      <c r="J24" s="58">
        <f t="shared" si="0"/>
        <v>44034</v>
      </c>
      <c r="K24" s="58">
        <f t="shared" si="1"/>
        <v>1950</v>
      </c>
      <c r="L24" s="58">
        <f t="shared" si="2"/>
        <v>0</v>
      </c>
      <c r="M24" s="58">
        <f t="shared" si="3"/>
        <v>0</v>
      </c>
      <c r="N24" s="59">
        <f t="shared" si="4"/>
        <v>1950</v>
      </c>
      <c r="O24" s="58">
        <f t="shared" si="5"/>
        <v>1800</v>
      </c>
      <c r="P24" s="58">
        <f t="shared" si="6"/>
        <v>18333.600000000002</v>
      </c>
      <c r="Q24" s="32">
        <f t="shared" si="7"/>
        <v>9166.8000000000011</v>
      </c>
      <c r="R24" s="32">
        <f t="shared" si="8"/>
        <v>9166.8000000000011</v>
      </c>
      <c r="S24" s="32">
        <f t="shared" si="9"/>
        <v>9166.7999999999956</v>
      </c>
      <c r="T24" s="34">
        <f>VLOOKUP(A24,ATTENDANCE!$A:$AW,49,0)</f>
        <v>31</v>
      </c>
      <c r="U24" s="19">
        <v>31</v>
      </c>
      <c r="V24" s="89">
        <f t="shared" si="10"/>
        <v>1</v>
      </c>
      <c r="W24" s="32">
        <f t="shared" si="11"/>
        <v>591.40645161290331</v>
      </c>
      <c r="X24" s="32">
        <f t="shared" si="12"/>
        <v>45834</v>
      </c>
      <c r="Y24" s="33">
        <f t="shared" si="13"/>
        <v>18333.600000000002</v>
      </c>
      <c r="Z24" s="33">
        <f t="shared" si="14"/>
        <v>9166.8000000000011</v>
      </c>
      <c r="AA24" s="33">
        <f t="shared" si="15"/>
        <v>9166.8000000000011</v>
      </c>
      <c r="AB24" s="33">
        <f t="shared" si="16"/>
        <v>9166.7999999999956</v>
      </c>
      <c r="AC24" s="33">
        <f t="shared" si="17"/>
        <v>1800</v>
      </c>
      <c r="AD24" s="33">
        <f t="shared" si="18"/>
        <v>1950</v>
      </c>
      <c r="AE24" s="33">
        <f t="shared" si="19"/>
        <v>0</v>
      </c>
      <c r="AF24" s="33">
        <f t="shared" si="20"/>
        <v>0</v>
      </c>
      <c r="AG24" s="32">
        <f t="shared" si="21"/>
        <v>1478.516129032258</v>
      </c>
      <c r="AH24" s="38">
        <f>VLOOKUP(A24,ATTENDANCE!$A$1:$BC$27,55,0)</f>
        <v>2.5</v>
      </c>
      <c r="AI24" s="33">
        <f t="shared" si="22"/>
        <v>44034</v>
      </c>
      <c r="AJ24" s="33">
        <v>0</v>
      </c>
      <c r="AK24" s="19">
        <v>0</v>
      </c>
      <c r="AL24" s="32"/>
      <c r="AM24" s="32"/>
      <c r="AN24" s="33"/>
      <c r="AO24" s="40">
        <v>0</v>
      </c>
      <c r="AP24" s="19">
        <v>0</v>
      </c>
      <c r="AQ24" s="41"/>
      <c r="AR24" s="42"/>
      <c r="AS24" s="43">
        <f t="shared" si="23"/>
        <v>0</v>
      </c>
      <c r="AT24" s="44">
        <v>0</v>
      </c>
      <c r="AU24" s="44"/>
      <c r="AV24" s="44">
        <f t="shared" si="24"/>
        <v>0</v>
      </c>
      <c r="AW24" s="44"/>
      <c r="AX24" s="44"/>
      <c r="AY24" s="44">
        <f t="shared" si="25"/>
        <v>0</v>
      </c>
      <c r="AZ24" s="90"/>
      <c r="BA24" s="45">
        <v>0</v>
      </c>
      <c r="BB24" s="56"/>
      <c r="BC24" s="47">
        <f t="shared" si="26"/>
        <v>44034</v>
      </c>
      <c r="BD24" s="91"/>
      <c r="BE24" s="91"/>
      <c r="BF24" s="91"/>
      <c r="BG24" s="49">
        <f t="shared" si="27"/>
        <v>0</v>
      </c>
    </row>
    <row r="25" spans="1:978" ht="13">
      <c r="A25" s="73" t="s">
        <v>175</v>
      </c>
      <c r="B25" s="87" t="s">
        <v>176</v>
      </c>
      <c r="C25" s="50">
        <v>44790</v>
      </c>
      <c r="D25" s="28" t="s">
        <v>177</v>
      </c>
      <c r="E25" s="28" t="s">
        <v>178</v>
      </c>
      <c r="F25" s="28">
        <f ca="1">DATEDIF(C25,TODAY(),"M")</f>
        <v>2</v>
      </c>
      <c r="G25" s="88" t="s">
        <v>179</v>
      </c>
      <c r="H25" s="30">
        <f>VLOOKUP(A25,ATTENDANCE!$A$1:$AV$27,48,0)</f>
        <v>1</v>
      </c>
      <c r="I25" s="31">
        <v>61800</v>
      </c>
      <c r="J25" s="58">
        <f t="shared" si="0"/>
        <v>60000</v>
      </c>
      <c r="K25" s="58">
        <f t="shared" si="1"/>
        <v>1950</v>
      </c>
      <c r="L25" s="58">
        <f t="shared" si="2"/>
        <v>0</v>
      </c>
      <c r="M25" s="58">
        <f t="shared" si="3"/>
        <v>0</v>
      </c>
      <c r="N25" s="59">
        <f t="shared" si="4"/>
        <v>1950</v>
      </c>
      <c r="O25" s="58">
        <f t="shared" si="5"/>
        <v>1800</v>
      </c>
      <c r="P25" s="58">
        <f t="shared" si="6"/>
        <v>24720</v>
      </c>
      <c r="Q25" s="32">
        <f t="shared" si="7"/>
        <v>12360</v>
      </c>
      <c r="R25" s="32">
        <f t="shared" si="8"/>
        <v>12360</v>
      </c>
      <c r="S25" s="32">
        <f t="shared" si="9"/>
        <v>12360</v>
      </c>
      <c r="T25" s="34">
        <f>VLOOKUP(A25,ATTENDANCE!$A:$AW,49,0)</f>
        <v>24</v>
      </c>
      <c r="U25" s="19">
        <v>31</v>
      </c>
      <c r="V25" s="89">
        <f t="shared" si="10"/>
        <v>0.77419354838709675</v>
      </c>
      <c r="W25" s="32">
        <f t="shared" si="11"/>
        <v>797.41935483870964</v>
      </c>
      <c r="X25" s="32">
        <f t="shared" si="12"/>
        <v>47845.161290322576</v>
      </c>
      <c r="Y25" s="33">
        <f t="shared" si="13"/>
        <v>19138.06451612903</v>
      </c>
      <c r="Z25" s="33">
        <f t="shared" si="14"/>
        <v>9569.0322580645152</v>
      </c>
      <c r="AA25" s="33">
        <f t="shared" si="15"/>
        <v>9569.0322580645152</v>
      </c>
      <c r="AB25" s="33">
        <f t="shared" si="16"/>
        <v>9569.0322580645152</v>
      </c>
      <c r="AC25" s="33">
        <f t="shared" si="17"/>
        <v>1800</v>
      </c>
      <c r="AD25" s="33">
        <f t="shared" si="18"/>
        <v>1950</v>
      </c>
      <c r="AE25" s="33">
        <f t="shared" si="19"/>
        <v>0</v>
      </c>
      <c r="AF25" s="33">
        <f t="shared" si="20"/>
        <v>0</v>
      </c>
      <c r="AG25" s="32">
        <f t="shared" si="21"/>
        <v>1993.5483870967741</v>
      </c>
      <c r="AH25" s="38">
        <f>VLOOKUP(A25,ATTENDANCE!$A$1:$BC$27,55,0)</f>
        <v>1.25</v>
      </c>
      <c r="AI25" s="33">
        <f t="shared" si="22"/>
        <v>46045.161290322576</v>
      </c>
      <c r="AJ25" s="33">
        <v>0</v>
      </c>
      <c r="AK25" s="19">
        <v>0</v>
      </c>
      <c r="AL25" s="32">
        <v>1</v>
      </c>
      <c r="AM25" s="32"/>
      <c r="AN25" s="33"/>
      <c r="AO25" s="40">
        <v>0</v>
      </c>
      <c r="AP25" s="19">
        <v>0</v>
      </c>
      <c r="AQ25" s="41"/>
      <c r="AR25" s="42"/>
      <c r="AS25" s="43">
        <f t="shared" si="23"/>
        <v>0</v>
      </c>
      <c r="AT25" s="44">
        <v>0</v>
      </c>
      <c r="AU25" s="44"/>
      <c r="AV25" s="44">
        <f t="shared" si="24"/>
        <v>0</v>
      </c>
      <c r="AW25" s="44"/>
      <c r="AX25" s="44"/>
      <c r="AY25" s="44">
        <f t="shared" si="25"/>
        <v>0</v>
      </c>
      <c r="AZ25" s="90"/>
      <c r="BA25" s="45">
        <v>0</v>
      </c>
      <c r="BB25" s="56"/>
      <c r="BC25" s="47">
        <f t="shared" si="26"/>
        <v>46044.161290322576</v>
      </c>
      <c r="BD25" s="91"/>
      <c r="BE25" s="91"/>
      <c r="BF25" s="91"/>
      <c r="BG25" s="49">
        <f t="shared" si="27"/>
        <v>0</v>
      </c>
    </row>
    <row r="26" spans="1:978" ht="13">
      <c r="A26" s="73" t="s">
        <v>180</v>
      </c>
      <c r="B26" s="87" t="s">
        <v>181</v>
      </c>
      <c r="C26" s="50">
        <v>44816</v>
      </c>
      <c r="D26" s="28" t="s">
        <v>182</v>
      </c>
      <c r="E26" s="28" t="s">
        <v>183</v>
      </c>
      <c r="F26" s="28">
        <f ca="1">DATEDIF(C26,TODAY(),"M")</f>
        <v>1</v>
      </c>
      <c r="G26" s="88" t="s">
        <v>184</v>
      </c>
      <c r="H26" s="30">
        <f>VLOOKUP(A26,ATTENDANCE!$A$1:$AV$27,48,0)</f>
        <v>0</v>
      </c>
      <c r="I26" s="31">
        <v>30000</v>
      </c>
      <c r="J26" s="58">
        <f t="shared" si="0"/>
        <v>28200</v>
      </c>
      <c r="K26" s="58">
        <f t="shared" si="1"/>
        <v>1950</v>
      </c>
      <c r="L26" s="58">
        <f t="shared" si="2"/>
        <v>0</v>
      </c>
      <c r="M26" s="58">
        <f t="shared" si="3"/>
        <v>0</v>
      </c>
      <c r="N26" s="59">
        <f t="shared" si="4"/>
        <v>1950</v>
      </c>
      <c r="O26" s="58">
        <f t="shared" si="5"/>
        <v>1800</v>
      </c>
      <c r="P26" s="58">
        <f t="shared" si="6"/>
        <v>12000</v>
      </c>
      <c r="Q26" s="32">
        <f t="shared" si="7"/>
        <v>6000</v>
      </c>
      <c r="R26" s="32">
        <f t="shared" si="8"/>
        <v>6000</v>
      </c>
      <c r="S26" s="32">
        <f t="shared" si="9"/>
        <v>6000</v>
      </c>
      <c r="T26" s="34">
        <f>VLOOKUP(A26,ATTENDANCE!$A:$AW,49,0)</f>
        <v>30</v>
      </c>
      <c r="U26" s="19">
        <v>31</v>
      </c>
      <c r="V26" s="89">
        <f t="shared" si="10"/>
        <v>0.967741935483871</v>
      </c>
      <c r="W26" s="32">
        <f t="shared" si="11"/>
        <v>387.09677419354841</v>
      </c>
      <c r="X26" s="32">
        <f t="shared" si="12"/>
        <v>29032.258064516129</v>
      </c>
      <c r="Y26" s="33">
        <f t="shared" si="13"/>
        <v>11612.903225806453</v>
      </c>
      <c r="Z26" s="33">
        <f t="shared" si="14"/>
        <v>5806.4516129032263</v>
      </c>
      <c r="AA26" s="33">
        <f t="shared" si="15"/>
        <v>5806.4516129032263</v>
      </c>
      <c r="AB26" s="33">
        <f t="shared" si="16"/>
        <v>5806.4516129032263</v>
      </c>
      <c r="AC26" s="33">
        <f t="shared" si="17"/>
        <v>1800</v>
      </c>
      <c r="AD26" s="33">
        <f t="shared" si="18"/>
        <v>1950</v>
      </c>
      <c r="AE26" s="33">
        <f t="shared" si="19"/>
        <v>0</v>
      </c>
      <c r="AF26" s="33">
        <f t="shared" si="20"/>
        <v>0</v>
      </c>
      <c r="AG26" s="32">
        <f t="shared" si="21"/>
        <v>967.74193548387098</v>
      </c>
      <c r="AH26" s="38">
        <f>VLOOKUP(A26,ATTENDANCE!$A$1:$BC$27,55,0)</f>
        <v>0</v>
      </c>
      <c r="AI26" s="33">
        <f t="shared" si="22"/>
        <v>27232.258064516132</v>
      </c>
      <c r="AJ26" s="33">
        <v>0</v>
      </c>
      <c r="AK26" s="19">
        <v>0</v>
      </c>
      <c r="AL26" s="32">
        <v>0</v>
      </c>
      <c r="AM26" s="44">
        <f>2200*30/31</f>
        <v>2129.0322580645161</v>
      </c>
      <c r="AN26" s="33"/>
      <c r="AO26" s="40">
        <v>0</v>
      </c>
      <c r="AP26" s="19">
        <v>0</v>
      </c>
      <c r="AQ26" s="41"/>
      <c r="AR26" s="42"/>
      <c r="AS26" s="43">
        <f t="shared" si="23"/>
        <v>0</v>
      </c>
      <c r="AT26" s="44">
        <v>0</v>
      </c>
      <c r="AU26" s="44"/>
      <c r="AV26" s="44">
        <f t="shared" si="24"/>
        <v>0</v>
      </c>
      <c r="AW26" s="44"/>
      <c r="AX26" s="44"/>
      <c r="AY26" s="44">
        <f t="shared" si="25"/>
        <v>0</v>
      </c>
      <c r="AZ26" s="90"/>
      <c r="BA26" s="45">
        <v>0</v>
      </c>
      <c r="BB26" s="56"/>
      <c r="BC26" s="47">
        <f t="shared" si="26"/>
        <v>29361.290322580648</v>
      </c>
      <c r="BD26" s="91"/>
      <c r="BE26" s="91"/>
      <c r="BF26" s="91"/>
      <c r="BG26" s="49">
        <f t="shared" si="27"/>
        <v>0</v>
      </c>
    </row>
    <row r="27" spans="1:978" ht="13">
      <c r="A27" s="92" t="s">
        <v>185</v>
      </c>
      <c r="B27" s="87" t="s">
        <v>186</v>
      </c>
      <c r="C27" s="93">
        <v>44844</v>
      </c>
      <c r="D27" s="94" t="s">
        <v>187</v>
      </c>
      <c r="E27" s="95" t="s">
        <v>188</v>
      </c>
      <c r="F27" s="95">
        <v>0</v>
      </c>
      <c r="G27" s="88" t="s">
        <v>189</v>
      </c>
      <c r="H27" s="30">
        <f>VLOOKUP(A27,ATTENDANCE!$A$1:$AV$27,48,0)</f>
        <v>0</v>
      </c>
      <c r="I27" s="31">
        <v>41667</v>
      </c>
      <c r="J27" s="58">
        <f t="shared" si="0"/>
        <v>39867</v>
      </c>
      <c r="K27" s="58">
        <f t="shared" si="1"/>
        <v>1950</v>
      </c>
      <c r="L27" s="58">
        <f t="shared" si="2"/>
        <v>0</v>
      </c>
      <c r="M27" s="58">
        <f t="shared" si="3"/>
        <v>0</v>
      </c>
      <c r="N27" s="59">
        <f t="shared" si="4"/>
        <v>1950</v>
      </c>
      <c r="O27" s="58">
        <f t="shared" si="5"/>
        <v>1800</v>
      </c>
      <c r="P27" s="58">
        <f t="shared" si="6"/>
        <v>16666.8</v>
      </c>
      <c r="Q27" s="58">
        <f t="shared" si="7"/>
        <v>8333.4</v>
      </c>
      <c r="R27" s="58">
        <f t="shared" si="8"/>
        <v>8333.4</v>
      </c>
      <c r="S27" s="58">
        <f t="shared" si="9"/>
        <v>8333.4000000000015</v>
      </c>
      <c r="T27" s="34">
        <f>VLOOKUP(A27,ATTENDANCE!$A:$AW,49,0)</f>
        <v>22</v>
      </c>
      <c r="U27" s="61">
        <v>31</v>
      </c>
      <c r="V27" s="75">
        <f t="shared" si="10"/>
        <v>0.70967741935483875</v>
      </c>
      <c r="W27" s="58">
        <f t="shared" si="11"/>
        <v>537.63870967741934</v>
      </c>
      <c r="X27" s="58">
        <f t="shared" si="12"/>
        <v>29570.129032258064</v>
      </c>
      <c r="Y27" s="59">
        <f t="shared" si="13"/>
        <v>11828.051612903226</v>
      </c>
      <c r="Z27" s="59">
        <f t="shared" si="14"/>
        <v>5914.0258064516129</v>
      </c>
      <c r="AA27" s="59">
        <f t="shared" si="15"/>
        <v>5914.0258064516129</v>
      </c>
      <c r="AB27" s="59">
        <f t="shared" si="16"/>
        <v>5914.0258064516138</v>
      </c>
      <c r="AC27" s="59">
        <f t="shared" si="17"/>
        <v>1800</v>
      </c>
      <c r="AD27" s="59">
        <f t="shared" si="18"/>
        <v>1950</v>
      </c>
      <c r="AE27" s="59">
        <f t="shared" si="19"/>
        <v>0</v>
      </c>
      <c r="AF27" s="59">
        <f t="shared" si="20"/>
        <v>0</v>
      </c>
      <c r="AG27" s="58">
        <f t="shared" si="21"/>
        <v>1344.0967741935483</v>
      </c>
      <c r="AH27" s="38">
        <f>VLOOKUP(A27,ATTENDANCE!$A$1:$BC$27,55,0)</f>
        <v>0</v>
      </c>
      <c r="AI27" s="59">
        <f t="shared" si="22"/>
        <v>27770.129032258064</v>
      </c>
      <c r="AJ27" s="59">
        <v>0</v>
      </c>
      <c r="AK27" s="61">
        <v>0</v>
      </c>
      <c r="AL27" s="58"/>
      <c r="AM27" s="58"/>
      <c r="AN27" s="59"/>
      <c r="AO27" s="96">
        <v>0</v>
      </c>
      <c r="AP27" s="61">
        <v>0</v>
      </c>
      <c r="AQ27" s="64"/>
      <c r="AR27" s="65"/>
      <c r="AS27" s="78">
        <f t="shared" si="23"/>
        <v>0</v>
      </c>
      <c r="AT27" s="66">
        <v>0</v>
      </c>
      <c r="AU27" s="66"/>
      <c r="AV27" s="44">
        <f t="shared" si="24"/>
        <v>0</v>
      </c>
      <c r="AW27" s="66"/>
      <c r="AX27" s="66"/>
      <c r="AY27" s="66">
        <f t="shared" si="25"/>
        <v>0</v>
      </c>
      <c r="AZ27" s="79"/>
      <c r="BA27" s="97">
        <v>0</v>
      </c>
      <c r="BB27" s="67"/>
      <c r="BC27" s="47">
        <f t="shared" si="26"/>
        <v>27770.129032258064</v>
      </c>
      <c r="BD27" s="98"/>
      <c r="BE27" s="98"/>
      <c r="BF27" s="98"/>
      <c r="BG27" s="49">
        <f t="shared" si="27"/>
        <v>0</v>
      </c>
    </row>
  </sheetData>
  <autoFilter ref="A1:BG27" xr:uid="{00000000-0009-0000-0000-000001000000}"/>
  <conditionalFormatting sqref="C24:C25">
    <cfRule type="expression" priority="1">
      <formula>#REF!</formula>
    </cfRule>
  </conditionalFormatting>
  <conditionalFormatting sqref="C2:C23">
    <cfRule type="expression" priority="2">
      <formula>#REF!</formula>
    </cfRule>
  </conditionalFormatting>
  <conditionalFormatting sqref="C26">
    <cfRule type="expression" priority="3">
      <formula>#REF!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42"/>
  <sheetViews>
    <sheetView workbookViewId="0">
      <pane xSplit="9" ySplit="7" topLeftCell="J8" activePane="bottomRight" state="frozen"/>
      <selection pane="topRight"/>
      <selection pane="bottomLeft"/>
      <selection pane="bottomRight" activeCell="J8" sqref="J8"/>
    </sheetView>
  </sheetViews>
  <sheetFormatPr defaultRowHeight="16.5" customHeight="1"/>
  <cols>
    <col min="1" max="1" width="14.54296875"/>
    <col min="2" max="2" width="22"/>
    <col min="3" max="4" width="12.26953125"/>
    <col min="5" max="5" width="21.26953125"/>
    <col min="6" max="81" width="12.26953125"/>
    <col min="82" max="82" width="13.81640625"/>
    <col min="83" max="91" width="14.54296875"/>
    <col min="92" max="92" width="13"/>
    <col min="93" max="1024" width="14.54296875"/>
    <col min="1025" max="1025" width="11.453125"/>
  </cols>
  <sheetData>
    <row r="1" spans="1:95" s="27" customFormat="1" ht="65">
      <c r="A1" s="1"/>
      <c r="B1" s="1" t="s">
        <v>190</v>
      </c>
      <c r="C1" s="2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3">
        <v>44682</v>
      </c>
      <c r="I1" s="4">
        <v>44683</v>
      </c>
      <c r="J1" s="4">
        <v>44684</v>
      </c>
      <c r="K1" s="4">
        <v>44685</v>
      </c>
      <c r="L1" s="4">
        <v>44686</v>
      </c>
      <c r="M1" s="4">
        <v>44687</v>
      </c>
      <c r="N1" s="4">
        <v>44688</v>
      </c>
      <c r="O1" s="4">
        <v>44689</v>
      </c>
      <c r="P1" s="4">
        <v>44690</v>
      </c>
      <c r="Q1" s="4">
        <v>44691</v>
      </c>
      <c r="R1" s="4">
        <v>44692</v>
      </c>
      <c r="S1" s="4">
        <v>44693</v>
      </c>
      <c r="T1" s="4">
        <v>44694</v>
      </c>
      <c r="U1" s="4">
        <v>44695</v>
      </c>
      <c r="V1" s="4">
        <v>44696</v>
      </c>
      <c r="W1" s="4">
        <v>44697</v>
      </c>
      <c r="X1" s="4">
        <v>44698</v>
      </c>
      <c r="Y1" s="4">
        <v>44699</v>
      </c>
      <c r="Z1" s="4">
        <v>44700</v>
      </c>
      <c r="AA1" s="4">
        <v>44701</v>
      </c>
      <c r="AB1" s="4">
        <v>44702</v>
      </c>
      <c r="AC1" s="4">
        <v>44703</v>
      </c>
      <c r="AD1" s="4">
        <v>44704</v>
      </c>
      <c r="AE1" s="4">
        <v>44705</v>
      </c>
      <c r="AF1" s="4">
        <v>44706</v>
      </c>
      <c r="AG1" s="4">
        <v>44707</v>
      </c>
      <c r="AH1" s="4">
        <v>44708</v>
      </c>
      <c r="AI1" s="4">
        <v>44709</v>
      </c>
      <c r="AJ1" s="4">
        <v>44710</v>
      </c>
      <c r="AK1" s="4">
        <v>44711</v>
      </c>
      <c r="AL1" s="4">
        <v>44712</v>
      </c>
      <c r="AM1" s="5" t="s">
        <v>196</v>
      </c>
      <c r="AN1" s="5" t="s">
        <v>197</v>
      </c>
      <c r="AO1" s="5" t="s">
        <v>198</v>
      </c>
      <c r="AP1" s="5" t="s">
        <v>199</v>
      </c>
      <c r="AQ1" s="5" t="s">
        <v>200</v>
      </c>
      <c r="AR1" s="5" t="s">
        <v>201</v>
      </c>
      <c r="AS1" s="5" t="s">
        <v>202</v>
      </c>
      <c r="AT1" s="5" t="s">
        <v>203</v>
      </c>
      <c r="AU1" s="5" t="s">
        <v>204</v>
      </c>
      <c r="AV1" s="5" t="s">
        <v>205</v>
      </c>
      <c r="AW1" s="5" t="s">
        <v>206</v>
      </c>
      <c r="AX1" s="6" t="s">
        <v>207</v>
      </c>
      <c r="AY1" s="7" t="s">
        <v>208</v>
      </c>
      <c r="AZ1" s="5" t="s">
        <v>209</v>
      </c>
      <c r="BA1" s="5" t="s">
        <v>210</v>
      </c>
      <c r="BB1" s="5" t="s">
        <v>211</v>
      </c>
      <c r="BC1" s="5" t="s">
        <v>212</v>
      </c>
      <c r="BD1" s="5" t="s">
        <v>213</v>
      </c>
      <c r="BE1" s="8" t="s">
        <v>214</v>
      </c>
      <c r="BF1" s="8" t="s">
        <v>215</v>
      </c>
      <c r="BG1" s="8" t="s">
        <v>216</v>
      </c>
      <c r="BH1" s="8" t="s">
        <v>217</v>
      </c>
      <c r="BI1" s="5" t="s">
        <v>218</v>
      </c>
      <c r="BJ1" s="5" t="s">
        <v>219</v>
      </c>
      <c r="BK1" s="5" t="s">
        <v>220</v>
      </c>
      <c r="BL1" s="5" t="s">
        <v>221</v>
      </c>
      <c r="BM1" s="5" t="s">
        <v>222</v>
      </c>
      <c r="BN1" s="9" t="s">
        <v>223</v>
      </c>
      <c r="BO1" s="9" t="s">
        <v>224</v>
      </c>
      <c r="BP1" s="9" t="s">
        <v>225</v>
      </c>
      <c r="BQ1" s="9" t="s">
        <v>226</v>
      </c>
      <c r="BR1" s="9" t="s">
        <v>227</v>
      </c>
      <c r="BS1" s="10" t="s">
        <v>228</v>
      </c>
      <c r="BT1" s="9" t="s">
        <v>229</v>
      </c>
      <c r="BU1" s="10" t="s">
        <v>230</v>
      </c>
      <c r="BV1" s="11" t="s">
        <v>231</v>
      </c>
      <c r="BW1" s="5" t="s">
        <v>232</v>
      </c>
      <c r="BX1" s="12" t="s">
        <v>233</v>
      </c>
      <c r="BY1" s="12" t="s">
        <v>234</v>
      </c>
      <c r="BZ1" s="5" t="s">
        <v>235</v>
      </c>
      <c r="CA1" s="5" t="s">
        <v>236</v>
      </c>
      <c r="CB1" s="5" t="s">
        <v>237</v>
      </c>
      <c r="CC1" s="5" t="s">
        <v>238</v>
      </c>
      <c r="CD1" s="5" t="s">
        <v>239</v>
      </c>
      <c r="CE1" s="5" t="s">
        <v>240</v>
      </c>
      <c r="CF1" s="9" t="s">
        <v>241</v>
      </c>
      <c r="CG1" s="9" t="s">
        <v>242</v>
      </c>
      <c r="CH1" s="9" t="s">
        <v>243</v>
      </c>
      <c r="CI1" s="5" t="s">
        <v>244</v>
      </c>
      <c r="CJ1" s="9" t="s">
        <v>245</v>
      </c>
      <c r="CK1" s="9" t="s">
        <v>246</v>
      </c>
      <c r="CL1" s="5" t="s">
        <v>247</v>
      </c>
      <c r="CM1" s="13" t="s">
        <v>248</v>
      </c>
      <c r="CN1" s="13" t="s">
        <v>249</v>
      </c>
      <c r="CO1" s="5" t="s">
        <v>250</v>
      </c>
      <c r="CP1" s="5" t="s">
        <v>251</v>
      </c>
      <c r="CQ1" s="5" t="s">
        <v>252</v>
      </c>
    </row>
    <row r="2" spans="1:95">
      <c r="A2" s="28" t="s">
        <v>253</v>
      </c>
      <c r="B2" s="28" t="s">
        <v>254</v>
      </c>
      <c r="C2" s="101">
        <v>43895</v>
      </c>
      <c r="D2" s="28" t="s">
        <v>255</v>
      </c>
      <c r="E2" s="28" t="s">
        <v>256</v>
      </c>
      <c r="F2" s="28">
        <v>25</v>
      </c>
      <c r="G2" s="102" t="s">
        <v>257</v>
      </c>
      <c r="H2" s="103" t="s">
        <v>258</v>
      </c>
      <c r="I2" s="32" t="s">
        <v>259</v>
      </c>
      <c r="J2" s="32" t="s">
        <v>260</v>
      </c>
      <c r="K2" s="32" t="s">
        <v>261</v>
      </c>
      <c r="L2" s="32" t="s">
        <v>262</v>
      </c>
      <c r="M2" s="32" t="s">
        <v>263</v>
      </c>
      <c r="N2" s="32" t="s">
        <v>264</v>
      </c>
      <c r="O2" s="32" t="s">
        <v>265</v>
      </c>
      <c r="P2" s="32" t="s">
        <v>266</v>
      </c>
      <c r="Q2" s="32" t="s">
        <v>267</v>
      </c>
      <c r="R2" s="32" t="s">
        <v>268</v>
      </c>
      <c r="S2" s="32" t="s">
        <v>269</v>
      </c>
      <c r="T2" s="32" t="s">
        <v>270</v>
      </c>
      <c r="U2" s="32" t="s">
        <v>271</v>
      </c>
      <c r="V2" s="32" t="s">
        <v>272</v>
      </c>
      <c r="W2" s="32" t="s">
        <v>273</v>
      </c>
      <c r="X2" s="32" t="s">
        <v>274</v>
      </c>
      <c r="Y2" s="32" t="s">
        <v>275</v>
      </c>
      <c r="Z2" s="32" t="s">
        <v>276</v>
      </c>
      <c r="AA2" s="32" t="s">
        <v>277</v>
      </c>
      <c r="AB2" s="32" t="s">
        <v>278</v>
      </c>
      <c r="AC2" s="32" t="s">
        <v>279</v>
      </c>
      <c r="AD2" s="32" t="s">
        <v>280</v>
      </c>
      <c r="AE2" s="32" t="s">
        <v>281</v>
      </c>
      <c r="AF2" s="32" t="s">
        <v>282</v>
      </c>
      <c r="AG2" s="32" t="s">
        <v>283</v>
      </c>
      <c r="AH2" s="32" t="s">
        <v>284</v>
      </c>
      <c r="AI2" s="32" t="s">
        <v>285</v>
      </c>
      <c r="AJ2" s="32" t="s">
        <v>286</v>
      </c>
      <c r="AK2" s="32" t="s">
        <v>287</v>
      </c>
      <c r="AL2" s="32" t="s">
        <v>288</v>
      </c>
      <c r="AM2" s="32">
        <f t="shared" ref="AM2:AM28" si="0">COUNTIF(H2:AL2,"AB")</f>
        <v>1</v>
      </c>
      <c r="AN2" s="32">
        <f t="shared" ref="AN2:AN28" si="1">COUNTIF(H2:AL2,"UPL")</f>
        <v>0</v>
      </c>
      <c r="AO2" s="32">
        <f t="shared" ref="AO2:AO28" si="2">COUNTIF($H2:$AL2,"P")+COUNTIF($H2:$AL2,"WFH")</f>
        <v>23</v>
      </c>
      <c r="AP2" s="32">
        <f t="shared" ref="AP2:AP28" si="3">COUNTIF($H2:$AL2,"HD")+COUNTIF($H2:$AL2,"HD-WFH")</f>
        <v>0</v>
      </c>
      <c r="AQ2" s="32">
        <f t="shared" ref="AQ2:AQ28" si="4">COUNTIF($H2:$AL2,"W/O")+COUNTIF($H2:$AL2,"PH")</f>
        <v>7</v>
      </c>
      <c r="AR2" s="32">
        <f t="shared" ref="AR2:AR28" si="5">COUNTIF($H2:$AL2,"LATE")+COUNTIF($H2:$AL2,"LATE-WFH")</f>
        <v>0</v>
      </c>
      <c r="AS2" s="32">
        <f t="shared" ref="AS2:AS28" si="6">IF(AR2&gt;2,AR2-2,0)</f>
        <v>0</v>
      </c>
      <c r="AT2" s="32">
        <v>1</v>
      </c>
      <c r="AU2" s="32">
        <f t="shared" ref="AU2:AU28" si="7">$AW2-$AX2</f>
        <v>1377</v>
      </c>
      <c r="AV2" s="32">
        <f t="shared" ref="AV2:AV28" si="8">$AZ2-$AU2</f>
        <v>573</v>
      </c>
      <c r="AW2" s="32">
        <v>26667</v>
      </c>
      <c r="AX2" s="20">
        <v>25290</v>
      </c>
      <c r="AY2" s="21">
        <f t="shared" ref="AY2:AY28" si="9">AW2+AV2</f>
        <v>27240</v>
      </c>
      <c r="AZ2" s="32">
        <f t="shared" ref="AZ2:AZ28" si="10">IF(BE2+BG2+BH2&gt;15000,1950,(BE2+BG2+BH2)*0.13)</f>
        <v>1950</v>
      </c>
      <c r="BA2" s="32">
        <f t="shared" ref="BA2:BA28" si="11">IF(AX2&lt;21000,AX2*3.25%,0)</f>
        <v>0</v>
      </c>
      <c r="BB2" s="32">
        <f t="shared" ref="BB2:BB28" si="12">IF(AX2&lt;21000,AX2*0.75%,0)</f>
        <v>0</v>
      </c>
      <c r="BC2" s="33">
        <f t="shared" ref="BC2:BC28" si="13">IF(BN2+BP2+BQ2&gt;15000,1950,(BN2+BP2+BQ2)*0.13)</f>
        <v>1950</v>
      </c>
      <c r="BD2" s="32">
        <f t="shared" ref="BD2:BD28" si="14">IF(BE2+BG2+BH2&gt;15000,1800,(BE2+BG2+BH2)*0.12)</f>
        <v>1800</v>
      </c>
      <c r="BE2" s="32">
        <f t="shared" ref="BE2:BE28" si="15">IF(AX2*0.4&gt;12000,AX2*0.4,12000)</f>
        <v>12000</v>
      </c>
      <c r="BF2" s="32">
        <f t="shared" ref="BF2:BF28" si="16">IF(BE2+BE2*50%&lt;AX2,BE2*50%,AX2-BE2)</f>
        <v>6000</v>
      </c>
      <c r="BG2" s="32">
        <f t="shared" ref="BG2:BG28" si="17">IF(BE2+BE2*50%&lt;AX2,BE2*50%,AX2-BE2)</f>
        <v>6000</v>
      </c>
      <c r="BH2" s="32">
        <f t="shared" ref="BH2:BH28" si="18">AX2-BE2-BF2-BG2</f>
        <v>1290</v>
      </c>
      <c r="BI2" s="19">
        <f t="shared" ref="BI2:BI28" si="19">AO2+AQ2+AT2+AP2/2+AR2-AS2+AS2/2-AN2</f>
        <v>31</v>
      </c>
      <c r="BJ2" s="19">
        <v>31</v>
      </c>
      <c r="BK2" s="35">
        <f t="shared" ref="BK2:BK28" si="20">BI2/BJ2</f>
        <v>1</v>
      </c>
      <c r="BL2" s="19">
        <f t="shared" ref="BL2:BL28" si="21">BE2/BJ2</f>
        <v>387.09677419354841</v>
      </c>
      <c r="BM2" s="32">
        <f t="shared" ref="BM2:BM28" si="22">AW2*BK2</f>
        <v>26667</v>
      </c>
      <c r="BN2" s="33">
        <f t="shared" ref="BN2:BN28" si="23">BK2*BE2</f>
        <v>12000</v>
      </c>
      <c r="BO2" s="33">
        <f t="shared" ref="BO2:BO28" si="24">BK2*BF2</f>
        <v>6000</v>
      </c>
      <c r="BP2" s="33">
        <f t="shared" ref="BP2:BP28" si="25">BK2*BG2</f>
        <v>6000</v>
      </c>
      <c r="BQ2" s="33">
        <f t="shared" ref="BQ2:BQ28" si="26">BK2*BH2</f>
        <v>1290</v>
      </c>
      <c r="BR2" s="104">
        <f t="shared" ref="BR2:BR28" si="27">IF(BN2+BP2+BQ2&gt;15000,1800,(BN2+BP2+BQ2)*0.12)</f>
        <v>1800</v>
      </c>
      <c r="BS2" s="105">
        <f t="shared" ref="BS2:BS28" si="28">IF(BN2+BP2+BQ2&gt;15000,1950,(BN2+BP2+BQ2)*0.13)</f>
        <v>1950</v>
      </c>
      <c r="BT2" s="105">
        <f t="shared" ref="BT2:BT28" si="29">IF(BM2&lt;21000,BM2*0.75%,0)</f>
        <v>0</v>
      </c>
      <c r="BU2" s="105">
        <f t="shared" ref="BU2:BU28" si="30">IF(BM2&lt;21000,BM2*3.25%,0)</f>
        <v>0</v>
      </c>
      <c r="BV2" s="37">
        <f t="shared" ref="BV2:BV28" si="31">AW2/BJ2</f>
        <v>860.22580645161293</v>
      </c>
      <c r="BW2" s="106">
        <v>2.75</v>
      </c>
      <c r="BX2" s="39">
        <f t="shared" ref="BX2:BX28" si="32">SUM(BN2:BQ2)-BR2</f>
        <v>23490</v>
      </c>
      <c r="BY2" s="39"/>
      <c r="BZ2" s="19"/>
      <c r="CA2" s="19"/>
      <c r="CB2" s="32"/>
      <c r="CC2" s="33"/>
      <c r="CD2" s="107" t="e">
        <f>VLOOKUP('May 22 Final'!A:A,#REF!,30,FALSE)</f>
        <v>#REF!</v>
      </c>
      <c r="CE2" s="19"/>
      <c r="CF2" s="108"/>
      <c r="CG2" s="43"/>
      <c r="CH2" s="43">
        <f t="shared" ref="CH2:CH28" si="33">IFERROR(IF(CG2&lt;5,0,IF(CG2&gt;=5,CG2*300,)),"0")</f>
        <v>0</v>
      </c>
      <c r="CI2" s="109"/>
      <c r="CJ2" s="44">
        <f>35.1</f>
        <v>35.1</v>
      </c>
      <c r="CK2" s="44">
        <f>CJ2*200</f>
        <v>7020</v>
      </c>
      <c r="CL2" s="107" t="str">
        <f>IFERROR(VLOOKUP(A2,#REF!,11,FALSE),"0")</f>
        <v>0</v>
      </c>
      <c r="CM2" s="46"/>
      <c r="CN2" s="47" t="e">
        <f t="shared" ref="CN2:CN28" si="34">BX2-BZ2-CA2+CB2+CC2+CE2+CH2+CI2+CK2+CL2+CM2-BY2+CD2</f>
        <v>#REF!</v>
      </c>
      <c r="CO2" s="19"/>
      <c r="CP2" s="19"/>
      <c r="CQ2" s="19"/>
    </row>
    <row r="3" spans="1:95">
      <c r="A3" s="110" t="s">
        <v>289</v>
      </c>
      <c r="B3" s="110" t="s">
        <v>290</v>
      </c>
      <c r="C3" s="111">
        <v>43906</v>
      </c>
      <c r="D3" s="110" t="s">
        <v>291</v>
      </c>
      <c r="E3" s="110" t="s">
        <v>292</v>
      </c>
      <c r="F3" s="110">
        <v>25</v>
      </c>
      <c r="G3" s="112" t="s">
        <v>293</v>
      </c>
      <c r="H3" s="113" t="s">
        <v>294</v>
      </c>
      <c r="I3" s="114" t="s">
        <v>295</v>
      </c>
      <c r="J3" s="114" t="s">
        <v>296</v>
      </c>
      <c r="K3" s="114" t="s">
        <v>297</v>
      </c>
      <c r="L3" s="114" t="s">
        <v>298</v>
      </c>
      <c r="M3" s="114" t="s">
        <v>299</v>
      </c>
      <c r="N3" s="114" t="s">
        <v>300</v>
      </c>
      <c r="O3" s="114" t="s">
        <v>301</v>
      </c>
      <c r="P3" s="114" t="s">
        <v>302</v>
      </c>
      <c r="Q3" s="114" t="s">
        <v>303</v>
      </c>
      <c r="R3" s="114" t="s">
        <v>304</v>
      </c>
      <c r="S3" s="114" t="s">
        <v>305</v>
      </c>
      <c r="T3" s="114" t="s">
        <v>306</v>
      </c>
      <c r="U3" s="114" t="s">
        <v>307</v>
      </c>
      <c r="V3" s="114" t="s">
        <v>308</v>
      </c>
      <c r="W3" s="114" t="s">
        <v>309</v>
      </c>
      <c r="X3" s="114" t="s">
        <v>310</v>
      </c>
      <c r="Y3" s="114" t="s">
        <v>311</v>
      </c>
      <c r="Z3" s="114" t="s">
        <v>312</v>
      </c>
      <c r="AA3" s="114" t="s">
        <v>313</v>
      </c>
      <c r="AB3" s="114" t="s">
        <v>314</v>
      </c>
      <c r="AC3" s="114" t="s">
        <v>315</v>
      </c>
      <c r="AD3" s="114" t="s">
        <v>316</v>
      </c>
      <c r="AE3" s="114" t="s">
        <v>317</v>
      </c>
      <c r="AF3" s="114" t="s">
        <v>318</v>
      </c>
      <c r="AG3" s="114" t="s">
        <v>319</v>
      </c>
      <c r="AH3" s="114" t="s">
        <v>320</v>
      </c>
      <c r="AI3" s="114" t="s">
        <v>321</v>
      </c>
      <c r="AJ3" s="114" t="s">
        <v>322</v>
      </c>
      <c r="AK3" s="114" t="s">
        <v>323</v>
      </c>
      <c r="AL3" s="114" t="s">
        <v>324</v>
      </c>
      <c r="AM3" s="114">
        <f t="shared" si="0"/>
        <v>1</v>
      </c>
      <c r="AN3" s="114">
        <f t="shared" si="1"/>
        <v>0</v>
      </c>
      <c r="AO3" s="114">
        <f t="shared" si="2"/>
        <v>23</v>
      </c>
      <c r="AP3" s="114">
        <f t="shared" si="3"/>
        <v>0</v>
      </c>
      <c r="AQ3" s="114">
        <f t="shared" si="4"/>
        <v>7</v>
      </c>
      <c r="AR3" s="114">
        <f t="shared" si="5"/>
        <v>0</v>
      </c>
      <c r="AS3" s="114">
        <f t="shared" si="6"/>
        <v>0</v>
      </c>
      <c r="AT3" s="114">
        <v>1</v>
      </c>
      <c r="AU3" s="32">
        <f t="shared" si="7"/>
        <v>774</v>
      </c>
      <c r="AV3" s="32">
        <f t="shared" si="8"/>
        <v>786</v>
      </c>
      <c r="AW3" s="114">
        <v>15000</v>
      </c>
      <c r="AX3" s="20">
        <v>14226</v>
      </c>
      <c r="AY3" s="21">
        <f t="shared" si="9"/>
        <v>15786</v>
      </c>
      <c r="AZ3" s="32">
        <f t="shared" si="10"/>
        <v>1560</v>
      </c>
      <c r="BA3" s="32">
        <f t="shared" si="11"/>
        <v>462.34500000000003</v>
      </c>
      <c r="BB3" s="32">
        <f t="shared" si="12"/>
        <v>106.69499999999999</v>
      </c>
      <c r="BC3" s="33">
        <f t="shared" si="13"/>
        <v>1560</v>
      </c>
      <c r="BD3" s="32">
        <f t="shared" si="14"/>
        <v>1440</v>
      </c>
      <c r="BE3" s="32">
        <f t="shared" si="15"/>
        <v>12000</v>
      </c>
      <c r="BF3" s="32">
        <f t="shared" si="16"/>
        <v>2226</v>
      </c>
      <c r="BG3" s="32">
        <f t="shared" si="17"/>
        <v>2226</v>
      </c>
      <c r="BH3" s="32">
        <f t="shared" si="18"/>
        <v>-2226</v>
      </c>
      <c r="BI3" s="19">
        <f t="shared" si="19"/>
        <v>31</v>
      </c>
      <c r="BJ3" s="19">
        <v>31</v>
      </c>
      <c r="BK3" s="35">
        <f t="shared" si="20"/>
        <v>1</v>
      </c>
      <c r="BL3" s="19">
        <f t="shared" si="21"/>
        <v>387.09677419354841</v>
      </c>
      <c r="BM3" s="32">
        <f t="shared" si="22"/>
        <v>15000</v>
      </c>
      <c r="BN3" s="33">
        <f t="shared" si="23"/>
        <v>12000</v>
      </c>
      <c r="BO3" s="33">
        <f t="shared" si="24"/>
        <v>2226</v>
      </c>
      <c r="BP3" s="33">
        <f t="shared" si="25"/>
        <v>2226</v>
      </c>
      <c r="BQ3" s="33">
        <f t="shared" si="26"/>
        <v>-2226</v>
      </c>
      <c r="BR3" s="104">
        <f t="shared" si="27"/>
        <v>1440</v>
      </c>
      <c r="BS3" s="105">
        <f t="shared" si="28"/>
        <v>1560</v>
      </c>
      <c r="BT3" s="105">
        <f t="shared" si="29"/>
        <v>112.5</v>
      </c>
      <c r="BU3" s="105">
        <f t="shared" si="30"/>
        <v>487.5</v>
      </c>
      <c r="BV3" s="37">
        <f t="shared" si="31"/>
        <v>483.87096774193549</v>
      </c>
      <c r="BW3" s="115">
        <v>4.25</v>
      </c>
      <c r="BX3" s="39">
        <f t="shared" si="32"/>
        <v>12786</v>
      </c>
      <c r="BY3" s="39"/>
      <c r="BZ3" s="114"/>
      <c r="CA3" s="114"/>
      <c r="CB3" s="114"/>
      <c r="CC3" s="114"/>
      <c r="CD3" s="107" t="e">
        <f>VLOOKUP('May 22 Final'!A:A,#REF!,30,FALSE)</f>
        <v>#REF!</v>
      </c>
      <c r="CE3" s="114"/>
      <c r="CF3" s="116"/>
      <c r="CG3" s="114"/>
      <c r="CH3" s="43">
        <f t="shared" si="33"/>
        <v>0</v>
      </c>
      <c r="CI3" s="117"/>
      <c r="CJ3" s="114"/>
      <c r="CK3" s="44">
        <f t="shared" ref="CK3:CK8" si="35">IF(CJ3&gt;60,CJ3*300,IF(CJ3&gt;30,CJ3*250,CJ3*200))</f>
        <v>0</v>
      </c>
      <c r="CL3" s="118" t="str">
        <f>IFERROR(VLOOKUP(A3,#REF!,11,FALSE),"0")</f>
        <v>0</v>
      </c>
      <c r="CM3" s="117"/>
      <c r="CN3" s="47" t="e">
        <f t="shared" si="34"/>
        <v>#REF!</v>
      </c>
      <c r="CO3" s="114"/>
      <c r="CP3" s="114"/>
      <c r="CQ3" s="114"/>
    </row>
    <row r="4" spans="1:95">
      <c r="A4" s="28" t="s">
        <v>325</v>
      </c>
      <c r="B4" s="28" t="s">
        <v>326</v>
      </c>
      <c r="C4" s="101">
        <v>44034</v>
      </c>
      <c r="D4" s="28" t="s">
        <v>327</v>
      </c>
      <c r="E4" s="28" t="s">
        <v>328</v>
      </c>
      <c r="F4" s="28">
        <v>21</v>
      </c>
      <c r="G4" s="102" t="s">
        <v>329</v>
      </c>
      <c r="H4" s="103" t="s">
        <v>330</v>
      </c>
      <c r="I4" s="32" t="s">
        <v>331</v>
      </c>
      <c r="J4" s="32" t="s">
        <v>332</v>
      </c>
      <c r="K4" s="32" t="s">
        <v>333</v>
      </c>
      <c r="L4" s="32" t="s">
        <v>334</v>
      </c>
      <c r="M4" s="32" t="s">
        <v>335</v>
      </c>
      <c r="N4" s="32" t="s">
        <v>336</v>
      </c>
      <c r="O4" s="32" t="s">
        <v>337</v>
      </c>
      <c r="P4" s="32" t="s">
        <v>338</v>
      </c>
      <c r="Q4" s="32" t="s">
        <v>339</v>
      </c>
      <c r="R4" s="32" t="s">
        <v>340</v>
      </c>
      <c r="S4" s="32" t="s">
        <v>341</v>
      </c>
      <c r="T4" s="32" t="s">
        <v>342</v>
      </c>
      <c r="U4" s="32" t="s">
        <v>343</v>
      </c>
      <c r="V4" s="32" t="s">
        <v>344</v>
      </c>
      <c r="W4" s="32" t="s">
        <v>345</v>
      </c>
      <c r="X4" s="32" t="s">
        <v>346</v>
      </c>
      <c r="Y4" s="32" t="s">
        <v>347</v>
      </c>
      <c r="Z4" s="32" t="s">
        <v>348</v>
      </c>
      <c r="AA4" s="32" t="s">
        <v>349</v>
      </c>
      <c r="AB4" s="32" t="s">
        <v>350</v>
      </c>
      <c r="AC4" s="32" t="s">
        <v>351</v>
      </c>
      <c r="AD4" s="32" t="s">
        <v>352</v>
      </c>
      <c r="AE4" s="32" t="s">
        <v>353</v>
      </c>
      <c r="AF4" s="32" t="s">
        <v>354</v>
      </c>
      <c r="AG4" s="32" t="s">
        <v>355</v>
      </c>
      <c r="AH4" s="32" t="s">
        <v>356</v>
      </c>
      <c r="AI4" s="32" t="s">
        <v>357</v>
      </c>
      <c r="AJ4" s="32" t="s">
        <v>358</v>
      </c>
      <c r="AK4" s="32" t="s">
        <v>359</v>
      </c>
      <c r="AL4" s="32" t="s">
        <v>360</v>
      </c>
      <c r="AM4" s="32">
        <f t="shared" si="0"/>
        <v>0</v>
      </c>
      <c r="AN4" s="32">
        <f t="shared" si="1"/>
        <v>0</v>
      </c>
      <c r="AO4" s="32">
        <f t="shared" si="2"/>
        <v>23</v>
      </c>
      <c r="AP4" s="32">
        <f t="shared" si="3"/>
        <v>1</v>
      </c>
      <c r="AQ4" s="32">
        <f t="shared" si="4"/>
        <v>7</v>
      </c>
      <c r="AR4" s="32">
        <f t="shared" si="5"/>
        <v>0</v>
      </c>
      <c r="AS4" s="32">
        <f t="shared" si="6"/>
        <v>0</v>
      </c>
      <c r="AT4" s="32">
        <v>0.5</v>
      </c>
      <c r="AU4" s="32">
        <f t="shared" si="7"/>
        <v>2041</v>
      </c>
      <c r="AV4" s="32">
        <f t="shared" si="8"/>
        <v>-91</v>
      </c>
      <c r="AW4" s="32">
        <v>43900</v>
      </c>
      <c r="AX4" s="20">
        <v>41859</v>
      </c>
      <c r="AY4" s="21">
        <f t="shared" si="9"/>
        <v>43809</v>
      </c>
      <c r="AZ4" s="32">
        <f t="shared" si="10"/>
        <v>1950</v>
      </c>
      <c r="BA4" s="32">
        <f t="shared" si="11"/>
        <v>0</v>
      </c>
      <c r="BB4" s="32">
        <f t="shared" si="12"/>
        <v>0</v>
      </c>
      <c r="BC4" s="33">
        <f t="shared" si="13"/>
        <v>1950</v>
      </c>
      <c r="BD4" s="32">
        <f t="shared" si="14"/>
        <v>1800</v>
      </c>
      <c r="BE4" s="32">
        <f t="shared" si="15"/>
        <v>16743.600000000002</v>
      </c>
      <c r="BF4" s="32">
        <f t="shared" si="16"/>
        <v>8371.8000000000011</v>
      </c>
      <c r="BG4" s="32">
        <f t="shared" si="17"/>
        <v>8371.8000000000011</v>
      </c>
      <c r="BH4" s="32">
        <f t="shared" si="18"/>
        <v>8371.7999999999975</v>
      </c>
      <c r="BI4" s="19">
        <f t="shared" si="19"/>
        <v>31</v>
      </c>
      <c r="BJ4" s="19">
        <v>31</v>
      </c>
      <c r="BK4" s="35">
        <f t="shared" si="20"/>
        <v>1</v>
      </c>
      <c r="BL4" s="19">
        <f t="shared" si="21"/>
        <v>540.11612903225819</v>
      </c>
      <c r="BM4" s="32">
        <f t="shared" si="22"/>
        <v>43900</v>
      </c>
      <c r="BN4" s="33">
        <f t="shared" si="23"/>
        <v>16743.600000000002</v>
      </c>
      <c r="BO4" s="33">
        <f t="shared" si="24"/>
        <v>8371.8000000000011</v>
      </c>
      <c r="BP4" s="33">
        <f t="shared" si="25"/>
        <v>8371.8000000000011</v>
      </c>
      <c r="BQ4" s="33">
        <f t="shared" si="26"/>
        <v>8371.7999999999975</v>
      </c>
      <c r="BR4" s="104">
        <f t="shared" si="27"/>
        <v>1800</v>
      </c>
      <c r="BS4" s="105">
        <f t="shared" si="28"/>
        <v>1950</v>
      </c>
      <c r="BT4" s="105">
        <f t="shared" si="29"/>
        <v>0</v>
      </c>
      <c r="BU4" s="105">
        <f t="shared" si="30"/>
        <v>0</v>
      </c>
      <c r="BV4" s="37">
        <f t="shared" si="31"/>
        <v>1416.1290322580646</v>
      </c>
      <c r="BW4" s="106">
        <v>4.5</v>
      </c>
      <c r="BX4" s="39">
        <f t="shared" si="32"/>
        <v>40059</v>
      </c>
      <c r="BY4" s="39"/>
      <c r="BZ4" s="19"/>
      <c r="CA4" s="19"/>
      <c r="CB4" s="32"/>
      <c r="CC4" s="33"/>
      <c r="CD4" s="107" t="e">
        <f>VLOOKUP('May 22 Final'!A:A,#REF!,30,FALSE)</f>
        <v>#REF!</v>
      </c>
      <c r="CE4" s="19"/>
      <c r="CF4" s="108"/>
      <c r="CG4" s="43"/>
      <c r="CH4" s="43">
        <f t="shared" si="33"/>
        <v>0</v>
      </c>
      <c r="CI4" s="109"/>
      <c r="CJ4" s="44"/>
      <c r="CK4" s="44">
        <f t="shared" si="35"/>
        <v>0</v>
      </c>
      <c r="CL4" s="107" t="str">
        <f>IFERROR(VLOOKUP(A4,#REF!,11,FALSE),"0")</f>
        <v>0</v>
      </c>
      <c r="CM4" s="46"/>
      <c r="CN4" s="47" t="e">
        <f t="shared" si="34"/>
        <v>#REF!</v>
      </c>
      <c r="CO4" s="19"/>
      <c r="CP4" s="19"/>
      <c r="CQ4" s="19"/>
    </row>
    <row r="5" spans="1:95">
      <c r="A5" s="28" t="s">
        <v>361</v>
      </c>
      <c r="B5" s="28" t="s">
        <v>362</v>
      </c>
      <c r="C5" s="101">
        <v>44048</v>
      </c>
      <c r="D5" s="28" t="s">
        <v>363</v>
      </c>
      <c r="E5" s="28" t="s">
        <v>364</v>
      </c>
      <c r="F5" s="28">
        <v>20</v>
      </c>
      <c r="G5" s="102" t="s">
        <v>365</v>
      </c>
      <c r="H5" s="103" t="s">
        <v>366</v>
      </c>
      <c r="I5" s="32" t="s">
        <v>367</v>
      </c>
      <c r="J5" s="32" t="s">
        <v>368</v>
      </c>
      <c r="K5" s="32" t="s">
        <v>369</v>
      </c>
      <c r="L5" s="32" t="s">
        <v>370</v>
      </c>
      <c r="M5" s="32" t="s">
        <v>371</v>
      </c>
      <c r="N5" s="32" t="s">
        <v>372</v>
      </c>
      <c r="O5" s="32" t="s">
        <v>373</v>
      </c>
      <c r="P5" s="32" t="s">
        <v>374</v>
      </c>
      <c r="Q5" s="32" t="s">
        <v>375</v>
      </c>
      <c r="R5" s="32" t="s">
        <v>376</v>
      </c>
      <c r="S5" s="32" t="s">
        <v>377</v>
      </c>
      <c r="T5" s="32" t="s">
        <v>378</v>
      </c>
      <c r="U5" s="32" t="s">
        <v>379</v>
      </c>
      <c r="V5" s="32" t="s">
        <v>380</v>
      </c>
      <c r="W5" s="32" t="s">
        <v>381</v>
      </c>
      <c r="X5" s="32" t="s">
        <v>382</v>
      </c>
      <c r="Y5" s="32" t="s">
        <v>383</v>
      </c>
      <c r="Z5" s="32" t="s">
        <v>384</v>
      </c>
      <c r="AA5" s="32" t="s">
        <v>385</v>
      </c>
      <c r="AB5" s="32" t="s">
        <v>386</v>
      </c>
      <c r="AC5" s="32" t="s">
        <v>387</v>
      </c>
      <c r="AD5" s="32" t="s">
        <v>388</v>
      </c>
      <c r="AE5" s="32" t="s">
        <v>389</v>
      </c>
      <c r="AF5" s="32" t="s">
        <v>390</v>
      </c>
      <c r="AG5" s="32" t="s">
        <v>391</v>
      </c>
      <c r="AH5" s="32" t="s">
        <v>392</v>
      </c>
      <c r="AI5" s="32" t="s">
        <v>393</v>
      </c>
      <c r="AJ5" s="32" t="s">
        <v>394</v>
      </c>
      <c r="AK5" s="32" t="s">
        <v>395</v>
      </c>
      <c r="AL5" s="32" t="s">
        <v>396</v>
      </c>
      <c r="AM5" s="32">
        <f t="shared" si="0"/>
        <v>1</v>
      </c>
      <c r="AN5" s="32">
        <f t="shared" si="1"/>
        <v>0</v>
      </c>
      <c r="AO5" s="32">
        <f t="shared" si="2"/>
        <v>22</v>
      </c>
      <c r="AP5" s="32">
        <f t="shared" si="3"/>
        <v>0</v>
      </c>
      <c r="AQ5" s="32">
        <f t="shared" si="4"/>
        <v>7</v>
      </c>
      <c r="AR5" s="32">
        <f t="shared" si="5"/>
        <v>1</v>
      </c>
      <c r="AS5" s="32">
        <f t="shared" si="6"/>
        <v>0</v>
      </c>
      <c r="AT5" s="32">
        <v>1</v>
      </c>
      <c r="AU5" s="32">
        <f t="shared" si="7"/>
        <v>1497</v>
      </c>
      <c r="AV5" s="32">
        <f t="shared" si="8"/>
        <v>453</v>
      </c>
      <c r="AW5" s="32">
        <v>28997</v>
      </c>
      <c r="AX5" s="20">
        <v>27500</v>
      </c>
      <c r="AY5" s="21">
        <f t="shared" si="9"/>
        <v>29450</v>
      </c>
      <c r="AZ5" s="32">
        <f t="shared" si="10"/>
        <v>1950</v>
      </c>
      <c r="BA5" s="32">
        <f t="shared" si="11"/>
        <v>0</v>
      </c>
      <c r="BB5" s="32">
        <f t="shared" si="12"/>
        <v>0</v>
      </c>
      <c r="BC5" s="33">
        <f t="shared" si="13"/>
        <v>1950</v>
      </c>
      <c r="BD5" s="32">
        <f t="shared" si="14"/>
        <v>1800</v>
      </c>
      <c r="BE5" s="32">
        <f t="shared" si="15"/>
        <v>12000</v>
      </c>
      <c r="BF5" s="32">
        <f t="shared" si="16"/>
        <v>6000</v>
      </c>
      <c r="BG5" s="32">
        <f t="shared" si="17"/>
        <v>6000</v>
      </c>
      <c r="BH5" s="32">
        <f t="shared" si="18"/>
        <v>3500</v>
      </c>
      <c r="BI5" s="19">
        <f t="shared" si="19"/>
        <v>31</v>
      </c>
      <c r="BJ5" s="19">
        <v>31</v>
      </c>
      <c r="BK5" s="35">
        <f t="shared" si="20"/>
        <v>1</v>
      </c>
      <c r="BL5" s="19">
        <f t="shared" si="21"/>
        <v>387.09677419354841</v>
      </c>
      <c r="BM5" s="32">
        <f t="shared" si="22"/>
        <v>28997</v>
      </c>
      <c r="BN5" s="33">
        <f t="shared" si="23"/>
        <v>12000</v>
      </c>
      <c r="BO5" s="33">
        <f t="shared" si="24"/>
        <v>6000</v>
      </c>
      <c r="BP5" s="33">
        <f t="shared" si="25"/>
        <v>6000</v>
      </c>
      <c r="BQ5" s="33">
        <f t="shared" si="26"/>
        <v>3500</v>
      </c>
      <c r="BR5" s="104">
        <f t="shared" si="27"/>
        <v>1800</v>
      </c>
      <c r="BS5" s="105">
        <f t="shared" si="28"/>
        <v>1950</v>
      </c>
      <c r="BT5" s="105">
        <f t="shared" si="29"/>
        <v>0</v>
      </c>
      <c r="BU5" s="105">
        <f t="shared" si="30"/>
        <v>0</v>
      </c>
      <c r="BV5" s="37">
        <f t="shared" si="31"/>
        <v>935.38709677419354</v>
      </c>
      <c r="BW5" s="106">
        <v>4.25</v>
      </c>
      <c r="BX5" s="39">
        <f t="shared" si="32"/>
        <v>25700</v>
      </c>
      <c r="BY5" s="39"/>
      <c r="BZ5" s="32"/>
      <c r="CA5" s="32"/>
      <c r="CB5" s="32"/>
      <c r="CC5" s="33"/>
      <c r="CD5" s="107" t="e">
        <f>VLOOKUP('May 22 Final'!A:A,#REF!,30,FALSE)</f>
        <v>#REF!</v>
      </c>
      <c r="CE5" s="32"/>
      <c r="CF5" s="108"/>
      <c r="CG5" s="43"/>
      <c r="CH5" s="43">
        <f t="shared" si="33"/>
        <v>0</v>
      </c>
      <c r="CI5" s="109"/>
      <c r="CJ5" s="44"/>
      <c r="CK5" s="44">
        <f t="shared" si="35"/>
        <v>0</v>
      </c>
      <c r="CL5" s="107" t="str">
        <f>IFERROR(VLOOKUP(A5,#REF!,11,FALSE),"0")</f>
        <v>0</v>
      </c>
      <c r="CM5" s="56"/>
      <c r="CN5" s="47" t="e">
        <f t="shared" si="34"/>
        <v>#REF!</v>
      </c>
      <c r="CO5" s="19"/>
      <c r="CP5" s="19"/>
      <c r="CQ5" s="32"/>
    </row>
    <row r="6" spans="1:95" s="17" customFormat="1">
      <c r="A6" s="80" t="s">
        <v>397</v>
      </c>
      <c r="B6" s="80" t="s">
        <v>398</v>
      </c>
      <c r="C6" s="119">
        <v>44062</v>
      </c>
      <c r="D6" s="80" t="s">
        <v>399</v>
      </c>
      <c r="E6" s="80" t="s">
        <v>400</v>
      </c>
      <c r="F6" s="80">
        <v>20</v>
      </c>
      <c r="G6" s="120" t="s">
        <v>401</v>
      </c>
      <c r="H6" s="81" t="s">
        <v>402</v>
      </c>
      <c r="I6" s="42" t="s">
        <v>403</v>
      </c>
      <c r="J6" s="42" t="s">
        <v>404</v>
      </c>
      <c r="K6" s="42" t="s">
        <v>405</v>
      </c>
      <c r="L6" s="42" t="s">
        <v>406</v>
      </c>
      <c r="M6" s="42" t="s">
        <v>407</v>
      </c>
      <c r="N6" s="42" t="s">
        <v>408</v>
      </c>
      <c r="O6" s="42" t="s">
        <v>409</v>
      </c>
      <c r="P6" s="42" t="s">
        <v>410</v>
      </c>
      <c r="Q6" s="42" t="s">
        <v>411</v>
      </c>
      <c r="R6" s="42" t="s">
        <v>412</v>
      </c>
      <c r="S6" s="42" t="s">
        <v>413</v>
      </c>
      <c r="T6" s="42" t="s">
        <v>414</v>
      </c>
      <c r="U6" s="42" t="s">
        <v>415</v>
      </c>
      <c r="V6" s="42" t="s">
        <v>416</v>
      </c>
      <c r="W6" s="42" t="s">
        <v>417</v>
      </c>
      <c r="X6" s="42" t="s">
        <v>418</v>
      </c>
      <c r="Y6" s="42" t="s">
        <v>419</v>
      </c>
      <c r="Z6" s="42" t="s">
        <v>420</v>
      </c>
      <c r="AA6" s="42" t="s">
        <v>421</v>
      </c>
      <c r="AB6" s="42" t="s">
        <v>422</v>
      </c>
      <c r="AC6" s="42" t="s">
        <v>423</v>
      </c>
      <c r="AD6" s="42" t="s">
        <v>424</v>
      </c>
      <c r="AE6" s="42" t="s">
        <v>425</v>
      </c>
      <c r="AF6" s="42" t="s">
        <v>426</v>
      </c>
      <c r="AG6" s="42" t="s">
        <v>427</v>
      </c>
      <c r="AH6" s="42" t="s">
        <v>428</v>
      </c>
      <c r="AI6" s="42" t="s">
        <v>429</v>
      </c>
      <c r="AJ6" s="42" t="s">
        <v>430</v>
      </c>
      <c r="AK6" s="42" t="s">
        <v>431</v>
      </c>
      <c r="AL6" s="42" t="s">
        <v>432</v>
      </c>
      <c r="AM6" s="42">
        <f t="shared" si="0"/>
        <v>16</v>
      </c>
      <c r="AN6" s="42">
        <f t="shared" si="1"/>
        <v>1</v>
      </c>
      <c r="AO6" s="42">
        <f t="shared" si="2"/>
        <v>6</v>
      </c>
      <c r="AP6" s="42">
        <f t="shared" si="3"/>
        <v>1</v>
      </c>
      <c r="AQ6" s="42">
        <f t="shared" si="4"/>
        <v>3</v>
      </c>
      <c r="AR6" s="42">
        <f t="shared" si="5"/>
        <v>1</v>
      </c>
      <c r="AS6" s="42">
        <f t="shared" si="6"/>
        <v>0</v>
      </c>
      <c r="AT6" s="42">
        <v>1</v>
      </c>
      <c r="AU6" s="42">
        <f t="shared" si="7"/>
        <v>1361</v>
      </c>
      <c r="AV6" s="42">
        <f t="shared" si="8"/>
        <v>589</v>
      </c>
      <c r="AW6" s="42">
        <v>26361</v>
      </c>
      <c r="AX6" s="42">
        <v>25000</v>
      </c>
      <c r="AY6" s="42">
        <f t="shared" si="9"/>
        <v>26950</v>
      </c>
      <c r="AZ6" s="42">
        <f t="shared" si="10"/>
        <v>1950</v>
      </c>
      <c r="BA6" s="42">
        <f t="shared" si="11"/>
        <v>0</v>
      </c>
      <c r="BB6" s="42">
        <f t="shared" si="12"/>
        <v>0</v>
      </c>
      <c r="BC6" s="42">
        <f t="shared" si="13"/>
        <v>836.61290322580646</v>
      </c>
      <c r="BD6" s="42">
        <f t="shared" si="14"/>
        <v>1800</v>
      </c>
      <c r="BE6" s="42">
        <f t="shared" si="15"/>
        <v>12000</v>
      </c>
      <c r="BF6" s="42">
        <f t="shared" si="16"/>
        <v>6000</v>
      </c>
      <c r="BG6" s="42">
        <f t="shared" si="17"/>
        <v>6000</v>
      </c>
      <c r="BH6" s="42">
        <f t="shared" si="18"/>
        <v>1000</v>
      </c>
      <c r="BI6" s="42">
        <f t="shared" si="19"/>
        <v>10.5</v>
      </c>
      <c r="BJ6" s="42">
        <v>31</v>
      </c>
      <c r="BK6" s="99">
        <f t="shared" si="20"/>
        <v>0.33870967741935482</v>
      </c>
      <c r="BL6" s="42">
        <f t="shared" si="21"/>
        <v>387.09677419354841</v>
      </c>
      <c r="BM6" s="42">
        <f t="shared" si="22"/>
        <v>8928.7258064516118</v>
      </c>
      <c r="BN6" s="42">
        <f t="shared" si="23"/>
        <v>4064.5161290322576</v>
      </c>
      <c r="BO6" s="42">
        <f t="shared" si="24"/>
        <v>2032.2580645161288</v>
      </c>
      <c r="BP6" s="42">
        <f t="shared" si="25"/>
        <v>2032.2580645161288</v>
      </c>
      <c r="BQ6" s="42">
        <f t="shared" si="26"/>
        <v>338.70967741935482</v>
      </c>
      <c r="BR6" s="121">
        <f t="shared" si="27"/>
        <v>772.25806451612891</v>
      </c>
      <c r="BS6" s="122">
        <f t="shared" si="28"/>
        <v>836.61290322580646</v>
      </c>
      <c r="BT6" s="105">
        <f t="shared" si="29"/>
        <v>66.965443548387086</v>
      </c>
      <c r="BU6" s="105">
        <f t="shared" si="30"/>
        <v>290.18358870967739</v>
      </c>
      <c r="BV6" s="123">
        <f t="shared" si="31"/>
        <v>850.35483870967744</v>
      </c>
      <c r="BW6" s="124">
        <v>1.25</v>
      </c>
      <c r="BX6" s="81">
        <f t="shared" si="32"/>
        <v>7695.4838709677406</v>
      </c>
      <c r="BY6" s="81"/>
      <c r="BZ6" s="42">
        <v>100</v>
      </c>
      <c r="CA6" s="42"/>
      <c r="CB6" s="42"/>
      <c r="CC6" s="42"/>
      <c r="CD6" s="125" t="e">
        <f>VLOOKUP('May 22 Final'!A:A,#REF!,30,FALSE)</f>
        <v>#REF!</v>
      </c>
      <c r="CE6" s="42"/>
      <c r="CF6" s="126"/>
      <c r="CG6" s="42">
        <v>8</v>
      </c>
      <c r="CH6" s="43">
        <f t="shared" si="33"/>
        <v>2400</v>
      </c>
      <c r="CI6" s="100"/>
      <c r="CJ6" s="42"/>
      <c r="CK6" s="44">
        <f t="shared" si="35"/>
        <v>0</v>
      </c>
      <c r="CL6" s="125" t="str">
        <f>IFERROR(VLOOKUP(A6,#REF!,11,FALSE),"0")</f>
        <v>0</v>
      </c>
      <c r="CM6" s="100"/>
      <c r="CN6" s="42" t="e">
        <f t="shared" si="34"/>
        <v>#REF!</v>
      </c>
      <c r="CO6" s="42" t="s">
        <v>433</v>
      </c>
      <c r="CP6" s="42"/>
      <c r="CQ6" s="42"/>
    </row>
    <row r="7" spans="1:95">
      <c r="A7" s="28" t="s">
        <v>434</v>
      </c>
      <c r="B7" s="28" t="s">
        <v>435</v>
      </c>
      <c r="C7" s="101">
        <v>44172</v>
      </c>
      <c r="D7" s="28" t="s">
        <v>436</v>
      </c>
      <c r="E7" s="28" t="s">
        <v>437</v>
      </c>
      <c r="F7" s="28">
        <v>16</v>
      </c>
      <c r="G7" s="102" t="s">
        <v>438</v>
      </c>
      <c r="H7" s="103" t="s">
        <v>439</v>
      </c>
      <c r="I7" s="32" t="s">
        <v>440</v>
      </c>
      <c r="J7" s="32" t="s">
        <v>441</v>
      </c>
      <c r="K7" s="32" t="s">
        <v>442</v>
      </c>
      <c r="L7" s="32" t="s">
        <v>443</v>
      </c>
      <c r="M7" s="32" t="s">
        <v>444</v>
      </c>
      <c r="N7" s="32" t="s">
        <v>445</v>
      </c>
      <c r="O7" s="32" t="s">
        <v>446</v>
      </c>
      <c r="P7" s="32" t="s">
        <v>447</v>
      </c>
      <c r="Q7" s="32" t="s">
        <v>448</v>
      </c>
      <c r="R7" s="32" t="s">
        <v>449</v>
      </c>
      <c r="S7" s="32" t="s">
        <v>450</v>
      </c>
      <c r="T7" s="32" t="s">
        <v>451</v>
      </c>
      <c r="U7" s="32" t="s">
        <v>452</v>
      </c>
      <c r="V7" s="32" t="s">
        <v>453</v>
      </c>
      <c r="W7" s="32" t="s">
        <v>454</v>
      </c>
      <c r="X7" s="32" t="s">
        <v>455</v>
      </c>
      <c r="Y7" s="32" t="s">
        <v>456</v>
      </c>
      <c r="Z7" s="32" t="s">
        <v>457</v>
      </c>
      <c r="AA7" s="32" t="s">
        <v>458</v>
      </c>
      <c r="AB7" s="32" t="s">
        <v>459</v>
      </c>
      <c r="AC7" s="32" t="s">
        <v>460</v>
      </c>
      <c r="AD7" s="32" t="s">
        <v>461</v>
      </c>
      <c r="AE7" s="32" t="s">
        <v>462</v>
      </c>
      <c r="AF7" s="32" t="s">
        <v>463</v>
      </c>
      <c r="AG7" s="32" t="s">
        <v>464</v>
      </c>
      <c r="AH7" s="32" t="s">
        <v>465</v>
      </c>
      <c r="AI7" s="32" t="s">
        <v>466</v>
      </c>
      <c r="AJ7" s="32" t="s">
        <v>467</v>
      </c>
      <c r="AK7" s="32" t="s">
        <v>468</v>
      </c>
      <c r="AL7" s="32" t="s">
        <v>469</v>
      </c>
      <c r="AM7" s="32">
        <f t="shared" si="0"/>
        <v>1</v>
      </c>
      <c r="AN7" s="32">
        <f t="shared" si="1"/>
        <v>0</v>
      </c>
      <c r="AO7" s="32">
        <f t="shared" si="2"/>
        <v>21</v>
      </c>
      <c r="AP7" s="32">
        <f t="shared" si="3"/>
        <v>0</v>
      </c>
      <c r="AQ7" s="32">
        <f t="shared" si="4"/>
        <v>7</v>
      </c>
      <c r="AR7" s="32">
        <f t="shared" si="5"/>
        <v>2</v>
      </c>
      <c r="AS7" s="32">
        <f t="shared" si="6"/>
        <v>0</v>
      </c>
      <c r="AT7" s="32">
        <v>1</v>
      </c>
      <c r="AU7" s="32">
        <f t="shared" si="7"/>
        <v>2041</v>
      </c>
      <c r="AV7" s="32">
        <f t="shared" si="8"/>
        <v>-91</v>
      </c>
      <c r="AW7" s="32">
        <v>50042</v>
      </c>
      <c r="AX7" s="20">
        <v>48001</v>
      </c>
      <c r="AY7" s="21">
        <f t="shared" si="9"/>
        <v>49951</v>
      </c>
      <c r="AZ7" s="32">
        <f t="shared" si="10"/>
        <v>1950</v>
      </c>
      <c r="BA7" s="32">
        <f t="shared" si="11"/>
        <v>0</v>
      </c>
      <c r="BB7" s="32">
        <f t="shared" si="12"/>
        <v>0</v>
      </c>
      <c r="BC7" s="33">
        <f t="shared" si="13"/>
        <v>1950</v>
      </c>
      <c r="BD7" s="32">
        <f t="shared" si="14"/>
        <v>1800</v>
      </c>
      <c r="BE7" s="32">
        <f t="shared" si="15"/>
        <v>19200.400000000001</v>
      </c>
      <c r="BF7" s="32">
        <f t="shared" si="16"/>
        <v>9600.2000000000007</v>
      </c>
      <c r="BG7" s="32">
        <f t="shared" si="17"/>
        <v>9600.2000000000007</v>
      </c>
      <c r="BH7" s="32">
        <f t="shared" si="18"/>
        <v>9600.1999999999971</v>
      </c>
      <c r="BI7" s="19">
        <f t="shared" si="19"/>
        <v>31</v>
      </c>
      <c r="BJ7" s="19">
        <v>31</v>
      </c>
      <c r="BK7" s="35">
        <f t="shared" si="20"/>
        <v>1</v>
      </c>
      <c r="BL7" s="19">
        <f t="shared" si="21"/>
        <v>619.36774193548388</v>
      </c>
      <c r="BM7" s="32">
        <f t="shared" si="22"/>
        <v>50042</v>
      </c>
      <c r="BN7" s="33">
        <f t="shared" si="23"/>
        <v>19200.400000000001</v>
      </c>
      <c r="BO7" s="33">
        <f t="shared" si="24"/>
        <v>9600.2000000000007</v>
      </c>
      <c r="BP7" s="33">
        <f t="shared" si="25"/>
        <v>9600.2000000000007</v>
      </c>
      <c r="BQ7" s="33">
        <f t="shared" si="26"/>
        <v>9600.1999999999971</v>
      </c>
      <c r="BR7" s="104">
        <f t="shared" si="27"/>
        <v>1800</v>
      </c>
      <c r="BS7" s="105">
        <f t="shared" si="28"/>
        <v>1950</v>
      </c>
      <c r="BT7" s="105">
        <f t="shared" si="29"/>
        <v>0</v>
      </c>
      <c r="BU7" s="105">
        <f t="shared" si="30"/>
        <v>0</v>
      </c>
      <c r="BV7" s="37">
        <f t="shared" si="31"/>
        <v>1614.258064516129</v>
      </c>
      <c r="BW7" s="106">
        <v>7</v>
      </c>
      <c r="BX7" s="39">
        <f t="shared" si="32"/>
        <v>46201</v>
      </c>
      <c r="BY7" s="39"/>
      <c r="BZ7" s="19"/>
      <c r="CA7" s="32"/>
      <c r="CB7" s="32"/>
      <c r="CC7" s="33">
        <v>2000</v>
      </c>
      <c r="CD7" s="107" t="e">
        <f>VLOOKUP('May 22 Final'!A:A,#REF!,30,FALSE)</f>
        <v>#REF!</v>
      </c>
      <c r="CE7" s="32"/>
      <c r="CF7" s="108"/>
      <c r="CG7" s="43"/>
      <c r="CH7" s="43">
        <f t="shared" si="33"/>
        <v>0</v>
      </c>
      <c r="CI7" s="109"/>
      <c r="CJ7" s="44"/>
      <c r="CK7" s="44">
        <f t="shared" si="35"/>
        <v>0</v>
      </c>
      <c r="CL7" s="107" t="str">
        <f>IFERROR(VLOOKUP(A7,#REF!,11,FALSE),"0")</f>
        <v>0</v>
      </c>
      <c r="CM7" s="46"/>
      <c r="CN7" s="47" t="e">
        <f t="shared" si="34"/>
        <v>#REF!</v>
      </c>
      <c r="CO7" s="19"/>
      <c r="CP7" s="19"/>
      <c r="CQ7" s="19"/>
    </row>
    <row r="8" spans="1:95">
      <c r="A8" s="28" t="s">
        <v>470</v>
      </c>
      <c r="B8" s="28" t="s">
        <v>471</v>
      </c>
      <c r="C8" s="101">
        <v>44228</v>
      </c>
      <c r="D8" s="102" t="s">
        <v>472</v>
      </c>
      <c r="E8" s="28" t="s">
        <v>473</v>
      </c>
      <c r="F8" s="28">
        <v>15</v>
      </c>
      <c r="G8" s="102" t="s">
        <v>474</v>
      </c>
      <c r="H8" s="103" t="s">
        <v>475</v>
      </c>
      <c r="I8" s="32" t="s">
        <v>476</v>
      </c>
      <c r="J8" s="32" t="s">
        <v>477</v>
      </c>
      <c r="K8" s="32" t="s">
        <v>478</v>
      </c>
      <c r="L8" s="32" t="s">
        <v>479</v>
      </c>
      <c r="M8" s="32" t="s">
        <v>480</v>
      </c>
      <c r="N8" s="32" t="s">
        <v>481</v>
      </c>
      <c r="O8" s="32" t="s">
        <v>482</v>
      </c>
      <c r="P8" s="32" t="s">
        <v>483</v>
      </c>
      <c r="Q8" s="32" t="s">
        <v>484</v>
      </c>
      <c r="R8" s="32" t="s">
        <v>485</v>
      </c>
      <c r="S8" s="32" t="s">
        <v>486</v>
      </c>
      <c r="T8" s="32" t="s">
        <v>487</v>
      </c>
      <c r="U8" s="32" t="s">
        <v>488</v>
      </c>
      <c r="V8" s="32" t="s">
        <v>489</v>
      </c>
      <c r="W8" s="32" t="s">
        <v>490</v>
      </c>
      <c r="X8" s="32" t="s">
        <v>491</v>
      </c>
      <c r="Y8" s="32" t="s">
        <v>492</v>
      </c>
      <c r="Z8" s="32" t="s">
        <v>493</v>
      </c>
      <c r="AA8" s="32" t="s">
        <v>494</v>
      </c>
      <c r="AB8" s="32" t="s">
        <v>495</v>
      </c>
      <c r="AC8" s="32" t="s">
        <v>496</v>
      </c>
      <c r="AD8" s="32" t="s">
        <v>497</v>
      </c>
      <c r="AE8" s="32" t="s">
        <v>498</v>
      </c>
      <c r="AF8" s="32" t="s">
        <v>499</v>
      </c>
      <c r="AG8" s="32" t="s">
        <v>500</v>
      </c>
      <c r="AH8" s="32" t="s">
        <v>501</v>
      </c>
      <c r="AI8" s="32" t="s">
        <v>502</v>
      </c>
      <c r="AJ8" s="32" t="s">
        <v>503</v>
      </c>
      <c r="AK8" s="32" t="s">
        <v>504</v>
      </c>
      <c r="AL8" s="32" t="s">
        <v>505</v>
      </c>
      <c r="AM8" s="32">
        <f t="shared" si="0"/>
        <v>0</v>
      </c>
      <c r="AN8" s="32">
        <f t="shared" si="1"/>
        <v>0</v>
      </c>
      <c r="AO8" s="32">
        <f t="shared" si="2"/>
        <v>21</v>
      </c>
      <c r="AP8" s="32">
        <f t="shared" si="3"/>
        <v>0</v>
      </c>
      <c r="AQ8" s="32">
        <f t="shared" si="4"/>
        <v>8</v>
      </c>
      <c r="AR8" s="32">
        <f t="shared" si="5"/>
        <v>2</v>
      </c>
      <c r="AS8" s="32">
        <f t="shared" si="6"/>
        <v>0</v>
      </c>
      <c r="AT8" s="32">
        <v>0</v>
      </c>
      <c r="AU8" s="32">
        <f t="shared" si="7"/>
        <v>1922</v>
      </c>
      <c r="AV8" s="32">
        <f t="shared" si="8"/>
        <v>28</v>
      </c>
      <c r="AW8" s="32">
        <v>37216</v>
      </c>
      <c r="AX8" s="20">
        <v>35294</v>
      </c>
      <c r="AY8" s="21">
        <f t="shared" si="9"/>
        <v>37244</v>
      </c>
      <c r="AZ8" s="32">
        <f t="shared" si="10"/>
        <v>1950</v>
      </c>
      <c r="BA8" s="32">
        <f t="shared" si="11"/>
        <v>0</v>
      </c>
      <c r="BB8" s="32">
        <f t="shared" si="12"/>
        <v>0</v>
      </c>
      <c r="BC8" s="33">
        <f t="shared" si="13"/>
        <v>1950</v>
      </c>
      <c r="BD8" s="32">
        <f t="shared" si="14"/>
        <v>1800</v>
      </c>
      <c r="BE8" s="32">
        <f t="shared" si="15"/>
        <v>14117.6</v>
      </c>
      <c r="BF8" s="32">
        <f t="shared" si="16"/>
        <v>7058.8</v>
      </c>
      <c r="BG8" s="32">
        <f t="shared" si="17"/>
        <v>7058.8</v>
      </c>
      <c r="BH8" s="32">
        <f t="shared" si="18"/>
        <v>7058.800000000002</v>
      </c>
      <c r="BI8" s="19">
        <f t="shared" si="19"/>
        <v>31</v>
      </c>
      <c r="BJ8" s="19">
        <v>31</v>
      </c>
      <c r="BK8" s="35">
        <f t="shared" si="20"/>
        <v>1</v>
      </c>
      <c r="BL8" s="19">
        <f t="shared" si="21"/>
        <v>455.40645161290325</v>
      </c>
      <c r="BM8" s="32">
        <f t="shared" si="22"/>
        <v>37216</v>
      </c>
      <c r="BN8" s="33">
        <f t="shared" si="23"/>
        <v>14117.6</v>
      </c>
      <c r="BO8" s="33">
        <f t="shared" si="24"/>
        <v>7058.8</v>
      </c>
      <c r="BP8" s="33">
        <f t="shared" si="25"/>
        <v>7058.8</v>
      </c>
      <c r="BQ8" s="33">
        <f t="shared" si="26"/>
        <v>7058.800000000002</v>
      </c>
      <c r="BR8" s="104">
        <f t="shared" si="27"/>
        <v>1800</v>
      </c>
      <c r="BS8" s="105">
        <f t="shared" si="28"/>
        <v>1950</v>
      </c>
      <c r="BT8" s="105">
        <f t="shared" si="29"/>
        <v>0</v>
      </c>
      <c r="BU8" s="105">
        <f t="shared" si="30"/>
        <v>0</v>
      </c>
      <c r="BV8" s="37">
        <f t="shared" si="31"/>
        <v>1200.516129032258</v>
      </c>
      <c r="BW8" s="106">
        <v>6.25</v>
      </c>
      <c r="BX8" s="39">
        <f t="shared" si="32"/>
        <v>33494</v>
      </c>
      <c r="BY8" s="39"/>
      <c r="BZ8" s="19"/>
      <c r="CA8" s="32"/>
      <c r="CB8" s="32">
        <f>(COUNTIF(H8:AL8,"P")+COUNTIF(H8:AL8,"LATE")+COUNTIF(H8:AL8,"HD")/2)*200</f>
        <v>4600</v>
      </c>
      <c r="CC8" s="33"/>
      <c r="CD8" s="107" t="e">
        <f>VLOOKUP('May 22 Final'!A:A,#REF!,30,FALSE)</f>
        <v>#REF!</v>
      </c>
      <c r="CE8" s="32"/>
      <c r="CF8" s="108"/>
      <c r="CG8" s="43"/>
      <c r="CH8" s="43">
        <f t="shared" si="33"/>
        <v>0</v>
      </c>
      <c r="CI8" s="109"/>
      <c r="CJ8" s="44"/>
      <c r="CK8" s="44">
        <f t="shared" si="35"/>
        <v>0</v>
      </c>
      <c r="CL8" s="107" t="str">
        <f>IFERROR(VLOOKUP(A8,#REF!,11,FALSE),"0")</f>
        <v>0</v>
      </c>
      <c r="CM8" s="46"/>
      <c r="CN8" s="47" t="e">
        <f t="shared" si="34"/>
        <v>#REF!</v>
      </c>
      <c r="CO8" s="19"/>
      <c r="CP8" s="19"/>
      <c r="CQ8" s="19"/>
    </row>
    <row r="9" spans="1:95">
      <c r="A9" s="28" t="s">
        <v>506</v>
      </c>
      <c r="B9" s="28" t="s">
        <v>507</v>
      </c>
      <c r="C9" s="101">
        <v>44356</v>
      </c>
      <c r="D9" s="28" t="s">
        <v>508</v>
      </c>
      <c r="E9" s="28" t="s">
        <v>509</v>
      </c>
      <c r="F9" s="28">
        <v>10</v>
      </c>
      <c r="G9" s="102" t="s">
        <v>510</v>
      </c>
      <c r="H9" s="103" t="s">
        <v>511</v>
      </c>
      <c r="I9" s="32" t="s">
        <v>512</v>
      </c>
      <c r="J9" s="32" t="s">
        <v>513</v>
      </c>
      <c r="K9" s="32" t="s">
        <v>514</v>
      </c>
      <c r="L9" s="32" t="s">
        <v>515</v>
      </c>
      <c r="M9" s="32" t="s">
        <v>516</v>
      </c>
      <c r="N9" s="32" t="s">
        <v>517</v>
      </c>
      <c r="O9" s="32" t="s">
        <v>518</v>
      </c>
      <c r="P9" s="32" t="s">
        <v>519</v>
      </c>
      <c r="Q9" s="32" t="s">
        <v>520</v>
      </c>
      <c r="R9" s="32" t="s">
        <v>521</v>
      </c>
      <c r="S9" s="32" t="s">
        <v>522</v>
      </c>
      <c r="T9" s="32" t="s">
        <v>523</v>
      </c>
      <c r="U9" s="32" t="s">
        <v>524</v>
      </c>
      <c r="V9" s="32" t="s">
        <v>525</v>
      </c>
      <c r="W9" s="32" t="s">
        <v>526</v>
      </c>
      <c r="X9" s="32" t="s">
        <v>527</v>
      </c>
      <c r="Y9" s="32" t="s">
        <v>528</v>
      </c>
      <c r="Z9" s="32" t="s">
        <v>529</v>
      </c>
      <c r="AA9" s="32" t="s">
        <v>530</v>
      </c>
      <c r="AB9" s="32" t="s">
        <v>531</v>
      </c>
      <c r="AC9" s="32" t="s">
        <v>532</v>
      </c>
      <c r="AD9" s="32" t="s">
        <v>533</v>
      </c>
      <c r="AE9" s="32" t="s">
        <v>534</v>
      </c>
      <c r="AF9" s="32" t="s">
        <v>535</v>
      </c>
      <c r="AG9" s="32" t="s">
        <v>536</v>
      </c>
      <c r="AH9" s="32" t="s">
        <v>537</v>
      </c>
      <c r="AI9" s="32" t="s">
        <v>538</v>
      </c>
      <c r="AJ9" s="32" t="s">
        <v>539</v>
      </c>
      <c r="AK9" s="32" t="s">
        <v>540</v>
      </c>
      <c r="AL9" s="32" t="s">
        <v>541</v>
      </c>
      <c r="AM9" s="32">
        <f t="shared" si="0"/>
        <v>0</v>
      </c>
      <c r="AN9" s="32">
        <f t="shared" si="1"/>
        <v>0</v>
      </c>
      <c r="AO9" s="32">
        <f t="shared" si="2"/>
        <v>24</v>
      </c>
      <c r="AP9" s="32">
        <f t="shared" si="3"/>
        <v>0</v>
      </c>
      <c r="AQ9" s="32">
        <f t="shared" si="4"/>
        <v>7</v>
      </c>
      <c r="AR9" s="32">
        <f t="shared" si="5"/>
        <v>0</v>
      </c>
      <c r="AS9" s="32">
        <f t="shared" si="6"/>
        <v>0</v>
      </c>
      <c r="AT9" s="32">
        <v>0</v>
      </c>
      <c r="AU9" s="32">
        <f t="shared" si="7"/>
        <v>1198</v>
      </c>
      <c r="AV9" s="32">
        <f t="shared" si="8"/>
        <v>752</v>
      </c>
      <c r="AW9" s="32">
        <v>23198</v>
      </c>
      <c r="AX9" s="20">
        <v>22000</v>
      </c>
      <c r="AY9" s="21">
        <f t="shared" si="9"/>
        <v>23950</v>
      </c>
      <c r="AZ9" s="32">
        <f t="shared" si="10"/>
        <v>1950</v>
      </c>
      <c r="BA9" s="32">
        <f t="shared" si="11"/>
        <v>0</v>
      </c>
      <c r="BB9" s="32">
        <f t="shared" si="12"/>
        <v>0</v>
      </c>
      <c r="BC9" s="33">
        <f t="shared" si="13"/>
        <v>1950</v>
      </c>
      <c r="BD9" s="32">
        <f t="shared" si="14"/>
        <v>1800</v>
      </c>
      <c r="BE9" s="32">
        <f t="shared" si="15"/>
        <v>12000</v>
      </c>
      <c r="BF9" s="32">
        <f t="shared" si="16"/>
        <v>6000</v>
      </c>
      <c r="BG9" s="32">
        <f t="shared" si="17"/>
        <v>6000</v>
      </c>
      <c r="BH9" s="32">
        <f t="shared" si="18"/>
        <v>-2000</v>
      </c>
      <c r="BI9" s="19">
        <f t="shared" si="19"/>
        <v>31</v>
      </c>
      <c r="BJ9" s="19">
        <v>31</v>
      </c>
      <c r="BK9" s="35">
        <f t="shared" si="20"/>
        <v>1</v>
      </c>
      <c r="BL9" s="19">
        <f t="shared" si="21"/>
        <v>387.09677419354841</v>
      </c>
      <c r="BM9" s="32">
        <f t="shared" si="22"/>
        <v>23198</v>
      </c>
      <c r="BN9" s="33">
        <f t="shared" si="23"/>
        <v>12000</v>
      </c>
      <c r="BO9" s="33">
        <f t="shared" si="24"/>
        <v>6000</v>
      </c>
      <c r="BP9" s="33">
        <f t="shared" si="25"/>
        <v>6000</v>
      </c>
      <c r="BQ9" s="33">
        <f t="shared" si="26"/>
        <v>-2000</v>
      </c>
      <c r="BR9" s="104">
        <f t="shared" si="27"/>
        <v>1800</v>
      </c>
      <c r="BS9" s="105">
        <f t="shared" si="28"/>
        <v>1950</v>
      </c>
      <c r="BT9" s="105">
        <f t="shared" si="29"/>
        <v>0</v>
      </c>
      <c r="BU9" s="105">
        <f t="shared" si="30"/>
        <v>0</v>
      </c>
      <c r="BV9" s="37">
        <f t="shared" si="31"/>
        <v>748.32258064516134</v>
      </c>
      <c r="BW9" s="106">
        <v>3.25</v>
      </c>
      <c r="BX9" s="39">
        <f t="shared" si="32"/>
        <v>20200</v>
      </c>
      <c r="BY9" s="39"/>
      <c r="BZ9" s="19">
        <v>100</v>
      </c>
      <c r="CA9" s="32"/>
      <c r="CB9" s="32"/>
      <c r="CC9" s="33"/>
      <c r="CD9" s="107" t="e">
        <f>VLOOKUP('May 22 Final'!A:A,#REF!,30,FALSE)</f>
        <v>#REF!</v>
      </c>
      <c r="CE9" s="32"/>
      <c r="CF9" s="108"/>
      <c r="CG9" s="43">
        <v>3</v>
      </c>
      <c r="CH9" s="43">
        <f t="shared" si="33"/>
        <v>0</v>
      </c>
      <c r="CI9" s="109"/>
      <c r="CJ9" s="44">
        <v>35.1</v>
      </c>
      <c r="CK9" s="44">
        <f>CJ9*200</f>
        <v>7020</v>
      </c>
      <c r="CL9" s="107" t="str">
        <f>IFERROR(VLOOKUP(A9,#REF!,11,FALSE),"0")</f>
        <v>0</v>
      </c>
      <c r="CM9" s="46"/>
      <c r="CN9" s="47" t="e">
        <f t="shared" si="34"/>
        <v>#REF!</v>
      </c>
      <c r="CO9" s="19"/>
      <c r="CP9" s="19"/>
      <c r="CQ9" s="19"/>
    </row>
    <row r="10" spans="1:95">
      <c r="A10" s="28" t="s">
        <v>542</v>
      </c>
      <c r="B10" s="28" t="s">
        <v>543</v>
      </c>
      <c r="C10" s="101">
        <v>44368</v>
      </c>
      <c r="D10" s="28" t="s">
        <v>544</v>
      </c>
      <c r="E10" s="28" t="s">
        <v>545</v>
      </c>
      <c r="F10" s="28">
        <v>10</v>
      </c>
      <c r="G10" s="102" t="s">
        <v>546</v>
      </c>
      <c r="H10" s="103" t="s">
        <v>547</v>
      </c>
      <c r="I10" s="32" t="s">
        <v>548</v>
      </c>
      <c r="J10" s="32" t="s">
        <v>549</v>
      </c>
      <c r="K10" s="32" t="s">
        <v>550</v>
      </c>
      <c r="L10" s="32" t="s">
        <v>551</v>
      </c>
      <c r="M10" s="32" t="s">
        <v>552</v>
      </c>
      <c r="N10" s="32" t="s">
        <v>553</v>
      </c>
      <c r="O10" s="32" t="s">
        <v>554</v>
      </c>
      <c r="P10" s="32" t="s">
        <v>555</v>
      </c>
      <c r="Q10" s="32" t="s">
        <v>556</v>
      </c>
      <c r="R10" s="32" t="s">
        <v>557</v>
      </c>
      <c r="S10" s="32" t="s">
        <v>558</v>
      </c>
      <c r="T10" s="32" t="s">
        <v>559</v>
      </c>
      <c r="U10" s="32" t="s">
        <v>560</v>
      </c>
      <c r="V10" s="32" t="s">
        <v>561</v>
      </c>
      <c r="W10" s="32" t="s">
        <v>562</v>
      </c>
      <c r="X10" s="32" t="s">
        <v>563</v>
      </c>
      <c r="Y10" s="32" t="s">
        <v>564</v>
      </c>
      <c r="Z10" s="32" t="s">
        <v>565</v>
      </c>
      <c r="AA10" s="32" t="s">
        <v>566</v>
      </c>
      <c r="AB10" s="32" t="s">
        <v>567</v>
      </c>
      <c r="AC10" s="32" t="s">
        <v>568</v>
      </c>
      <c r="AD10" s="32" t="s">
        <v>569</v>
      </c>
      <c r="AE10" s="32" t="s">
        <v>570</v>
      </c>
      <c r="AF10" s="32" t="s">
        <v>571</v>
      </c>
      <c r="AG10" s="32" t="s">
        <v>572</v>
      </c>
      <c r="AH10" s="32" t="s">
        <v>573</v>
      </c>
      <c r="AI10" s="32" t="s">
        <v>574</v>
      </c>
      <c r="AJ10" s="32" t="s">
        <v>575</v>
      </c>
      <c r="AK10" s="32" t="s">
        <v>576</v>
      </c>
      <c r="AL10" s="32" t="s">
        <v>577</v>
      </c>
      <c r="AM10" s="32">
        <f t="shared" si="0"/>
        <v>4</v>
      </c>
      <c r="AN10" s="32">
        <f t="shared" si="1"/>
        <v>0</v>
      </c>
      <c r="AO10" s="32">
        <f t="shared" si="2"/>
        <v>19</v>
      </c>
      <c r="AP10" s="32">
        <f t="shared" si="3"/>
        <v>1</v>
      </c>
      <c r="AQ10" s="32">
        <f t="shared" si="4"/>
        <v>7</v>
      </c>
      <c r="AR10" s="32">
        <f t="shared" si="5"/>
        <v>0</v>
      </c>
      <c r="AS10" s="32">
        <f t="shared" si="6"/>
        <v>0</v>
      </c>
      <c r="AT10" s="32">
        <v>1.5</v>
      </c>
      <c r="AU10" s="32">
        <f t="shared" si="7"/>
        <v>1313</v>
      </c>
      <c r="AV10" s="32">
        <f t="shared" si="8"/>
        <v>637</v>
      </c>
      <c r="AW10" s="32">
        <v>25417</v>
      </c>
      <c r="AX10" s="20">
        <v>24104</v>
      </c>
      <c r="AY10" s="21">
        <f t="shared" si="9"/>
        <v>26054</v>
      </c>
      <c r="AZ10" s="32">
        <f t="shared" si="10"/>
        <v>1950</v>
      </c>
      <c r="BA10" s="32">
        <f t="shared" si="11"/>
        <v>0</v>
      </c>
      <c r="BB10" s="32">
        <f t="shared" si="12"/>
        <v>0</v>
      </c>
      <c r="BC10" s="33">
        <f t="shared" si="13"/>
        <v>1950</v>
      </c>
      <c r="BD10" s="32">
        <f t="shared" si="14"/>
        <v>1800</v>
      </c>
      <c r="BE10" s="32">
        <f t="shared" si="15"/>
        <v>12000</v>
      </c>
      <c r="BF10" s="32">
        <f t="shared" si="16"/>
        <v>6000</v>
      </c>
      <c r="BG10" s="32">
        <f t="shared" si="17"/>
        <v>6000</v>
      </c>
      <c r="BH10" s="32">
        <f t="shared" si="18"/>
        <v>104</v>
      </c>
      <c r="BI10" s="19">
        <f t="shared" si="19"/>
        <v>28</v>
      </c>
      <c r="BJ10" s="19">
        <v>31</v>
      </c>
      <c r="BK10" s="35">
        <f t="shared" si="20"/>
        <v>0.90322580645161288</v>
      </c>
      <c r="BL10" s="19">
        <f t="shared" si="21"/>
        <v>387.09677419354841</v>
      </c>
      <c r="BM10" s="32">
        <f t="shared" si="22"/>
        <v>22957.290322580644</v>
      </c>
      <c r="BN10" s="33">
        <f t="shared" si="23"/>
        <v>10838.709677419354</v>
      </c>
      <c r="BO10" s="33">
        <f t="shared" si="24"/>
        <v>5419.3548387096771</v>
      </c>
      <c r="BP10" s="33">
        <f t="shared" si="25"/>
        <v>5419.3548387096771</v>
      </c>
      <c r="BQ10" s="33">
        <f t="shared" si="26"/>
        <v>93.935483870967744</v>
      </c>
      <c r="BR10" s="104">
        <f t="shared" si="27"/>
        <v>1800</v>
      </c>
      <c r="BS10" s="105">
        <f t="shared" si="28"/>
        <v>1950</v>
      </c>
      <c r="BT10" s="105">
        <f t="shared" si="29"/>
        <v>0</v>
      </c>
      <c r="BU10" s="105">
        <f t="shared" si="30"/>
        <v>0</v>
      </c>
      <c r="BV10" s="37">
        <f t="shared" si="31"/>
        <v>819.90322580645159</v>
      </c>
      <c r="BW10" s="106">
        <v>1.5</v>
      </c>
      <c r="BX10" s="39">
        <f t="shared" si="32"/>
        <v>19971.354838709674</v>
      </c>
      <c r="BY10" s="39"/>
      <c r="BZ10" s="32"/>
      <c r="CA10" s="32"/>
      <c r="CB10" s="32"/>
      <c r="CC10" s="33"/>
      <c r="CD10" s="107" t="e">
        <f>VLOOKUP('May 22 Final'!A:A,#REF!,30,FALSE)</f>
        <v>#REF!</v>
      </c>
      <c r="CE10" s="32"/>
      <c r="CF10" s="108"/>
      <c r="CG10" s="43">
        <v>3</v>
      </c>
      <c r="CH10" s="43">
        <f t="shared" si="33"/>
        <v>0</v>
      </c>
      <c r="CI10" s="109"/>
      <c r="CJ10" s="44">
        <v>35.1</v>
      </c>
      <c r="CK10" s="44">
        <f>IF(CJ10&gt;60,CJ10*300,IF(CJ10&gt;30,CJ10*250,CJ10*200))</f>
        <v>8775</v>
      </c>
      <c r="CL10" s="107" t="str">
        <f>IFERROR(VLOOKUP(A10,#REF!,11,FALSE),"0")</f>
        <v>0</v>
      </c>
      <c r="CM10" s="56"/>
      <c r="CN10" s="47" t="e">
        <f t="shared" si="34"/>
        <v>#REF!</v>
      </c>
      <c r="CO10" s="19"/>
      <c r="CP10" s="19"/>
      <c r="CQ10" s="32"/>
    </row>
    <row r="11" spans="1:95">
      <c r="A11" s="28" t="s">
        <v>578</v>
      </c>
      <c r="B11" s="28" t="s">
        <v>579</v>
      </c>
      <c r="C11" s="101">
        <v>44417</v>
      </c>
      <c r="D11" s="102" t="s">
        <v>580</v>
      </c>
      <c r="E11" s="28" t="s">
        <v>581</v>
      </c>
      <c r="F11" s="28">
        <v>8</v>
      </c>
      <c r="G11" s="102" t="s">
        <v>582</v>
      </c>
      <c r="H11" s="103" t="s">
        <v>583</v>
      </c>
      <c r="I11" s="32" t="s">
        <v>584</v>
      </c>
      <c r="J11" s="32" t="s">
        <v>585</v>
      </c>
      <c r="K11" s="32" t="s">
        <v>586</v>
      </c>
      <c r="L11" s="32" t="s">
        <v>587</v>
      </c>
      <c r="M11" s="32" t="s">
        <v>588</v>
      </c>
      <c r="N11" s="32" t="s">
        <v>589</v>
      </c>
      <c r="O11" s="32" t="s">
        <v>590</v>
      </c>
      <c r="P11" s="32" t="s">
        <v>591</v>
      </c>
      <c r="Q11" s="32" t="s">
        <v>592</v>
      </c>
      <c r="R11" s="32" t="s">
        <v>593</v>
      </c>
      <c r="S11" s="32" t="s">
        <v>594</v>
      </c>
      <c r="T11" s="32" t="s">
        <v>595</v>
      </c>
      <c r="U11" s="32" t="s">
        <v>596</v>
      </c>
      <c r="V11" s="32" t="s">
        <v>597</v>
      </c>
      <c r="W11" s="32" t="s">
        <v>598</v>
      </c>
      <c r="X11" s="32" t="s">
        <v>599</v>
      </c>
      <c r="Y11" s="32" t="s">
        <v>600</v>
      </c>
      <c r="Z11" s="32" t="s">
        <v>601</v>
      </c>
      <c r="AA11" s="32" t="s">
        <v>602</v>
      </c>
      <c r="AB11" s="32" t="s">
        <v>603</v>
      </c>
      <c r="AC11" s="32" t="s">
        <v>604</v>
      </c>
      <c r="AD11" s="32" t="s">
        <v>605</v>
      </c>
      <c r="AE11" s="32" t="s">
        <v>606</v>
      </c>
      <c r="AF11" s="32" t="s">
        <v>607</v>
      </c>
      <c r="AG11" s="32" t="s">
        <v>608</v>
      </c>
      <c r="AH11" s="32" t="s">
        <v>609</v>
      </c>
      <c r="AI11" s="32" t="s">
        <v>610</v>
      </c>
      <c r="AJ11" s="32" t="s">
        <v>611</v>
      </c>
      <c r="AK11" s="32" t="s">
        <v>612</v>
      </c>
      <c r="AL11" s="32" t="s">
        <v>613</v>
      </c>
      <c r="AM11" s="32">
        <f t="shared" si="0"/>
        <v>1</v>
      </c>
      <c r="AN11" s="32">
        <f t="shared" si="1"/>
        <v>0</v>
      </c>
      <c r="AO11" s="32">
        <f t="shared" si="2"/>
        <v>21</v>
      </c>
      <c r="AP11" s="32">
        <f t="shared" si="3"/>
        <v>0</v>
      </c>
      <c r="AQ11" s="32">
        <f t="shared" si="4"/>
        <v>7</v>
      </c>
      <c r="AR11" s="32">
        <f t="shared" si="5"/>
        <v>2</v>
      </c>
      <c r="AS11" s="32">
        <f t="shared" si="6"/>
        <v>0</v>
      </c>
      <c r="AT11" s="32">
        <v>0</v>
      </c>
      <c r="AU11" s="32">
        <f t="shared" si="7"/>
        <v>2041</v>
      </c>
      <c r="AV11" s="32">
        <f t="shared" si="8"/>
        <v>-91</v>
      </c>
      <c r="AW11" s="32">
        <v>46000</v>
      </c>
      <c r="AX11" s="20">
        <v>43959</v>
      </c>
      <c r="AY11" s="21">
        <f t="shared" si="9"/>
        <v>45909</v>
      </c>
      <c r="AZ11" s="32">
        <f t="shared" si="10"/>
        <v>1950</v>
      </c>
      <c r="BA11" s="32">
        <f t="shared" si="11"/>
        <v>0</v>
      </c>
      <c r="BB11" s="32">
        <f t="shared" si="12"/>
        <v>0</v>
      </c>
      <c r="BC11" s="33">
        <f t="shared" si="13"/>
        <v>1950</v>
      </c>
      <c r="BD11" s="32">
        <f t="shared" si="14"/>
        <v>1800</v>
      </c>
      <c r="BE11" s="32">
        <f t="shared" si="15"/>
        <v>17583.600000000002</v>
      </c>
      <c r="BF11" s="32">
        <f t="shared" si="16"/>
        <v>8791.8000000000011</v>
      </c>
      <c r="BG11" s="32">
        <f t="shared" si="17"/>
        <v>8791.8000000000011</v>
      </c>
      <c r="BH11" s="32">
        <f t="shared" si="18"/>
        <v>8791.7999999999975</v>
      </c>
      <c r="BI11" s="19">
        <f t="shared" si="19"/>
        <v>30</v>
      </c>
      <c r="BJ11" s="19">
        <v>31</v>
      </c>
      <c r="BK11" s="35">
        <f t="shared" si="20"/>
        <v>0.967741935483871</v>
      </c>
      <c r="BL11" s="19">
        <f t="shared" si="21"/>
        <v>567.21290322580649</v>
      </c>
      <c r="BM11" s="32">
        <f t="shared" si="22"/>
        <v>44516.129032258068</v>
      </c>
      <c r="BN11" s="33">
        <f t="shared" si="23"/>
        <v>17016.387096774197</v>
      </c>
      <c r="BO11" s="33">
        <f t="shared" si="24"/>
        <v>8508.1935483870984</v>
      </c>
      <c r="BP11" s="33">
        <f t="shared" si="25"/>
        <v>8508.1935483870984</v>
      </c>
      <c r="BQ11" s="33">
        <f t="shared" si="26"/>
        <v>8508.1935483870948</v>
      </c>
      <c r="BR11" s="104">
        <f t="shared" si="27"/>
        <v>1800</v>
      </c>
      <c r="BS11" s="105">
        <f t="shared" si="28"/>
        <v>1950</v>
      </c>
      <c r="BT11" s="105">
        <f t="shared" si="29"/>
        <v>0</v>
      </c>
      <c r="BU11" s="105">
        <f t="shared" si="30"/>
        <v>0</v>
      </c>
      <c r="BV11" s="37">
        <f t="shared" si="31"/>
        <v>1483.8709677419354</v>
      </c>
      <c r="BW11" s="106">
        <v>6.25</v>
      </c>
      <c r="BX11" s="39">
        <f t="shared" si="32"/>
        <v>40740.967741935485</v>
      </c>
      <c r="BY11" s="39"/>
      <c r="BZ11" s="19"/>
      <c r="CA11" s="32"/>
      <c r="CB11" s="32"/>
      <c r="CC11" s="33"/>
      <c r="CD11" s="107" t="e">
        <f>VLOOKUP('May 22 Final'!A:A,#REF!,30,FALSE)</f>
        <v>#REF!</v>
      </c>
      <c r="CE11" s="32"/>
      <c r="CF11" s="108"/>
      <c r="CG11" s="43"/>
      <c r="CH11" s="43">
        <f t="shared" si="33"/>
        <v>0</v>
      </c>
      <c r="CI11" s="109"/>
      <c r="CJ11" s="44"/>
      <c r="CK11" s="44">
        <f>IF(CJ11&gt;60,CJ11*300,IF(CJ11&gt;30,CJ11*250,CJ11*200))</f>
        <v>0</v>
      </c>
      <c r="CL11" s="107" t="str">
        <f>IFERROR(VLOOKUP(A11,#REF!,11,FALSE),"0")</f>
        <v>0</v>
      </c>
      <c r="CM11" s="46"/>
      <c r="CN11" s="47" t="e">
        <f t="shared" si="34"/>
        <v>#REF!</v>
      </c>
      <c r="CO11" s="19"/>
      <c r="CP11" s="19"/>
      <c r="CQ11" s="19"/>
    </row>
    <row r="12" spans="1:95">
      <c r="A12" s="28" t="s">
        <v>614</v>
      </c>
      <c r="B12" s="28" t="s">
        <v>615</v>
      </c>
      <c r="C12" s="101">
        <v>44424</v>
      </c>
      <c r="D12" s="102" t="s">
        <v>616</v>
      </c>
      <c r="E12" s="28" t="s">
        <v>617</v>
      </c>
      <c r="F12" s="28">
        <v>8</v>
      </c>
      <c r="G12" s="102" t="s">
        <v>618</v>
      </c>
      <c r="H12" s="103" t="s">
        <v>619</v>
      </c>
      <c r="I12" s="32" t="s">
        <v>620</v>
      </c>
      <c r="J12" s="32" t="s">
        <v>621</v>
      </c>
      <c r="K12" s="32" t="s">
        <v>622</v>
      </c>
      <c r="L12" s="32" t="s">
        <v>623</v>
      </c>
      <c r="M12" s="32" t="s">
        <v>624</v>
      </c>
      <c r="N12" s="32" t="s">
        <v>625</v>
      </c>
      <c r="O12" s="32" t="s">
        <v>626</v>
      </c>
      <c r="P12" s="32" t="s">
        <v>627</v>
      </c>
      <c r="Q12" s="32" t="s">
        <v>628</v>
      </c>
      <c r="R12" s="32" t="s">
        <v>629</v>
      </c>
      <c r="S12" s="32" t="s">
        <v>630</v>
      </c>
      <c r="T12" s="32" t="s">
        <v>631</v>
      </c>
      <c r="U12" s="32" t="s">
        <v>632</v>
      </c>
      <c r="V12" s="32" t="s">
        <v>633</v>
      </c>
      <c r="W12" s="32" t="s">
        <v>634</v>
      </c>
      <c r="X12" s="32" t="s">
        <v>635</v>
      </c>
      <c r="Y12" s="32" t="s">
        <v>636</v>
      </c>
      <c r="Z12" s="32" t="s">
        <v>637</v>
      </c>
      <c r="AA12" s="32" t="s">
        <v>638</v>
      </c>
      <c r="AB12" s="32" t="s">
        <v>639</v>
      </c>
      <c r="AC12" s="32" t="s">
        <v>640</v>
      </c>
      <c r="AD12" s="32" t="s">
        <v>641</v>
      </c>
      <c r="AE12" s="32" t="s">
        <v>642</v>
      </c>
      <c r="AF12" s="32" t="s">
        <v>643</v>
      </c>
      <c r="AG12" s="32" t="s">
        <v>644</v>
      </c>
      <c r="AH12" s="32" t="s">
        <v>645</v>
      </c>
      <c r="AI12" s="32" t="s">
        <v>646</v>
      </c>
      <c r="AJ12" s="32" t="s">
        <v>647</v>
      </c>
      <c r="AK12" s="32" t="s">
        <v>648</v>
      </c>
      <c r="AL12" s="32" t="s">
        <v>649</v>
      </c>
      <c r="AM12" s="32">
        <f t="shared" si="0"/>
        <v>0</v>
      </c>
      <c r="AN12" s="32">
        <f t="shared" si="1"/>
        <v>0</v>
      </c>
      <c r="AO12" s="32">
        <f t="shared" si="2"/>
        <v>24</v>
      </c>
      <c r="AP12" s="32">
        <f t="shared" si="3"/>
        <v>0</v>
      </c>
      <c r="AQ12" s="32">
        <f t="shared" si="4"/>
        <v>7</v>
      </c>
      <c r="AR12" s="32">
        <f t="shared" si="5"/>
        <v>0</v>
      </c>
      <c r="AS12" s="32">
        <f t="shared" si="6"/>
        <v>0</v>
      </c>
      <c r="AT12" s="32">
        <v>0</v>
      </c>
      <c r="AU12" s="32">
        <f t="shared" si="7"/>
        <v>1742</v>
      </c>
      <c r="AV12" s="32">
        <f t="shared" si="8"/>
        <v>208</v>
      </c>
      <c r="AW12" s="32">
        <v>33742</v>
      </c>
      <c r="AX12" s="20">
        <v>32000</v>
      </c>
      <c r="AY12" s="21">
        <f t="shared" si="9"/>
        <v>33950</v>
      </c>
      <c r="AZ12" s="32">
        <f t="shared" si="10"/>
        <v>1950</v>
      </c>
      <c r="BA12" s="32">
        <f t="shared" si="11"/>
        <v>0</v>
      </c>
      <c r="BB12" s="32">
        <f t="shared" si="12"/>
        <v>0</v>
      </c>
      <c r="BC12" s="33">
        <f t="shared" si="13"/>
        <v>1950</v>
      </c>
      <c r="BD12" s="32">
        <f t="shared" si="14"/>
        <v>1800</v>
      </c>
      <c r="BE12" s="32">
        <f t="shared" si="15"/>
        <v>12800</v>
      </c>
      <c r="BF12" s="32">
        <f t="shared" si="16"/>
        <v>6400</v>
      </c>
      <c r="BG12" s="32">
        <f t="shared" si="17"/>
        <v>6400</v>
      </c>
      <c r="BH12" s="32">
        <f t="shared" si="18"/>
        <v>6400</v>
      </c>
      <c r="BI12" s="19">
        <f t="shared" si="19"/>
        <v>31</v>
      </c>
      <c r="BJ12" s="19">
        <v>31</v>
      </c>
      <c r="BK12" s="35">
        <f t="shared" si="20"/>
        <v>1</v>
      </c>
      <c r="BL12" s="19">
        <f t="shared" si="21"/>
        <v>412.90322580645159</v>
      </c>
      <c r="BM12" s="32">
        <f t="shared" si="22"/>
        <v>33742</v>
      </c>
      <c r="BN12" s="33">
        <f t="shared" si="23"/>
        <v>12800</v>
      </c>
      <c r="BO12" s="33">
        <f t="shared" si="24"/>
        <v>6400</v>
      </c>
      <c r="BP12" s="33">
        <f t="shared" si="25"/>
        <v>6400</v>
      </c>
      <c r="BQ12" s="33">
        <f t="shared" si="26"/>
        <v>6400</v>
      </c>
      <c r="BR12" s="104">
        <f t="shared" si="27"/>
        <v>1800</v>
      </c>
      <c r="BS12" s="105">
        <f t="shared" si="28"/>
        <v>1950</v>
      </c>
      <c r="BT12" s="105">
        <f t="shared" si="29"/>
        <v>0</v>
      </c>
      <c r="BU12" s="105">
        <f t="shared" si="30"/>
        <v>0</v>
      </c>
      <c r="BV12" s="37">
        <f t="shared" si="31"/>
        <v>1088.4516129032259</v>
      </c>
      <c r="BW12" s="106">
        <v>2.75</v>
      </c>
      <c r="BX12" s="39">
        <f t="shared" si="32"/>
        <v>30200</v>
      </c>
      <c r="BY12" s="39"/>
      <c r="BZ12" s="32"/>
      <c r="CA12" s="32"/>
      <c r="CB12" s="32"/>
      <c r="CC12" s="33"/>
      <c r="CD12" s="107" t="e">
        <f>VLOOKUP('May 22 Final'!A:A,#REF!,30,FALSE)</f>
        <v>#REF!</v>
      </c>
      <c r="CE12" s="32"/>
      <c r="CF12" s="108"/>
      <c r="CG12" s="43"/>
      <c r="CH12" s="43">
        <f t="shared" si="33"/>
        <v>0</v>
      </c>
      <c r="CI12" s="109"/>
      <c r="CJ12" s="44"/>
      <c r="CK12" s="44">
        <f>IF(CJ12&gt;60,CJ12*300,IF(CJ12&gt;30,CJ12*250,CJ12*200))</f>
        <v>0</v>
      </c>
      <c r="CL12" s="107" t="str">
        <f>IFERROR(VLOOKUP(A12,#REF!,11,FALSE),"0")</f>
        <v>0</v>
      </c>
      <c r="CM12" s="56"/>
      <c r="CN12" s="47" t="e">
        <f t="shared" si="34"/>
        <v>#REF!</v>
      </c>
      <c r="CO12" s="19"/>
      <c r="CP12" s="19"/>
      <c r="CQ12" s="32"/>
    </row>
    <row r="13" spans="1:95">
      <c r="A13" s="28" t="s">
        <v>650</v>
      </c>
      <c r="B13" s="28" t="s">
        <v>651</v>
      </c>
      <c r="C13" s="101">
        <v>44515</v>
      </c>
      <c r="D13" s="28" t="s">
        <v>652</v>
      </c>
      <c r="E13" s="28" t="s">
        <v>653</v>
      </c>
      <c r="F13" s="28">
        <v>5</v>
      </c>
      <c r="G13" s="102" t="s">
        <v>654</v>
      </c>
      <c r="H13" s="103" t="s">
        <v>655</v>
      </c>
      <c r="I13" s="32" t="s">
        <v>656</v>
      </c>
      <c r="J13" s="32" t="s">
        <v>657</v>
      </c>
      <c r="K13" s="32" t="s">
        <v>658</v>
      </c>
      <c r="L13" s="32" t="s">
        <v>659</v>
      </c>
      <c r="M13" s="32" t="s">
        <v>660</v>
      </c>
      <c r="N13" s="32" t="s">
        <v>661</v>
      </c>
      <c r="O13" s="32" t="s">
        <v>662</v>
      </c>
      <c r="P13" s="32" t="s">
        <v>663</v>
      </c>
      <c r="Q13" s="32" t="s">
        <v>664</v>
      </c>
      <c r="R13" s="32" t="s">
        <v>665</v>
      </c>
      <c r="S13" s="32" t="s">
        <v>666</v>
      </c>
      <c r="T13" s="32" t="s">
        <v>667</v>
      </c>
      <c r="U13" s="32" t="s">
        <v>668</v>
      </c>
      <c r="V13" s="32" t="s">
        <v>669</v>
      </c>
      <c r="W13" s="32" t="s">
        <v>670</v>
      </c>
      <c r="X13" s="32" t="s">
        <v>671</v>
      </c>
      <c r="Y13" s="32" t="s">
        <v>672</v>
      </c>
      <c r="Z13" s="32" t="s">
        <v>673</v>
      </c>
      <c r="AA13" s="32" t="s">
        <v>674</v>
      </c>
      <c r="AB13" s="32" t="s">
        <v>675</v>
      </c>
      <c r="AC13" s="32" t="s">
        <v>676</v>
      </c>
      <c r="AD13" s="32" t="s">
        <v>677</v>
      </c>
      <c r="AE13" s="32" t="s">
        <v>678</v>
      </c>
      <c r="AF13" s="32" t="s">
        <v>679</v>
      </c>
      <c r="AG13" s="32" t="s">
        <v>680</v>
      </c>
      <c r="AH13" s="32" t="s">
        <v>681</v>
      </c>
      <c r="AI13" s="32" t="s">
        <v>682</v>
      </c>
      <c r="AJ13" s="32" t="s">
        <v>683</v>
      </c>
      <c r="AK13" s="32" t="s">
        <v>684</v>
      </c>
      <c r="AL13" s="32" t="s">
        <v>685</v>
      </c>
      <c r="AM13" s="32">
        <f t="shared" si="0"/>
        <v>2</v>
      </c>
      <c r="AN13" s="32">
        <f t="shared" si="1"/>
        <v>0</v>
      </c>
      <c r="AO13" s="32">
        <f t="shared" si="2"/>
        <v>20</v>
      </c>
      <c r="AP13" s="32">
        <f t="shared" si="3"/>
        <v>0</v>
      </c>
      <c r="AQ13" s="32">
        <f t="shared" si="4"/>
        <v>7</v>
      </c>
      <c r="AR13" s="32">
        <f t="shared" si="5"/>
        <v>2</v>
      </c>
      <c r="AS13" s="32">
        <f t="shared" si="6"/>
        <v>0</v>
      </c>
      <c r="AT13" s="32">
        <v>1</v>
      </c>
      <c r="AU13" s="32">
        <f t="shared" si="7"/>
        <v>2041</v>
      </c>
      <c r="AV13" s="32">
        <f t="shared" si="8"/>
        <v>-91</v>
      </c>
      <c r="AW13" s="19">
        <v>127041</v>
      </c>
      <c r="AX13" s="20">
        <v>125000</v>
      </c>
      <c r="AY13" s="21">
        <f t="shared" si="9"/>
        <v>126950</v>
      </c>
      <c r="AZ13" s="32">
        <f t="shared" si="10"/>
        <v>1950</v>
      </c>
      <c r="BA13" s="32">
        <f t="shared" si="11"/>
        <v>0</v>
      </c>
      <c r="BB13" s="32">
        <f t="shared" si="12"/>
        <v>0</v>
      </c>
      <c r="BC13" s="33">
        <f t="shared" si="13"/>
        <v>1950</v>
      </c>
      <c r="BD13" s="32">
        <f t="shared" si="14"/>
        <v>1800</v>
      </c>
      <c r="BE13" s="32">
        <f t="shared" si="15"/>
        <v>50000</v>
      </c>
      <c r="BF13" s="32">
        <f t="shared" si="16"/>
        <v>25000</v>
      </c>
      <c r="BG13" s="32">
        <f t="shared" si="17"/>
        <v>25000</v>
      </c>
      <c r="BH13" s="32">
        <f t="shared" si="18"/>
        <v>25000</v>
      </c>
      <c r="BI13" s="19">
        <f t="shared" si="19"/>
        <v>30</v>
      </c>
      <c r="BJ13" s="19">
        <v>31</v>
      </c>
      <c r="BK13" s="35">
        <f t="shared" si="20"/>
        <v>0.967741935483871</v>
      </c>
      <c r="BL13" s="19">
        <f t="shared" si="21"/>
        <v>1612.9032258064517</v>
      </c>
      <c r="BM13" s="32">
        <f t="shared" si="22"/>
        <v>122942.90322580645</v>
      </c>
      <c r="BN13" s="33">
        <f t="shared" si="23"/>
        <v>48387.096774193553</v>
      </c>
      <c r="BO13" s="33">
        <f t="shared" si="24"/>
        <v>24193.548387096776</v>
      </c>
      <c r="BP13" s="33">
        <f t="shared" si="25"/>
        <v>24193.548387096776</v>
      </c>
      <c r="BQ13" s="33">
        <f t="shared" si="26"/>
        <v>24193.548387096776</v>
      </c>
      <c r="BR13" s="104">
        <f t="shared" si="27"/>
        <v>1800</v>
      </c>
      <c r="BS13" s="105">
        <f t="shared" si="28"/>
        <v>1950</v>
      </c>
      <c r="BT13" s="105">
        <f t="shared" si="29"/>
        <v>0</v>
      </c>
      <c r="BU13" s="105">
        <f t="shared" si="30"/>
        <v>0</v>
      </c>
      <c r="BV13" s="37">
        <f t="shared" si="31"/>
        <v>4098.0967741935483</v>
      </c>
      <c r="BW13" s="106">
        <v>0.12</v>
      </c>
      <c r="BX13" s="39">
        <f t="shared" si="32"/>
        <v>119167.74193548388</v>
      </c>
      <c r="BY13" s="39">
        <v>10000</v>
      </c>
      <c r="BZ13" s="19"/>
      <c r="CA13" s="32"/>
      <c r="CB13" s="32">
        <f>(COUNTIF(H13:AL13,"P")+COUNTIF(H13:AL13,"LATE")+COUNTIF(H13:AL13,"HD")/2)*200</f>
        <v>3200</v>
      </c>
      <c r="CC13" s="33">
        <v>50000</v>
      </c>
      <c r="CD13" s="107" t="e">
        <f>VLOOKUP('May 22 Final'!A:A,#REF!,30,FALSE)</f>
        <v>#REF!</v>
      </c>
      <c r="CE13" s="32"/>
      <c r="CF13" s="108"/>
      <c r="CG13" s="43"/>
      <c r="CH13" s="43">
        <f t="shared" si="33"/>
        <v>0</v>
      </c>
      <c r="CI13" s="109"/>
      <c r="CJ13" s="55">
        <v>470.77</v>
      </c>
      <c r="CK13" s="44">
        <f>CJ13*100</f>
        <v>47077</v>
      </c>
      <c r="CL13" s="107" t="str">
        <f>IFERROR(VLOOKUP(A13,#REF!,11,FALSE),"0")</f>
        <v>0</v>
      </c>
      <c r="CM13" s="46"/>
      <c r="CN13" s="47" t="e">
        <f t="shared" si="34"/>
        <v>#REF!</v>
      </c>
      <c r="CO13" s="19"/>
      <c r="CP13" s="19"/>
      <c r="CQ13" s="19"/>
    </row>
    <row r="14" spans="1:95">
      <c r="A14" s="80" t="s">
        <v>686</v>
      </c>
      <c r="B14" s="80" t="s">
        <v>687</v>
      </c>
      <c r="C14" s="119">
        <v>44515</v>
      </c>
      <c r="D14" s="80" t="s">
        <v>688</v>
      </c>
      <c r="E14" s="80" t="s">
        <v>689</v>
      </c>
      <c r="F14" s="80">
        <v>5</v>
      </c>
      <c r="G14" s="120" t="s">
        <v>690</v>
      </c>
      <c r="H14" s="81" t="s">
        <v>691</v>
      </c>
      <c r="I14" s="42" t="s">
        <v>692</v>
      </c>
      <c r="J14" s="42" t="s">
        <v>693</v>
      </c>
      <c r="K14" s="42" t="s">
        <v>694</v>
      </c>
      <c r="L14" s="42" t="s">
        <v>695</v>
      </c>
      <c r="M14" s="42" t="s">
        <v>696</v>
      </c>
      <c r="N14" s="42" t="s">
        <v>697</v>
      </c>
      <c r="O14" s="42" t="s">
        <v>698</v>
      </c>
      <c r="P14" s="42" t="s">
        <v>699</v>
      </c>
      <c r="Q14" s="42" t="s">
        <v>700</v>
      </c>
      <c r="R14" s="42" t="s">
        <v>701</v>
      </c>
      <c r="S14" s="42" t="s">
        <v>702</v>
      </c>
      <c r="T14" s="42" t="s">
        <v>703</v>
      </c>
      <c r="U14" s="42" t="s">
        <v>704</v>
      </c>
      <c r="V14" s="42" t="s">
        <v>705</v>
      </c>
      <c r="W14" s="42" t="s">
        <v>706</v>
      </c>
      <c r="X14" s="42" t="s">
        <v>707</v>
      </c>
      <c r="Y14" s="42" t="s">
        <v>708</v>
      </c>
      <c r="Z14" s="42" t="s">
        <v>709</v>
      </c>
      <c r="AA14" s="42" t="s">
        <v>710</v>
      </c>
      <c r="AB14" s="42" t="s">
        <v>711</v>
      </c>
      <c r="AC14" s="42" t="s">
        <v>712</v>
      </c>
      <c r="AD14" s="42" t="s">
        <v>713</v>
      </c>
      <c r="AE14" s="42" t="s">
        <v>714</v>
      </c>
      <c r="AF14" s="42" t="s">
        <v>715</v>
      </c>
      <c r="AG14" s="42" t="s">
        <v>716</v>
      </c>
      <c r="AH14" s="42" t="s">
        <v>717</v>
      </c>
      <c r="AI14" s="42" t="s">
        <v>718</v>
      </c>
      <c r="AJ14" s="42" t="s">
        <v>719</v>
      </c>
      <c r="AK14" s="42" t="s">
        <v>720</v>
      </c>
      <c r="AL14" s="42" t="s">
        <v>721</v>
      </c>
      <c r="AM14" s="42">
        <f t="shared" si="0"/>
        <v>27</v>
      </c>
      <c r="AN14" s="42">
        <f t="shared" si="1"/>
        <v>4</v>
      </c>
      <c r="AO14" s="42">
        <f t="shared" si="2"/>
        <v>0</v>
      </c>
      <c r="AP14" s="42">
        <f t="shared" si="3"/>
        <v>0</v>
      </c>
      <c r="AQ14" s="42">
        <f t="shared" si="4"/>
        <v>0</v>
      </c>
      <c r="AR14" s="42">
        <f t="shared" si="5"/>
        <v>0</v>
      </c>
      <c r="AS14" s="42">
        <f t="shared" si="6"/>
        <v>0</v>
      </c>
      <c r="AT14" s="42">
        <v>0</v>
      </c>
      <c r="AU14" s="32">
        <f t="shared" si="7"/>
        <v>1089</v>
      </c>
      <c r="AV14" s="32">
        <f t="shared" si="8"/>
        <v>731</v>
      </c>
      <c r="AW14" s="42">
        <v>21089</v>
      </c>
      <c r="AX14" s="20">
        <v>20000</v>
      </c>
      <c r="AY14" s="21">
        <f t="shared" si="9"/>
        <v>21820</v>
      </c>
      <c r="AZ14" s="32">
        <f t="shared" si="10"/>
        <v>1820</v>
      </c>
      <c r="BA14" s="32">
        <f t="shared" si="11"/>
        <v>650</v>
      </c>
      <c r="BB14" s="32">
        <f t="shared" si="12"/>
        <v>150</v>
      </c>
      <c r="BC14" s="33">
        <f t="shared" si="13"/>
        <v>-234.83870967741936</v>
      </c>
      <c r="BD14" s="32">
        <f t="shared" si="14"/>
        <v>1680</v>
      </c>
      <c r="BE14" s="32">
        <f t="shared" si="15"/>
        <v>12000</v>
      </c>
      <c r="BF14" s="32">
        <f t="shared" si="16"/>
        <v>6000</v>
      </c>
      <c r="BG14" s="32">
        <f t="shared" si="17"/>
        <v>6000</v>
      </c>
      <c r="BH14" s="32">
        <f t="shared" si="18"/>
        <v>-4000</v>
      </c>
      <c r="BI14" s="19">
        <f t="shared" si="19"/>
        <v>-4</v>
      </c>
      <c r="BJ14" s="19">
        <v>31</v>
      </c>
      <c r="BK14" s="35">
        <f t="shared" si="20"/>
        <v>-0.12903225806451613</v>
      </c>
      <c r="BL14" s="19">
        <f t="shared" si="21"/>
        <v>387.09677419354841</v>
      </c>
      <c r="BM14" s="32">
        <f t="shared" si="22"/>
        <v>-2721.1612903225805</v>
      </c>
      <c r="BN14" s="33">
        <f t="shared" si="23"/>
        <v>-1548.3870967741934</v>
      </c>
      <c r="BO14" s="33">
        <f t="shared" si="24"/>
        <v>-774.19354838709671</v>
      </c>
      <c r="BP14" s="33">
        <f t="shared" si="25"/>
        <v>-774.19354838709671</v>
      </c>
      <c r="BQ14" s="33">
        <f t="shared" si="26"/>
        <v>516.12903225806451</v>
      </c>
      <c r="BR14" s="104">
        <f t="shared" si="27"/>
        <v>-216.7741935483871</v>
      </c>
      <c r="BS14" s="105">
        <f t="shared" si="28"/>
        <v>-234.83870967741936</v>
      </c>
      <c r="BT14" s="105">
        <f t="shared" si="29"/>
        <v>-20.408709677419353</v>
      </c>
      <c r="BU14" s="105">
        <f t="shared" si="30"/>
        <v>-88.437741935483871</v>
      </c>
      <c r="BV14" s="37">
        <f t="shared" si="31"/>
        <v>680.29032258064512</v>
      </c>
      <c r="BW14" s="124">
        <v>1.25</v>
      </c>
      <c r="BX14" s="39">
        <f t="shared" si="32"/>
        <v>-2363.8709677419351</v>
      </c>
      <c r="BY14" s="39"/>
      <c r="BZ14" s="42"/>
      <c r="CA14" s="42"/>
      <c r="CB14" s="42"/>
      <c r="CC14" s="42"/>
      <c r="CD14" s="107" t="e">
        <f>VLOOKUP('May 22 Final'!A:A,#REF!,30,FALSE)</f>
        <v>#REF!</v>
      </c>
      <c r="CE14" s="42"/>
      <c r="CF14" s="126"/>
      <c r="CG14" s="42"/>
      <c r="CH14" s="43">
        <f t="shared" si="33"/>
        <v>0</v>
      </c>
      <c r="CI14" s="100"/>
      <c r="CJ14" s="44">
        <v>35.1</v>
      </c>
      <c r="CK14" s="44">
        <f t="shared" ref="CK14:CK28" si="36">IF(CJ14&gt;60,CJ14*300,IF(CJ14&gt;30,CJ14*250,CJ14*200))</f>
        <v>8775</v>
      </c>
      <c r="CL14" s="125" t="str">
        <f>IFERROR(VLOOKUP(A14,#REF!,11,FALSE),"0")</f>
        <v>0</v>
      </c>
      <c r="CM14" s="100"/>
      <c r="CN14" s="47" t="e">
        <f t="shared" si="34"/>
        <v>#REF!</v>
      </c>
      <c r="CO14" s="42" t="s">
        <v>722</v>
      </c>
      <c r="CP14" s="42"/>
      <c r="CQ14" s="42"/>
    </row>
    <row r="15" spans="1:95">
      <c r="A15" s="28" t="s">
        <v>723</v>
      </c>
      <c r="B15" s="28" t="s">
        <v>724</v>
      </c>
      <c r="C15" s="101">
        <v>44515</v>
      </c>
      <c r="D15" s="28" t="s">
        <v>725</v>
      </c>
      <c r="E15" s="28" t="s">
        <v>726</v>
      </c>
      <c r="F15" s="28">
        <v>5</v>
      </c>
      <c r="G15" s="102" t="s">
        <v>727</v>
      </c>
      <c r="H15" s="103" t="s">
        <v>728</v>
      </c>
      <c r="I15" s="32" t="s">
        <v>729</v>
      </c>
      <c r="J15" s="32" t="s">
        <v>730</v>
      </c>
      <c r="K15" s="32" t="s">
        <v>731</v>
      </c>
      <c r="L15" s="32" t="s">
        <v>732</v>
      </c>
      <c r="M15" s="32" t="s">
        <v>733</v>
      </c>
      <c r="N15" s="32" t="s">
        <v>734</v>
      </c>
      <c r="O15" s="32" t="s">
        <v>735</v>
      </c>
      <c r="P15" s="32" t="s">
        <v>736</v>
      </c>
      <c r="Q15" s="32" t="s">
        <v>737</v>
      </c>
      <c r="R15" s="32" t="s">
        <v>738</v>
      </c>
      <c r="S15" s="32" t="s">
        <v>739</v>
      </c>
      <c r="T15" s="32" t="s">
        <v>740</v>
      </c>
      <c r="U15" s="32" t="s">
        <v>741</v>
      </c>
      <c r="V15" s="32" t="s">
        <v>742</v>
      </c>
      <c r="W15" s="32" t="s">
        <v>743</v>
      </c>
      <c r="X15" s="32" t="s">
        <v>744</v>
      </c>
      <c r="Y15" s="32" t="s">
        <v>745</v>
      </c>
      <c r="Z15" s="32" t="s">
        <v>746</v>
      </c>
      <c r="AA15" s="32" t="s">
        <v>747</v>
      </c>
      <c r="AB15" s="32" t="s">
        <v>748</v>
      </c>
      <c r="AC15" s="32" t="s">
        <v>749</v>
      </c>
      <c r="AD15" s="32" t="s">
        <v>750</v>
      </c>
      <c r="AE15" s="32" t="s">
        <v>751</v>
      </c>
      <c r="AF15" s="32" t="s">
        <v>752</v>
      </c>
      <c r="AG15" s="32" t="s">
        <v>753</v>
      </c>
      <c r="AH15" s="32" t="s">
        <v>754</v>
      </c>
      <c r="AI15" s="32" t="s">
        <v>755</v>
      </c>
      <c r="AJ15" s="32" t="s">
        <v>756</v>
      </c>
      <c r="AK15" s="32" t="s">
        <v>757</v>
      </c>
      <c r="AL15" s="32" t="s">
        <v>758</v>
      </c>
      <c r="AM15" s="32">
        <f t="shared" si="0"/>
        <v>1</v>
      </c>
      <c r="AN15" s="32">
        <f t="shared" si="1"/>
        <v>3</v>
      </c>
      <c r="AO15" s="32">
        <f t="shared" si="2"/>
        <v>19</v>
      </c>
      <c r="AP15" s="32">
        <f t="shared" si="3"/>
        <v>1</v>
      </c>
      <c r="AQ15" s="32">
        <f t="shared" si="4"/>
        <v>7</v>
      </c>
      <c r="AR15" s="32">
        <f t="shared" si="5"/>
        <v>0</v>
      </c>
      <c r="AS15" s="32">
        <f t="shared" si="6"/>
        <v>0</v>
      </c>
      <c r="AT15" s="32">
        <v>4</v>
      </c>
      <c r="AU15" s="32">
        <f t="shared" si="7"/>
        <v>817</v>
      </c>
      <c r="AV15" s="32">
        <f t="shared" si="8"/>
        <v>743</v>
      </c>
      <c r="AW15" s="32">
        <v>15817</v>
      </c>
      <c r="AX15" s="20">
        <v>15000</v>
      </c>
      <c r="AY15" s="21">
        <f t="shared" si="9"/>
        <v>16560</v>
      </c>
      <c r="AZ15" s="32">
        <f t="shared" si="10"/>
        <v>1560</v>
      </c>
      <c r="BA15" s="32">
        <f t="shared" si="11"/>
        <v>487.5</v>
      </c>
      <c r="BB15" s="32">
        <f t="shared" si="12"/>
        <v>112.5</v>
      </c>
      <c r="BC15" s="33">
        <f t="shared" si="13"/>
        <v>1383.8709677419356</v>
      </c>
      <c r="BD15" s="32">
        <f t="shared" si="14"/>
        <v>1440</v>
      </c>
      <c r="BE15" s="32">
        <f t="shared" si="15"/>
        <v>12000</v>
      </c>
      <c r="BF15" s="32">
        <f t="shared" si="16"/>
        <v>3000</v>
      </c>
      <c r="BG15" s="32">
        <f t="shared" si="17"/>
        <v>3000</v>
      </c>
      <c r="BH15" s="32">
        <f t="shared" si="18"/>
        <v>-3000</v>
      </c>
      <c r="BI15" s="19">
        <f t="shared" si="19"/>
        <v>27.5</v>
      </c>
      <c r="BJ15" s="19">
        <v>31</v>
      </c>
      <c r="BK15" s="35">
        <f t="shared" si="20"/>
        <v>0.88709677419354838</v>
      </c>
      <c r="BL15" s="19">
        <f t="shared" si="21"/>
        <v>387.09677419354841</v>
      </c>
      <c r="BM15" s="32">
        <f t="shared" si="22"/>
        <v>14031.209677419354</v>
      </c>
      <c r="BN15" s="33">
        <f t="shared" si="23"/>
        <v>10645.161290322581</v>
      </c>
      <c r="BO15" s="33">
        <f t="shared" si="24"/>
        <v>2661.2903225806454</v>
      </c>
      <c r="BP15" s="33">
        <f t="shared" si="25"/>
        <v>2661.2903225806454</v>
      </c>
      <c r="BQ15" s="33">
        <f t="shared" si="26"/>
        <v>-2661.2903225806454</v>
      </c>
      <c r="BR15" s="104">
        <f t="shared" si="27"/>
        <v>1277.4193548387098</v>
      </c>
      <c r="BS15" s="105">
        <f t="shared" si="28"/>
        <v>1383.8709677419356</v>
      </c>
      <c r="BT15" s="105">
        <f t="shared" si="29"/>
        <v>105.23407258064515</v>
      </c>
      <c r="BU15" s="105">
        <f t="shared" si="30"/>
        <v>456.01431451612905</v>
      </c>
      <c r="BV15" s="37">
        <f t="shared" si="31"/>
        <v>510.22580645161293</v>
      </c>
      <c r="BW15" s="32">
        <v>5.75</v>
      </c>
      <c r="BX15" s="39">
        <f t="shared" si="32"/>
        <v>12029.032258064517</v>
      </c>
      <c r="BY15" s="39"/>
      <c r="BZ15" s="32"/>
      <c r="CA15" s="32"/>
      <c r="CB15" s="32"/>
      <c r="CC15" s="33"/>
      <c r="CD15" s="107" t="e">
        <f>VLOOKUP('May 22 Final'!A:A,#REF!,30,FALSE)</f>
        <v>#REF!</v>
      </c>
      <c r="CE15" s="32"/>
      <c r="CF15" s="108"/>
      <c r="CG15" s="43">
        <v>7</v>
      </c>
      <c r="CH15" s="43">
        <f t="shared" si="33"/>
        <v>2100</v>
      </c>
      <c r="CI15" s="109"/>
      <c r="CJ15" s="44"/>
      <c r="CK15" s="44">
        <f t="shared" si="36"/>
        <v>0</v>
      </c>
      <c r="CL15" s="107" t="str">
        <f>IFERROR(VLOOKUP(A15,#REF!,11,FALSE),"0")</f>
        <v>0</v>
      </c>
      <c r="CM15" s="46"/>
      <c r="CN15" s="47" t="e">
        <f t="shared" si="34"/>
        <v>#REF!</v>
      </c>
      <c r="CO15" s="19"/>
      <c r="CP15" s="19"/>
      <c r="CQ15" s="19"/>
    </row>
    <row r="16" spans="1:95">
      <c r="A16" s="80" t="s">
        <v>759</v>
      </c>
      <c r="B16" s="80" t="s">
        <v>760</v>
      </c>
      <c r="C16" s="119">
        <v>44515</v>
      </c>
      <c r="D16" s="80" t="s">
        <v>761</v>
      </c>
      <c r="E16" s="80" t="s">
        <v>762</v>
      </c>
      <c r="F16" s="80">
        <v>5</v>
      </c>
      <c r="G16" s="120" t="s">
        <v>763</v>
      </c>
      <c r="H16" s="81" t="s">
        <v>764</v>
      </c>
      <c r="I16" s="42" t="s">
        <v>765</v>
      </c>
      <c r="J16" s="42" t="s">
        <v>766</v>
      </c>
      <c r="K16" s="42" t="s">
        <v>767</v>
      </c>
      <c r="L16" s="42" t="s">
        <v>768</v>
      </c>
      <c r="M16" s="42" t="s">
        <v>769</v>
      </c>
      <c r="N16" s="42" t="s">
        <v>770</v>
      </c>
      <c r="O16" s="42" t="s">
        <v>771</v>
      </c>
      <c r="P16" s="42" t="s">
        <v>772</v>
      </c>
      <c r="Q16" s="42" t="s">
        <v>773</v>
      </c>
      <c r="R16" s="42" t="s">
        <v>774</v>
      </c>
      <c r="S16" s="42" t="s">
        <v>775</v>
      </c>
      <c r="T16" s="42" t="s">
        <v>776</v>
      </c>
      <c r="U16" s="42" t="s">
        <v>777</v>
      </c>
      <c r="V16" s="42" t="s">
        <v>778</v>
      </c>
      <c r="W16" s="42" t="s">
        <v>779</v>
      </c>
      <c r="X16" s="42" t="s">
        <v>780</v>
      </c>
      <c r="Y16" s="42" t="s">
        <v>781</v>
      </c>
      <c r="Z16" s="42" t="s">
        <v>782</v>
      </c>
      <c r="AA16" s="42" t="s">
        <v>783</v>
      </c>
      <c r="AB16" s="42" t="s">
        <v>784</v>
      </c>
      <c r="AC16" s="42" t="s">
        <v>785</v>
      </c>
      <c r="AD16" s="42" t="s">
        <v>786</v>
      </c>
      <c r="AE16" s="42" t="s">
        <v>787</v>
      </c>
      <c r="AF16" s="42" t="s">
        <v>788</v>
      </c>
      <c r="AG16" s="42" t="s">
        <v>789</v>
      </c>
      <c r="AH16" s="42" t="s">
        <v>790</v>
      </c>
      <c r="AI16" s="42" t="s">
        <v>791</v>
      </c>
      <c r="AJ16" s="42" t="s">
        <v>792</v>
      </c>
      <c r="AK16" s="42" t="s">
        <v>793</v>
      </c>
      <c r="AL16" s="42" t="s">
        <v>794</v>
      </c>
      <c r="AM16" s="42">
        <f t="shared" si="0"/>
        <v>20</v>
      </c>
      <c r="AN16" s="42">
        <f t="shared" si="1"/>
        <v>0</v>
      </c>
      <c r="AO16" s="42">
        <f t="shared" si="2"/>
        <v>8</v>
      </c>
      <c r="AP16" s="42">
        <f t="shared" si="3"/>
        <v>0</v>
      </c>
      <c r="AQ16" s="42">
        <f t="shared" si="4"/>
        <v>3</v>
      </c>
      <c r="AR16" s="42">
        <f t="shared" si="5"/>
        <v>0</v>
      </c>
      <c r="AS16" s="42">
        <f t="shared" si="6"/>
        <v>0</v>
      </c>
      <c r="AT16" s="42">
        <v>1</v>
      </c>
      <c r="AU16" s="32">
        <f t="shared" si="7"/>
        <v>817</v>
      </c>
      <c r="AV16" s="32">
        <f t="shared" si="8"/>
        <v>743</v>
      </c>
      <c r="AW16" s="42">
        <v>15817</v>
      </c>
      <c r="AX16" s="20">
        <v>15000</v>
      </c>
      <c r="AY16" s="21">
        <f t="shared" si="9"/>
        <v>16560</v>
      </c>
      <c r="AZ16" s="32">
        <f t="shared" si="10"/>
        <v>1560</v>
      </c>
      <c r="BA16" s="32">
        <f t="shared" si="11"/>
        <v>487.5</v>
      </c>
      <c r="BB16" s="32">
        <f t="shared" si="12"/>
        <v>112.5</v>
      </c>
      <c r="BC16" s="33">
        <f t="shared" si="13"/>
        <v>603.87096774193549</v>
      </c>
      <c r="BD16" s="32">
        <f t="shared" si="14"/>
        <v>1440</v>
      </c>
      <c r="BE16" s="32">
        <f t="shared" si="15"/>
        <v>12000</v>
      </c>
      <c r="BF16" s="32">
        <f t="shared" si="16"/>
        <v>3000</v>
      </c>
      <c r="BG16" s="32">
        <f t="shared" si="17"/>
        <v>3000</v>
      </c>
      <c r="BH16" s="32">
        <f t="shared" si="18"/>
        <v>-3000</v>
      </c>
      <c r="BI16" s="19">
        <f t="shared" si="19"/>
        <v>12</v>
      </c>
      <c r="BJ16" s="19">
        <v>31</v>
      </c>
      <c r="BK16" s="35">
        <f t="shared" si="20"/>
        <v>0.38709677419354838</v>
      </c>
      <c r="BL16" s="19">
        <f t="shared" si="21"/>
        <v>387.09677419354841</v>
      </c>
      <c r="BM16" s="32">
        <f t="shared" si="22"/>
        <v>6122.7096774193551</v>
      </c>
      <c r="BN16" s="33">
        <f t="shared" si="23"/>
        <v>4645.1612903225805</v>
      </c>
      <c r="BO16" s="33">
        <f t="shared" si="24"/>
        <v>1161.2903225806451</v>
      </c>
      <c r="BP16" s="33">
        <f t="shared" si="25"/>
        <v>1161.2903225806451</v>
      </c>
      <c r="BQ16" s="33">
        <f t="shared" si="26"/>
        <v>-1161.2903225806451</v>
      </c>
      <c r="BR16" s="104">
        <f t="shared" si="27"/>
        <v>557.41935483870964</v>
      </c>
      <c r="BS16" s="105">
        <f t="shared" si="28"/>
        <v>603.87096774193549</v>
      </c>
      <c r="BT16" s="105">
        <f t="shared" si="29"/>
        <v>45.920322580645163</v>
      </c>
      <c r="BU16" s="105">
        <f t="shared" si="30"/>
        <v>198.98806451612904</v>
      </c>
      <c r="BV16" s="37">
        <f t="shared" si="31"/>
        <v>510.22580645161293</v>
      </c>
      <c r="BW16" s="124">
        <v>1.25</v>
      </c>
      <c r="BX16" s="39">
        <f t="shared" si="32"/>
        <v>5249.0322580645161</v>
      </c>
      <c r="BY16" s="39"/>
      <c r="BZ16" s="42"/>
      <c r="CA16" s="42"/>
      <c r="CB16" s="42"/>
      <c r="CC16" s="42"/>
      <c r="CD16" s="107" t="e">
        <f>VLOOKUP('May 22 Final'!A:A,#REF!,30,FALSE)</f>
        <v>#REF!</v>
      </c>
      <c r="CE16" s="42"/>
      <c r="CF16" s="126"/>
      <c r="CG16" s="42">
        <v>6</v>
      </c>
      <c r="CH16" s="43">
        <f t="shared" si="33"/>
        <v>1800</v>
      </c>
      <c r="CI16" s="100"/>
      <c r="CJ16" s="42"/>
      <c r="CK16" s="44">
        <f t="shared" si="36"/>
        <v>0</v>
      </c>
      <c r="CL16" s="125" t="str">
        <f>IFERROR(VLOOKUP(A16,#REF!,11,FALSE),"0")</f>
        <v>0</v>
      </c>
      <c r="CM16" s="100"/>
      <c r="CN16" s="47" t="e">
        <f t="shared" si="34"/>
        <v>#REF!</v>
      </c>
      <c r="CO16" s="42" t="s">
        <v>795</v>
      </c>
      <c r="CP16" s="42"/>
      <c r="CQ16" s="42"/>
    </row>
    <row r="17" spans="1:95">
      <c r="A17" s="28" t="s">
        <v>796</v>
      </c>
      <c r="B17" s="28" t="s">
        <v>797</v>
      </c>
      <c r="C17" s="101">
        <v>44531</v>
      </c>
      <c r="D17" s="28" t="s">
        <v>798</v>
      </c>
      <c r="E17" s="28" t="s">
        <v>799</v>
      </c>
      <c r="F17" s="28">
        <v>5</v>
      </c>
      <c r="G17" s="102" t="s">
        <v>800</v>
      </c>
      <c r="H17" s="103" t="s">
        <v>801</v>
      </c>
      <c r="I17" s="32" t="s">
        <v>802</v>
      </c>
      <c r="J17" s="32" t="s">
        <v>803</v>
      </c>
      <c r="K17" s="32" t="s">
        <v>804</v>
      </c>
      <c r="L17" s="32" t="s">
        <v>805</v>
      </c>
      <c r="M17" s="32" t="s">
        <v>806</v>
      </c>
      <c r="N17" s="32" t="s">
        <v>807</v>
      </c>
      <c r="O17" s="32" t="s">
        <v>808</v>
      </c>
      <c r="P17" s="32" t="s">
        <v>809</v>
      </c>
      <c r="Q17" s="32" t="s">
        <v>810</v>
      </c>
      <c r="R17" s="32" t="s">
        <v>811</v>
      </c>
      <c r="S17" s="32" t="s">
        <v>812</v>
      </c>
      <c r="T17" s="32" t="s">
        <v>813</v>
      </c>
      <c r="U17" s="32" t="s">
        <v>814</v>
      </c>
      <c r="V17" s="32" t="s">
        <v>815</v>
      </c>
      <c r="W17" s="32" t="s">
        <v>816</v>
      </c>
      <c r="X17" s="32" t="s">
        <v>817</v>
      </c>
      <c r="Y17" s="32" t="s">
        <v>818</v>
      </c>
      <c r="Z17" s="32" t="s">
        <v>819</v>
      </c>
      <c r="AA17" s="32" t="s">
        <v>820</v>
      </c>
      <c r="AB17" s="32" t="s">
        <v>821</v>
      </c>
      <c r="AC17" s="32" t="s">
        <v>822</v>
      </c>
      <c r="AD17" s="32" t="s">
        <v>823</v>
      </c>
      <c r="AE17" s="32" t="s">
        <v>824</v>
      </c>
      <c r="AF17" s="32" t="s">
        <v>825</v>
      </c>
      <c r="AG17" s="32" t="s">
        <v>826</v>
      </c>
      <c r="AH17" s="32" t="s">
        <v>827</v>
      </c>
      <c r="AI17" s="32" t="s">
        <v>828</v>
      </c>
      <c r="AJ17" s="32" t="s">
        <v>829</v>
      </c>
      <c r="AK17" s="32" t="s">
        <v>830</v>
      </c>
      <c r="AL17" s="32" t="s">
        <v>831</v>
      </c>
      <c r="AM17" s="32">
        <f t="shared" si="0"/>
        <v>3</v>
      </c>
      <c r="AN17" s="32">
        <f t="shared" si="1"/>
        <v>0</v>
      </c>
      <c r="AO17" s="32">
        <f t="shared" si="2"/>
        <v>20</v>
      </c>
      <c r="AP17" s="32">
        <f t="shared" si="3"/>
        <v>1</v>
      </c>
      <c r="AQ17" s="32">
        <f t="shared" si="4"/>
        <v>7</v>
      </c>
      <c r="AR17" s="32">
        <f t="shared" si="5"/>
        <v>0</v>
      </c>
      <c r="AS17" s="32">
        <f t="shared" si="6"/>
        <v>0</v>
      </c>
      <c r="AT17" s="32">
        <v>2</v>
      </c>
      <c r="AU17" s="32">
        <f t="shared" si="7"/>
        <v>1573</v>
      </c>
      <c r="AV17" s="32">
        <f t="shared" si="8"/>
        <v>377</v>
      </c>
      <c r="AW17" s="32">
        <v>30460</v>
      </c>
      <c r="AX17" s="20">
        <v>28887</v>
      </c>
      <c r="AY17" s="21">
        <f t="shared" si="9"/>
        <v>30837</v>
      </c>
      <c r="AZ17" s="32">
        <f t="shared" si="10"/>
        <v>1950</v>
      </c>
      <c r="BA17" s="32">
        <f t="shared" si="11"/>
        <v>0</v>
      </c>
      <c r="BB17" s="32">
        <f t="shared" si="12"/>
        <v>0</v>
      </c>
      <c r="BC17" s="33">
        <f t="shared" si="13"/>
        <v>1950</v>
      </c>
      <c r="BD17" s="32">
        <f t="shared" si="14"/>
        <v>1800</v>
      </c>
      <c r="BE17" s="32">
        <f t="shared" si="15"/>
        <v>12000</v>
      </c>
      <c r="BF17" s="32">
        <f t="shared" si="16"/>
        <v>6000</v>
      </c>
      <c r="BG17" s="32">
        <f t="shared" si="17"/>
        <v>6000</v>
      </c>
      <c r="BH17" s="32">
        <f t="shared" si="18"/>
        <v>4887</v>
      </c>
      <c r="BI17" s="19">
        <f t="shared" si="19"/>
        <v>29.5</v>
      </c>
      <c r="BJ17" s="19">
        <v>31</v>
      </c>
      <c r="BK17" s="35">
        <f t="shared" si="20"/>
        <v>0.95161290322580649</v>
      </c>
      <c r="BL17" s="19">
        <f t="shared" si="21"/>
        <v>387.09677419354841</v>
      </c>
      <c r="BM17" s="32">
        <f t="shared" si="22"/>
        <v>28986.129032258064</v>
      </c>
      <c r="BN17" s="33">
        <f t="shared" si="23"/>
        <v>11419.354838709678</v>
      </c>
      <c r="BO17" s="33">
        <f t="shared" si="24"/>
        <v>5709.677419354839</v>
      </c>
      <c r="BP17" s="33">
        <f t="shared" si="25"/>
        <v>5709.677419354839</v>
      </c>
      <c r="BQ17" s="33">
        <f t="shared" si="26"/>
        <v>4650.5322580645161</v>
      </c>
      <c r="BR17" s="104">
        <f t="shared" si="27"/>
        <v>1800</v>
      </c>
      <c r="BS17" s="105">
        <f t="shared" si="28"/>
        <v>1950</v>
      </c>
      <c r="BT17" s="105">
        <f t="shared" si="29"/>
        <v>0</v>
      </c>
      <c r="BU17" s="105">
        <f t="shared" si="30"/>
        <v>0</v>
      </c>
      <c r="BV17" s="37">
        <f t="shared" si="31"/>
        <v>982.58064516129036</v>
      </c>
      <c r="BW17" s="106">
        <v>2.25</v>
      </c>
      <c r="BX17" s="39">
        <f t="shared" si="32"/>
        <v>25689.241935483871</v>
      </c>
      <c r="BY17" s="39"/>
      <c r="BZ17" s="32"/>
      <c r="CA17" s="32"/>
      <c r="CB17" s="32"/>
      <c r="CC17" s="33"/>
      <c r="CD17" s="107" t="e">
        <f>VLOOKUP('May 22 Final'!A:A,#REF!,30,FALSE)</f>
        <v>#REF!</v>
      </c>
      <c r="CE17" s="32"/>
      <c r="CF17" s="108"/>
      <c r="CG17" s="43">
        <v>9</v>
      </c>
      <c r="CH17" s="43">
        <f t="shared" si="33"/>
        <v>2700</v>
      </c>
      <c r="CI17" s="109"/>
      <c r="CJ17" s="44"/>
      <c r="CK17" s="44">
        <f t="shared" si="36"/>
        <v>0</v>
      </c>
      <c r="CL17" s="107" t="str">
        <f>IFERROR(VLOOKUP(A17,#REF!,11,FALSE),"0")</f>
        <v>0</v>
      </c>
      <c r="CM17" s="46"/>
      <c r="CN17" s="47" t="e">
        <f t="shared" si="34"/>
        <v>#REF!</v>
      </c>
      <c r="CO17" s="19"/>
      <c r="CP17" s="19"/>
      <c r="CQ17" s="19"/>
    </row>
    <row r="18" spans="1:95">
      <c r="A18" s="28" t="s">
        <v>832</v>
      </c>
      <c r="B18" s="28" t="s">
        <v>833</v>
      </c>
      <c r="C18" s="101">
        <v>44564</v>
      </c>
      <c r="D18" s="102" t="s">
        <v>834</v>
      </c>
      <c r="E18" s="28" t="s">
        <v>835</v>
      </c>
      <c r="F18" s="28">
        <v>4</v>
      </c>
      <c r="G18" s="102" t="s">
        <v>836</v>
      </c>
      <c r="H18" s="103" t="s">
        <v>837</v>
      </c>
      <c r="I18" s="32" t="s">
        <v>838</v>
      </c>
      <c r="J18" s="32" t="s">
        <v>839</v>
      </c>
      <c r="K18" s="32" t="s">
        <v>840</v>
      </c>
      <c r="L18" s="32" t="s">
        <v>841</v>
      </c>
      <c r="M18" s="32" t="s">
        <v>842</v>
      </c>
      <c r="N18" s="32" t="s">
        <v>843</v>
      </c>
      <c r="O18" s="32" t="s">
        <v>844</v>
      </c>
      <c r="P18" s="32" t="s">
        <v>845</v>
      </c>
      <c r="Q18" s="32" t="s">
        <v>846</v>
      </c>
      <c r="R18" s="32" t="s">
        <v>847</v>
      </c>
      <c r="S18" s="32" t="s">
        <v>848</v>
      </c>
      <c r="T18" s="32" t="s">
        <v>849</v>
      </c>
      <c r="U18" s="32" t="s">
        <v>850</v>
      </c>
      <c r="V18" s="32" t="s">
        <v>851</v>
      </c>
      <c r="W18" s="32" t="s">
        <v>852</v>
      </c>
      <c r="X18" s="32" t="s">
        <v>853</v>
      </c>
      <c r="Y18" s="32" t="s">
        <v>854</v>
      </c>
      <c r="Z18" s="32" t="s">
        <v>855</v>
      </c>
      <c r="AA18" s="32" t="s">
        <v>856</v>
      </c>
      <c r="AB18" s="32" t="s">
        <v>857</v>
      </c>
      <c r="AC18" s="32" t="s">
        <v>858</v>
      </c>
      <c r="AD18" s="32" t="s">
        <v>859</v>
      </c>
      <c r="AE18" s="32" t="s">
        <v>860</v>
      </c>
      <c r="AF18" s="32" t="s">
        <v>861</v>
      </c>
      <c r="AG18" s="32" t="s">
        <v>862</v>
      </c>
      <c r="AH18" s="32" t="s">
        <v>863</v>
      </c>
      <c r="AI18" s="32" t="s">
        <v>864</v>
      </c>
      <c r="AJ18" s="32" t="s">
        <v>865</v>
      </c>
      <c r="AK18" s="32" t="s">
        <v>866</v>
      </c>
      <c r="AL18" s="32" t="s">
        <v>867</v>
      </c>
      <c r="AM18" s="32">
        <f t="shared" si="0"/>
        <v>1</v>
      </c>
      <c r="AN18" s="32">
        <f t="shared" si="1"/>
        <v>0</v>
      </c>
      <c r="AO18" s="32">
        <f t="shared" si="2"/>
        <v>21</v>
      </c>
      <c r="AP18" s="32">
        <f t="shared" si="3"/>
        <v>0</v>
      </c>
      <c r="AQ18" s="32">
        <f t="shared" si="4"/>
        <v>7</v>
      </c>
      <c r="AR18" s="32">
        <f t="shared" si="5"/>
        <v>2</v>
      </c>
      <c r="AS18" s="32">
        <f t="shared" si="6"/>
        <v>0</v>
      </c>
      <c r="AT18" s="32">
        <v>1</v>
      </c>
      <c r="AU18" s="32">
        <f t="shared" si="7"/>
        <v>2041</v>
      </c>
      <c r="AV18" s="32">
        <f t="shared" si="8"/>
        <v>-91</v>
      </c>
      <c r="AW18" s="32">
        <v>49041</v>
      </c>
      <c r="AX18" s="20">
        <v>47000</v>
      </c>
      <c r="AY18" s="21">
        <f t="shared" si="9"/>
        <v>48950</v>
      </c>
      <c r="AZ18" s="32">
        <f t="shared" si="10"/>
        <v>1950</v>
      </c>
      <c r="BA18" s="32">
        <f t="shared" si="11"/>
        <v>0</v>
      </c>
      <c r="BB18" s="32">
        <f t="shared" si="12"/>
        <v>0</v>
      </c>
      <c r="BC18" s="33">
        <f t="shared" si="13"/>
        <v>1950</v>
      </c>
      <c r="BD18" s="32">
        <f t="shared" si="14"/>
        <v>1800</v>
      </c>
      <c r="BE18" s="32">
        <f t="shared" si="15"/>
        <v>18800</v>
      </c>
      <c r="BF18" s="32">
        <f t="shared" si="16"/>
        <v>9400</v>
      </c>
      <c r="BG18" s="32">
        <f t="shared" si="17"/>
        <v>9400</v>
      </c>
      <c r="BH18" s="32">
        <f t="shared" si="18"/>
        <v>9400</v>
      </c>
      <c r="BI18" s="19">
        <f t="shared" si="19"/>
        <v>31</v>
      </c>
      <c r="BJ18" s="19">
        <v>31</v>
      </c>
      <c r="BK18" s="35">
        <f t="shared" si="20"/>
        <v>1</v>
      </c>
      <c r="BL18" s="19">
        <f t="shared" si="21"/>
        <v>606.45161290322585</v>
      </c>
      <c r="BM18" s="32">
        <f t="shared" si="22"/>
        <v>49041</v>
      </c>
      <c r="BN18" s="33">
        <f t="shared" si="23"/>
        <v>18800</v>
      </c>
      <c r="BO18" s="33">
        <f t="shared" si="24"/>
        <v>9400</v>
      </c>
      <c r="BP18" s="33">
        <f t="shared" si="25"/>
        <v>9400</v>
      </c>
      <c r="BQ18" s="33">
        <f t="shared" si="26"/>
        <v>9400</v>
      </c>
      <c r="BR18" s="104">
        <f t="shared" si="27"/>
        <v>1800</v>
      </c>
      <c r="BS18" s="105">
        <f t="shared" si="28"/>
        <v>1950</v>
      </c>
      <c r="BT18" s="105">
        <f t="shared" si="29"/>
        <v>0</v>
      </c>
      <c r="BU18" s="105">
        <f t="shared" si="30"/>
        <v>0</v>
      </c>
      <c r="BV18" s="37">
        <f t="shared" si="31"/>
        <v>1581.9677419354839</v>
      </c>
      <c r="BW18" s="106">
        <v>2.75</v>
      </c>
      <c r="BX18" s="39">
        <f t="shared" si="32"/>
        <v>45200</v>
      </c>
      <c r="BY18" s="39"/>
      <c r="BZ18" s="32"/>
      <c r="CA18" s="32"/>
      <c r="CB18" s="32"/>
      <c r="CC18" s="33"/>
      <c r="CD18" s="107" t="e">
        <f>VLOOKUP('May 22 Final'!A:A,#REF!,30,FALSE)</f>
        <v>#REF!</v>
      </c>
      <c r="CE18" s="32"/>
      <c r="CF18" s="108"/>
      <c r="CG18" s="43"/>
      <c r="CH18" s="43">
        <f t="shared" si="33"/>
        <v>0</v>
      </c>
      <c r="CI18" s="109"/>
      <c r="CJ18" s="44"/>
      <c r="CK18" s="44">
        <f t="shared" si="36"/>
        <v>0</v>
      </c>
      <c r="CL18" s="107" t="str">
        <f>IFERROR(VLOOKUP(A18,#REF!,11,FALSE),"0")</f>
        <v>0</v>
      </c>
      <c r="CM18" s="46"/>
      <c r="CN18" s="47" t="e">
        <f t="shared" si="34"/>
        <v>#REF!</v>
      </c>
      <c r="CO18" s="19"/>
      <c r="CP18" s="19"/>
      <c r="CQ18" s="19"/>
    </row>
    <row r="19" spans="1:95">
      <c r="A19" s="28" t="s">
        <v>868</v>
      </c>
      <c r="B19" s="28" t="s">
        <v>869</v>
      </c>
      <c r="C19" s="101">
        <v>44566</v>
      </c>
      <c r="D19" s="102" t="s">
        <v>870</v>
      </c>
      <c r="E19" s="28" t="s">
        <v>871</v>
      </c>
      <c r="F19" s="28">
        <v>3</v>
      </c>
      <c r="G19" s="102" t="s">
        <v>872</v>
      </c>
      <c r="H19" s="103" t="s">
        <v>873</v>
      </c>
      <c r="I19" s="32" t="s">
        <v>874</v>
      </c>
      <c r="J19" s="32" t="s">
        <v>875</v>
      </c>
      <c r="K19" s="32" t="s">
        <v>876</v>
      </c>
      <c r="L19" s="32" t="s">
        <v>877</v>
      </c>
      <c r="M19" s="32" t="s">
        <v>878</v>
      </c>
      <c r="N19" s="32" t="s">
        <v>879</v>
      </c>
      <c r="O19" s="32" t="s">
        <v>880</v>
      </c>
      <c r="P19" s="32" t="s">
        <v>881</v>
      </c>
      <c r="Q19" s="32" t="s">
        <v>882</v>
      </c>
      <c r="R19" s="32" t="s">
        <v>883</v>
      </c>
      <c r="S19" s="32" t="s">
        <v>884</v>
      </c>
      <c r="T19" s="32" t="s">
        <v>885</v>
      </c>
      <c r="U19" s="32" t="s">
        <v>886</v>
      </c>
      <c r="V19" s="32" t="s">
        <v>887</v>
      </c>
      <c r="W19" s="32" t="s">
        <v>888</v>
      </c>
      <c r="X19" s="32" t="s">
        <v>889</v>
      </c>
      <c r="Y19" s="32" t="s">
        <v>890</v>
      </c>
      <c r="Z19" s="32" t="s">
        <v>891</v>
      </c>
      <c r="AA19" s="32" t="s">
        <v>892</v>
      </c>
      <c r="AB19" s="32" t="s">
        <v>893</v>
      </c>
      <c r="AC19" s="32" t="s">
        <v>894</v>
      </c>
      <c r="AD19" s="32" t="s">
        <v>895</v>
      </c>
      <c r="AE19" s="32" t="s">
        <v>896</v>
      </c>
      <c r="AF19" s="32" t="s">
        <v>897</v>
      </c>
      <c r="AG19" s="32" t="s">
        <v>898</v>
      </c>
      <c r="AH19" s="32" t="s">
        <v>899</v>
      </c>
      <c r="AI19" s="32" t="s">
        <v>900</v>
      </c>
      <c r="AJ19" s="32" t="s">
        <v>901</v>
      </c>
      <c r="AK19" s="32" t="s">
        <v>902</v>
      </c>
      <c r="AL19" s="32" t="s">
        <v>903</v>
      </c>
      <c r="AM19" s="32">
        <f t="shared" si="0"/>
        <v>0</v>
      </c>
      <c r="AN19" s="32">
        <f t="shared" si="1"/>
        <v>0</v>
      </c>
      <c r="AO19" s="32">
        <f t="shared" si="2"/>
        <v>24</v>
      </c>
      <c r="AP19" s="32">
        <f t="shared" si="3"/>
        <v>0</v>
      </c>
      <c r="AQ19" s="32">
        <f t="shared" si="4"/>
        <v>7</v>
      </c>
      <c r="AR19" s="32">
        <f t="shared" si="5"/>
        <v>0</v>
      </c>
      <c r="AS19" s="32">
        <f t="shared" si="6"/>
        <v>0</v>
      </c>
      <c r="AT19" s="32">
        <v>0</v>
      </c>
      <c r="AU19" s="32">
        <f t="shared" si="7"/>
        <v>1633</v>
      </c>
      <c r="AV19" s="32">
        <f t="shared" si="8"/>
        <v>317</v>
      </c>
      <c r="AW19" s="32">
        <v>31633</v>
      </c>
      <c r="AX19" s="20">
        <v>30000</v>
      </c>
      <c r="AY19" s="21">
        <f t="shared" si="9"/>
        <v>31950</v>
      </c>
      <c r="AZ19" s="32">
        <f t="shared" si="10"/>
        <v>1950</v>
      </c>
      <c r="BA19" s="32">
        <f t="shared" si="11"/>
        <v>0</v>
      </c>
      <c r="BB19" s="32">
        <f t="shared" si="12"/>
        <v>0</v>
      </c>
      <c r="BC19" s="33">
        <f t="shared" si="13"/>
        <v>1950</v>
      </c>
      <c r="BD19" s="32">
        <f t="shared" si="14"/>
        <v>1800</v>
      </c>
      <c r="BE19" s="32">
        <f t="shared" si="15"/>
        <v>12000</v>
      </c>
      <c r="BF19" s="32">
        <f t="shared" si="16"/>
        <v>6000</v>
      </c>
      <c r="BG19" s="32">
        <f t="shared" si="17"/>
        <v>6000</v>
      </c>
      <c r="BH19" s="32">
        <f t="shared" si="18"/>
        <v>6000</v>
      </c>
      <c r="BI19" s="19">
        <f t="shared" si="19"/>
        <v>31</v>
      </c>
      <c r="BJ19" s="19">
        <v>31</v>
      </c>
      <c r="BK19" s="35">
        <f t="shared" si="20"/>
        <v>1</v>
      </c>
      <c r="BL19" s="19">
        <f t="shared" si="21"/>
        <v>387.09677419354841</v>
      </c>
      <c r="BM19" s="32">
        <f t="shared" si="22"/>
        <v>31633</v>
      </c>
      <c r="BN19" s="33">
        <f t="shared" si="23"/>
        <v>12000</v>
      </c>
      <c r="BO19" s="33">
        <f t="shared" si="24"/>
        <v>6000</v>
      </c>
      <c r="BP19" s="33">
        <f t="shared" si="25"/>
        <v>6000</v>
      </c>
      <c r="BQ19" s="33">
        <f t="shared" si="26"/>
        <v>6000</v>
      </c>
      <c r="BR19" s="104">
        <f t="shared" si="27"/>
        <v>1800</v>
      </c>
      <c r="BS19" s="105">
        <f t="shared" si="28"/>
        <v>1950</v>
      </c>
      <c r="BT19" s="105">
        <f t="shared" si="29"/>
        <v>0</v>
      </c>
      <c r="BU19" s="105">
        <f t="shared" si="30"/>
        <v>0</v>
      </c>
      <c r="BV19" s="37">
        <f t="shared" si="31"/>
        <v>1020.4193548387096</v>
      </c>
      <c r="BW19" s="106">
        <v>6.25</v>
      </c>
      <c r="BX19" s="39">
        <f t="shared" si="32"/>
        <v>28200</v>
      </c>
      <c r="BY19" s="39"/>
      <c r="BZ19" s="32"/>
      <c r="CA19" s="32"/>
      <c r="CB19" s="32"/>
      <c r="CC19" s="33"/>
      <c r="CD19" s="107" t="e">
        <f>VLOOKUP('May 22 Final'!A:A,#REF!,30,FALSE)</f>
        <v>#REF!</v>
      </c>
      <c r="CE19" s="32"/>
      <c r="CF19" s="108"/>
      <c r="CG19" s="43"/>
      <c r="CH19" s="43">
        <f t="shared" si="33"/>
        <v>0</v>
      </c>
      <c r="CI19" s="109"/>
      <c r="CJ19" s="44"/>
      <c r="CK19" s="44">
        <f t="shared" si="36"/>
        <v>0</v>
      </c>
      <c r="CL19" s="107" t="str">
        <f>IFERROR(VLOOKUP(A19,#REF!,11,FALSE),"0")</f>
        <v>0</v>
      </c>
      <c r="CM19" s="56"/>
      <c r="CN19" s="47" t="e">
        <f t="shared" si="34"/>
        <v>#REF!</v>
      </c>
      <c r="CO19" s="32"/>
      <c r="CP19" s="32"/>
      <c r="CQ19" s="32"/>
    </row>
    <row r="20" spans="1:95">
      <c r="A20" s="28" t="s">
        <v>904</v>
      </c>
      <c r="B20" s="28" t="s">
        <v>905</v>
      </c>
      <c r="C20" s="101">
        <v>44593</v>
      </c>
      <c r="D20" s="28" t="s">
        <v>906</v>
      </c>
      <c r="E20" s="28" t="s">
        <v>907</v>
      </c>
      <c r="F20" s="28">
        <v>3</v>
      </c>
      <c r="G20" s="102" t="s">
        <v>908</v>
      </c>
      <c r="H20" s="103" t="s">
        <v>909</v>
      </c>
      <c r="I20" s="32" t="s">
        <v>910</v>
      </c>
      <c r="J20" s="32" t="s">
        <v>911</v>
      </c>
      <c r="K20" s="32" t="s">
        <v>912</v>
      </c>
      <c r="L20" s="32" t="s">
        <v>913</v>
      </c>
      <c r="M20" s="32" t="s">
        <v>914</v>
      </c>
      <c r="N20" s="32" t="s">
        <v>915</v>
      </c>
      <c r="O20" s="32" t="s">
        <v>916</v>
      </c>
      <c r="P20" s="32" t="s">
        <v>917</v>
      </c>
      <c r="Q20" s="32" t="s">
        <v>918</v>
      </c>
      <c r="R20" s="32" t="s">
        <v>919</v>
      </c>
      <c r="S20" s="32" t="s">
        <v>920</v>
      </c>
      <c r="T20" s="32" t="s">
        <v>921</v>
      </c>
      <c r="U20" s="32" t="s">
        <v>922</v>
      </c>
      <c r="V20" s="32" t="s">
        <v>923</v>
      </c>
      <c r="W20" s="32" t="s">
        <v>924</v>
      </c>
      <c r="X20" s="32" t="s">
        <v>925</v>
      </c>
      <c r="Y20" s="32" t="s">
        <v>926</v>
      </c>
      <c r="Z20" s="32" t="s">
        <v>927</v>
      </c>
      <c r="AA20" s="32" t="s">
        <v>928</v>
      </c>
      <c r="AB20" s="32" t="s">
        <v>929</v>
      </c>
      <c r="AC20" s="32" t="s">
        <v>930</v>
      </c>
      <c r="AD20" s="32" t="s">
        <v>931</v>
      </c>
      <c r="AE20" s="32" t="s">
        <v>932</v>
      </c>
      <c r="AF20" s="32" t="s">
        <v>933</v>
      </c>
      <c r="AG20" s="32" t="s">
        <v>934</v>
      </c>
      <c r="AH20" s="32" t="s">
        <v>935</v>
      </c>
      <c r="AI20" s="32" t="s">
        <v>936</v>
      </c>
      <c r="AJ20" s="32" t="s">
        <v>937</v>
      </c>
      <c r="AK20" s="32" t="s">
        <v>938</v>
      </c>
      <c r="AL20" s="32" t="s">
        <v>939</v>
      </c>
      <c r="AM20" s="32">
        <f t="shared" si="0"/>
        <v>0</v>
      </c>
      <c r="AN20" s="32">
        <f t="shared" si="1"/>
        <v>0</v>
      </c>
      <c r="AO20" s="32">
        <f t="shared" si="2"/>
        <v>24</v>
      </c>
      <c r="AP20" s="32">
        <f t="shared" si="3"/>
        <v>0</v>
      </c>
      <c r="AQ20" s="32">
        <f t="shared" si="4"/>
        <v>7</v>
      </c>
      <c r="AR20" s="32">
        <f t="shared" si="5"/>
        <v>0</v>
      </c>
      <c r="AS20" s="32">
        <f t="shared" si="6"/>
        <v>0</v>
      </c>
      <c r="AT20" s="32">
        <v>0</v>
      </c>
      <c r="AU20" s="32">
        <f t="shared" si="7"/>
        <v>2041</v>
      </c>
      <c r="AV20" s="32">
        <f t="shared" si="8"/>
        <v>-91</v>
      </c>
      <c r="AW20" s="32">
        <v>48000</v>
      </c>
      <c r="AX20" s="20">
        <v>45959</v>
      </c>
      <c r="AY20" s="21">
        <f t="shared" si="9"/>
        <v>47909</v>
      </c>
      <c r="AZ20" s="32">
        <f t="shared" si="10"/>
        <v>1950</v>
      </c>
      <c r="BA20" s="32">
        <f t="shared" si="11"/>
        <v>0</v>
      </c>
      <c r="BB20" s="32">
        <f t="shared" si="12"/>
        <v>0</v>
      </c>
      <c r="BC20" s="33">
        <f t="shared" si="13"/>
        <v>1950</v>
      </c>
      <c r="BD20" s="32">
        <f t="shared" si="14"/>
        <v>1800</v>
      </c>
      <c r="BE20" s="32">
        <f t="shared" si="15"/>
        <v>18383.600000000002</v>
      </c>
      <c r="BF20" s="32">
        <f t="shared" si="16"/>
        <v>9191.8000000000011</v>
      </c>
      <c r="BG20" s="32">
        <f t="shared" si="17"/>
        <v>9191.8000000000011</v>
      </c>
      <c r="BH20" s="32">
        <f t="shared" si="18"/>
        <v>9191.7999999999975</v>
      </c>
      <c r="BI20" s="19">
        <f t="shared" si="19"/>
        <v>31</v>
      </c>
      <c r="BJ20" s="19">
        <v>31</v>
      </c>
      <c r="BK20" s="35">
        <f t="shared" si="20"/>
        <v>1</v>
      </c>
      <c r="BL20" s="19">
        <f t="shared" si="21"/>
        <v>593.01935483870977</v>
      </c>
      <c r="BM20" s="32">
        <f t="shared" si="22"/>
        <v>48000</v>
      </c>
      <c r="BN20" s="33">
        <f t="shared" si="23"/>
        <v>18383.600000000002</v>
      </c>
      <c r="BO20" s="33">
        <f t="shared" si="24"/>
        <v>9191.8000000000011</v>
      </c>
      <c r="BP20" s="33">
        <f t="shared" si="25"/>
        <v>9191.8000000000011</v>
      </c>
      <c r="BQ20" s="33">
        <f t="shared" si="26"/>
        <v>9191.7999999999975</v>
      </c>
      <c r="BR20" s="104">
        <f t="shared" si="27"/>
        <v>1800</v>
      </c>
      <c r="BS20" s="105">
        <f t="shared" si="28"/>
        <v>1950</v>
      </c>
      <c r="BT20" s="105">
        <f t="shared" si="29"/>
        <v>0</v>
      </c>
      <c r="BU20" s="105">
        <f t="shared" si="30"/>
        <v>0</v>
      </c>
      <c r="BV20" s="37">
        <f t="shared" si="31"/>
        <v>1548.3870967741937</v>
      </c>
      <c r="BW20" s="106">
        <v>5</v>
      </c>
      <c r="BX20" s="39">
        <f t="shared" si="32"/>
        <v>44159</v>
      </c>
      <c r="BY20" s="39"/>
      <c r="BZ20" s="32"/>
      <c r="CA20" s="32"/>
      <c r="CB20" s="32"/>
      <c r="CC20" s="33"/>
      <c r="CD20" s="107" t="e">
        <f>VLOOKUP('May 22 Final'!A:A,#REF!,30,FALSE)</f>
        <v>#REF!</v>
      </c>
      <c r="CE20" s="19"/>
      <c r="CF20" s="108"/>
      <c r="CG20" s="43"/>
      <c r="CH20" s="43">
        <f t="shared" si="33"/>
        <v>0</v>
      </c>
      <c r="CI20" s="109"/>
      <c r="CJ20" s="44"/>
      <c r="CK20" s="44">
        <f t="shared" si="36"/>
        <v>0</v>
      </c>
      <c r="CL20" s="107" t="str">
        <f>IFERROR(VLOOKUP(A20,#REF!,11,FALSE),"0")</f>
        <v>0</v>
      </c>
      <c r="CM20" s="46"/>
      <c r="CN20" s="47" t="e">
        <f t="shared" si="34"/>
        <v>#REF!</v>
      </c>
      <c r="CO20" s="19"/>
      <c r="CP20" s="19"/>
      <c r="CQ20" s="19"/>
    </row>
    <row r="21" spans="1:95">
      <c r="A21" s="28" t="s">
        <v>940</v>
      </c>
      <c r="B21" s="127" t="s">
        <v>941</v>
      </c>
      <c r="C21" s="101">
        <v>44593</v>
      </c>
      <c r="D21" s="28" t="s">
        <v>942</v>
      </c>
      <c r="E21" s="28" t="s">
        <v>943</v>
      </c>
      <c r="F21" s="28">
        <v>3</v>
      </c>
      <c r="G21" s="102" t="s">
        <v>944</v>
      </c>
      <c r="H21" s="103" t="s">
        <v>945</v>
      </c>
      <c r="I21" s="32" t="s">
        <v>946</v>
      </c>
      <c r="J21" s="32" t="s">
        <v>947</v>
      </c>
      <c r="K21" s="32" t="s">
        <v>948</v>
      </c>
      <c r="L21" s="32" t="s">
        <v>949</v>
      </c>
      <c r="M21" s="32" t="s">
        <v>950</v>
      </c>
      <c r="N21" s="32" t="s">
        <v>951</v>
      </c>
      <c r="O21" s="32" t="s">
        <v>952</v>
      </c>
      <c r="P21" s="32" t="s">
        <v>953</v>
      </c>
      <c r="Q21" s="32" t="s">
        <v>954</v>
      </c>
      <c r="R21" s="32" t="s">
        <v>955</v>
      </c>
      <c r="S21" s="32" t="s">
        <v>956</v>
      </c>
      <c r="T21" s="32" t="s">
        <v>957</v>
      </c>
      <c r="U21" s="32" t="s">
        <v>958</v>
      </c>
      <c r="V21" s="32" t="s">
        <v>959</v>
      </c>
      <c r="W21" s="32" t="s">
        <v>960</v>
      </c>
      <c r="X21" s="32" t="s">
        <v>961</v>
      </c>
      <c r="Y21" s="32" t="s">
        <v>962</v>
      </c>
      <c r="Z21" s="32" t="s">
        <v>963</v>
      </c>
      <c r="AA21" s="32" t="s">
        <v>964</v>
      </c>
      <c r="AB21" s="32" t="s">
        <v>965</v>
      </c>
      <c r="AC21" s="32" t="s">
        <v>966</v>
      </c>
      <c r="AD21" s="32" t="s">
        <v>967</v>
      </c>
      <c r="AE21" s="32" t="s">
        <v>968</v>
      </c>
      <c r="AF21" s="32" t="s">
        <v>969</v>
      </c>
      <c r="AG21" s="32" t="s">
        <v>970</v>
      </c>
      <c r="AH21" s="32" t="s">
        <v>971</v>
      </c>
      <c r="AI21" s="32" t="s">
        <v>972</v>
      </c>
      <c r="AJ21" s="32" t="s">
        <v>973</v>
      </c>
      <c r="AK21" s="32" t="s">
        <v>974</v>
      </c>
      <c r="AL21" s="32" t="s">
        <v>975</v>
      </c>
      <c r="AM21" s="32">
        <f t="shared" si="0"/>
        <v>1</v>
      </c>
      <c r="AN21" s="32">
        <f t="shared" si="1"/>
        <v>1</v>
      </c>
      <c r="AO21" s="32">
        <f t="shared" si="2"/>
        <v>20</v>
      </c>
      <c r="AP21" s="32">
        <f t="shared" si="3"/>
        <v>0</v>
      </c>
      <c r="AQ21" s="32">
        <f t="shared" si="4"/>
        <v>7</v>
      </c>
      <c r="AR21" s="32">
        <f t="shared" si="5"/>
        <v>2</v>
      </c>
      <c r="AS21" s="32">
        <f t="shared" si="6"/>
        <v>0</v>
      </c>
      <c r="AT21" s="32">
        <v>1.5</v>
      </c>
      <c r="AU21" s="32">
        <f t="shared" si="7"/>
        <v>1394</v>
      </c>
      <c r="AV21" s="32">
        <f t="shared" si="8"/>
        <v>556</v>
      </c>
      <c r="AW21" s="19">
        <v>27000</v>
      </c>
      <c r="AX21" s="20">
        <v>25606</v>
      </c>
      <c r="AY21" s="21">
        <f t="shared" si="9"/>
        <v>27556</v>
      </c>
      <c r="AZ21" s="32">
        <f t="shared" si="10"/>
        <v>1950</v>
      </c>
      <c r="BA21" s="32">
        <f t="shared" si="11"/>
        <v>0</v>
      </c>
      <c r="BB21" s="32">
        <f t="shared" si="12"/>
        <v>0</v>
      </c>
      <c r="BC21" s="33">
        <f t="shared" si="13"/>
        <v>1950</v>
      </c>
      <c r="BD21" s="32">
        <f t="shared" si="14"/>
        <v>1800</v>
      </c>
      <c r="BE21" s="32">
        <f t="shared" si="15"/>
        <v>12000</v>
      </c>
      <c r="BF21" s="32">
        <f t="shared" si="16"/>
        <v>6000</v>
      </c>
      <c r="BG21" s="32">
        <f t="shared" si="17"/>
        <v>6000</v>
      </c>
      <c r="BH21" s="32">
        <f t="shared" si="18"/>
        <v>1606</v>
      </c>
      <c r="BI21" s="19">
        <f t="shared" si="19"/>
        <v>29.5</v>
      </c>
      <c r="BJ21" s="19">
        <v>31</v>
      </c>
      <c r="BK21" s="35">
        <f t="shared" si="20"/>
        <v>0.95161290322580649</v>
      </c>
      <c r="BL21" s="19">
        <f t="shared" si="21"/>
        <v>387.09677419354841</v>
      </c>
      <c r="BM21" s="32">
        <f t="shared" si="22"/>
        <v>25693.548387096776</v>
      </c>
      <c r="BN21" s="33">
        <f t="shared" si="23"/>
        <v>11419.354838709678</v>
      </c>
      <c r="BO21" s="33">
        <f t="shared" si="24"/>
        <v>5709.677419354839</v>
      </c>
      <c r="BP21" s="33">
        <f t="shared" si="25"/>
        <v>5709.677419354839</v>
      </c>
      <c r="BQ21" s="33">
        <f t="shared" si="26"/>
        <v>1528.2903225806451</v>
      </c>
      <c r="BR21" s="104">
        <f t="shared" si="27"/>
        <v>1800</v>
      </c>
      <c r="BS21" s="105">
        <f t="shared" si="28"/>
        <v>1950</v>
      </c>
      <c r="BT21" s="105">
        <f t="shared" si="29"/>
        <v>0</v>
      </c>
      <c r="BU21" s="105">
        <f t="shared" si="30"/>
        <v>0</v>
      </c>
      <c r="BV21" s="37">
        <f t="shared" si="31"/>
        <v>870.9677419354839</v>
      </c>
      <c r="BW21" s="32">
        <v>1.5</v>
      </c>
      <c r="BX21" s="39">
        <f t="shared" si="32"/>
        <v>22567</v>
      </c>
      <c r="BY21" s="39"/>
      <c r="BZ21" s="32"/>
      <c r="CA21" s="32"/>
      <c r="CB21" s="32"/>
      <c r="CC21" s="33"/>
      <c r="CD21" s="107" t="e">
        <f>VLOOKUP('May 22 Final'!A:A,#REF!,30,FALSE)</f>
        <v>#REF!</v>
      </c>
      <c r="CE21" s="19"/>
      <c r="CF21" s="108"/>
      <c r="CG21" s="43">
        <v>2</v>
      </c>
      <c r="CH21" s="43">
        <f t="shared" si="33"/>
        <v>0</v>
      </c>
      <c r="CI21" s="109"/>
      <c r="CJ21" s="44"/>
      <c r="CK21" s="44">
        <f t="shared" si="36"/>
        <v>0</v>
      </c>
      <c r="CL21" s="107" t="str">
        <f>IFERROR(VLOOKUP(A21,#REF!,11,FALSE),"0")</f>
        <v>0</v>
      </c>
      <c r="CM21" s="46"/>
      <c r="CN21" s="47" t="e">
        <f t="shared" si="34"/>
        <v>#REF!</v>
      </c>
      <c r="CO21" s="19"/>
      <c r="CP21" s="19"/>
      <c r="CQ21" s="19"/>
    </row>
    <row r="22" spans="1:95">
      <c r="A22" s="28" t="s">
        <v>976</v>
      </c>
      <c r="B22" s="127" t="s">
        <v>977</v>
      </c>
      <c r="C22" s="101">
        <v>44593</v>
      </c>
      <c r="D22" s="28" t="s">
        <v>978</v>
      </c>
      <c r="E22" s="28" t="s">
        <v>979</v>
      </c>
      <c r="F22" s="28">
        <v>3</v>
      </c>
      <c r="G22" s="102" t="s">
        <v>980</v>
      </c>
      <c r="H22" s="103" t="s">
        <v>981</v>
      </c>
      <c r="I22" s="32" t="s">
        <v>982</v>
      </c>
      <c r="J22" s="32" t="s">
        <v>983</v>
      </c>
      <c r="K22" s="32" t="s">
        <v>984</v>
      </c>
      <c r="L22" s="32" t="s">
        <v>985</v>
      </c>
      <c r="M22" s="32" t="s">
        <v>986</v>
      </c>
      <c r="N22" s="32" t="s">
        <v>987</v>
      </c>
      <c r="O22" s="32" t="s">
        <v>988</v>
      </c>
      <c r="P22" s="32" t="s">
        <v>989</v>
      </c>
      <c r="Q22" s="32" t="s">
        <v>990</v>
      </c>
      <c r="R22" s="32" t="s">
        <v>991</v>
      </c>
      <c r="S22" s="32" t="s">
        <v>992</v>
      </c>
      <c r="T22" s="32" t="s">
        <v>993</v>
      </c>
      <c r="U22" s="32" t="s">
        <v>994</v>
      </c>
      <c r="V22" s="32" t="s">
        <v>995</v>
      </c>
      <c r="W22" s="32" t="s">
        <v>996</v>
      </c>
      <c r="X22" s="32" t="s">
        <v>997</v>
      </c>
      <c r="Y22" s="32" t="s">
        <v>998</v>
      </c>
      <c r="Z22" s="32" t="s">
        <v>999</v>
      </c>
      <c r="AA22" s="32" t="s">
        <v>1000</v>
      </c>
      <c r="AB22" s="32" t="s">
        <v>1001</v>
      </c>
      <c r="AC22" s="32" t="s">
        <v>1002</v>
      </c>
      <c r="AD22" s="32" t="s">
        <v>1003</v>
      </c>
      <c r="AE22" s="32" t="s">
        <v>1004</v>
      </c>
      <c r="AF22" s="32" t="s">
        <v>1005</v>
      </c>
      <c r="AG22" s="32" t="s">
        <v>1006</v>
      </c>
      <c r="AH22" s="32" t="s">
        <v>1007</v>
      </c>
      <c r="AI22" s="32" t="s">
        <v>1008</v>
      </c>
      <c r="AJ22" s="32" t="s">
        <v>1009</v>
      </c>
      <c r="AK22" s="32" t="s">
        <v>1010</v>
      </c>
      <c r="AL22" s="32" t="s">
        <v>1011</v>
      </c>
      <c r="AM22" s="32">
        <f t="shared" si="0"/>
        <v>0</v>
      </c>
      <c r="AN22" s="32">
        <f t="shared" si="1"/>
        <v>0</v>
      </c>
      <c r="AO22" s="32">
        <f t="shared" si="2"/>
        <v>23</v>
      </c>
      <c r="AP22" s="32">
        <f t="shared" si="3"/>
        <v>0</v>
      </c>
      <c r="AQ22" s="32">
        <f t="shared" si="4"/>
        <v>7</v>
      </c>
      <c r="AR22" s="32">
        <f t="shared" si="5"/>
        <v>1</v>
      </c>
      <c r="AS22" s="32">
        <f t="shared" si="6"/>
        <v>0</v>
      </c>
      <c r="AT22" s="32">
        <v>0</v>
      </c>
      <c r="AU22" s="32">
        <f t="shared" si="7"/>
        <v>1291</v>
      </c>
      <c r="AV22" s="32">
        <f t="shared" si="8"/>
        <v>659</v>
      </c>
      <c r="AW22" s="32">
        <v>25000</v>
      </c>
      <c r="AX22" s="20">
        <v>23709</v>
      </c>
      <c r="AY22" s="21">
        <f t="shared" si="9"/>
        <v>25659</v>
      </c>
      <c r="AZ22" s="32">
        <f t="shared" si="10"/>
        <v>1950</v>
      </c>
      <c r="BA22" s="32">
        <f t="shared" si="11"/>
        <v>0</v>
      </c>
      <c r="BB22" s="32">
        <f t="shared" si="12"/>
        <v>0</v>
      </c>
      <c r="BC22" s="33">
        <f t="shared" si="13"/>
        <v>1950</v>
      </c>
      <c r="BD22" s="32">
        <f t="shared" si="14"/>
        <v>1800</v>
      </c>
      <c r="BE22" s="32">
        <f t="shared" si="15"/>
        <v>12000</v>
      </c>
      <c r="BF22" s="32">
        <f t="shared" si="16"/>
        <v>6000</v>
      </c>
      <c r="BG22" s="32">
        <f t="shared" si="17"/>
        <v>6000</v>
      </c>
      <c r="BH22" s="32">
        <f t="shared" si="18"/>
        <v>-291</v>
      </c>
      <c r="BI22" s="19">
        <f t="shared" si="19"/>
        <v>31</v>
      </c>
      <c r="BJ22" s="19">
        <v>31</v>
      </c>
      <c r="BK22" s="35">
        <f t="shared" si="20"/>
        <v>1</v>
      </c>
      <c r="BL22" s="19">
        <f t="shared" si="21"/>
        <v>387.09677419354841</v>
      </c>
      <c r="BM22" s="32">
        <f t="shared" si="22"/>
        <v>25000</v>
      </c>
      <c r="BN22" s="33">
        <f t="shared" si="23"/>
        <v>12000</v>
      </c>
      <c r="BO22" s="33">
        <f t="shared" si="24"/>
        <v>6000</v>
      </c>
      <c r="BP22" s="33">
        <f t="shared" si="25"/>
        <v>6000</v>
      </c>
      <c r="BQ22" s="33">
        <f t="shared" si="26"/>
        <v>-291</v>
      </c>
      <c r="BR22" s="104">
        <f t="shared" si="27"/>
        <v>1800</v>
      </c>
      <c r="BS22" s="105">
        <f t="shared" si="28"/>
        <v>1950</v>
      </c>
      <c r="BT22" s="105">
        <f t="shared" si="29"/>
        <v>0</v>
      </c>
      <c r="BU22" s="105">
        <f t="shared" si="30"/>
        <v>0</v>
      </c>
      <c r="BV22" s="37">
        <f t="shared" si="31"/>
        <v>806.45161290322585</v>
      </c>
      <c r="BW22" s="106">
        <v>4</v>
      </c>
      <c r="BX22" s="39">
        <f t="shared" si="32"/>
        <v>21909</v>
      </c>
      <c r="BY22" s="39"/>
      <c r="BZ22" s="32"/>
      <c r="CA22" s="32"/>
      <c r="CB22" s="32"/>
      <c r="CC22" s="33"/>
      <c r="CD22" s="107" t="e">
        <f>VLOOKUP('May 22 Final'!A:A,#REF!,30,FALSE)</f>
        <v>#REF!</v>
      </c>
      <c r="CE22" s="19"/>
      <c r="CF22" s="108"/>
      <c r="CG22" s="43">
        <v>3</v>
      </c>
      <c r="CH22" s="43">
        <f t="shared" si="33"/>
        <v>0</v>
      </c>
      <c r="CI22" s="109"/>
      <c r="CJ22" s="44"/>
      <c r="CK22" s="44">
        <f t="shared" si="36"/>
        <v>0</v>
      </c>
      <c r="CL22" s="107" t="str">
        <f>IFERROR(VLOOKUP(A22,#REF!,11,FALSE),"0")</f>
        <v>0</v>
      </c>
      <c r="CM22" s="56"/>
      <c r="CN22" s="47" t="e">
        <f t="shared" si="34"/>
        <v>#REF!</v>
      </c>
      <c r="CO22" s="19"/>
      <c r="CP22" s="19"/>
      <c r="CQ22" s="19"/>
    </row>
    <row r="23" spans="1:95">
      <c r="A23" s="28" t="s">
        <v>1012</v>
      </c>
      <c r="B23" s="127" t="s">
        <v>1013</v>
      </c>
      <c r="C23" s="101">
        <v>44593</v>
      </c>
      <c r="D23" s="28" t="s">
        <v>1014</v>
      </c>
      <c r="E23" s="28" t="s">
        <v>1015</v>
      </c>
      <c r="F23" s="28">
        <v>3</v>
      </c>
      <c r="G23" s="102" t="s">
        <v>1016</v>
      </c>
      <c r="H23" s="103" t="s">
        <v>1017</v>
      </c>
      <c r="I23" s="32" t="s">
        <v>1018</v>
      </c>
      <c r="J23" s="32" t="s">
        <v>1019</v>
      </c>
      <c r="K23" s="32" t="s">
        <v>1020</v>
      </c>
      <c r="L23" s="32" t="s">
        <v>1021</v>
      </c>
      <c r="M23" s="32" t="s">
        <v>1022</v>
      </c>
      <c r="N23" s="32" t="s">
        <v>1023</v>
      </c>
      <c r="O23" s="32" t="s">
        <v>1024</v>
      </c>
      <c r="P23" s="32" t="s">
        <v>1025</v>
      </c>
      <c r="Q23" s="32" t="s">
        <v>1026</v>
      </c>
      <c r="R23" s="32" t="s">
        <v>1027</v>
      </c>
      <c r="S23" s="32" t="s">
        <v>1028</v>
      </c>
      <c r="T23" s="32" t="s">
        <v>1029</v>
      </c>
      <c r="U23" s="32" t="s">
        <v>1030</v>
      </c>
      <c r="V23" s="32" t="s">
        <v>1031</v>
      </c>
      <c r="W23" s="32" t="s">
        <v>1032</v>
      </c>
      <c r="X23" s="32" t="s">
        <v>1033</v>
      </c>
      <c r="Y23" s="32" t="s">
        <v>1034</v>
      </c>
      <c r="Z23" s="32" t="s">
        <v>1035</v>
      </c>
      <c r="AA23" s="32" t="s">
        <v>1036</v>
      </c>
      <c r="AB23" s="32" t="s">
        <v>1037</v>
      </c>
      <c r="AC23" s="32" t="s">
        <v>1038</v>
      </c>
      <c r="AD23" s="32" t="s">
        <v>1039</v>
      </c>
      <c r="AE23" s="32" t="s">
        <v>1040</v>
      </c>
      <c r="AF23" s="32" t="s">
        <v>1041</v>
      </c>
      <c r="AG23" s="32" t="s">
        <v>1042</v>
      </c>
      <c r="AH23" s="32" t="s">
        <v>1043</v>
      </c>
      <c r="AI23" s="32" t="s">
        <v>1044</v>
      </c>
      <c r="AJ23" s="32" t="s">
        <v>1045</v>
      </c>
      <c r="AK23" s="32" t="s">
        <v>1046</v>
      </c>
      <c r="AL23" s="32" t="s">
        <v>1047</v>
      </c>
      <c r="AM23" s="32">
        <f t="shared" si="0"/>
        <v>1</v>
      </c>
      <c r="AN23" s="32">
        <f t="shared" si="1"/>
        <v>0</v>
      </c>
      <c r="AO23" s="32">
        <f t="shared" si="2"/>
        <v>21</v>
      </c>
      <c r="AP23" s="32">
        <f t="shared" si="3"/>
        <v>1</v>
      </c>
      <c r="AQ23" s="32">
        <f t="shared" si="4"/>
        <v>7</v>
      </c>
      <c r="AR23" s="32">
        <f t="shared" si="5"/>
        <v>1</v>
      </c>
      <c r="AS23" s="32">
        <f t="shared" si="6"/>
        <v>0</v>
      </c>
      <c r="AT23" s="32">
        <v>1.5</v>
      </c>
      <c r="AU23" s="32">
        <f t="shared" si="7"/>
        <v>1704</v>
      </c>
      <c r="AV23" s="32">
        <f t="shared" si="8"/>
        <v>246</v>
      </c>
      <c r="AW23" s="32">
        <v>33000</v>
      </c>
      <c r="AX23" s="20">
        <v>31296</v>
      </c>
      <c r="AY23" s="21">
        <f t="shared" si="9"/>
        <v>33246</v>
      </c>
      <c r="AZ23" s="32">
        <f t="shared" si="10"/>
        <v>1950</v>
      </c>
      <c r="BA23" s="32">
        <f t="shared" si="11"/>
        <v>0</v>
      </c>
      <c r="BB23" s="32">
        <f t="shared" si="12"/>
        <v>0</v>
      </c>
      <c r="BC23" s="33">
        <f t="shared" si="13"/>
        <v>1950</v>
      </c>
      <c r="BD23" s="32">
        <f t="shared" si="14"/>
        <v>1800</v>
      </c>
      <c r="BE23" s="32">
        <f t="shared" si="15"/>
        <v>12518.400000000001</v>
      </c>
      <c r="BF23" s="32">
        <f t="shared" si="16"/>
        <v>6259.2000000000007</v>
      </c>
      <c r="BG23" s="32">
        <f t="shared" si="17"/>
        <v>6259.2000000000007</v>
      </c>
      <c r="BH23" s="32">
        <f t="shared" si="18"/>
        <v>6259.1999999999971</v>
      </c>
      <c r="BI23" s="19">
        <f t="shared" si="19"/>
        <v>31</v>
      </c>
      <c r="BJ23" s="19">
        <v>31</v>
      </c>
      <c r="BK23" s="35">
        <f t="shared" si="20"/>
        <v>1</v>
      </c>
      <c r="BL23" s="19">
        <f t="shared" si="21"/>
        <v>403.81935483870973</v>
      </c>
      <c r="BM23" s="32">
        <f t="shared" si="22"/>
        <v>33000</v>
      </c>
      <c r="BN23" s="33">
        <f t="shared" si="23"/>
        <v>12518.400000000001</v>
      </c>
      <c r="BO23" s="33">
        <f t="shared" si="24"/>
        <v>6259.2000000000007</v>
      </c>
      <c r="BP23" s="33">
        <f t="shared" si="25"/>
        <v>6259.2000000000007</v>
      </c>
      <c r="BQ23" s="33">
        <f t="shared" si="26"/>
        <v>6259.1999999999971</v>
      </c>
      <c r="BR23" s="104">
        <f t="shared" si="27"/>
        <v>1800</v>
      </c>
      <c r="BS23" s="105">
        <f t="shared" si="28"/>
        <v>1950</v>
      </c>
      <c r="BT23" s="105">
        <f t="shared" si="29"/>
        <v>0</v>
      </c>
      <c r="BU23" s="105">
        <f t="shared" si="30"/>
        <v>0</v>
      </c>
      <c r="BV23" s="37">
        <f t="shared" si="31"/>
        <v>1064.516129032258</v>
      </c>
      <c r="BW23" s="106">
        <v>1.5</v>
      </c>
      <c r="BX23" s="39">
        <f t="shared" si="32"/>
        <v>29496</v>
      </c>
      <c r="BY23" s="39"/>
      <c r="BZ23" s="32"/>
      <c r="CA23" s="32"/>
      <c r="CB23" s="32"/>
      <c r="CC23" s="33"/>
      <c r="CD23" s="107" t="e">
        <f>VLOOKUP('May 22 Final'!A:A,#REF!,30,FALSE)</f>
        <v>#REF!</v>
      </c>
      <c r="CE23" s="19"/>
      <c r="CF23" s="108"/>
      <c r="CG23" s="43">
        <v>3</v>
      </c>
      <c r="CH23" s="43">
        <f t="shared" si="33"/>
        <v>0</v>
      </c>
      <c r="CI23" s="109"/>
      <c r="CJ23" s="44"/>
      <c r="CK23" s="44">
        <f t="shared" si="36"/>
        <v>0</v>
      </c>
      <c r="CL23" s="107" t="str">
        <f>IFERROR(VLOOKUP(A23,#REF!,11,FALSE),"0")</f>
        <v>0</v>
      </c>
      <c r="CM23" s="46"/>
      <c r="CN23" s="47" t="e">
        <f t="shared" si="34"/>
        <v>#REF!</v>
      </c>
      <c r="CO23" s="19"/>
      <c r="CP23" s="19"/>
      <c r="CQ23" s="19"/>
    </row>
    <row r="24" spans="1:95">
      <c r="A24" s="28" t="s">
        <v>1048</v>
      </c>
      <c r="B24" s="127" t="s">
        <v>1049</v>
      </c>
      <c r="C24" s="101">
        <v>44635</v>
      </c>
      <c r="D24" s="28" t="s">
        <v>1050</v>
      </c>
      <c r="E24" s="28" t="s">
        <v>1051</v>
      </c>
      <c r="F24" s="28">
        <v>1</v>
      </c>
      <c r="G24" s="102" t="s">
        <v>1052</v>
      </c>
      <c r="H24" s="103" t="s">
        <v>1053</v>
      </c>
      <c r="I24" s="32" t="s">
        <v>1054</v>
      </c>
      <c r="J24" s="32" t="s">
        <v>1055</v>
      </c>
      <c r="K24" s="32" t="s">
        <v>1056</v>
      </c>
      <c r="L24" s="32" t="s">
        <v>1057</v>
      </c>
      <c r="M24" s="32" t="s">
        <v>1058</v>
      </c>
      <c r="N24" s="32" t="s">
        <v>1059</v>
      </c>
      <c r="O24" s="32" t="s">
        <v>1060</v>
      </c>
      <c r="P24" s="32" t="s">
        <v>1061</v>
      </c>
      <c r="Q24" s="32" t="s">
        <v>1062</v>
      </c>
      <c r="R24" s="32" t="s">
        <v>1063</v>
      </c>
      <c r="S24" s="32" t="s">
        <v>1064</v>
      </c>
      <c r="T24" s="32" t="s">
        <v>1065</v>
      </c>
      <c r="U24" s="32" t="s">
        <v>1066</v>
      </c>
      <c r="V24" s="32" t="s">
        <v>1067</v>
      </c>
      <c r="W24" s="32" t="s">
        <v>1068</v>
      </c>
      <c r="X24" s="32" t="s">
        <v>1069</v>
      </c>
      <c r="Y24" s="32" t="s">
        <v>1070</v>
      </c>
      <c r="Z24" s="32" t="s">
        <v>1071</v>
      </c>
      <c r="AA24" s="32" t="s">
        <v>1072</v>
      </c>
      <c r="AB24" s="32" t="s">
        <v>1073</v>
      </c>
      <c r="AC24" s="32" t="s">
        <v>1074</v>
      </c>
      <c r="AD24" s="32" t="s">
        <v>1075</v>
      </c>
      <c r="AE24" s="32" t="s">
        <v>1076</v>
      </c>
      <c r="AF24" s="32" t="s">
        <v>1077</v>
      </c>
      <c r="AG24" s="32" t="s">
        <v>1078</v>
      </c>
      <c r="AH24" s="32" t="s">
        <v>1079</v>
      </c>
      <c r="AI24" s="32" t="s">
        <v>1080</v>
      </c>
      <c r="AJ24" s="32" t="s">
        <v>1081</v>
      </c>
      <c r="AK24" s="32" t="s">
        <v>1082</v>
      </c>
      <c r="AL24" s="32" t="s">
        <v>1083</v>
      </c>
      <c r="AM24" s="32">
        <f t="shared" si="0"/>
        <v>1</v>
      </c>
      <c r="AN24" s="32">
        <f t="shared" si="1"/>
        <v>0</v>
      </c>
      <c r="AO24" s="32">
        <f t="shared" si="2"/>
        <v>23</v>
      </c>
      <c r="AP24" s="32">
        <f t="shared" si="3"/>
        <v>0</v>
      </c>
      <c r="AQ24" s="32">
        <f t="shared" si="4"/>
        <v>7</v>
      </c>
      <c r="AR24" s="32">
        <f t="shared" si="5"/>
        <v>0</v>
      </c>
      <c r="AS24" s="32">
        <f t="shared" si="6"/>
        <v>0</v>
      </c>
      <c r="AT24" s="32">
        <v>1</v>
      </c>
      <c r="AU24" s="32">
        <f t="shared" si="7"/>
        <v>1291</v>
      </c>
      <c r="AV24" s="32">
        <f t="shared" si="8"/>
        <v>659</v>
      </c>
      <c r="AW24" s="32">
        <v>25000</v>
      </c>
      <c r="AX24" s="20">
        <v>23709</v>
      </c>
      <c r="AY24" s="21">
        <f t="shared" si="9"/>
        <v>25659</v>
      </c>
      <c r="AZ24" s="32">
        <f t="shared" si="10"/>
        <v>1950</v>
      </c>
      <c r="BA24" s="32">
        <f t="shared" si="11"/>
        <v>0</v>
      </c>
      <c r="BB24" s="32">
        <f t="shared" si="12"/>
        <v>0</v>
      </c>
      <c r="BC24" s="33">
        <f t="shared" si="13"/>
        <v>1950</v>
      </c>
      <c r="BD24" s="32">
        <f t="shared" si="14"/>
        <v>1800</v>
      </c>
      <c r="BE24" s="32">
        <f t="shared" si="15"/>
        <v>12000</v>
      </c>
      <c r="BF24" s="32">
        <f t="shared" si="16"/>
        <v>6000</v>
      </c>
      <c r="BG24" s="32">
        <f t="shared" si="17"/>
        <v>6000</v>
      </c>
      <c r="BH24" s="32">
        <f t="shared" si="18"/>
        <v>-291</v>
      </c>
      <c r="BI24" s="19">
        <f t="shared" si="19"/>
        <v>31</v>
      </c>
      <c r="BJ24" s="19">
        <v>31</v>
      </c>
      <c r="BK24" s="35">
        <f t="shared" si="20"/>
        <v>1</v>
      </c>
      <c r="BL24" s="19">
        <f t="shared" si="21"/>
        <v>387.09677419354841</v>
      </c>
      <c r="BM24" s="32">
        <f t="shared" si="22"/>
        <v>25000</v>
      </c>
      <c r="BN24" s="33">
        <f t="shared" si="23"/>
        <v>12000</v>
      </c>
      <c r="BO24" s="33">
        <f t="shared" si="24"/>
        <v>6000</v>
      </c>
      <c r="BP24" s="33">
        <f t="shared" si="25"/>
        <v>6000</v>
      </c>
      <c r="BQ24" s="33">
        <f t="shared" si="26"/>
        <v>-291</v>
      </c>
      <c r="BR24" s="104">
        <f t="shared" si="27"/>
        <v>1800</v>
      </c>
      <c r="BS24" s="105">
        <f t="shared" si="28"/>
        <v>1950</v>
      </c>
      <c r="BT24" s="105">
        <f t="shared" si="29"/>
        <v>0</v>
      </c>
      <c r="BU24" s="105">
        <f t="shared" si="30"/>
        <v>0</v>
      </c>
      <c r="BV24" s="37">
        <f t="shared" si="31"/>
        <v>806.45161290322585</v>
      </c>
      <c r="BW24" s="106">
        <v>1.25</v>
      </c>
      <c r="BX24" s="39">
        <f t="shared" si="32"/>
        <v>21909</v>
      </c>
      <c r="BY24" s="39"/>
      <c r="BZ24" s="32"/>
      <c r="CA24" s="32"/>
      <c r="CB24" s="32"/>
      <c r="CC24" s="33"/>
      <c r="CD24" s="107" t="e">
        <f>VLOOKUP('May 22 Final'!A:A,#REF!,30,FALSE)</f>
        <v>#REF!</v>
      </c>
      <c r="CE24" s="32"/>
      <c r="CF24" s="108"/>
      <c r="CG24" s="43">
        <f>8+1</f>
        <v>9</v>
      </c>
      <c r="CH24" s="43">
        <f t="shared" si="33"/>
        <v>2700</v>
      </c>
      <c r="CI24" s="109"/>
      <c r="CJ24" s="44"/>
      <c r="CK24" s="44">
        <f t="shared" si="36"/>
        <v>0</v>
      </c>
      <c r="CL24" s="107" t="str">
        <f>IFERROR(VLOOKUP(A24,#REF!,11,FALSE),"0")</f>
        <v>0</v>
      </c>
      <c r="CM24" s="46"/>
      <c r="CN24" s="47" t="e">
        <f t="shared" si="34"/>
        <v>#REF!</v>
      </c>
      <c r="CO24" s="22"/>
      <c r="CP24" s="32"/>
      <c r="CQ24" s="32"/>
    </row>
    <row r="25" spans="1:95">
      <c r="A25" s="28" t="s">
        <v>1084</v>
      </c>
      <c r="B25" s="127" t="s">
        <v>1085</v>
      </c>
      <c r="C25" s="101">
        <v>44641</v>
      </c>
      <c r="D25" s="28" t="s">
        <v>1086</v>
      </c>
      <c r="E25" s="28" t="s">
        <v>1087</v>
      </c>
      <c r="F25" s="28">
        <v>1</v>
      </c>
      <c r="G25" s="102" t="s">
        <v>1088</v>
      </c>
      <c r="H25" s="103" t="s">
        <v>1089</v>
      </c>
      <c r="I25" s="32" t="s">
        <v>1090</v>
      </c>
      <c r="J25" s="32" t="s">
        <v>1091</v>
      </c>
      <c r="K25" s="32" t="s">
        <v>1092</v>
      </c>
      <c r="L25" s="32" t="s">
        <v>1093</v>
      </c>
      <c r="M25" s="32" t="s">
        <v>1094</v>
      </c>
      <c r="N25" s="32" t="s">
        <v>1095</v>
      </c>
      <c r="O25" s="32" t="s">
        <v>1096</v>
      </c>
      <c r="P25" s="32" t="s">
        <v>1097</v>
      </c>
      <c r="Q25" s="32" t="s">
        <v>1098</v>
      </c>
      <c r="R25" s="32" t="s">
        <v>1099</v>
      </c>
      <c r="S25" s="32" t="s">
        <v>1100</v>
      </c>
      <c r="T25" s="32" t="s">
        <v>1101</v>
      </c>
      <c r="U25" s="32" t="s">
        <v>1102</v>
      </c>
      <c r="V25" s="32" t="s">
        <v>1103</v>
      </c>
      <c r="W25" s="32" t="s">
        <v>1104</v>
      </c>
      <c r="X25" s="32" t="s">
        <v>1105</v>
      </c>
      <c r="Y25" s="32" t="s">
        <v>1106</v>
      </c>
      <c r="Z25" s="32" t="s">
        <v>1107</v>
      </c>
      <c r="AA25" s="32" t="s">
        <v>1108</v>
      </c>
      <c r="AB25" s="32" t="s">
        <v>1109</v>
      </c>
      <c r="AC25" s="32" t="s">
        <v>1110</v>
      </c>
      <c r="AD25" s="32" t="s">
        <v>1111</v>
      </c>
      <c r="AE25" s="32" t="s">
        <v>1112</v>
      </c>
      <c r="AF25" s="32" t="s">
        <v>1113</v>
      </c>
      <c r="AG25" s="32" t="s">
        <v>1114</v>
      </c>
      <c r="AH25" s="32" t="s">
        <v>1115</v>
      </c>
      <c r="AI25" s="32" t="s">
        <v>1116</v>
      </c>
      <c r="AJ25" s="32" t="s">
        <v>1117</v>
      </c>
      <c r="AK25" s="32" t="s">
        <v>1118</v>
      </c>
      <c r="AL25" s="32" t="s">
        <v>1119</v>
      </c>
      <c r="AM25" s="32">
        <f t="shared" si="0"/>
        <v>0</v>
      </c>
      <c r="AN25" s="32">
        <f t="shared" si="1"/>
        <v>1</v>
      </c>
      <c r="AO25" s="32">
        <f t="shared" si="2"/>
        <v>21</v>
      </c>
      <c r="AP25" s="32">
        <f t="shared" si="3"/>
        <v>1</v>
      </c>
      <c r="AQ25" s="32">
        <f t="shared" si="4"/>
        <v>7</v>
      </c>
      <c r="AR25" s="32">
        <f t="shared" si="5"/>
        <v>1</v>
      </c>
      <c r="AS25" s="32">
        <f t="shared" si="6"/>
        <v>0</v>
      </c>
      <c r="AT25" s="32">
        <v>1</v>
      </c>
      <c r="AU25" s="32">
        <f t="shared" si="7"/>
        <v>1497</v>
      </c>
      <c r="AV25" s="32">
        <f t="shared" si="8"/>
        <v>453</v>
      </c>
      <c r="AW25" s="32">
        <v>29000</v>
      </c>
      <c r="AX25" s="20">
        <v>27503</v>
      </c>
      <c r="AY25" s="21">
        <f t="shared" si="9"/>
        <v>29453</v>
      </c>
      <c r="AZ25" s="32">
        <f t="shared" si="10"/>
        <v>1950</v>
      </c>
      <c r="BA25" s="32">
        <f t="shared" si="11"/>
        <v>0</v>
      </c>
      <c r="BB25" s="32">
        <f t="shared" si="12"/>
        <v>0</v>
      </c>
      <c r="BC25" s="33">
        <f t="shared" si="13"/>
        <v>1950</v>
      </c>
      <c r="BD25" s="32">
        <f t="shared" si="14"/>
        <v>1800</v>
      </c>
      <c r="BE25" s="32">
        <f t="shared" si="15"/>
        <v>12000</v>
      </c>
      <c r="BF25" s="32">
        <f t="shared" si="16"/>
        <v>6000</v>
      </c>
      <c r="BG25" s="32">
        <f t="shared" si="17"/>
        <v>6000</v>
      </c>
      <c r="BH25" s="32">
        <f t="shared" si="18"/>
        <v>3503</v>
      </c>
      <c r="BI25" s="19">
        <f t="shared" si="19"/>
        <v>29.5</v>
      </c>
      <c r="BJ25" s="19">
        <v>31</v>
      </c>
      <c r="BK25" s="35">
        <f t="shared" si="20"/>
        <v>0.95161290322580649</v>
      </c>
      <c r="BL25" s="19">
        <f t="shared" si="21"/>
        <v>387.09677419354841</v>
      </c>
      <c r="BM25" s="32">
        <f t="shared" si="22"/>
        <v>27596.77419354839</v>
      </c>
      <c r="BN25" s="33">
        <f t="shared" si="23"/>
        <v>11419.354838709678</v>
      </c>
      <c r="BO25" s="33">
        <f t="shared" si="24"/>
        <v>5709.677419354839</v>
      </c>
      <c r="BP25" s="33">
        <f t="shared" si="25"/>
        <v>5709.677419354839</v>
      </c>
      <c r="BQ25" s="33">
        <f t="shared" si="26"/>
        <v>3333.5</v>
      </c>
      <c r="BR25" s="104">
        <f t="shared" si="27"/>
        <v>1800</v>
      </c>
      <c r="BS25" s="105">
        <f t="shared" si="28"/>
        <v>1950</v>
      </c>
      <c r="BT25" s="105">
        <f t="shared" si="29"/>
        <v>0</v>
      </c>
      <c r="BU25" s="105">
        <f t="shared" si="30"/>
        <v>0</v>
      </c>
      <c r="BV25" s="37">
        <f t="shared" si="31"/>
        <v>935.48387096774195</v>
      </c>
      <c r="BW25" s="106">
        <v>1.25</v>
      </c>
      <c r="BX25" s="39">
        <f t="shared" si="32"/>
        <v>24372.209677419356</v>
      </c>
      <c r="BY25" s="39"/>
      <c r="BZ25" s="32"/>
      <c r="CA25" s="32"/>
      <c r="CB25" s="32"/>
      <c r="CC25" s="33"/>
      <c r="CD25" s="107" t="e">
        <f>VLOOKUP('May 22 Final'!A:A,#REF!,30,FALSE)</f>
        <v>#REF!</v>
      </c>
      <c r="CE25" s="19"/>
      <c r="CF25" s="108"/>
      <c r="CG25" s="43">
        <f>9+5</f>
        <v>14</v>
      </c>
      <c r="CH25" s="43">
        <f t="shared" si="33"/>
        <v>4200</v>
      </c>
      <c r="CI25" s="109"/>
      <c r="CJ25" s="44"/>
      <c r="CK25" s="44">
        <f t="shared" si="36"/>
        <v>0</v>
      </c>
      <c r="CL25" s="107" t="str">
        <f>IFERROR(VLOOKUP(A25,#REF!,11,FALSE),"0")</f>
        <v>0</v>
      </c>
      <c r="CM25" s="46"/>
      <c r="CN25" s="47" t="e">
        <f t="shared" si="34"/>
        <v>#REF!</v>
      </c>
      <c r="CO25" s="19"/>
      <c r="CP25" s="19"/>
      <c r="CQ25" s="19"/>
    </row>
    <row r="26" spans="1:95">
      <c r="A26" s="28" t="s">
        <v>1120</v>
      </c>
      <c r="B26" s="127" t="s">
        <v>1121</v>
      </c>
      <c r="C26" s="101">
        <v>44671</v>
      </c>
      <c r="D26" s="28" t="s">
        <v>1122</v>
      </c>
      <c r="E26" s="28" t="s">
        <v>1123</v>
      </c>
      <c r="F26" s="28">
        <v>0</v>
      </c>
      <c r="G26" s="102" t="s">
        <v>1124</v>
      </c>
      <c r="H26" s="103" t="s">
        <v>1125</v>
      </c>
      <c r="I26" s="32" t="s">
        <v>1126</v>
      </c>
      <c r="J26" s="32" t="s">
        <v>1127</v>
      </c>
      <c r="K26" s="32" t="s">
        <v>1128</v>
      </c>
      <c r="L26" s="32" t="s">
        <v>1129</v>
      </c>
      <c r="M26" s="32" t="s">
        <v>1130</v>
      </c>
      <c r="N26" s="32" t="s">
        <v>1131</v>
      </c>
      <c r="O26" s="32" t="s">
        <v>1132</v>
      </c>
      <c r="P26" s="32" t="s">
        <v>1133</v>
      </c>
      <c r="Q26" s="32" t="s">
        <v>1134</v>
      </c>
      <c r="R26" s="32" t="s">
        <v>1135</v>
      </c>
      <c r="S26" s="32" t="s">
        <v>1136</v>
      </c>
      <c r="T26" s="32" t="s">
        <v>1137</v>
      </c>
      <c r="U26" s="32" t="s">
        <v>1138</v>
      </c>
      <c r="V26" s="32" t="s">
        <v>1139</v>
      </c>
      <c r="W26" s="32" t="s">
        <v>1140</v>
      </c>
      <c r="X26" s="32" t="s">
        <v>1141</v>
      </c>
      <c r="Y26" s="32" t="s">
        <v>1142</v>
      </c>
      <c r="Z26" s="32" t="s">
        <v>1143</v>
      </c>
      <c r="AA26" s="32" t="s">
        <v>1144</v>
      </c>
      <c r="AB26" s="32" t="s">
        <v>1145</v>
      </c>
      <c r="AC26" s="32" t="s">
        <v>1146</v>
      </c>
      <c r="AD26" s="32" t="s">
        <v>1147</v>
      </c>
      <c r="AE26" s="32" t="s">
        <v>1148</v>
      </c>
      <c r="AF26" s="32" t="s">
        <v>1149</v>
      </c>
      <c r="AG26" s="32" t="s">
        <v>1150</v>
      </c>
      <c r="AH26" s="32" t="s">
        <v>1151</v>
      </c>
      <c r="AI26" s="32" t="s">
        <v>1152</v>
      </c>
      <c r="AJ26" s="32" t="s">
        <v>1153</v>
      </c>
      <c r="AK26" s="32" t="s">
        <v>1154</v>
      </c>
      <c r="AL26" s="32" t="s">
        <v>1155</v>
      </c>
      <c r="AM26" s="32">
        <f t="shared" si="0"/>
        <v>0</v>
      </c>
      <c r="AN26" s="32">
        <f t="shared" si="1"/>
        <v>0</v>
      </c>
      <c r="AO26" s="32">
        <f t="shared" si="2"/>
        <v>24</v>
      </c>
      <c r="AP26" s="32">
        <f t="shared" si="3"/>
        <v>0</v>
      </c>
      <c r="AQ26" s="32">
        <f t="shared" si="4"/>
        <v>7</v>
      </c>
      <c r="AR26" s="32">
        <f t="shared" si="5"/>
        <v>0</v>
      </c>
      <c r="AS26" s="32">
        <f t="shared" si="6"/>
        <v>0</v>
      </c>
      <c r="AT26" s="32">
        <v>0</v>
      </c>
      <c r="AU26" s="32">
        <f t="shared" si="7"/>
        <v>1652</v>
      </c>
      <c r="AV26" s="32">
        <f t="shared" si="8"/>
        <v>298</v>
      </c>
      <c r="AW26" s="32">
        <v>32000</v>
      </c>
      <c r="AX26" s="20">
        <v>30348</v>
      </c>
      <c r="AY26" s="21">
        <f t="shared" si="9"/>
        <v>32298</v>
      </c>
      <c r="AZ26" s="32">
        <f t="shared" si="10"/>
        <v>1950</v>
      </c>
      <c r="BA26" s="32">
        <f t="shared" si="11"/>
        <v>0</v>
      </c>
      <c r="BB26" s="32">
        <f t="shared" si="12"/>
        <v>0</v>
      </c>
      <c r="BC26" s="33">
        <f t="shared" si="13"/>
        <v>1950</v>
      </c>
      <c r="BD26" s="32">
        <f t="shared" si="14"/>
        <v>1800</v>
      </c>
      <c r="BE26" s="32">
        <f t="shared" si="15"/>
        <v>12139.2</v>
      </c>
      <c r="BF26" s="32">
        <f t="shared" si="16"/>
        <v>6069.6</v>
      </c>
      <c r="BG26" s="32">
        <f t="shared" si="17"/>
        <v>6069.6</v>
      </c>
      <c r="BH26" s="32">
        <f t="shared" si="18"/>
        <v>6069.5999999999985</v>
      </c>
      <c r="BI26" s="19">
        <f t="shared" si="19"/>
        <v>31</v>
      </c>
      <c r="BJ26" s="19">
        <v>31</v>
      </c>
      <c r="BK26" s="35">
        <f t="shared" si="20"/>
        <v>1</v>
      </c>
      <c r="BL26" s="19">
        <f t="shared" si="21"/>
        <v>391.58709677419358</v>
      </c>
      <c r="BM26" s="32">
        <f t="shared" si="22"/>
        <v>32000</v>
      </c>
      <c r="BN26" s="33">
        <f t="shared" si="23"/>
        <v>12139.2</v>
      </c>
      <c r="BO26" s="33">
        <f t="shared" si="24"/>
        <v>6069.6</v>
      </c>
      <c r="BP26" s="33">
        <f t="shared" si="25"/>
        <v>6069.6</v>
      </c>
      <c r="BQ26" s="33">
        <f t="shared" si="26"/>
        <v>6069.5999999999985</v>
      </c>
      <c r="BR26" s="104">
        <f t="shared" si="27"/>
        <v>1800</v>
      </c>
      <c r="BS26" s="105">
        <f t="shared" si="28"/>
        <v>1950</v>
      </c>
      <c r="BT26" s="105">
        <f t="shared" si="29"/>
        <v>0</v>
      </c>
      <c r="BU26" s="105">
        <f t="shared" si="30"/>
        <v>0</v>
      </c>
      <c r="BV26" s="37">
        <f t="shared" si="31"/>
        <v>1032.258064516129</v>
      </c>
      <c r="BW26" s="106">
        <v>1.625</v>
      </c>
      <c r="BX26" s="39">
        <f t="shared" si="32"/>
        <v>28548</v>
      </c>
      <c r="BY26" s="39"/>
      <c r="BZ26" s="32"/>
      <c r="CA26" s="32"/>
      <c r="CB26" s="32"/>
      <c r="CC26" s="33"/>
      <c r="CD26" s="107">
        <v>0</v>
      </c>
      <c r="CE26" s="19"/>
      <c r="CF26" s="108"/>
      <c r="CG26" s="43"/>
      <c r="CH26" s="43">
        <f t="shared" si="33"/>
        <v>0</v>
      </c>
      <c r="CI26" s="109"/>
      <c r="CJ26" s="44"/>
      <c r="CK26" s="44">
        <f t="shared" si="36"/>
        <v>0</v>
      </c>
      <c r="CL26" s="107" t="str">
        <f>IFERROR(VLOOKUP(A26,#REF!,11,FALSE),"0")</f>
        <v>0</v>
      </c>
      <c r="CM26" s="56"/>
      <c r="CN26" s="47">
        <f t="shared" si="34"/>
        <v>28548</v>
      </c>
      <c r="CO26" s="19"/>
      <c r="CP26" s="19"/>
      <c r="CQ26" s="19"/>
    </row>
    <row r="27" spans="1:95">
      <c r="A27" s="28" t="s">
        <v>1156</v>
      </c>
      <c r="B27" s="127" t="s">
        <v>1157</v>
      </c>
      <c r="C27" s="101">
        <v>44683</v>
      </c>
      <c r="D27" s="28" t="s">
        <v>1158</v>
      </c>
      <c r="E27" s="28" t="s">
        <v>1159</v>
      </c>
      <c r="F27" s="28">
        <v>0</v>
      </c>
      <c r="G27" s="102" t="s">
        <v>1160</v>
      </c>
      <c r="H27" s="103" t="s">
        <v>1161</v>
      </c>
      <c r="I27" s="32" t="s">
        <v>1162</v>
      </c>
      <c r="J27" s="32" t="s">
        <v>1163</v>
      </c>
      <c r="K27" s="32" t="s">
        <v>1164</v>
      </c>
      <c r="L27" s="32" t="s">
        <v>1165</v>
      </c>
      <c r="M27" s="32" t="s">
        <v>1166</v>
      </c>
      <c r="N27" s="32" t="s">
        <v>1167</v>
      </c>
      <c r="O27" s="32" t="s">
        <v>1168</v>
      </c>
      <c r="P27" s="32" t="s">
        <v>1169</v>
      </c>
      <c r="Q27" s="32" t="s">
        <v>1170</v>
      </c>
      <c r="R27" s="32" t="s">
        <v>1171</v>
      </c>
      <c r="S27" s="32" t="s">
        <v>1172</v>
      </c>
      <c r="T27" s="32" t="s">
        <v>1173</v>
      </c>
      <c r="U27" s="32" t="s">
        <v>1174</v>
      </c>
      <c r="V27" s="32" t="s">
        <v>1175</v>
      </c>
      <c r="W27" s="32" t="s">
        <v>1176</v>
      </c>
      <c r="X27" s="32" t="s">
        <v>1177</v>
      </c>
      <c r="Y27" s="32" t="s">
        <v>1178</v>
      </c>
      <c r="Z27" s="32" t="s">
        <v>1179</v>
      </c>
      <c r="AA27" s="32" t="s">
        <v>1180</v>
      </c>
      <c r="AB27" s="32" t="s">
        <v>1181</v>
      </c>
      <c r="AC27" s="32" t="s">
        <v>1182</v>
      </c>
      <c r="AD27" s="32" t="s">
        <v>1183</v>
      </c>
      <c r="AE27" s="32" t="s">
        <v>1184</v>
      </c>
      <c r="AF27" s="32" t="s">
        <v>1185</v>
      </c>
      <c r="AG27" s="32" t="s">
        <v>1186</v>
      </c>
      <c r="AH27" s="32" t="s">
        <v>1187</v>
      </c>
      <c r="AI27" s="32" t="s">
        <v>1188</v>
      </c>
      <c r="AJ27" s="32" t="s">
        <v>1189</v>
      </c>
      <c r="AK27" s="32" t="s">
        <v>1190</v>
      </c>
      <c r="AL27" s="32" t="s">
        <v>1191</v>
      </c>
      <c r="AM27" s="32">
        <f t="shared" si="0"/>
        <v>1</v>
      </c>
      <c r="AN27" s="32">
        <f t="shared" si="1"/>
        <v>0</v>
      </c>
      <c r="AO27" s="32">
        <f t="shared" si="2"/>
        <v>23</v>
      </c>
      <c r="AP27" s="32">
        <f t="shared" si="3"/>
        <v>0</v>
      </c>
      <c r="AQ27" s="32">
        <f t="shared" si="4"/>
        <v>6</v>
      </c>
      <c r="AR27" s="32">
        <f t="shared" si="5"/>
        <v>0</v>
      </c>
      <c r="AS27" s="32">
        <f t="shared" si="6"/>
        <v>0</v>
      </c>
      <c r="AT27" s="32">
        <v>0</v>
      </c>
      <c r="AU27" s="32">
        <f t="shared" si="7"/>
        <v>1372</v>
      </c>
      <c r="AV27" s="32">
        <f t="shared" si="8"/>
        <v>578</v>
      </c>
      <c r="AW27" s="32">
        <v>26583</v>
      </c>
      <c r="AX27" s="20">
        <v>25211</v>
      </c>
      <c r="AY27" s="21">
        <f t="shared" si="9"/>
        <v>27161</v>
      </c>
      <c r="AZ27" s="32">
        <f t="shared" si="10"/>
        <v>1950</v>
      </c>
      <c r="BA27" s="32">
        <f t="shared" si="11"/>
        <v>0</v>
      </c>
      <c r="BB27" s="32">
        <f t="shared" si="12"/>
        <v>0</v>
      </c>
      <c r="BC27" s="33">
        <f t="shared" si="13"/>
        <v>1950</v>
      </c>
      <c r="BD27" s="32">
        <f t="shared" si="14"/>
        <v>1800</v>
      </c>
      <c r="BE27" s="32">
        <f t="shared" si="15"/>
        <v>12000</v>
      </c>
      <c r="BF27" s="32">
        <f t="shared" si="16"/>
        <v>6000</v>
      </c>
      <c r="BG27" s="32">
        <f t="shared" si="17"/>
        <v>6000</v>
      </c>
      <c r="BH27" s="32">
        <f t="shared" si="18"/>
        <v>1211</v>
      </c>
      <c r="BI27" s="19">
        <f t="shared" si="19"/>
        <v>29</v>
      </c>
      <c r="BJ27" s="19">
        <v>31</v>
      </c>
      <c r="BK27" s="35">
        <f t="shared" si="20"/>
        <v>0.93548387096774188</v>
      </c>
      <c r="BL27" s="19">
        <f t="shared" si="21"/>
        <v>387.09677419354841</v>
      </c>
      <c r="BM27" s="32">
        <f t="shared" si="22"/>
        <v>24867.967741935481</v>
      </c>
      <c r="BN27" s="33">
        <f t="shared" si="23"/>
        <v>11225.806451612903</v>
      </c>
      <c r="BO27" s="33">
        <f t="shared" si="24"/>
        <v>5612.9032258064517</v>
      </c>
      <c r="BP27" s="33">
        <f t="shared" si="25"/>
        <v>5612.9032258064517</v>
      </c>
      <c r="BQ27" s="33">
        <f t="shared" si="26"/>
        <v>1132.8709677419354</v>
      </c>
      <c r="BR27" s="104">
        <f t="shared" si="27"/>
        <v>1800</v>
      </c>
      <c r="BS27" s="105">
        <f t="shared" si="28"/>
        <v>1950</v>
      </c>
      <c r="BT27" s="105">
        <f t="shared" si="29"/>
        <v>0</v>
      </c>
      <c r="BU27" s="105">
        <f t="shared" si="30"/>
        <v>0</v>
      </c>
      <c r="BV27" s="37">
        <f t="shared" si="31"/>
        <v>857.51612903225805</v>
      </c>
      <c r="BW27" s="106">
        <v>0</v>
      </c>
      <c r="BX27" s="39">
        <f t="shared" si="32"/>
        <v>21784.483870967742</v>
      </c>
      <c r="BY27" s="39"/>
      <c r="BZ27" s="32"/>
      <c r="CA27" s="32"/>
      <c r="CB27" s="32"/>
      <c r="CC27" s="33"/>
      <c r="CD27" s="107">
        <v>0</v>
      </c>
      <c r="CE27" s="19"/>
      <c r="CF27" s="108"/>
      <c r="CG27" s="43"/>
      <c r="CH27" s="43">
        <f t="shared" si="33"/>
        <v>0</v>
      </c>
      <c r="CI27" s="109"/>
      <c r="CJ27" s="44"/>
      <c r="CK27" s="44">
        <f t="shared" si="36"/>
        <v>0</v>
      </c>
      <c r="CL27" s="107"/>
      <c r="CM27" s="56"/>
      <c r="CN27" s="47">
        <f t="shared" si="34"/>
        <v>21784.483870967742</v>
      </c>
      <c r="CO27" s="19"/>
      <c r="CP27" s="19"/>
      <c r="CQ27" s="19"/>
    </row>
    <row r="28" spans="1:95">
      <c r="A28" s="28" t="s">
        <v>1192</v>
      </c>
      <c r="B28" s="127" t="s">
        <v>1193</v>
      </c>
      <c r="C28" s="101">
        <v>44683</v>
      </c>
      <c r="D28" s="28" t="s">
        <v>1194</v>
      </c>
      <c r="E28" s="28" t="s">
        <v>1195</v>
      </c>
      <c r="F28" s="28">
        <v>0</v>
      </c>
      <c r="G28" s="102" t="s">
        <v>1196</v>
      </c>
      <c r="H28" s="103" t="s">
        <v>1197</v>
      </c>
      <c r="I28" s="32" t="s">
        <v>1198</v>
      </c>
      <c r="J28" s="32" t="s">
        <v>1199</v>
      </c>
      <c r="K28" s="32" t="s">
        <v>1200</v>
      </c>
      <c r="L28" s="32" t="s">
        <v>1201</v>
      </c>
      <c r="M28" s="32" t="s">
        <v>1202</v>
      </c>
      <c r="N28" s="32" t="s">
        <v>1203</v>
      </c>
      <c r="O28" s="32" t="s">
        <v>1204</v>
      </c>
      <c r="P28" s="32" t="s">
        <v>1205</v>
      </c>
      <c r="Q28" s="32" t="s">
        <v>1206</v>
      </c>
      <c r="R28" s="32" t="s">
        <v>1207</v>
      </c>
      <c r="S28" s="32" t="s">
        <v>1208</v>
      </c>
      <c r="T28" s="32" t="s">
        <v>1209</v>
      </c>
      <c r="U28" s="32" t="s">
        <v>1210</v>
      </c>
      <c r="V28" s="32" t="s">
        <v>1211</v>
      </c>
      <c r="W28" s="32" t="s">
        <v>1212</v>
      </c>
      <c r="X28" s="32" t="s">
        <v>1213</v>
      </c>
      <c r="Y28" s="32" t="s">
        <v>1214</v>
      </c>
      <c r="Z28" s="32" t="s">
        <v>1215</v>
      </c>
      <c r="AA28" s="32" t="s">
        <v>1216</v>
      </c>
      <c r="AB28" s="32" t="s">
        <v>1217</v>
      </c>
      <c r="AC28" s="32" t="s">
        <v>1218</v>
      </c>
      <c r="AD28" s="32" t="s">
        <v>1219</v>
      </c>
      <c r="AE28" s="32" t="s">
        <v>1220</v>
      </c>
      <c r="AF28" s="32" t="s">
        <v>1221</v>
      </c>
      <c r="AG28" s="32" t="s">
        <v>1222</v>
      </c>
      <c r="AH28" s="32" t="s">
        <v>1223</v>
      </c>
      <c r="AI28" s="32" t="s">
        <v>1224</v>
      </c>
      <c r="AJ28" s="32" t="s">
        <v>1225</v>
      </c>
      <c r="AK28" s="32" t="s">
        <v>1226</v>
      </c>
      <c r="AL28" s="32" t="s">
        <v>1227</v>
      </c>
      <c r="AM28" s="32">
        <f t="shared" si="0"/>
        <v>0</v>
      </c>
      <c r="AN28" s="32">
        <f t="shared" si="1"/>
        <v>0</v>
      </c>
      <c r="AO28" s="32">
        <f t="shared" si="2"/>
        <v>24</v>
      </c>
      <c r="AP28" s="32">
        <f t="shared" si="3"/>
        <v>0</v>
      </c>
      <c r="AQ28" s="32">
        <f t="shared" si="4"/>
        <v>6</v>
      </c>
      <c r="AR28" s="32">
        <f t="shared" si="5"/>
        <v>0</v>
      </c>
      <c r="AS28" s="32">
        <f t="shared" si="6"/>
        <v>0</v>
      </c>
      <c r="AT28" s="32">
        <v>0</v>
      </c>
      <c r="AU28" s="32">
        <f t="shared" si="7"/>
        <v>1715</v>
      </c>
      <c r="AV28" s="32">
        <f t="shared" si="8"/>
        <v>235</v>
      </c>
      <c r="AW28" s="32">
        <v>33233</v>
      </c>
      <c r="AX28" s="20">
        <v>31518</v>
      </c>
      <c r="AY28" s="21">
        <f t="shared" si="9"/>
        <v>33468</v>
      </c>
      <c r="AZ28" s="32">
        <f t="shared" si="10"/>
        <v>1950</v>
      </c>
      <c r="BA28" s="32">
        <f t="shared" si="11"/>
        <v>0</v>
      </c>
      <c r="BB28" s="32">
        <f t="shared" si="12"/>
        <v>0</v>
      </c>
      <c r="BC28" s="33">
        <f t="shared" si="13"/>
        <v>1950</v>
      </c>
      <c r="BD28" s="32">
        <f t="shared" si="14"/>
        <v>1800</v>
      </c>
      <c r="BE28" s="32">
        <f t="shared" si="15"/>
        <v>12607.2</v>
      </c>
      <c r="BF28" s="32">
        <f t="shared" si="16"/>
        <v>6303.6</v>
      </c>
      <c r="BG28" s="32">
        <f t="shared" si="17"/>
        <v>6303.6</v>
      </c>
      <c r="BH28" s="32">
        <f t="shared" si="18"/>
        <v>6303.5999999999985</v>
      </c>
      <c r="BI28" s="19">
        <f t="shared" si="19"/>
        <v>30</v>
      </c>
      <c r="BJ28" s="19">
        <v>31</v>
      </c>
      <c r="BK28" s="35">
        <f t="shared" si="20"/>
        <v>0.967741935483871</v>
      </c>
      <c r="BL28" s="19">
        <f t="shared" si="21"/>
        <v>406.68387096774194</v>
      </c>
      <c r="BM28" s="32">
        <f t="shared" si="22"/>
        <v>32160.967741935485</v>
      </c>
      <c r="BN28" s="33">
        <f t="shared" si="23"/>
        <v>12200.516129032259</v>
      </c>
      <c r="BO28" s="33">
        <f t="shared" si="24"/>
        <v>6100.2580645161297</v>
      </c>
      <c r="BP28" s="33">
        <f t="shared" si="25"/>
        <v>6100.2580645161297</v>
      </c>
      <c r="BQ28" s="33">
        <f t="shared" si="26"/>
        <v>6100.2580645161279</v>
      </c>
      <c r="BR28" s="104">
        <f t="shared" si="27"/>
        <v>1800</v>
      </c>
      <c r="BS28" s="105">
        <f t="shared" si="28"/>
        <v>1950</v>
      </c>
      <c r="BT28" s="105">
        <f t="shared" si="29"/>
        <v>0</v>
      </c>
      <c r="BU28" s="105">
        <f t="shared" si="30"/>
        <v>0</v>
      </c>
      <c r="BV28" s="37">
        <f t="shared" si="31"/>
        <v>1072.0322580645161</v>
      </c>
      <c r="BW28" s="106">
        <v>0</v>
      </c>
      <c r="BX28" s="39">
        <f t="shared" si="32"/>
        <v>28701.290322580648</v>
      </c>
      <c r="BY28" s="39"/>
      <c r="BZ28" s="32"/>
      <c r="CA28" s="32"/>
      <c r="CB28" s="32"/>
      <c r="CC28" s="33"/>
      <c r="CD28" s="107">
        <v>0</v>
      </c>
      <c r="CE28" s="19"/>
      <c r="CF28" s="108"/>
      <c r="CG28" s="43"/>
      <c r="CH28" s="43">
        <f t="shared" si="33"/>
        <v>0</v>
      </c>
      <c r="CI28" s="109"/>
      <c r="CJ28" s="44"/>
      <c r="CK28" s="44">
        <f t="shared" si="36"/>
        <v>0</v>
      </c>
      <c r="CL28" s="107"/>
      <c r="CM28" s="56"/>
      <c r="CN28" s="47">
        <f t="shared" si="34"/>
        <v>28701.290322580648</v>
      </c>
      <c r="CO28" s="19"/>
      <c r="CP28" s="19"/>
      <c r="CQ28" s="19"/>
    </row>
    <row r="29" spans="1:95" ht="12.5">
      <c r="CD29" s="107"/>
      <c r="CN29" s="128" t="e">
        <f>SUM(CN2:CN28)</f>
        <v>#REF!</v>
      </c>
    </row>
    <row r="30" spans="1:95" ht="13">
      <c r="A30" s="129" t="s">
        <v>1228</v>
      </c>
      <c r="B30" s="129" t="s">
        <v>1229</v>
      </c>
      <c r="C30" s="130">
        <v>44522</v>
      </c>
      <c r="CD30" s="107" t="e">
        <f>VLOOKUP('May 22 Final'!A:A,#REF!,30,FALSE)</f>
        <v>#REF!</v>
      </c>
    </row>
    <row r="31" spans="1:95" ht="13">
      <c r="A31" s="131" t="s">
        <v>1230</v>
      </c>
      <c r="B31" s="131" t="s">
        <v>1231</v>
      </c>
      <c r="C31" s="130">
        <v>44515</v>
      </c>
      <c r="D31" s="131" t="s">
        <v>1232</v>
      </c>
      <c r="CD31" s="107" t="e">
        <f>VLOOKUP('May 22 Final'!A:A,#REF!,30,FALSE)</f>
        <v>#REF!</v>
      </c>
    </row>
    <row r="32" spans="1:95" ht="13">
      <c r="A32" s="131" t="s">
        <v>1233</v>
      </c>
      <c r="B32" s="131" t="s">
        <v>1234</v>
      </c>
      <c r="C32" s="130">
        <v>44515</v>
      </c>
      <c r="D32" s="131" t="s">
        <v>1235</v>
      </c>
      <c r="CD32" s="107" t="e">
        <f>VLOOKUP('May 22 Final'!A:A,#REF!,30,FALSE)</f>
        <v>#REF!</v>
      </c>
    </row>
    <row r="33" spans="1:82" ht="13">
      <c r="A33" s="132" t="s">
        <v>1236</v>
      </c>
      <c r="B33" s="132" t="s">
        <v>1237</v>
      </c>
      <c r="C33" s="133">
        <v>44515</v>
      </c>
      <c r="D33" s="132" t="s">
        <v>1238</v>
      </c>
      <c r="CD33" s="107" t="e">
        <f>VLOOKUP('May 22 Final'!A:A,#REF!,30,FALSE)</f>
        <v>#REF!</v>
      </c>
    </row>
    <row r="34" spans="1:82" ht="13">
      <c r="A34" s="129" t="s">
        <v>1239</v>
      </c>
      <c r="B34" s="129" t="s">
        <v>1240</v>
      </c>
      <c r="C34" s="130">
        <v>44531</v>
      </c>
      <c r="D34" s="129" t="s">
        <v>1241</v>
      </c>
      <c r="CD34" s="107" t="e">
        <f>VLOOKUP('May 22 Final'!A:A,#REF!,30,FALSE)</f>
        <v>#REF!</v>
      </c>
    </row>
    <row r="35" spans="1:82" ht="13">
      <c r="A35" s="129" t="s">
        <v>1242</v>
      </c>
      <c r="B35" s="129" t="s">
        <v>1243</v>
      </c>
      <c r="C35" s="130">
        <v>44571</v>
      </c>
      <c r="D35" s="129" t="s">
        <v>1244</v>
      </c>
      <c r="CD35" s="107" t="e">
        <f>VLOOKUP('May 22 Final'!A:A,#REF!,30,FALSE)</f>
        <v>#REF!</v>
      </c>
    </row>
    <row r="36" spans="1:82" ht="13">
      <c r="A36" s="131" t="s">
        <v>1245</v>
      </c>
      <c r="B36" s="131" t="s">
        <v>1246</v>
      </c>
      <c r="C36" s="130">
        <v>44578</v>
      </c>
      <c r="D36" s="131" t="s">
        <v>1247</v>
      </c>
      <c r="CD36" s="107" t="e">
        <f>VLOOKUP('May 22 Final'!A:A,#REF!,30,FALSE)</f>
        <v>#REF!</v>
      </c>
    </row>
    <row r="37" spans="1:82" ht="13">
      <c r="A37" s="129" t="s">
        <v>1248</v>
      </c>
      <c r="B37" s="129" t="s">
        <v>1249</v>
      </c>
      <c r="C37" s="130">
        <v>44593</v>
      </c>
      <c r="D37" s="129" t="s">
        <v>1250</v>
      </c>
      <c r="CD37" s="107" t="e">
        <f>VLOOKUP('May 22 Final'!A:A,#REF!,30,FALSE)</f>
        <v>#REF!</v>
      </c>
    </row>
    <row r="38" spans="1:82" ht="13">
      <c r="A38" s="129" t="s">
        <v>1251</v>
      </c>
      <c r="B38" s="129" t="s">
        <v>1252</v>
      </c>
      <c r="C38" s="130">
        <v>44594</v>
      </c>
      <c r="D38" s="129" t="s">
        <v>1253</v>
      </c>
      <c r="CD38" s="107" t="e">
        <f>VLOOKUP('May 22 Final'!A:A,#REF!,30,FALSE)</f>
        <v>#REF!</v>
      </c>
    </row>
    <row r="39" spans="1:82" ht="13">
      <c r="A39" s="131" t="s">
        <v>1254</v>
      </c>
      <c r="B39" s="131" t="s">
        <v>1255</v>
      </c>
      <c r="C39" s="130">
        <v>44613</v>
      </c>
      <c r="D39" s="131" t="s">
        <v>1256</v>
      </c>
      <c r="CD39" s="107" t="e">
        <f>VLOOKUP('May 22 Final'!A:A,#REF!,30,FALSE)</f>
        <v>#REF!</v>
      </c>
    </row>
    <row r="40" spans="1:82" ht="13">
      <c r="A40" s="129" t="s">
        <v>1257</v>
      </c>
      <c r="B40" s="129" t="s">
        <v>1258</v>
      </c>
      <c r="C40" s="130">
        <v>44635</v>
      </c>
      <c r="D40" s="129" t="s">
        <v>1259</v>
      </c>
      <c r="CD40" s="107" t="e">
        <f>VLOOKUP('May 22 Final'!A:A,#REF!,30,FALSE)</f>
        <v>#REF!</v>
      </c>
    </row>
    <row r="41" spans="1:82" ht="13">
      <c r="A41" s="15" t="s">
        <v>1260</v>
      </c>
      <c r="B41" s="15" t="s">
        <v>1261</v>
      </c>
      <c r="C41" s="16">
        <v>44524</v>
      </c>
      <c r="D41" s="15" t="s">
        <v>1262</v>
      </c>
      <c r="CD41" s="107" t="e">
        <f>VLOOKUP('May 22 Final'!A:A,#REF!,30,FALSE)</f>
        <v>#REF!</v>
      </c>
    </row>
    <row r="42" spans="1:82" ht="13">
      <c r="A42" s="15" t="s">
        <v>1263</v>
      </c>
      <c r="B42" s="15" t="s">
        <v>1264</v>
      </c>
      <c r="C42" s="16">
        <v>44581</v>
      </c>
      <c r="D42" s="15" t="s">
        <v>1265</v>
      </c>
      <c r="CD42" s="107" t="e">
        <f>VLOOKUP('May 22 Final'!A:A,#REF!,30,FALSE)</f>
        <v>#REF!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/>
  </sheetViews>
  <sheetFormatPr defaultRowHeight="15" customHeight="1"/>
  <cols>
    <col min="1" max="1" width="13.7265625"/>
    <col min="2" max="2" width="26"/>
    <col min="3" max="3" width="37.7265625"/>
    <col min="4" max="4" width="21.81640625"/>
    <col min="5" max="5" width="20.08984375"/>
    <col min="6" max="6" width="21"/>
    <col min="7" max="7" width="9.26953125"/>
    <col min="8" max="8" width="10.81640625"/>
    <col min="9" max="9" width="11.453125"/>
    <col min="10" max="10" width="12.26953125"/>
    <col min="11" max="11" width="8.81640625"/>
    <col min="12" max="12" width="25.26953125"/>
    <col min="13" max="13" width="17.54296875"/>
    <col min="14" max="14" width="30.08984375"/>
    <col min="15" max="1024" width="12.26953125"/>
    <col min="1025" max="1025" width="11.453125"/>
  </cols>
  <sheetData>
    <row r="1" spans="1:14" ht="15" customHeight="1">
      <c r="A1" s="134" t="s">
        <v>1266</v>
      </c>
      <c r="B1" s="135" t="s">
        <v>1267</v>
      </c>
      <c r="C1" s="135" t="s">
        <v>1268</v>
      </c>
      <c r="D1" s="135" t="s">
        <v>1269</v>
      </c>
      <c r="E1" s="135" t="s">
        <v>1270</v>
      </c>
      <c r="F1" s="135" t="s">
        <v>1271</v>
      </c>
      <c r="G1" s="135" t="s">
        <v>1272</v>
      </c>
      <c r="H1" s="135" t="s">
        <v>1273</v>
      </c>
      <c r="I1" s="135" t="s">
        <v>1274</v>
      </c>
      <c r="J1" s="135" t="s">
        <v>1275</v>
      </c>
      <c r="K1" s="135" t="s">
        <v>1276</v>
      </c>
      <c r="L1" s="135" t="s">
        <v>1277</v>
      </c>
      <c r="M1" s="135" t="s">
        <v>1278</v>
      </c>
      <c r="N1" s="135" t="s">
        <v>1279</v>
      </c>
    </row>
    <row r="2" spans="1:14" ht="15" customHeight="1">
      <c r="A2" s="136" t="s">
        <v>1280</v>
      </c>
      <c r="B2" s="137" t="s">
        <v>1281</v>
      </c>
      <c r="C2" s="138">
        <v>13.32</v>
      </c>
      <c r="D2" s="138" t="s">
        <v>1282</v>
      </c>
      <c r="E2" s="137" t="s">
        <v>1283</v>
      </c>
      <c r="F2" s="137" t="s">
        <v>1284</v>
      </c>
      <c r="G2" s="137" t="s">
        <v>1285</v>
      </c>
      <c r="H2" s="137" t="s">
        <v>1286</v>
      </c>
      <c r="I2" s="137" t="s">
        <v>1287</v>
      </c>
      <c r="J2" s="137" t="s">
        <v>1288</v>
      </c>
      <c r="K2" s="137" t="s">
        <v>1289</v>
      </c>
      <c r="L2" s="137">
        <v>13.5</v>
      </c>
      <c r="M2" s="139" t="s">
        <v>1290</v>
      </c>
      <c r="N2" s="139" t="s">
        <v>1291</v>
      </c>
    </row>
    <row r="3" spans="1:14" ht="15" customHeight="1">
      <c r="A3" s="136" t="s">
        <v>1292</v>
      </c>
      <c r="B3" s="137" t="s">
        <v>1293</v>
      </c>
      <c r="C3" s="138">
        <v>6.29</v>
      </c>
      <c r="D3" s="138" t="s">
        <v>1294</v>
      </c>
      <c r="E3" s="137" t="s">
        <v>1295</v>
      </c>
      <c r="F3" s="137" t="s">
        <v>1296</v>
      </c>
      <c r="G3" s="137" t="s">
        <v>1297</v>
      </c>
      <c r="H3" s="137" t="s">
        <v>1298</v>
      </c>
      <c r="I3" s="137" t="s">
        <v>1299</v>
      </c>
      <c r="J3" s="137" t="s">
        <v>1300</v>
      </c>
      <c r="K3" s="137" t="s">
        <v>1301</v>
      </c>
      <c r="L3" s="137">
        <v>6.6</v>
      </c>
      <c r="M3" s="139" t="s">
        <v>1302</v>
      </c>
      <c r="N3" s="139" t="s">
        <v>1303</v>
      </c>
    </row>
    <row r="4" spans="1:14" ht="15" customHeight="1">
      <c r="A4" s="140" t="s">
        <v>1304</v>
      </c>
      <c r="B4" s="141" t="s">
        <v>1305</v>
      </c>
      <c r="C4" s="142">
        <v>30.34</v>
      </c>
      <c r="D4" s="142" t="s">
        <v>1306</v>
      </c>
      <c r="E4" s="141" t="s">
        <v>1307</v>
      </c>
      <c r="F4" s="141" t="s">
        <v>1308</v>
      </c>
      <c r="G4" s="141" t="s">
        <v>1309</v>
      </c>
      <c r="H4" s="141" t="s">
        <v>1310</v>
      </c>
      <c r="I4" s="141" t="s">
        <v>1311</v>
      </c>
      <c r="J4" s="141" t="s">
        <v>1312</v>
      </c>
      <c r="K4" s="141" t="s">
        <v>1313</v>
      </c>
      <c r="L4" s="141">
        <v>30.6</v>
      </c>
      <c r="M4" s="142" t="s">
        <v>1314</v>
      </c>
      <c r="N4" s="142" t="s">
        <v>1315</v>
      </c>
    </row>
    <row r="5" spans="1:14" ht="15" customHeight="1">
      <c r="A5" s="136" t="s">
        <v>1316</v>
      </c>
      <c r="B5" s="137" t="s">
        <v>1317</v>
      </c>
      <c r="C5" s="138">
        <v>20.28</v>
      </c>
      <c r="D5" s="138" t="s">
        <v>1318</v>
      </c>
      <c r="E5" s="137" t="s">
        <v>1319</v>
      </c>
      <c r="F5" s="137" t="s">
        <v>1320</v>
      </c>
      <c r="G5" s="137" t="s">
        <v>1321</v>
      </c>
      <c r="H5" s="137" t="s">
        <v>1322</v>
      </c>
      <c r="I5" s="137" t="s">
        <v>1323</v>
      </c>
      <c r="J5" s="137" t="s">
        <v>1324</v>
      </c>
      <c r="K5" s="137" t="s">
        <v>1325</v>
      </c>
      <c r="L5" s="137">
        <v>20</v>
      </c>
      <c r="M5" s="139" t="s">
        <v>1326</v>
      </c>
      <c r="N5" s="139" t="s">
        <v>1327</v>
      </c>
    </row>
    <row r="6" spans="1:14" ht="15" customHeight="1">
      <c r="A6" s="136" t="s">
        <v>1328</v>
      </c>
      <c r="B6" s="137" t="s">
        <v>1329</v>
      </c>
      <c r="C6" s="138">
        <v>99.9</v>
      </c>
      <c r="D6" s="138" t="s">
        <v>1330</v>
      </c>
      <c r="E6" s="137" t="s">
        <v>1331</v>
      </c>
      <c r="F6" s="137" t="s">
        <v>1332</v>
      </c>
      <c r="G6" s="137" t="s">
        <v>1333</v>
      </c>
      <c r="H6" s="137" t="s">
        <v>1334</v>
      </c>
      <c r="I6" s="137" t="s">
        <v>1334</v>
      </c>
      <c r="J6" s="137" t="s">
        <v>1334</v>
      </c>
      <c r="K6" s="137" t="s">
        <v>1334</v>
      </c>
      <c r="L6" s="137">
        <v>100</v>
      </c>
      <c r="M6" s="139" t="s">
        <v>1335</v>
      </c>
      <c r="N6" s="139" t="s">
        <v>1335</v>
      </c>
    </row>
    <row r="7" spans="1:14" ht="15" customHeight="1">
      <c r="A7" s="136" t="s">
        <v>1336</v>
      </c>
      <c r="B7" s="143">
        <v>44841</v>
      </c>
      <c r="C7" s="138">
        <v>69.42</v>
      </c>
      <c r="D7" s="138" t="s">
        <v>1337</v>
      </c>
      <c r="E7" s="137" t="s">
        <v>1338</v>
      </c>
      <c r="F7" s="137" t="s">
        <v>1339</v>
      </c>
      <c r="G7" s="137" t="s">
        <v>1340</v>
      </c>
      <c r="H7" s="137" t="s">
        <v>1341</v>
      </c>
      <c r="I7" s="137" t="s">
        <v>1341</v>
      </c>
      <c r="J7" s="137" t="s">
        <v>1341</v>
      </c>
      <c r="K7" s="137" t="s">
        <v>1341</v>
      </c>
      <c r="L7" s="137">
        <v>100</v>
      </c>
      <c r="M7" s="139" t="s">
        <v>1342</v>
      </c>
      <c r="N7" s="139" t="s">
        <v>1342</v>
      </c>
    </row>
    <row r="8" spans="1:14" ht="15" customHeight="1">
      <c r="A8" s="140" t="s">
        <v>1343</v>
      </c>
      <c r="B8" s="141" t="s">
        <v>1344</v>
      </c>
      <c r="C8" s="142">
        <v>101.52</v>
      </c>
      <c r="D8" s="142" t="s">
        <v>1345</v>
      </c>
      <c r="E8" s="141" t="s">
        <v>1346</v>
      </c>
      <c r="F8" s="141" t="s">
        <v>1347</v>
      </c>
      <c r="G8" s="141" t="s">
        <v>1348</v>
      </c>
      <c r="H8" s="141" t="s">
        <v>1349</v>
      </c>
      <c r="I8" s="141" t="s">
        <v>1350</v>
      </c>
      <c r="J8" s="141" t="s">
        <v>1351</v>
      </c>
      <c r="K8" s="141" t="s">
        <v>1351</v>
      </c>
      <c r="L8" s="141">
        <v>100</v>
      </c>
      <c r="M8" s="142" t="s">
        <v>1352</v>
      </c>
      <c r="N8" s="142" t="s">
        <v>1353</v>
      </c>
    </row>
    <row r="9" spans="1:14" ht="15" customHeight="1">
      <c r="A9" s="144"/>
      <c r="B9" s="145"/>
      <c r="C9" s="146">
        <v>341.07</v>
      </c>
      <c r="D9" s="147"/>
      <c r="E9" s="145"/>
      <c r="F9" s="145"/>
      <c r="G9" s="145"/>
      <c r="H9" s="145"/>
      <c r="I9" s="145"/>
      <c r="J9" s="145"/>
      <c r="K9" s="145"/>
      <c r="L9" s="145"/>
      <c r="M9" s="147"/>
      <c r="N9" s="147"/>
    </row>
    <row r="12" spans="1:14" ht="15" customHeight="1">
      <c r="C12">
        <f>C2+C3</f>
        <v>19.61</v>
      </c>
    </row>
    <row r="13" spans="1:14" ht="15" customHeight="1">
      <c r="C13">
        <f>C8+C12</f>
        <v>121.13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"/>
  <sheetViews>
    <sheetView workbookViewId="0"/>
  </sheetViews>
  <sheetFormatPr defaultRowHeight="15" customHeight="1"/>
  <cols>
    <col min="1" max="1" width="19.453125" style="148"/>
    <col min="2" max="2" width="23.453125"/>
    <col min="3" max="4" width="12.26953125"/>
    <col min="5" max="5" width="17.08984375"/>
    <col min="6" max="7" width="21.08984375"/>
    <col min="8" max="8" width="18.26953125"/>
    <col min="9" max="10" width="12.26953125"/>
    <col min="11" max="11" width="15.54296875"/>
    <col min="12" max="12" width="33"/>
    <col min="13" max="1020" width="12.26953125"/>
    <col min="1021" max="1024" width="11.453125"/>
  </cols>
  <sheetData>
    <row r="1" spans="1:15" ht="13">
      <c r="A1" s="149" t="s">
        <v>1354</v>
      </c>
      <c r="B1" s="150" t="s">
        <v>1355</v>
      </c>
      <c r="C1" s="151" t="s">
        <v>1356</v>
      </c>
      <c r="D1" s="151" t="s">
        <v>1357</v>
      </c>
      <c r="E1" s="151"/>
      <c r="F1" s="151" t="s">
        <v>1358</v>
      </c>
      <c r="G1" s="151" t="s">
        <v>1359</v>
      </c>
      <c r="H1" s="151" t="s">
        <v>1360</v>
      </c>
      <c r="I1" s="151" t="s">
        <v>1361</v>
      </c>
      <c r="J1" t="s">
        <v>1362</v>
      </c>
      <c r="K1" s="152" t="s">
        <v>1363</v>
      </c>
      <c r="L1" s="153" t="s">
        <v>1364</v>
      </c>
      <c r="N1" t="s">
        <v>1365</v>
      </c>
    </row>
    <row r="2" spans="1:15" ht="13.5">
      <c r="A2" s="154" t="s">
        <v>1366</v>
      </c>
      <c r="B2" s="28" t="s">
        <v>1367</v>
      </c>
      <c r="C2" s="155" t="s">
        <v>1368</v>
      </c>
      <c r="D2" s="155">
        <v>43895</v>
      </c>
      <c r="E2" s="156"/>
      <c r="F2" s="156">
        <f>_xlfn.XLOOKUP(A2,ATTENDANCE!A2:A27,ATTENDANCE!AZ2:AZ27)</f>
        <v>0.95454545454545459</v>
      </c>
      <c r="G2" s="157">
        <f t="shared" ref="G2:G12" si="0">IF(F2=100%,1250,IF(F2&gt;95%,625,0))</f>
        <v>625</v>
      </c>
      <c r="H2" s="157">
        <f t="shared" ref="H2:H12" si="1">IF(_xlfn.XLOOKUP(C2,$20:$20,$31:$31)&gt;4.5,1250,IF(_xlfn.XLOOKUP(C2,$20:$20,$31:$31)&gt;4,625,0))</f>
        <v>1250</v>
      </c>
      <c r="I2" s="158">
        <f t="shared" ref="I2:I12" si="2">G2+H2</f>
        <v>1875</v>
      </c>
      <c r="J2" s="159">
        <v>1</v>
      </c>
      <c r="K2" s="160">
        <f t="shared" ref="K2:K12" si="3">I2*J2</f>
        <v>1875</v>
      </c>
      <c r="L2">
        <v>1250</v>
      </c>
      <c r="M2">
        <v>1</v>
      </c>
      <c r="N2">
        <f>_xlfn.XLOOKUP(A2,ATTENDANCE!A:A,ATTENDANCE!AZ:AZ)</f>
        <v>0.95454545454545459</v>
      </c>
    </row>
    <row r="3" spans="1:15" ht="13.5">
      <c r="A3" s="154" t="s">
        <v>1369</v>
      </c>
      <c r="B3" s="28" t="s">
        <v>1370</v>
      </c>
      <c r="C3" s="155" t="s">
        <v>1371</v>
      </c>
      <c r="D3" s="155">
        <v>44048</v>
      </c>
      <c r="E3" s="156"/>
      <c r="F3" s="156">
        <f>_xlfn.XLOOKUP(A3,ATTENDANCE!A3:A28,ATTENDANCE!AZ3:AZ28)</f>
        <v>0.86363636363636365</v>
      </c>
      <c r="G3" s="157">
        <f t="shared" si="0"/>
        <v>0</v>
      </c>
      <c r="H3" s="157">
        <f t="shared" si="1"/>
        <v>0</v>
      </c>
      <c r="I3" s="158">
        <f t="shared" si="2"/>
        <v>0</v>
      </c>
      <c r="J3" s="159">
        <v>1</v>
      </c>
      <c r="K3" s="160">
        <f t="shared" si="3"/>
        <v>0</v>
      </c>
      <c r="L3">
        <v>0</v>
      </c>
      <c r="M3" s="161">
        <v>1</v>
      </c>
      <c r="N3" s="161">
        <f>_xlfn.XLOOKUP(A3,ATTENDANCE!A:A,ATTENDANCE!AZ:AZ)</f>
        <v>0.86363636363636365</v>
      </c>
    </row>
    <row r="4" spans="1:15" ht="13.5">
      <c r="A4" s="154" t="s">
        <v>1372</v>
      </c>
      <c r="B4" s="28" t="s">
        <v>1373</v>
      </c>
      <c r="C4" s="155" t="s">
        <v>1374</v>
      </c>
      <c r="D4" s="155">
        <v>44356</v>
      </c>
      <c r="E4" s="156"/>
      <c r="F4" s="156">
        <f>_xlfn.XLOOKUP(A4,ATTENDANCE!A4:A29,ATTENDANCE!AZ4:AZ29)</f>
        <v>0.90909090909090906</v>
      </c>
      <c r="G4" s="157">
        <f t="shared" si="0"/>
        <v>0</v>
      </c>
      <c r="H4" s="157">
        <f t="shared" si="1"/>
        <v>625</v>
      </c>
      <c r="I4" s="158">
        <f t="shared" si="2"/>
        <v>625</v>
      </c>
      <c r="J4" s="159">
        <v>1</v>
      </c>
      <c r="K4" s="160">
        <f t="shared" si="3"/>
        <v>625</v>
      </c>
      <c r="L4">
        <v>1250</v>
      </c>
      <c r="M4" s="161">
        <v>1</v>
      </c>
      <c r="N4" s="161">
        <f>_xlfn.XLOOKUP(A4,ATTENDANCE!A:A,ATTENDANCE!AZ:AZ)</f>
        <v>0.90909090909090906</v>
      </c>
    </row>
    <row r="5" spans="1:15" ht="13.5">
      <c r="A5" s="154" t="s">
        <v>1375</v>
      </c>
      <c r="B5" s="28" t="s">
        <v>1376</v>
      </c>
      <c r="C5" s="162" t="s">
        <v>1377</v>
      </c>
      <c r="D5" s="162">
        <v>44515</v>
      </c>
      <c r="E5" s="156"/>
      <c r="F5" s="156">
        <f>_xlfn.XLOOKUP(A5,ATTENDANCE!A5:A30,ATTENDANCE!AZ5:AZ30)</f>
        <v>0.72727272727272729</v>
      </c>
      <c r="G5" s="157">
        <f t="shared" si="0"/>
        <v>0</v>
      </c>
      <c r="H5" s="157">
        <f t="shared" si="1"/>
        <v>0</v>
      </c>
      <c r="I5" s="158">
        <f t="shared" si="2"/>
        <v>0</v>
      </c>
      <c r="J5" s="159">
        <v>1</v>
      </c>
      <c r="K5" s="160">
        <f t="shared" si="3"/>
        <v>0</v>
      </c>
      <c r="L5">
        <v>0</v>
      </c>
      <c r="M5" s="161">
        <v>1</v>
      </c>
      <c r="N5" s="161">
        <f>_xlfn.XLOOKUP(A5,ATTENDANCE!A:A,ATTENDANCE!AZ:AZ)</f>
        <v>0.72727272727272729</v>
      </c>
    </row>
    <row r="6" spans="1:15" ht="13.5">
      <c r="A6" s="154" t="s">
        <v>1378</v>
      </c>
      <c r="B6" s="28" t="s">
        <v>1379</v>
      </c>
      <c r="C6" s="155" t="s">
        <v>1380</v>
      </c>
      <c r="D6" s="155">
        <v>44531</v>
      </c>
      <c r="E6" s="156"/>
      <c r="F6" s="156">
        <f>_xlfn.XLOOKUP(A6,ATTENDANCE!A6:A31,ATTENDANCE!AZ6:AZ31)</f>
        <v>0.90909090909090906</v>
      </c>
      <c r="G6" s="157">
        <f t="shared" si="0"/>
        <v>0</v>
      </c>
      <c r="H6" s="157">
        <f t="shared" si="1"/>
        <v>0</v>
      </c>
      <c r="I6" s="158">
        <f t="shared" si="2"/>
        <v>0</v>
      </c>
      <c r="J6" s="159">
        <v>1</v>
      </c>
      <c r="K6" s="160">
        <f t="shared" si="3"/>
        <v>0</v>
      </c>
      <c r="L6">
        <v>0</v>
      </c>
      <c r="M6" s="161">
        <v>0.95161290322580705</v>
      </c>
      <c r="N6" s="161">
        <f>_xlfn.XLOOKUP(A6,ATTENDANCE!A:A,ATTENDANCE!AZ:AZ)</f>
        <v>0.90909090909090906</v>
      </c>
    </row>
    <row r="7" spans="1:15" ht="14.5">
      <c r="A7" s="154" t="s">
        <v>1381</v>
      </c>
      <c r="B7" s="127" t="s">
        <v>1382</v>
      </c>
      <c r="C7" s="155" t="s">
        <v>1383</v>
      </c>
      <c r="D7" s="155">
        <v>44593</v>
      </c>
      <c r="E7" s="156"/>
      <c r="F7" s="156">
        <f>_xlfn.XLOOKUP(A7,ATTENDANCE!A7:A32,ATTENDANCE!AZ7:AZ32)</f>
        <v>0.72727272727272729</v>
      </c>
      <c r="G7" s="157">
        <f t="shared" si="0"/>
        <v>0</v>
      </c>
      <c r="H7" s="157">
        <f t="shared" si="1"/>
        <v>625</v>
      </c>
      <c r="I7" s="158">
        <f t="shared" si="2"/>
        <v>625</v>
      </c>
      <c r="J7" s="159">
        <v>1</v>
      </c>
      <c r="K7" s="160">
        <f t="shared" si="3"/>
        <v>625</v>
      </c>
      <c r="L7">
        <v>0</v>
      </c>
      <c r="M7" s="161">
        <v>0.98387096774193605</v>
      </c>
      <c r="N7" s="161">
        <f>_xlfn.XLOOKUP(A7,ATTENDANCE!A:A,ATTENDANCE!AZ:AZ)</f>
        <v>0.72727272727272729</v>
      </c>
    </row>
    <row r="8" spans="1:15" ht="14.5">
      <c r="A8" s="154" t="s">
        <v>1384</v>
      </c>
      <c r="B8" s="127" t="s">
        <v>1385</v>
      </c>
      <c r="C8" s="162" t="s">
        <v>1386</v>
      </c>
      <c r="D8" s="162">
        <v>44635</v>
      </c>
      <c r="E8" s="156"/>
      <c r="F8" s="156">
        <f>_xlfn.XLOOKUP(A8,ATTENDANCE!A8:A33,ATTENDANCE!AZ8:AZ33)</f>
        <v>0.86363636363636365</v>
      </c>
      <c r="G8" s="157">
        <f t="shared" si="0"/>
        <v>0</v>
      </c>
      <c r="H8" s="157">
        <f t="shared" si="1"/>
        <v>625</v>
      </c>
      <c r="I8" s="158">
        <f t="shared" si="2"/>
        <v>625</v>
      </c>
      <c r="J8" s="159">
        <v>1</v>
      </c>
      <c r="K8" s="160">
        <f t="shared" si="3"/>
        <v>625</v>
      </c>
      <c r="L8">
        <v>0</v>
      </c>
      <c r="M8" s="161">
        <v>1</v>
      </c>
      <c r="N8" s="161">
        <f>_xlfn.XLOOKUP(A8,ATTENDANCE!A:A,ATTENDANCE!AZ:AZ)</f>
        <v>0.86363636363636365</v>
      </c>
    </row>
    <row r="9" spans="1:15" ht="14.5">
      <c r="A9" s="154" t="s">
        <v>1387</v>
      </c>
      <c r="B9" s="127" t="s">
        <v>1388</v>
      </c>
      <c r="C9" s="162" t="s">
        <v>1389</v>
      </c>
      <c r="D9" s="162">
        <v>44641</v>
      </c>
      <c r="E9" s="156"/>
      <c r="F9" s="156">
        <f>_xlfn.XLOOKUP(A9,ATTENDANCE!A9:A34,ATTENDANCE!AZ9:AZ34)</f>
        <v>0.81818181818181823</v>
      </c>
      <c r="G9" s="157">
        <f t="shared" si="0"/>
        <v>0</v>
      </c>
      <c r="H9" s="157">
        <f t="shared" si="1"/>
        <v>0</v>
      </c>
      <c r="I9" s="158">
        <f t="shared" si="2"/>
        <v>0</v>
      </c>
      <c r="J9" s="159">
        <v>1</v>
      </c>
      <c r="K9" s="160">
        <f t="shared" si="3"/>
        <v>0</v>
      </c>
      <c r="L9">
        <v>1250</v>
      </c>
      <c r="M9" s="161">
        <v>0.967741935483871</v>
      </c>
      <c r="N9" s="161">
        <f>_xlfn.XLOOKUP(A9,ATTENDANCE!A:A,ATTENDANCE!AZ:AZ)</f>
        <v>0.81818181818181823</v>
      </c>
    </row>
    <row r="10" spans="1:15" ht="13.5">
      <c r="A10" s="154" t="s">
        <v>1390</v>
      </c>
      <c r="B10" s="163" t="s">
        <v>1391</v>
      </c>
      <c r="C10" s="162" t="s">
        <v>1392</v>
      </c>
      <c r="D10" s="162">
        <v>44720</v>
      </c>
      <c r="E10" s="156"/>
      <c r="F10" s="156">
        <f>_xlfn.XLOOKUP(A10,ATTENDANCE!A10:A35,ATTENDANCE!AZ10:AZ35)</f>
        <v>0.90909090909090906</v>
      </c>
      <c r="G10" s="157">
        <f t="shared" si="0"/>
        <v>0</v>
      </c>
      <c r="H10" s="157">
        <f t="shared" si="1"/>
        <v>625</v>
      </c>
      <c r="I10" s="158">
        <f t="shared" si="2"/>
        <v>625</v>
      </c>
      <c r="J10" s="159">
        <v>1</v>
      </c>
      <c r="K10" s="160">
        <f t="shared" si="3"/>
        <v>625</v>
      </c>
      <c r="L10">
        <v>1250</v>
      </c>
      <c r="M10" s="161">
        <v>1</v>
      </c>
      <c r="N10" s="161">
        <f>_xlfn.XLOOKUP(A10,ATTENDANCE!A:A,ATTENDANCE!AZ:AZ)</f>
        <v>0.90909090909090906</v>
      </c>
    </row>
    <row r="11" spans="1:15" ht="13.5">
      <c r="A11" s="154" t="s">
        <v>1393</v>
      </c>
      <c r="B11" s="163" t="s">
        <v>1394</v>
      </c>
      <c r="C11" s="164" t="s">
        <v>1395</v>
      </c>
      <c r="D11" s="164">
        <v>44760</v>
      </c>
      <c r="E11" s="156"/>
      <c r="F11" s="156">
        <f>_xlfn.XLOOKUP(A11,ATTENDANCE!A11:A36,ATTENDANCE!AZ11:AZ36)</f>
        <v>0.95454545454545459</v>
      </c>
      <c r="G11" s="157">
        <f t="shared" si="0"/>
        <v>625</v>
      </c>
      <c r="H11" s="157">
        <f t="shared" si="1"/>
        <v>625</v>
      </c>
      <c r="I11" s="158">
        <f t="shared" si="2"/>
        <v>1250</v>
      </c>
      <c r="J11" s="159">
        <v>1</v>
      </c>
      <c r="K11" s="160">
        <f t="shared" si="3"/>
        <v>1250</v>
      </c>
      <c r="L11">
        <v>0</v>
      </c>
      <c r="M11" s="161">
        <v>1</v>
      </c>
      <c r="N11" s="161">
        <f>_xlfn.XLOOKUP(A11,ATTENDANCE!A:A,ATTENDANCE!AZ:AZ)</f>
        <v>0.95454545454545459</v>
      </c>
    </row>
    <row r="12" spans="1:15" ht="13.5">
      <c r="A12" s="154" t="s">
        <v>1396</v>
      </c>
      <c r="B12" s="163" t="s">
        <v>1397</v>
      </c>
      <c r="C12" s="164" t="s">
        <v>1398</v>
      </c>
      <c r="D12" s="165">
        <v>44761</v>
      </c>
      <c r="E12" s="156"/>
      <c r="F12" s="156">
        <f>_xlfn.XLOOKUP(A12,ATTENDANCE!A12:A37,ATTENDANCE!AZ12:AZ37)</f>
        <v>1</v>
      </c>
      <c r="G12" s="157">
        <f t="shared" si="0"/>
        <v>1250</v>
      </c>
      <c r="H12" s="157">
        <f t="shared" si="1"/>
        <v>0</v>
      </c>
      <c r="I12" s="158">
        <f t="shared" si="2"/>
        <v>1250</v>
      </c>
      <c r="J12" s="159">
        <v>1</v>
      </c>
      <c r="K12" s="160">
        <f t="shared" si="3"/>
        <v>1250</v>
      </c>
      <c r="L12">
        <v>0</v>
      </c>
      <c r="M12" s="161">
        <v>1</v>
      </c>
      <c r="N12" s="161">
        <f>_xlfn.XLOOKUP(A12,ATTENDANCE!A:A,ATTENDANCE!AZ:AZ)</f>
        <v>1</v>
      </c>
    </row>
    <row r="13" spans="1:15" ht="16.5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</row>
    <row r="14" spans="1:15" ht="16.5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</row>
    <row r="15" spans="1:15" ht="16.5">
      <c r="A15" s="166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</row>
    <row r="16" spans="1:15" ht="16.5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</row>
    <row r="19" spans="1:14" ht="12.5">
      <c r="A19" s="168"/>
      <c r="B19" s="22"/>
      <c r="C19" s="22"/>
      <c r="D19" s="22"/>
    </row>
    <row r="20" spans="1:14" ht="13">
      <c r="A20" s="169" t="s">
        <v>1399</v>
      </c>
      <c r="B20" s="170" t="s">
        <v>1400</v>
      </c>
      <c r="C20" s="170" t="s">
        <v>1401</v>
      </c>
      <c r="D20" s="170" t="s">
        <v>1402</v>
      </c>
      <c r="E20" s="170" t="s">
        <v>1403</v>
      </c>
      <c r="F20" s="170" t="s">
        <v>1404</v>
      </c>
      <c r="G20" s="170" t="s">
        <v>1405</v>
      </c>
      <c r="H20" s="170" t="s">
        <v>1406</v>
      </c>
      <c r="I20" s="170" t="s">
        <v>1407</v>
      </c>
      <c r="J20" s="170" t="s">
        <v>1408</v>
      </c>
      <c r="K20" s="170" t="s">
        <v>1409</v>
      </c>
      <c r="L20" s="170" t="s">
        <v>1410</v>
      </c>
      <c r="M20" s="170" t="s">
        <v>1411</v>
      </c>
      <c r="N20" s="170" t="s">
        <v>1412</v>
      </c>
    </row>
    <row r="21" spans="1:14" ht="12.5">
      <c r="A21" s="171" t="s">
        <v>1413</v>
      </c>
      <c r="B21" s="172" t="s">
        <v>1414</v>
      </c>
      <c r="C21" s="173">
        <v>5</v>
      </c>
      <c r="D21" s="173">
        <v>1</v>
      </c>
      <c r="E21" s="173">
        <v>2</v>
      </c>
      <c r="F21" s="173">
        <v>2</v>
      </c>
      <c r="G21" s="173">
        <v>5</v>
      </c>
      <c r="H21" s="173">
        <v>1</v>
      </c>
      <c r="I21" s="173">
        <v>1</v>
      </c>
      <c r="J21" s="173">
        <v>5</v>
      </c>
      <c r="K21" s="173">
        <v>5</v>
      </c>
      <c r="L21" s="173">
        <v>1</v>
      </c>
      <c r="M21" s="173">
        <v>5</v>
      </c>
      <c r="N21" s="173">
        <v>33</v>
      </c>
    </row>
    <row r="22" spans="1:14" ht="12.5">
      <c r="A22" s="171" t="s">
        <v>1415</v>
      </c>
      <c r="B22" s="172" t="s">
        <v>1416</v>
      </c>
      <c r="C22" s="173">
        <v>5</v>
      </c>
      <c r="D22" s="173">
        <v>5</v>
      </c>
      <c r="E22" s="173">
        <v>4</v>
      </c>
      <c r="F22" s="173">
        <v>3</v>
      </c>
      <c r="G22" s="173">
        <v>3</v>
      </c>
      <c r="H22" s="173">
        <v>3</v>
      </c>
      <c r="I22" s="173">
        <v>4</v>
      </c>
      <c r="J22" s="173">
        <v>3</v>
      </c>
      <c r="K22" s="173">
        <v>3</v>
      </c>
      <c r="L22" s="173">
        <v>3</v>
      </c>
      <c r="M22" s="173">
        <v>3</v>
      </c>
      <c r="N22" s="173">
        <v>39</v>
      </c>
    </row>
    <row r="23" spans="1:14" ht="12.5">
      <c r="A23" s="171" t="s">
        <v>1417</v>
      </c>
      <c r="B23" s="172" t="s">
        <v>1418</v>
      </c>
      <c r="C23" s="173">
        <v>5</v>
      </c>
      <c r="D23" s="173">
        <v>4</v>
      </c>
      <c r="E23" s="173">
        <v>5</v>
      </c>
      <c r="F23" s="173">
        <v>4</v>
      </c>
      <c r="G23" s="173">
        <v>4</v>
      </c>
      <c r="H23" s="173">
        <v>5</v>
      </c>
      <c r="I23" s="173">
        <v>5</v>
      </c>
      <c r="J23" s="173">
        <v>5</v>
      </c>
      <c r="K23" s="173">
        <v>4</v>
      </c>
      <c r="L23" s="173">
        <v>5</v>
      </c>
      <c r="M23" s="173">
        <v>5</v>
      </c>
      <c r="N23" s="173">
        <v>51</v>
      </c>
    </row>
    <row r="24" spans="1:14" ht="12.5">
      <c r="A24" s="171" t="s">
        <v>1419</v>
      </c>
      <c r="B24" s="172" t="s">
        <v>1420</v>
      </c>
      <c r="C24" s="173">
        <v>4</v>
      </c>
      <c r="D24" s="173">
        <v>4</v>
      </c>
      <c r="E24" s="173">
        <v>5</v>
      </c>
      <c r="F24" s="173">
        <v>5</v>
      </c>
      <c r="G24" s="173">
        <v>3</v>
      </c>
      <c r="H24" s="173">
        <v>5</v>
      </c>
      <c r="I24" s="173">
        <v>5</v>
      </c>
      <c r="J24" s="173">
        <v>5</v>
      </c>
      <c r="K24" s="173">
        <v>5</v>
      </c>
      <c r="L24" s="173">
        <v>3</v>
      </c>
      <c r="M24" s="173">
        <v>3</v>
      </c>
      <c r="N24" s="173">
        <v>47</v>
      </c>
    </row>
    <row r="25" spans="1:14" ht="12.5">
      <c r="A25" s="171" t="s">
        <v>1421</v>
      </c>
      <c r="B25" s="172" t="s">
        <v>1422</v>
      </c>
      <c r="C25" s="173">
        <v>5</v>
      </c>
      <c r="D25" s="173">
        <v>5</v>
      </c>
      <c r="E25" s="173">
        <v>5</v>
      </c>
      <c r="F25" s="173">
        <v>5</v>
      </c>
      <c r="G25" s="173">
        <v>5</v>
      </c>
      <c r="H25" s="173">
        <v>5</v>
      </c>
      <c r="I25" s="173">
        <v>5</v>
      </c>
      <c r="J25" s="173">
        <v>5</v>
      </c>
      <c r="K25" s="173">
        <v>5</v>
      </c>
      <c r="L25" s="173">
        <v>5</v>
      </c>
      <c r="M25" s="173">
        <v>5</v>
      </c>
      <c r="N25" s="173">
        <v>55</v>
      </c>
    </row>
    <row r="26" spans="1:14" ht="12.5">
      <c r="A26" s="171" t="s">
        <v>1423</v>
      </c>
      <c r="B26" s="172" t="s">
        <v>1424</v>
      </c>
      <c r="C26" s="173">
        <v>5</v>
      </c>
      <c r="D26" s="173">
        <v>3</v>
      </c>
      <c r="E26" s="173">
        <v>5</v>
      </c>
      <c r="F26" s="173">
        <v>2</v>
      </c>
      <c r="G26" s="173">
        <v>5</v>
      </c>
      <c r="H26" s="173">
        <v>4</v>
      </c>
      <c r="I26" s="173">
        <v>3</v>
      </c>
      <c r="J26" s="173">
        <v>5</v>
      </c>
      <c r="K26" s="173">
        <v>5</v>
      </c>
      <c r="L26" s="173">
        <v>3</v>
      </c>
      <c r="M26" s="173">
        <v>5</v>
      </c>
      <c r="N26" s="173">
        <v>45</v>
      </c>
    </row>
    <row r="27" spans="1:14" ht="12.5">
      <c r="A27" s="171" t="s">
        <v>1425</v>
      </c>
      <c r="B27" s="172" t="s">
        <v>1426</v>
      </c>
      <c r="C27" s="173">
        <v>5</v>
      </c>
      <c r="D27" s="173">
        <v>4</v>
      </c>
      <c r="E27" s="173">
        <v>5</v>
      </c>
      <c r="F27" s="173">
        <v>2</v>
      </c>
      <c r="G27" s="173">
        <v>3</v>
      </c>
      <c r="H27" s="173">
        <v>2</v>
      </c>
      <c r="I27" s="173">
        <v>2</v>
      </c>
      <c r="J27" s="173">
        <v>2</v>
      </c>
      <c r="K27" s="173">
        <v>2</v>
      </c>
      <c r="L27" s="173">
        <v>5</v>
      </c>
      <c r="M27" s="173">
        <v>2</v>
      </c>
      <c r="N27" s="173">
        <v>34</v>
      </c>
    </row>
    <row r="28" spans="1:14" ht="12.5">
      <c r="A28" s="171" t="s">
        <v>1427</v>
      </c>
      <c r="B28" s="172" t="s">
        <v>1428</v>
      </c>
      <c r="C28" s="173">
        <v>5</v>
      </c>
      <c r="D28" s="173">
        <v>5</v>
      </c>
      <c r="E28" s="173">
        <v>5</v>
      </c>
      <c r="F28" s="173">
        <v>5</v>
      </c>
      <c r="G28" s="173">
        <v>5</v>
      </c>
      <c r="H28" s="173">
        <v>5</v>
      </c>
      <c r="I28" s="173">
        <v>5</v>
      </c>
      <c r="J28" s="173">
        <v>5</v>
      </c>
      <c r="K28" s="173">
        <v>5</v>
      </c>
      <c r="L28" s="173">
        <v>5</v>
      </c>
      <c r="M28" s="173">
        <v>5</v>
      </c>
      <c r="N28" s="173">
        <v>55</v>
      </c>
    </row>
    <row r="29" spans="1:14" ht="12.5">
      <c r="A29" s="171" t="s">
        <v>1429</v>
      </c>
      <c r="B29" s="172" t="s">
        <v>1430</v>
      </c>
      <c r="C29" s="173">
        <v>5</v>
      </c>
      <c r="D29" s="173">
        <v>2</v>
      </c>
      <c r="E29" s="173">
        <v>5</v>
      </c>
      <c r="F29" s="173">
        <v>4</v>
      </c>
      <c r="G29" s="173">
        <v>5</v>
      </c>
      <c r="H29" s="173">
        <v>5</v>
      </c>
      <c r="I29" s="173">
        <v>5</v>
      </c>
      <c r="J29" s="173">
        <v>5</v>
      </c>
      <c r="K29" s="173">
        <v>5</v>
      </c>
      <c r="L29" s="173">
        <v>2</v>
      </c>
      <c r="M29" s="173">
        <v>5</v>
      </c>
      <c r="N29" s="173">
        <v>48</v>
      </c>
    </row>
    <row r="30" spans="1:14" ht="12.5">
      <c r="A30" s="171" t="s">
        <v>1431</v>
      </c>
      <c r="B30" s="172" t="s">
        <v>1432</v>
      </c>
      <c r="C30" s="173">
        <v>4</v>
      </c>
      <c r="D30" s="173">
        <v>5</v>
      </c>
      <c r="E30" s="173">
        <v>4</v>
      </c>
      <c r="F30" s="173">
        <v>5</v>
      </c>
      <c r="G30" s="173">
        <v>3</v>
      </c>
      <c r="H30" s="173">
        <v>5</v>
      </c>
      <c r="I30" s="173">
        <v>5</v>
      </c>
      <c r="J30" s="173">
        <v>5</v>
      </c>
      <c r="K30" s="173">
        <v>5</v>
      </c>
      <c r="L30" s="173">
        <v>5</v>
      </c>
      <c r="M30" s="173">
        <v>3</v>
      </c>
      <c r="N30" s="173">
        <v>49</v>
      </c>
    </row>
    <row r="31" spans="1:14" ht="13">
      <c r="A31" s="174"/>
      <c r="B31" s="163"/>
      <c r="C31" s="175">
        <f t="shared" ref="C31:N31" si="4">AVERAGE(C21:C30)</f>
        <v>4.8</v>
      </c>
      <c r="D31" s="175">
        <f t="shared" si="4"/>
        <v>3.8</v>
      </c>
      <c r="E31" s="175">
        <f t="shared" si="4"/>
        <v>4.5</v>
      </c>
      <c r="F31" s="175">
        <f t="shared" si="4"/>
        <v>3.7</v>
      </c>
      <c r="G31" s="175">
        <f t="shared" si="4"/>
        <v>4.0999999999999996</v>
      </c>
      <c r="H31" s="175">
        <f t="shared" si="4"/>
        <v>4</v>
      </c>
      <c r="I31" s="175">
        <f t="shared" si="4"/>
        <v>4</v>
      </c>
      <c r="J31" s="175">
        <f t="shared" si="4"/>
        <v>4.5</v>
      </c>
      <c r="K31" s="175">
        <f t="shared" si="4"/>
        <v>4.4000000000000004</v>
      </c>
      <c r="L31" s="175">
        <f t="shared" si="4"/>
        <v>3.7</v>
      </c>
      <c r="M31" s="175">
        <f t="shared" si="4"/>
        <v>4.0999999999999996</v>
      </c>
      <c r="N31" s="175">
        <f t="shared" si="4"/>
        <v>45.6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/>
  </sheetViews>
  <sheetFormatPr defaultRowHeight="15" customHeight="1"/>
  <cols>
    <col min="1" max="1" width="25.08984375"/>
    <col min="2" max="2" width="31.26953125"/>
    <col min="3" max="3" width="6.7265625"/>
    <col min="4" max="4" width="5"/>
    <col min="5" max="11" width="12.26953125"/>
    <col min="12" max="1024" width="11.7265625"/>
  </cols>
  <sheetData>
    <row r="1" spans="1:5">
      <c r="A1" s="176" t="s">
        <v>1433</v>
      </c>
      <c r="B1" s="176" t="s">
        <v>1434</v>
      </c>
      <c r="C1" s="177"/>
      <c r="D1" s="177"/>
      <c r="E1" s="177"/>
    </row>
    <row r="2" spans="1:5">
      <c r="A2" s="177"/>
      <c r="B2" s="177"/>
      <c r="C2" s="177"/>
      <c r="D2" s="177"/>
      <c r="E2" s="177"/>
    </row>
    <row r="3" spans="1:5">
      <c r="A3" s="176" t="s">
        <v>1435</v>
      </c>
      <c r="B3" s="176" t="s">
        <v>1436</v>
      </c>
      <c r="C3" s="176"/>
      <c r="D3" s="176"/>
      <c r="E3" s="176"/>
    </row>
    <row r="4" spans="1:5">
      <c r="A4" s="178" t="s">
        <v>1437</v>
      </c>
      <c r="B4" s="178" t="s">
        <v>1438</v>
      </c>
    </row>
    <row r="5" spans="1:5">
      <c r="A5" s="178" t="s">
        <v>1439</v>
      </c>
      <c r="B5" s="178" t="s">
        <v>1440</v>
      </c>
    </row>
    <row r="6" spans="1:5">
      <c r="A6" s="178" t="s">
        <v>1441</v>
      </c>
      <c r="B6" s="178" t="s">
        <v>1442</v>
      </c>
    </row>
    <row r="7" spans="1:5">
      <c r="A7" s="179"/>
      <c r="B7" s="179"/>
    </row>
    <row r="8" spans="1:5">
      <c r="A8" s="178" t="s">
        <v>1443</v>
      </c>
      <c r="B8" s="178" t="s">
        <v>1444</v>
      </c>
    </row>
    <row r="9" spans="1:5">
      <c r="A9" s="180" t="s">
        <v>1445</v>
      </c>
      <c r="B9" s="179">
        <v>2</v>
      </c>
    </row>
    <row r="10" spans="1:5">
      <c r="A10" s="180" t="s">
        <v>1446</v>
      </c>
      <c r="B10" s="179">
        <v>2</v>
      </c>
    </row>
    <row r="11" spans="1:5">
      <c r="A11" s="180" t="s">
        <v>1447</v>
      </c>
      <c r="B11" s="179">
        <v>4</v>
      </c>
    </row>
    <row r="12" spans="1:5">
      <c r="A12" s="180" t="s">
        <v>1448</v>
      </c>
      <c r="B12" s="179">
        <v>6</v>
      </c>
    </row>
    <row r="13" spans="1:5">
      <c r="A13" s="180" t="s">
        <v>1449</v>
      </c>
      <c r="B13" s="179">
        <v>3</v>
      </c>
    </row>
    <row r="14" spans="1:5">
      <c r="A14" s="180" t="s">
        <v>1450</v>
      </c>
      <c r="B14" s="179">
        <v>5</v>
      </c>
    </row>
    <row r="15" spans="1:5">
      <c r="A15" s="180" t="s">
        <v>1451</v>
      </c>
      <c r="B15" s="179">
        <v>7</v>
      </c>
    </row>
    <row r="16" spans="1:5">
      <c r="A16" s="180" t="s">
        <v>1452</v>
      </c>
      <c r="B16" s="179">
        <v>4</v>
      </c>
    </row>
    <row r="17" spans="1:2">
      <c r="A17" s="180" t="s">
        <v>1453</v>
      </c>
      <c r="B17" s="179">
        <v>5</v>
      </c>
    </row>
    <row r="18" spans="1:2">
      <c r="A18" s="181" t="s">
        <v>1454</v>
      </c>
      <c r="B18" s="178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4"/>
  <sheetViews>
    <sheetView workbookViewId="0">
      <pane xSplit="3" topLeftCell="D1" activePane="topRight" state="frozen"/>
      <selection pane="topRight"/>
    </sheetView>
  </sheetViews>
  <sheetFormatPr defaultRowHeight="14.25" customHeight="1"/>
  <cols>
    <col min="1" max="2" width="0" hidden="1"/>
    <col min="3" max="32" width="11.453125"/>
    <col min="33" max="33" width="9.08984375"/>
    <col min="34" max="34" width="19.7265625"/>
    <col min="35" max="35" width="14.7265625"/>
    <col min="36" max="1024" width="11.453125"/>
  </cols>
  <sheetData>
    <row r="1" spans="1:36" ht="25">
      <c r="A1" s="182" t="s">
        <v>1455</v>
      </c>
      <c r="B1" s="182" t="s">
        <v>1456</v>
      </c>
      <c r="C1" s="182" t="s">
        <v>1457</v>
      </c>
      <c r="D1" s="182" t="s">
        <v>1458</v>
      </c>
      <c r="E1" s="182" t="s">
        <v>1459</v>
      </c>
      <c r="F1" s="183">
        <v>44837</v>
      </c>
      <c r="G1" s="183">
        <v>44838</v>
      </c>
      <c r="H1" s="183">
        <v>44839</v>
      </c>
      <c r="I1" s="183">
        <v>44840</v>
      </c>
      <c r="J1" s="183">
        <v>44841</v>
      </c>
      <c r="K1" s="183">
        <v>44842</v>
      </c>
      <c r="L1" s="183">
        <v>44844</v>
      </c>
      <c r="M1" s="183">
        <v>44845</v>
      </c>
      <c r="N1" s="183">
        <v>44846</v>
      </c>
      <c r="O1" s="183">
        <v>44847</v>
      </c>
      <c r="P1" s="183">
        <v>44848</v>
      </c>
      <c r="Q1" s="183">
        <v>44849</v>
      </c>
      <c r="R1" s="183">
        <v>44851</v>
      </c>
      <c r="S1" s="183">
        <v>44852</v>
      </c>
      <c r="T1" s="183">
        <v>44853</v>
      </c>
      <c r="U1" s="183">
        <v>44854</v>
      </c>
      <c r="V1" s="183">
        <v>44855</v>
      </c>
      <c r="W1" s="183">
        <v>44856</v>
      </c>
      <c r="X1" s="183">
        <v>44858</v>
      </c>
      <c r="Y1" s="183">
        <v>44859</v>
      </c>
      <c r="Z1" s="183">
        <v>44860</v>
      </c>
      <c r="AA1" s="183">
        <v>44861</v>
      </c>
      <c r="AB1" s="183">
        <v>44862</v>
      </c>
      <c r="AC1" s="183">
        <v>44865</v>
      </c>
      <c r="AD1" s="182" t="s">
        <v>1460</v>
      </c>
      <c r="AE1" s="184" t="s">
        <v>1461</v>
      </c>
      <c r="AF1" s="184" t="s">
        <v>1462</v>
      </c>
      <c r="AG1" s="184" t="s">
        <v>1463</v>
      </c>
      <c r="AH1" s="184" t="s">
        <v>1464</v>
      </c>
      <c r="AI1" s="184" t="s">
        <v>1465</v>
      </c>
    </row>
    <row r="2" spans="1:36" ht="24">
      <c r="A2" s="185">
        <v>1</v>
      </c>
      <c r="B2" s="186" t="s">
        <v>1466</v>
      </c>
      <c r="C2" s="185" t="s">
        <v>1467</v>
      </c>
      <c r="D2" s="185" t="s">
        <v>1468</v>
      </c>
      <c r="E2" s="185" t="s">
        <v>1469</v>
      </c>
      <c r="F2" s="187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>
        <f>COUNTA(G2:AD2)</f>
        <v>0</v>
      </c>
      <c r="AF2" s="184">
        <f>COUNTIF(G2:W2,"&gt;00:01:00")</f>
        <v>0</v>
      </c>
      <c r="AG2" s="184">
        <f t="shared" ref="AG2:AG14" si="0">IF(AF2&gt;2,AF2-2,0)</f>
        <v>0</v>
      </c>
      <c r="AH2" s="184">
        <f t="shared" ref="AH2:AH14" si="1">AG2*100</f>
        <v>0</v>
      </c>
      <c r="AI2" s="184">
        <v>0</v>
      </c>
      <c r="AJ2" s="184">
        <f t="shared" ref="AJ2:AJ14" si="2">AH2+AI2</f>
        <v>0</v>
      </c>
    </row>
    <row r="3" spans="1:36" ht="43.5">
      <c r="A3" s="185">
        <v>2</v>
      </c>
      <c r="B3" s="188" t="s">
        <v>1470</v>
      </c>
      <c r="C3" s="185" t="s">
        <v>1471</v>
      </c>
      <c r="D3" s="187" t="s">
        <v>1472</v>
      </c>
      <c r="E3" s="187" t="s">
        <v>1473</v>
      </c>
      <c r="F3" s="187" t="s">
        <v>1474</v>
      </c>
      <c r="G3" s="185"/>
      <c r="H3" s="185"/>
      <c r="I3" s="189">
        <v>4.2361111118225303E-3</v>
      </c>
      <c r="J3" s="185"/>
      <c r="K3" s="185"/>
      <c r="L3" s="185"/>
      <c r="M3" s="185"/>
      <c r="N3" s="185"/>
      <c r="O3" s="185"/>
      <c r="P3" s="185"/>
      <c r="Q3" s="185"/>
      <c r="R3" s="185"/>
      <c r="S3" s="189">
        <v>1.4583333322661901E-3</v>
      </c>
      <c r="T3" s="185"/>
      <c r="U3" s="185"/>
      <c r="V3" s="185"/>
      <c r="W3" s="189">
        <v>6.8865740722685604E-3</v>
      </c>
      <c r="X3" s="185"/>
      <c r="Y3" s="185"/>
      <c r="Z3" s="185"/>
      <c r="AA3" s="189">
        <v>4.1319444426335299E-3</v>
      </c>
      <c r="AB3" s="185"/>
      <c r="AC3" s="189">
        <v>1.75925925941556E-3</v>
      </c>
      <c r="AD3" s="185"/>
      <c r="AE3" s="190">
        <f t="shared" ref="AE3:AE14" si="3">SUM(G3:AD3)</f>
        <v>1.8472222218406373E-2</v>
      </c>
      <c r="AF3" s="184">
        <f t="shared" ref="AF3:AF14" si="4">COUNTIF(G3:AD3,"&gt;00:01:00")</f>
        <v>5</v>
      </c>
      <c r="AG3" s="184">
        <f t="shared" si="0"/>
        <v>3</v>
      </c>
      <c r="AH3" s="184">
        <f t="shared" si="1"/>
        <v>300</v>
      </c>
      <c r="AI3" s="184">
        <v>200</v>
      </c>
      <c r="AJ3" s="184">
        <f t="shared" si="2"/>
        <v>500</v>
      </c>
    </row>
    <row r="4" spans="1:36" ht="14.5">
      <c r="A4" s="185">
        <v>3</v>
      </c>
      <c r="B4" s="188" t="s">
        <v>1475</v>
      </c>
      <c r="C4" s="185" t="s">
        <v>1476</v>
      </c>
      <c r="D4" s="187" t="s">
        <v>1477</v>
      </c>
      <c r="E4" s="187" t="s">
        <v>1478</v>
      </c>
      <c r="F4" s="187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90">
        <f t="shared" si="3"/>
        <v>0</v>
      </c>
      <c r="AF4" s="184">
        <f t="shared" si="4"/>
        <v>0</v>
      </c>
      <c r="AG4" s="184">
        <f t="shared" si="0"/>
        <v>0</v>
      </c>
      <c r="AH4" s="184">
        <f t="shared" si="1"/>
        <v>0</v>
      </c>
      <c r="AI4" s="184">
        <v>0</v>
      </c>
      <c r="AJ4" s="184">
        <f t="shared" si="2"/>
        <v>0</v>
      </c>
    </row>
    <row r="5" spans="1:36" ht="26">
      <c r="A5" s="185">
        <v>4</v>
      </c>
      <c r="B5" s="188" t="s">
        <v>1479</v>
      </c>
      <c r="C5" s="185" t="s">
        <v>1480</v>
      </c>
      <c r="D5" s="187" t="s">
        <v>1481</v>
      </c>
      <c r="E5" s="187" t="s">
        <v>1482</v>
      </c>
      <c r="F5" s="187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90">
        <f t="shared" si="3"/>
        <v>0</v>
      </c>
      <c r="AF5" s="184">
        <f t="shared" si="4"/>
        <v>0</v>
      </c>
      <c r="AG5" s="184">
        <f t="shared" si="0"/>
        <v>0</v>
      </c>
      <c r="AH5" s="184">
        <f t="shared" si="1"/>
        <v>0</v>
      </c>
      <c r="AI5" s="184">
        <v>0</v>
      </c>
      <c r="AJ5" s="184">
        <f t="shared" si="2"/>
        <v>0</v>
      </c>
    </row>
    <row r="6" spans="1:36" ht="26">
      <c r="A6" s="185">
        <v>5</v>
      </c>
      <c r="B6" s="188" t="s">
        <v>1483</v>
      </c>
      <c r="C6" s="185" t="s">
        <v>1484</v>
      </c>
      <c r="D6" s="187" t="s">
        <v>1485</v>
      </c>
      <c r="E6" s="187" t="s">
        <v>1486</v>
      </c>
      <c r="F6" s="187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90">
        <f t="shared" si="3"/>
        <v>0</v>
      </c>
      <c r="AF6" s="184">
        <f t="shared" si="4"/>
        <v>0</v>
      </c>
      <c r="AG6" s="184">
        <f t="shared" si="0"/>
        <v>0</v>
      </c>
      <c r="AH6" s="184">
        <f t="shared" si="1"/>
        <v>0</v>
      </c>
      <c r="AI6" s="184">
        <v>0</v>
      </c>
      <c r="AJ6" s="184">
        <f t="shared" si="2"/>
        <v>0</v>
      </c>
    </row>
    <row r="7" spans="1:36" ht="26">
      <c r="A7" s="185">
        <v>6</v>
      </c>
      <c r="B7" s="188" t="s">
        <v>1487</v>
      </c>
      <c r="C7" s="185" t="s">
        <v>1488</v>
      </c>
      <c r="D7" s="187" t="s">
        <v>1489</v>
      </c>
      <c r="E7" s="187" t="s">
        <v>1490</v>
      </c>
      <c r="F7" s="187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90">
        <f t="shared" si="3"/>
        <v>0</v>
      </c>
      <c r="AF7" s="184">
        <f t="shared" si="4"/>
        <v>0</v>
      </c>
      <c r="AG7" s="184">
        <f t="shared" si="0"/>
        <v>0</v>
      </c>
      <c r="AH7" s="184">
        <f t="shared" si="1"/>
        <v>0</v>
      </c>
      <c r="AI7" s="184">
        <v>0</v>
      </c>
      <c r="AJ7" s="184">
        <f t="shared" si="2"/>
        <v>0</v>
      </c>
    </row>
    <row r="8" spans="1:36" ht="14.5">
      <c r="A8" s="185">
        <v>7</v>
      </c>
      <c r="B8" s="188" t="s">
        <v>1491</v>
      </c>
      <c r="C8" s="185" t="s">
        <v>1492</v>
      </c>
      <c r="D8" s="187" t="s">
        <v>1493</v>
      </c>
      <c r="E8" s="187" t="s">
        <v>1494</v>
      </c>
      <c r="F8" s="191"/>
      <c r="G8" s="185"/>
      <c r="H8" s="185"/>
      <c r="I8" s="187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90">
        <f t="shared" si="3"/>
        <v>0</v>
      </c>
      <c r="AF8" s="184">
        <f t="shared" si="4"/>
        <v>0</v>
      </c>
      <c r="AG8" s="184">
        <f t="shared" si="0"/>
        <v>0</v>
      </c>
      <c r="AH8" s="184">
        <f t="shared" si="1"/>
        <v>0</v>
      </c>
      <c r="AI8" s="184">
        <v>0</v>
      </c>
      <c r="AJ8" s="184">
        <f t="shared" si="2"/>
        <v>0</v>
      </c>
    </row>
    <row r="9" spans="1:36" ht="26">
      <c r="A9" s="185">
        <v>8</v>
      </c>
      <c r="B9" s="188" t="s">
        <v>1495</v>
      </c>
      <c r="C9" s="185" t="s">
        <v>1496</v>
      </c>
      <c r="D9" s="187" t="s">
        <v>1497</v>
      </c>
      <c r="E9" s="187" t="s">
        <v>1498</v>
      </c>
      <c r="F9" s="187"/>
      <c r="G9" s="185"/>
      <c r="H9" s="185"/>
      <c r="I9" s="185"/>
      <c r="J9" s="185"/>
      <c r="K9" s="185"/>
      <c r="L9" s="185"/>
      <c r="M9" s="185"/>
      <c r="N9" s="185"/>
      <c r="O9" s="189">
        <v>2.7314814797136898E-3</v>
      </c>
      <c r="P9" s="185"/>
      <c r="Q9" s="185"/>
      <c r="R9" s="185"/>
      <c r="S9" s="185"/>
      <c r="T9" s="185"/>
      <c r="U9" s="185"/>
      <c r="V9" s="189">
        <v>2.7314814797136898E-3</v>
      </c>
      <c r="W9" s="185"/>
      <c r="X9" s="185"/>
      <c r="Y9" s="189">
        <v>8.7731481471564603E-3</v>
      </c>
      <c r="Z9" s="185"/>
      <c r="AA9" s="185"/>
      <c r="AB9" s="185"/>
      <c r="AC9" s="185"/>
      <c r="AD9" s="185"/>
      <c r="AE9" s="190">
        <f t="shared" si="3"/>
        <v>1.423611110658384E-2</v>
      </c>
      <c r="AF9" s="184">
        <f t="shared" si="4"/>
        <v>3</v>
      </c>
      <c r="AG9" s="184">
        <f t="shared" si="0"/>
        <v>1</v>
      </c>
      <c r="AH9" s="184">
        <f t="shared" si="1"/>
        <v>100</v>
      </c>
      <c r="AI9" s="184">
        <v>0</v>
      </c>
      <c r="AJ9" s="184">
        <f t="shared" si="2"/>
        <v>100</v>
      </c>
    </row>
    <row r="10" spans="1:36" ht="29">
      <c r="A10" s="185">
        <v>9</v>
      </c>
      <c r="B10" s="188" t="s">
        <v>1499</v>
      </c>
      <c r="C10" s="185" t="s">
        <v>1500</v>
      </c>
      <c r="D10" s="187" t="s">
        <v>1501</v>
      </c>
      <c r="E10" s="187" t="s">
        <v>1502</v>
      </c>
      <c r="F10" s="187" t="s">
        <v>1503</v>
      </c>
      <c r="G10" s="187"/>
      <c r="H10" s="185"/>
      <c r="I10" s="189">
        <v>4.6875000007276001E-3</v>
      </c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90">
        <f t="shared" si="3"/>
        <v>4.6875000007276001E-3</v>
      </c>
      <c r="AF10" s="184">
        <f t="shared" si="4"/>
        <v>1</v>
      </c>
      <c r="AG10" s="184">
        <f t="shared" si="0"/>
        <v>0</v>
      </c>
      <c r="AH10" s="184">
        <f t="shared" si="1"/>
        <v>0</v>
      </c>
      <c r="AI10" s="184">
        <v>0</v>
      </c>
      <c r="AJ10" s="184">
        <f t="shared" si="2"/>
        <v>0</v>
      </c>
    </row>
    <row r="11" spans="1:36" ht="25.5">
      <c r="A11" s="185">
        <v>10</v>
      </c>
      <c r="B11" s="188" t="s">
        <v>1504</v>
      </c>
      <c r="C11" s="185" t="s">
        <v>1505</v>
      </c>
      <c r="D11" s="185" t="s">
        <v>1506</v>
      </c>
      <c r="E11" s="185" t="s">
        <v>1507</v>
      </c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90">
        <f t="shared" si="3"/>
        <v>0</v>
      </c>
      <c r="AF11" s="184">
        <f t="shared" si="4"/>
        <v>0</v>
      </c>
      <c r="AG11" s="184">
        <f t="shared" si="0"/>
        <v>0</v>
      </c>
      <c r="AH11" s="184">
        <f t="shared" si="1"/>
        <v>0</v>
      </c>
      <c r="AI11" s="184">
        <v>0</v>
      </c>
      <c r="AJ11" s="184">
        <f t="shared" si="2"/>
        <v>0</v>
      </c>
    </row>
    <row r="12" spans="1:36" ht="25.5">
      <c r="A12" s="185">
        <v>11</v>
      </c>
      <c r="B12" s="188" t="s">
        <v>1508</v>
      </c>
      <c r="C12" s="185" t="s">
        <v>1509</v>
      </c>
      <c r="D12" s="185" t="s">
        <v>1510</v>
      </c>
      <c r="E12" s="185" t="s">
        <v>1511</v>
      </c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90">
        <f t="shared" si="3"/>
        <v>0</v>
      </c>
      <c r="AF12" s="184">
        <f t="shared" si="4"/>
        <v>0</v>
      </c>
      <c r="AG12" s="184">
        <f t="shared" si="0"/>
        <v>0</v>
      </c>
      <c r="AH12" s="184">
        <f t="shared" si="1"/>
        <v>0</v>
      </c>
      <c r="AI12" s="184">
        <v>0</v>
      </c>
      <c r="AJ12" s="184">
        <f t="shared" si="2"/>
        <v>0</v>
      </c>
    </row>
    <row r="13" spans="1:36" ht="38">
      <c r="A13" s="185">
        <v>12</v>
      </c>
      <c r="B13" s="188" t="s">
        <v>1512</v>
      </c>
      <c r="C13" s="185" t="s">
        <v>1513</v>
      </c>
      <c r="D13" s="185" t="s">
        <v>1514</v>
      </c>
      <c r="E13" s="185" t="s">
        <v>1515</v>
      </c>
      <c r="F13" s="185" t="s">
        <v>1516</v>
      </c>
      <c r="G13" s="189">
        <v>1.18055555503815E-3</v>
      </c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90">
        <f t="shared" si="3"/>
        <v>1.18055555503815E-3</v>
      </c>
      <c r="AF13" s="184">
        <f t="shared" si="4"/>
        <v>1</v>
      </c>
      <c r="AG13" s="184">
        <f t="shared" si="0"/>
        <v>0</v>
      </c>
      <c r="AH13" s="184">
        <f t="shared" si="1"/>
        <v>0</v>
      </c>
      <c r="AI13" s="184">
        <v>0</v>
      </c>
      <c r="AJ13" s="184">
        <f t="shared" si="2"/>
        <v>0</v>
      </c>
    </row>
    <row r="14" spans="1:36" ht="25.5">
      <c r="A14" s="185">
        <v>13</v>
      </c>
      <c r="B14" s="188" t="s">
        <v>1517</v>
      </c>
      <c r="C14" s="185" t="s">
        <v>1518</v>
      </c>
      <c r="D14" s="185" t="s">
        <v>1519</v>
      </c>
      <c r="E14" s="185" t="s">
        <v>1520</v>
      </c>
      <c r="F14" s="185"/>
      <c r="G14" s="185"/>
      <c r="H14" s="185"/>
      <c r="I14" s="185"/>
      <c r="J14" s="185"/>
      <c r="K14" s="185"/>
      <c r="L14" s="185"/>
      <c r="M14" s="185"/>
      <c r="N14" s="185"/>
      <c r="O14" s="189">
        <v>1.65509259386453E-3</v>
      </c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90">
        <f t="shared" si="3"/>
        <v>1.65509259386453E-3</v>
      </c>
      <c r="AF14" s="184">
        <f t="shared" si="4"/>
        <v>1</v>
      </c>
      <c r="AG14" s="184">
        <f t="shared" si="0"/>
        <v>0</v>
      </c>
      <c r="AH14" s="184">
        <f t="shared" si="1"/>
        <v>0</v>
      </c>
      <c r="AI14" s="184">
        <v>0</v>
      </c>
      <c r="AJ14" s="18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/>
  </sheetViews>
  <sheetFormatPr defaultRowHeight="15" customHeight="1"/>
  <cols>
    <col min="1" max="1" width="12.26953125"/>
    <col min="2" max="2" width="20.08984375"/>
    <col min="3" max="3" width="12.26953125"/>
    <col min="4" max="4" width="16.81640625" style="192"/>
    <col min="5" max="5" width="18.54296875"/>
    <col min="6" max="6" width="10"/>
    <col min="7" max="7" width="12.26953125"/>
    <col min="8" max="8" width="13.54296875"/>
    <col min="9" max="9" width="12.08984375"/>
    <col min="10" max="10" width="7"/>
    <col min="11" max="1024" width="12.26953125"/>
    <col min="1025" max="1025" width="11.453125"/>
  </cols>
  <sheetData>
    <row r="1" spans="1:9" ht="13">
      <c r="A1" s="193" t="s">
        <v>1521</v>
      </c>
      <c r="B1" s="193" t="s">
        <v>1522</v>
      </c>
      <c r="C1" s="193" t="s">
        <v>1523</v>
      </c>
      <c r="D1" s="193" t="s">
        <v>1524</v>
      </c>
      <c r="E1" s="193" t="s">
        <v>1525</v>
      </c>
      <c r="F1" s="193" t="s">
        <v>1526</v>
      </c>
      <c r="G1" s="193" t="s">
        <v>1527</v>
      </c>
      <c r="H1" s="193" t="s">
        <v>1528</v>
      </c>
      <c r="I1" s="193" t="s">
        <v>1529</v>
      </c>
    </row>
    <row r="2" spans="1:9" ht="14.5">
      <c r="A2" s="194" t="s">
        <v>1530</v>
      </c>
      <c r="B2" s="194" t="s">
        <v>1531</v>
      </c>
      <c r="C2" s="195">
        <v>44424</v>
      </c>
      <c r="D2" s="196">
        <v>44791</v>
      </c>
      <c r="E2" s="197">
        <v>44836</v>
      </c>
      <c r="F2" s="198">
        <v>46996.9</v>
      </c>
      <c r="G2" s="172" t="s">
        <v>1532</v>
      </c>
      <c r="H2" s="198">
        <v>46996.9</v>
      </c>
      <c r="I2" s="199" t="s">
        <v>1533</v>
      </c>
    </row>
    <row r="3" spans="1:9" ht="14.5">
      <c r="A3" s="200" t="s">
        <v>1534</v>
      </c>
      <c r="B3" s="170" t="s">
        <v>1535</v>
      </c>
      <c r="C3" s="201">
        <v>44733</v>
      </c>
      <c r="D3" s="202">
        <v>44797</v>
      </c>
      <c r="E3" s="203">
        <v>44842</v>
      </c>
      <c r="F3" s="163">
        <v>12199.2</v>
      </c>
      <c r="G3" s="163" t="s">
        <v>1536</v>
      </c>
      <c r="H3" s="163">
        <v>12199.2</v>
      </c>
      <c r="I3" s="163" t="s">
        <v>1537</v>
      </c>
    </row>
    <row r="4" spans="1:9" ht="14.5">
      <c r="A4" s="204" t="s">
        <v>1538</v>
      </c>
      <c r="B4" s="170" t="s">
        <v>1539</v>
      </c>
      <c r="C4" s="201">
        <v>44760</v>
      </c>
      <c r="D4" s="202">
        <v>44797</v>
      </c>
      <c r="E4" s="203">
        <v>44842</v>
      </c>
      <c r="F4" s="163">
        <v>13625.8</v>
      </c>
      <c r="G4" s="163" t="s">
        <v>1540</v>
      </c>
      <c r="H4" s="163">
        <v>13625.8</v>
      </c>
      <c r="I4" s="163" t="s">
        <v>1541</v>
      </c>
    </row>
    <row r="5" spans="1:9" ht="14.5">
      <c r="A5" s="200" t="s">
        <v>1542</v>
      </c>
      <c r="B5" s="170" t="s">
        <v>1543</v>
      </c>
      <c r="C5" s="201">
        <v>44753</v>
      </c>
      <c r="D5" s="202">
        <v>44797</v>
      </c>
      <c r="E5" s="203">
        <v>44842</v>
      </c>
      <c r="F5" s="163">
        <v>15999</v>
      </c>
      <c r="G5" s="163" t="s">
        <v>1544</v>
      </c>
      <c r="H5" s="163">
        <v>15999</v>
      </c>
      <c r="I5" s="163" t="s">
        <v>1545</v>
      </c>
    </row>
    <row r="6" spans="1:9" ht="14.5">
      <c r="A6" s="204" t="s">
        <v>1546</v>
      </c>
      <c r="B6" s="170" t="s">
        <v>1547</v>
      </c>
      <c r="C6" s="201">
        <v>44760</v>
      </c>
      <c r="D6" s="202">
        <v>44797</v>
      </c>
      <c r="E6" s="203">
        <v>44842</v>
      </c>
      <c r="F6" s="163">
        <f>16123.9+460</f>
        <v>16583.900000000001</v>
      </c>
      <c r="G6" s="163" t="s">
        <v>1548</v>
      </c>
      <c r="H6" s="163">
        <v>16123.9</v>
      </c>
      <c r="I6" s="163" t="s">
        <v>1549</v>
      </c>
    </row>
    <row r="7" spans="1:9" s="213" customFormat="1" ht="18.75" customHeight="1">
      <c r="A7" s="205" t="s">
        <v>1550</v>
      </c>
      <c r="B7" s="206" t="s">
        <v>1551</v>
      </c>
      <c r="C7" s="207">
        <v>44721</v>
      </c>
      <c r="D7" s="208">
        <v>44798</v>
      </c>
      <c r="E7" s="209">
        <v>44843</v>
      </c>
      <c r="F7" s="210">
        <v>20956.5</v>
      </c>
      <c r="G7" s="211" t="s">
        <v>1552</v>
      </c>
      <c r="H7" s="212">
        <v>20956.5</v>
      </c>
      <c r="I7" s="199" t="s">
        <v>1553</v>
      </c>
    </row>
    <row r="8" spans="1:9" ht="14.5">
      <c r="A8" s="204" t="s">
        <v>1554</v>
      </c>
      <c r="B8" s="170" t="s">
        <v>1555</v>
      </c>
      <c r="C8" s="214">
        <v>44713</v>
      </c>
      <c r="D8" s="202">
        <v>44819</v>
      </c>
      <c r="E8" s="203">
        <v>44866</v>
      </c>
      <c r="F8" s="163">
        <v>10150.4</v>
      </c>
      <c r="G8" s="163" t="s">
        <v>1556</v>
      </c>
      <c r="H8" s="163">
        <v>10150.4</v>
      </c>
      <c r="I8" s="163" t="s">
        <v>1557</v>
      </c>
    </row>
    <row r="9" spans="1:9" ht="13">
      <c r="D9" s="215"/>
    </row>
    <row r="10" spans="1:9" ht="13">
      <c r="D10" s="215"/>
    </row>
    <row r="11" spans="1:9" ht="13">
      <c r="D11" s="215"/>
    </row>
    <row r="12" spans="1:9" ht="13">
      <c r="D12" s="215"/>
    </row>
    <row r="13" spans="1:9" ht="13">
      <c r="D13" s="215"/>
    </row>
    <row r="14" spans="1:9" ht="13">
      <c r="D14" s="215"/>
    </row>
    <row r="15" spans="1:9" ht="13">
      <c r="D15" s="215"/>
    </row>
  </sheetData>
  <conditionalFormatting sqref="C8">
    <cfRule type="expression" priority="1">
      <formula>#REF!</formula>
    </cfRule>
  </conditionalFormatting>
  <conditionalFormatting sqref="C2">
    <cfRule type="expression" priority="2">
      <formula>#REF!</formula>
    </cfRule>
  </conditionalFormatting>
  <conditionalFormatting sqref="C3">
    <cfRule type="expression" priority="3">
      <formula>#REF!</formula>
    </cfRule>
  </conditionalFormatting>
  <conditionalFormatting sqref="C4">
    <cfRule type="expression" priority="4">
      <formula>#REF!</formula>
    </cfRule>
  </conditionalFormatting>
  <conditionalFormatting sqref="C5">
    <cfRule type="expression" priority="5">
      <formula>#REF!</formula>
    </cfRule>
  </conditionalFormatting>
  <conditionalFormatting sqref="C6">
    <cfRule type="expression" priority="6">
      <formula>#REF!</formula>
    </cfRule>
  </conditionalFormatting>
  <conditionalFormatting sqref="C7">
    <cfRule type="expression" priority="7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D7D31"/>
  </sheetPr>
  <dimension ref="A1:AKS28"/>
  <sheetViews>
    <sheetView workbookViewId="0">
      <pane xSplit="2" ySplit="1" topLeftCell="AK14" activePane="bottomRight" state="frozen"/>
      <selection pane="topRight"/>
      <selection pane="bottomLeft"/>
      <selection pane="bottomRight" activeCell="AO2" sqref="AO2:AV27"/>
    </sheetView>
  </sheetViews>
  <sheetFormatPr defaultRowHeight="16.5" customHeight="1"/>
  <cols>
    <col min="1" max="1" width="13.81640625"/>
    <col min="2" max="2" width="19.08984375"/>
    <col min="3" max="3" width="13"/>
    <col min="4" max="4" width="15.54296875"/>
    <col min="5" max="5" width="21.26953125"/>
    <col min="6" max="29" width="12.26953125"/>
    <col min="30" max="32" width="14.26953125"/>
    <col min="33" max="36" width="12.26953125"/>
    <col min="37" max="38" width="14.26953125"/>
    <col min="39" max="39" width="9.26953125"/>
    <col min="40" max="40" width="7.54296875" style="216"/>
    <col min="41" max="41" width="7"/>
    <col min="42" max="42" width="6.81640625"/>
    <col min="43" max="43" width="11.08984375" style="17"/>
    <col min="44" max="44" width="8.08984375"/>
    <col min="45" max="45" width="11"/>
    <col min="46" max="46" width="9.7265625"/>
    <col min="47" max="47" width="9.81640625"/>
    <col min="48" max="48" width="9" style="23"/>
    <col min="49" max="49" width="12.26953125" style="23"/>
    <col min="50" max="50" width="10.453125"/>
    <col min="51" max="51" width="10.54296875"/>
    <col min="52" max="52" width="10.26953125"/>
    <col min="53" max="54" width="12.26953125"/>
    <col min="55" max="55" width="12.26953125" style="17"/>
    <col min="56" max="981" width="14.54296875"/>
    <col min="982" max="1024" width="13.26953125"/>
    <col min="1025" max="1025" width="11.453125"/>
  </cols>
  <sheetData>
    <row r="1" spans="1:981" s="27" customFormat="1" ht="69.75" customHeight="1">
      <c r="A1" s="1" t="s">
        <v>1558</v>
      </c>
      <c r="B1" s="1" t="s">
        <v>1559</v>
      </c>
      <c r="C1" s="1" t="s">
        <v>1560</v>
      </c>
      <c r="D1" s="1" t="s">
        <v>1561</v>
      </c>
      <c r="E1" s="1" t="s">
        <v>1562</v>
      </c>
      <c r="F1" s="1" t="s">
        <v>1563</v>
      </c>
      <c r="G1" s="1" t="s">
        <v>1564</v>
      </c>
      <c r="H1" s="217">
        <v>44835</v>
      </c>
      <c r="I1" s="217">
        <v>44836</v>
      </c>
      <c r="J1" s="217">
        <v>44837</v>
      </c>
      <c r="K1" s="217">
        <v>44838</v>
      </c>
      <c r="L1" s="217">
        <v>44839</v>
      </c>
      <c r="M1" s="217">
        <v>44840</v>
      </c>
      <c r="N1" s="217">
        <v>44841</v>
      </c>
      <c r="O1" s="217">
        <v>44842</v>
      </c>
      <c r="P1" s="217">
        <v>44843</v>
      </c>
      <c r="Q1" s="217">
        <v>44844</v>
      </c>
      <c r="R1" s="217">
        <v>44845</v>
      </c>
      <c r="S1" s="217">
        <v>44846</v>
      </c>
      <c r="T1" s="217">
        <v>44847</v>
      </c>
      <c r="U1" s="217">
        <v>44848</v>
      </c>
      <c r="V1" s="217">
        <v>44849</v>
      </c>
      <c r="W1" s="217">
        <v>44850</v>
      </c>
      <c r="X1" s="217">
        <v>44851</v>
      </c>
      <c r="Y1" s="217">
        <v>44852</v>
      </c>
      <c r="Z1" s="217">
        <v>44853</v>
      </c>
      <c r="AA1" s="217">
        <v>44854</v>
      </c>
      <c r="AB1" s="217">
        <v>44855</v>
      </c>
      <c r="AC1" s="217">
        <v>44856</v>
      </c>
      <c r="AD1" s="217">
        <v>44857</v>
      </c>
      <c r="AE1" s="217">
        <v>44858</v>
      </c>
      <c r="AF1" s="217">
        <v>44859</v>
      </c>
      <c r="AG1" s="217">
        <v>44860</v>
      </c>
      <c r="AH1" s="217">
        <v>44861</v>
      </c>
      <c r="AI1" s="217">
        <v>44862</v>
      </c>
      <c r="AJ1" s="217">
        <v>44863</v>
      </c>
      <c r="AK1" s="217">
        <v>44864</v>
      </c>
      <c r="AL1" s="217">
        <v>44865</v>
      </c>
      <c r="AM1" s="1" t="s">
        <v>1565</v>
      </c>
      <c r="AN1" s="218" t="s">
        <v>1566</v>
      </c>
      <c r="AO1" s="1" t="s">
        <v>1567</v>
      </c>
      <c r="AP1" s="1" t="s">
        <v>1568</v>
      </c>
      <c r="AQ1" s="219" t="s">
        <v>1569</v>
      </c>
      <c r="AR1" s="1" t="s">
        <v>1570</v>
      </c>
      <c r="AS1" s="1" t="s">
        <v>1571</v>
      </c>
      <c r="AT1" s="1" t="s">
        <v>1572</v>
      </c>
      <c r="AU1" s="220" t="s">
        <v>1573</v>
      </c>
      <c r="AV1" s="1" t="s">
        <v>1574</v>
      </c>
      <c r="AW1" s="1" t="s">
        <v>1575</v>
      </c>
      <c r="AX1" s="1" t="s">
        <v>1576</v>
      </c>
      <c r="AY1" s="1" t="s">
        <v>1577</v>
      </c>
      <c r="AZ1" s="221" t="s">
        <v>1578</v>
      </c>
      <c r="BA1" s="1" t="s">
        <v>1579</v>
      </c>
      <c r="BB1" s="1" t="s">
        <v>1580</v>
      </c>
      <c r="BC1" s="222" t="s">
        <v>1581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</row>
    <row r="2" spans="1:981" ht="14.5">
      <c r="A2" s="127" t="s">
        <v>1582</v>
      </c>
      <c r="B2" s="28" t="s">
        <v>1583</v>
      </c>
      <c r="C2" s="29">
        <v>43895</v>
      </c>
      <c r="D2" s="28" t="s">
        <v>1584</v>
      </c>
      <c r="E2" s="28" t="s">
        <v>1585</v>
      </c>
      <c r="F2" s="28">
        <f t="shared" ref="F2:F25" ca="1" si="0">DATEDIF(C2,TODAY(),"M")</f>
        <v>32</v>
      </c>
      <c r="G2" s="173" t="s">
        <v>1586</v>
      </c>
      <c r="H2" s="223" t="s">
        <v>1587</v>
      </c>
      <c r="I2" s="224" t="s">
        <v>1588</v>
      </c>
      <c r="J2" s="224" t="s">
        <v>1589</v>
      </c>
      <c r="K2" s="224" t="s">
        <v>1590</v>
      </c>
      <c r="L2" s="224" t="s">
        <v>1591</v>
      </c>
      <c r="M2" s="173" t="s">
        <v>1592</v>
      </c>
      <c r="N2" s="224" t="s">
        <v>1593</v>
      </c>
      <c r="O2" s="224" t="s">
        <v>1594</v>
      </c>
      <c r="P2" s="224" t="s">
        <v>1595</v>
      </c>
      <c r="Q2" s="102" t="s">
        <v>1596</v>
      </c>
      <c r="R2" s="224" t="s">
        <v>1597</v>
      </c>
      <c r="S2" s="173" t="s">
        <v>1598</v>
      </c>
      <c r="T2" s="173" t="s">
        <v>1599</v>
      </c>
      <c r="U2" s="225" t="s">
        <v>1600</v>
      </c>
      <c r="V2" s="224" t="s">
        <v>1601</v>
      </c>
      <c r="W2" s="224" t="s">
        <v>1602</v>
      </c>
      <c r="X2" s="224" t="s">
        <v>1603</v>
      </c>
      <c r="Y2" s="224" t="s">
        <v>1604</v>
      </c>
      <c r="Z2" s="173" t="s">
        <v>1605</v>
      </c>
      <c r="AA2" s="173" t="s">
        <v>1606</v>
      </c>
      <c r="AB2" s="225" t="s">
        <v>1607</v>
      </c>
      <c r="AC2" s="225" t="s">
        <v>1608</v>
      </c>
      <c r="AD2" s="224" t="s">
        <v>1609</v>
      </c>
      <c r="AE2" s="224" t="s">
        <v>1610</v>
      </c>
      <c r="AF2" s="224" t="s">
        <v>1611</v>
      </c>
      <c r="AG2" s="224" t="s">
        <v>1612</v>
      </c>
      <c r="AH2" s="224" t="s">
        <v>1613</v>
      </c>
      <c r="AI2" s="225" t="s">
        <v>1614</v>
      </c>
      <c r="AJ2" s="225" t="s">
        <v>1615</v>
      </c>
      <c r="AK2" s="225" t="s">
        <v>1616</v>
      </c>
      <c r="AL2" s="225" t="s">
        <v>1617</v>
      </c>
      <c r="AM2" s="226">
        <v>5.5</v>
      </c>
      <c r="AN2" s="227">
        <f t="shared" ref="AN2:AN27" si="1">AQ2+AT2</f>
        <v>21</v>
      </c>
      <c r="AO2" s="32">
        <f t="shared" ref="AO2:AO27" si="2">COUNTIF(H2:AL2,"AB")</f>
        <v>0</v>
      </c>
      <c r="AP2" s="32">
        <f t="shared" ref="AP2:AP27" si="3">COUNTIF(H2:AL2,"UPL")</f>
        <v>1</v>
      </c>
      <c r="AQ2" s="42">
        <f t="shared" ref="AQ2:AQ27" si="4">COUNTIF($H2:$AL2,"WFO-P")+COUNTIF($H2:$AL2,"WFH-P")+COUNTIF($H2:$AL2,"SD")+COUNTIF(H2:AL2,"BL")</f>
        <v>21</v>
      </c>
      <c r="AR2" s="32">
        <f t="shared" ref="AR2:AR27" si="5">COUNTIF($H2:$AL2,"WFO-HD")+COUNTIF($H2:$AL2,"WFH-HD")</f>
        <v>0</v>
      </c>
      <c r="AS2" s="32">
        <f t="shared" ref="AS2:AS27" si="6">COUNTIF($H2:$AL2,"W/O")+COUNTIF($H2:$AL2,"PH")</f>
        <v>9</v>
      </c>
      <c r="AT2" s="32">
        <f t="shared" ref="AT2:AT27" si="7">COUNTIF($H2:$AL2,"LATE")</f>
        <v>0</v>
      </c>
      <c r="AU2" s="37">
        <f t="shared" ref="AU2:AU27" si="8">IF(AT2&gt;2,AT2-2,0)</f>
        <v>0</v>
      </c>
      <c r="AV2" s="30">
        <v>1</v>
      </c>
      <c r="AW2" s="34">
        <f t="shared" ref="AW2:AW27" si="9">AQ2+AS2+AV2+AR2/2+AT2-AU2/2</f>
        <v>31</v>
      </c>
      <c r="AX2" s="19">
        <v>31</v>
      </c>
      <c r="AY2" s="228">
        <f t="shared" ref="AY2:AY27" si="10">AX2-BA2</f>
        <v>31</v>
      </c>
      <c r="AZ2" s="229">
        <f t="shared" ref="AZ2:AZ27" si="11">(AN2-AU2)/22</f>
        <v>0.95454545454545459</v>
      </c>
      <c r="BA2" s="228">
        <f t="shared" ref="BA2:BA27" si="12">COUNTIF(H2:AL2,"NA")</f>
        <v>0</v>
      </c>
      <c r="BB2" s="230">
        <f t="shared" ref="BB2:BB27" si="13">AW2/AX2</f>
        <v>1</v>
      </c>
      <c r="BC2" s="226">
        <v>6.5</v>
      </c>
    </row>
    <row r="3" spans="1:981" ht="14.5">
      <c r="A3" s="127" t="s">
        <v>1618</v>
      </c>
      <c r="B3" s="28" t="s">
        <v>1619</v>
      </c>
      <c r="C3" s="50">
        <v>43906</v>
      </c>
      <c r="D3" s="28" t="s">
        <v>1620</v>
      </c>
      <c r="E3" s="28" t="s">
        <v>1621</v>
      </c>
      <c r="F3" s="28">
        <f t="shared" ca="1" si="0"/>
        <v>31</v>
      </c>
      <c r="G3" s="173" t="s">
        <v>1622</v>
      </c>
      <c r="H3" s="224" t="s">
        <v>1623</v>
      </c>
      <c r="I3" s="224" t="s">
        <v>1624</v>
      </c>
      <c r="J3" s="224" t="s">
        <v>1625</v>
      </c>
      <c r="K3" s="224" t="s">
        <v>1626</v>
      </c>
      <c r="L3" s="224" t="s">
        <v>1627</v>
      </c>
      <c r="M3" s="173" t="s">
        <v>1628</v>
      </c>
      <c r="N3" s="224" t="s">
        <v>1629</v>
      </c>
      <c r="O3" s="224" t="s">
        <v>1630</v>
      </c>
      <c r="P3" s="224" t="s">
        <v>1631</v>
      </c>
      <c r="Q3" s="102" t="s">
        <v>1632</v>
      </c>
      <c r="R3" s="224" t="s">
        <v>1633</v>
      </c>
      <c r="S3" s="173" t="s">
        <v>1634</v>
      </c>
      <c r="T3" s="173" t="s">
        <v>1635</v>
      </c>
      <c r="U3" s="225" t="s">
        <v>1636</v>
      </c>
      <c r="V3" s="224" t="s">
        <v>1637</v>
      </c>
      <c r="W3" s="224" t="s">
        <v>1638</v>
      </c>
      <c r="X3" s="224" t="s">
        <v>1639</v>
      </c>
      <c r="Y3" s="224" t="s">
        <v>1640</v>
      </c>
      <c r="Z3" s="173" t="s">
        <v>1641</v>
      </c>
      <c r="AA3" s="173" t="s">
        <v>1642</v>
      </c>
      <c r="AB3" s="225" t="s">
        <v>1643</v>
      </c>
      <c r="AC3" s="225" t="s">
        <v>1644</v>
      </c>
      <c r="AD3" s="224" t="s">
        <v>1645</v>
      </c>
      <c r="AE3" s="224" t="s">
        <v>1646</v>
      </c>
      <c r="AF3" s="224" t="s">
        <v>1647</v>
      </c>
      <c r="AG3" s="224" t="s">
        <v>1648</v>
      </c>
      <c r="AH3" s="224" t="s">
        <v>1649</v>
      </c>
      <c r="AI3" s="225" t="s">
        <v>1650</v>
      </c>
      <c r="AJ3" s="225" t="s">
        <v>1651</v>
      </c>
      <c r="AK3" s="225" t="s">
        <v>1652</v>
      </c>
      <c r="AL3" s="225" t="s">
        <v>1653</v>
      </c>
      <c r="AM3" s="226">
        <v>4</v>
      </c>
      <c r="AN3" s="227">
        <f t="shared" si="1"/>
        <v>20</v>
      </c>
      <c r="AO3" s="32">
        <f t="shared" si="2"/>
        <v>2</v>
      </c>
      <c r="AP3" s="32">
        <f t="shared" si="3"/>
        <v>0</v>
      </c>
      <c r="AQ3" s="42">
        <f t="shared" si="4"/>
        <v>19</v>
      </c>
      <c r="AR3" s="32">
        <f t="shared" si="5"/>
        <v>0</v>
      </c>
      <c r="AS3" s="32">
        <f t="shared" si="6"/>
        <v>9</v>
      </c>
      <c r="AT3" s="32">
        <f t="shared" si="7"/>
        <v>1</v>
      </c>
      <c r="AU3" s="32">
        <f t="shared" si="8"/>
        <v>0</v>
      </c>
      <c r="AV3" s="30">
        <v>2</v>
      </c>
      <c r="AW3" s="34">
        <f t="shared" si="9"/>
        <v>31</v>
      </c>
      <c r="AX3" s="19">
        <v>31</v>
      </c>
      <c r="AY3" s="228">
        <f t="shared" si="10"/>
        <v>31</v>
      </c>
      <c r="AZ3" s="229">
        <f t="shared" si="11"/>
        <v>0.90909090909090906</v>
      </c>
      <c r="BA3" s="228">
        <f t="shared" si="12"/>
        <v>0</v>
      </c>
      <c r="BB3" s="230">
        <f t="shared" si="13"/>
        <v>1</v>
      </c>
      <c r="BC3" s="226">
        <v>6</v>
      </c>
    </row>
    <row r="4" spans="1:981" s="17" customFormat="1" ht="14.5">
      <c r="A4" s="127" t="s">
        <v>1654</v>
      </c>
      <c r="B4" s="28" t="s">
        <v>1655</v>
      </c>
      <c r="C4" s="29">
        <v>44048</v>
      </c>
      <c r="D4" s="28" t="s">
        <v>1656</v>
      </c>
      <c r="E4" s="28" t="s">
        <v>1657</v>
      </c>
      <c r="F4" s="28">
        <f t="shared" ca="1" si="0"/>
        <v>27</v>
      </c>
      <c r="G4" s="173" t="s">
        <v>1658</v>
      </c>
      <c r="H4" s="224" t="s">
        <v>1659</v>
      </c>
      <c r="I4" s="224" t="s">
        <v>1660</v>
      </c>
      <c r="J4" s="224" t="s">
        <v>1661</v>
      </c>
      <c r="K4" s="224" t="s">
        <v>1662</v>
      </c>
      <c r="L4" s="224" t="s">
        <v>1663</v>
      </c>
      <c r="M4" s="173" t="s">
        <v>1664</v>
      </c>
      <c r="N4" s="224" t="s">
        <v>1665</v>
      </c>
      <c r="O4" s="224" t="s">
        <v>1666</v>
      </c>
      <c r="P4" s="224" t="s">
        <v>1667</v>
      </c>
      <c r="Q4" s="102" t="s">
        <v>1668</v>
      </c>
      <c r="R4" s="224" t="s">
        <v>1669</v>
      </c>
      <c r="S4" s="173" t="s">
        <v>1670</v>
      </c>
      <c r="T4" s="173" t="s">
        <v>1671</v>
      </c>
      <c r="U4" s="225" t="s">
        <v>1672</v>
      </c>
      <c r="V4" s="224" t="s">
        <v>1673</v>
      </c>
      <c r="W4" s="224" t="s">
        <v>1674</v>
      </c>
      <c r="X4" s="224" t="s">
        <v>1675</v>
      </c>
      <c r="Y4" s="224" t="s">
        <v>1676</v>
      </c>
      <c r="Z4" s="173" t="s">
        <v>1677</v>
      </c>
      <c r="AA4" s="173" t="s">
        <v>1678</v>
      </c>
      <c r="AB4" s="225" t="s">
        <v>1679</v>
      </c>
      <c r="AC4" s="225" t="s">
        <v>1680</v>
      </c>
      <c r="AD4" s="224" t="s">
        <v>1681</v>
      </c>
      <c r="AE4" s="224" t="s">
        <v>1682</v>
      </c>
      <c r="AF4" s="224" t="s">
        <v>1683</v>
      </c>
      <c r="AG4" s="224" t="s">
        <v>1684</v>
      </c>
      <c r="AH4" s="224" t="s">
        <v>1685</v>
      </c>
      <c r="AI4" s="225" t="s">
        <v>1686</v>
      </c>
      <c r="AJ4" s="225" t="s">
        <v>1687</v>
      </c>
      <c r="AK4" s="225" t="s">
        <v>1688</v>
      </c>
      <c r="AL4" s="225" t="s">
        <v>1689</v>
      </c>
      <c r="AM4" s="226">
        <v>1</v>
      </c>
      <c r="AN4" s="227">
        <f t="shared" si="1"/>
        <v>19</v>
      </c>
      <c r="AO4" s="32">
        <f t="shared" si="2"/>
        <v>2</v>
      </c>
      <c r="AP4" s="32">
        <f t="shared" si="3"/>
        <v>0</v>
      </c>
      <c r="AQ4" s="42">
        <f t="shared" si="4"/>
        <v>19</v>
      </c>
      <c r="AR4" s="32">
        <f t="shared" si="5"/>
        <v>1</v>
      </c>
      <c r="AS4" s="32">
        <f t="shared" si="6"/>
        <v>9</v>
      </c>
      <c r="AT4" s="32">
        <f t="shared" si="7"/>
        <v>0</v>
      </c>
      <c r="AU4" s="37">
        <f t="shared" si="8"/>
        <v>0</v>
      </c>
      <c r="AV4" s="30">
        <v>2.5</v>
      </c>
      <c r="AW4" s="34">
        <f t="shared" si="9"/>
        <v>31</v>
      </c>
      <c r="AX4" s="19">
        <v>31</v>
      </c>
      <c r="AY4" s="228">
        <f t="shared" si="10"/>
        <v>31</v>
      </c>
      <c r="AZ4" s="229">
        <f t="shared" si="11"/>
        <v>0.86363636363636365</v>
      </c>
      <c r="BA4" s="228">
        <f t="shared" si="12"/>
        <v>0</v>
      </c>
      <c r="BB4" s="230">
        <f t="shared" si="13"/>
        <v>1</v>
      </c>
      <c r="BC4" s="226">
        <v>3.5</v>
      </c>
      <c r="BD4" s="22"/>
      <c r="BE4" s="22"/>
      <c r="BF4" s="22"/>
      <c r="BG4" s="22"/>
      <c r="BH4" s="22"/>
      <c r="BI4" s="22"/>
      <c r="BJ4" s="22"/>
    </row>
    <row r="5" spans="1:981" ht="14.5">
      <c r="A5" s="127" t="s">
        <v>1690</v>
      </c>
      <c r="B5" s="28" t="s">
        <v>1691</v>
      </c>
      <c r="C5" s="29">
        <v>44172</v>
      </c>
      <c r="D5" s="28" t="s">
        <v>1692</v>
      </c>
      <c r="E5" s="28" t="s">
        <v>1693</v>
      </c>
      <c r="F5" s="28">
        <f t="shared" ca="1" si="0"/>
        <v>23</v>
      </c>
      <c r="G5" s="173" t="s">
        <v>1694</v>
      </c>
      <c r="H5" s="224" t="s">
        <v>1695</v>
      </c>
      <c r="I5" s="224" t="s">
        <v>1696</v>
      </c>
      <c r="J5" s="224" t="s">
        <v>1697</v>
      </c>
      <c r="K5" s="224" t="s">
        <v>1698</v>
      </c>
      <c r="L5" s="224" t="s">
        <v>1699</v>
      </c>
      <c r="M5" s="173" t="s">
        <v>1700</v>
      </c>
      <c r="N5" s="224" t="s">
        <v>1701</v>
      </c>
      <c r="O5" s="224" t="s">
        <v>1702</v>
      </c>
      <c r="P5" s="224" t="s">
        <v>1703</v>
      </c>
      <c r="Q5" s="102" t="s">
        <v>1704</v>
      </c>
      <c r="R5" s="224" t="s">
        <v>1705</v>
      </c>
      <c r="S5" s="173" t="s">
        <v>1706</v>
      </c>
      <c r="T5" s="173" t="s">
        <v>1707</v>
      </c>
      <c r="U5" s="225" t="s">
        <v>1708</v>
      </c>
      <c r="V5" s="224" t="s">
        <v>1709</v>
      </c>
      <c r="W5" s="224" t="s">
        <v>1710</v>
      </c>
      <c r="X5" s="224" t="s">
        <v>1711</v>
      </c>
      <c r="Y5" s="224" t="s">
        <v>1712</v>
      </c>
      <c r="Z5" s="173" t="s">
        <v>1713</v>
      </c>
      <c r="AA5" s="173" t="s">
        <v>1714</v>
      </c>
      <c r="AB5" s="225" t="s">
        <v>1715</v>
      </c>
      <c r="AC5" s="225" t="s">
        <v>1716</v>
      </c>
      <c r="AD5" s="224" t="s">
        <v>1717</v>
      </c>
      <c r="AE5" s="224" t="s">
        <v>1718</v>
      </c>
      <c r="AF5" s="224" t="s">
        <v>1719</v>
      </c>
      <c r="AG5" s="224" t="s">
        <v>1720</v>
      </c>
      <c r="AH5" s="224" t="s">
        <v>1721</v>
      </c>
      <c r="AI5" s="225" t="s">
        <v>1722</v>
      </c>
      <c r="AJ5" s="225" t="s">
        <v>1723</v>
      </c>
      <c r="AK5" s="225" t="s">
        <v>1724</v>
      </c>
      <c r="AL5" s="225" t="s">
        <v>1725</v>
      </c>
      <c r="AM5" s="226">
        <v>7.75</v>
      </c>
      <c r="AN5" s="227">
        <f t="shared" si="1"/>
        <v>22</v>
      </c>
      <c r="AO5" s="32">
        <f t="shared" si="2"/>
        <v>0</v>
      </c>
      <c r="AP5" s="32">
        <f t="shared" si="3"/>
        <v>0</v>
      </c>
      <c r="AQ5" s="42">
        <f t="shared" si="4"/>
        <v>21</v>
      </c>
      <c r="AR5" s="32">
        <f t="shared" si="5"/>
        <v>0</v>
      </c>
      <c r="AS5" s="32">
        <f t="shared" si="6"/>
        <v>9</v>
      </c>
      <c r="AT5" s="32">
        <f t="shared" si="7"/>
        <v>1</v>
      </c>
      <c r="AU5" s="32">
        <f t="shared" si="8"/>
        <v>0</v>
      </c>
      <c r="AV5" s="30">
        <v>0</v>
      </c>
      <c r="AW5" s="34">
        <f t="shared" si="9"/>
        <v>31</v>
      </c>
      <c r="AX5" s="19">
        <v>31</v>
      </c>
      <c r="AY5" s="228">
        <f t="shared" si="10"/>
        <v>31</v>
      </c>
      <c r="AZ5" s="229">
        <f t="shared" si="11"/>
        <v>1</v>
      </c>
      <c r="BA5" s="228">
        <f t="shared" si="12"/>
        <v>0</v>
      </c>
      <c r="BB5" s="230">
        <f t="shared" si="13"/>
        <v>1</v>
      </c>
      <c r="BC5" s="226">
        <v>7.75</v>
      </c>
    </row>
    <row r="6" spans="1:981" s="51" customFormat="1" ht="14.5">
      <c r="A6" s="127" t="s">
        <v>1726</v>
      </c>
      <c r="B6" s="28" t="s">
        <v>1727</v>
      </c>
      <c r="C6" s="29">
        <v>44228</v>
      </c>
      <c r="D6" s="102" t="s">
        <v>1728</v>
      </c>
      <c r="E6" s="28" t="s">
        <v>1729</v>
      </c>
      <c r="F6" s="28">
        <f t="shared" ca="1" si="0"/>
        <v>21</v>
      </c>
      <c r="G6" s="173" t="s">
        <v>1730</v>
      </c>
      <c r="H6" s="224" t="s">
        <v>1731</v>
      </c>
      <c r="I6" s="224" t="s">
        <v>1732</v>
      </c>
      <c r="J6" s="224" t="s">
        <v>1733</v>
      </c>
      <c r="K6" s="224" t="s">
        <v>1734</v>
      </c>
      <c r="L6" s="224" t="s">
        <v>1735</v>
      </c>
      <c r="M6" s="173" t="s">
        <v>1736</v>
      </c>
      <c r="N6" s="224" t="s">
        <v>1737</v>
      </c>
      <c r="O6" s="224" t="s">
        <v>1738</v>
      </c>
      <c r="P6" s="224" t="s">
        <v>1739</v>
      </c>
      <c r="Q6" s="102" t="s">
        <v>1740</v>
      </c>
      <c r="R6" s="224" t="s">
        <v>1741</v>
      </c>
      <c r="S6" s="173" t="s">
        <v>1742</v>
      </c>
      <c r="T6" s="173" t="s">
        <v>1743</v>
      </c>
      <c r="U6" s="225" t="s">
        <v>1744</v>
      </c>
      <c r="V6" s="224" t="s">
        <v>1745</v>
      </c>
      <c r="W6" s="224" t="s">
        <v>1746</v>
      </c>
      <c r="X6" s="224" t="s">
        <v>1747</v>
      </c>
      <c r="Y6" s="224" t="s">
        <v>1748</v>
      </c>
      <c r="Z6" s="173" t="s">
        <v>1749</v>
      </c>
      <c r="AA6" s="173" t="s">
        <v>1750</v>
      </c>
      <c r="AB6" s="225" t="s">
        <v>1751</v>
      </c>
      <c r="AC6" s="225" t="s">
        <v>1752</v>
      </c>
      <c r="AD6" s="224" t="s">
        <v>1753</v>
      </c>
      <c r="AE6" s="224" t="s">
        <v>1754</v>
      </c>
      <c r="AF6" s="224" t="s">
        <v>1755</v>
      </c>
      <c r="AG6" s="224" t="s">
        <v>1756</v>
      </c>
      <c r="AH6" s="224" t="s">
        <v>1757</v>
      </c>
      <c r="AI6" s="225" t="s">
        <v>1758</v>
      </c>
      <c r="AJ6" s="225" t="s">
        <v>1759</v>
      </c>
      <c r="AK6" s="225" t="s">
        <v>1760</v>
      </c>
      <c r="AL6" s="225" t="s">
        <v>1761</v>
      </c>
      <c r="AM6" s="226">
        <v>4.5</v>
      </c>
      <c r="AN6" s="227">
        <f t="shared" si="1"/>
        <v>18</v>
      </c>
      <c r="AO6" s="32">
        <f t="shared" si="2"/>
        <v>4</v>
      </c>
      <c r="AP6" s="32">
        <f t="shared" si="3"/>
        <v>0</v>
      </c>
      <c r="AQ6" s="42">
        <f t="shared" si="4"/>
        <v>17</v>
      </c>
      <c r="AR6" s="32">
        <f t="shared" si="5"/>
        <v>0</v>
      </c>
      <c r="AS6" s="32">
        <f t="shared" si="6"/>
        <v>9</v>
      </c>
      <c r="AT6" s="32">
        <f t="shared" si="7"/>
        <v>1</v>
      </c>
      <c r="AU6" s="32">
        <f t="shared" si="8"/>
        <v>0</v>
      </c>
      <c r="AV6" s="30">
        <v>4</v>
      </c>
      <c r="AW6" s="34">
        <f t="shared" si="9"/>
        <v>31</v>
      </c>
      <c r="AX6" s="19">
        <v>31</v>
      </c>
      <c r="AY6" s="228">
        <f t="shared" si="10"/>
        <v>31</v>
      </c>
      <c r="AZ6" s="229">
        <f t="shared" si="11"/>
        <v>0.81818181818181823</v>
      </c>
      <c r="BA6" s="228">
        <f t="shared" si="12"/>
        <v>0</v>
      </c>
      <c r="BB6" s="230">
        <f t="shared" si="13"/>
        <v>1</v>
      </c>
      <c r="BC6" s="226">
        <v>8.5</v>
      </c>
      <c r="BD6" s="22"/>
      <c r="BE6" s="22"/>
      <c r="BF6" s="22"/>
    </row>
    <row r="7" spans="1:981" ht="14.5">
      <c r="A7" s="127" t="s">
        <v>1762</v>
      </c>
      <c r="B7" s="29" t="s">
        <v>1763</v>
      </c>
      <c r="C7" s="29">
        <v>44356</v>
      </c>
      <c r="D7" s="28" t="s">
        <v>1764</v>
      </c>
      <c r="E7" s="28" t="s">
        <v>1765</v>
      </c>
      <c r="F7" s="28">
        <f t="shared" ca="1" si="0"/>
        <v>16</v>
      </c>
      <c r="G7" s="173" t="s">
        <v>1766</v>
      </c>
      <c r="H7" s="224" t="s">
        <v>1767</v>
      </c>
      <c r="I7" s="224" t="s">
        <v>1768</v>
      </c>
      <c r="J7" s="224" t="s">
        <v>1769</v>
      </c>
      <c r="K7" s="224" t="s">
        <v>1770</v>
      </c>
      <c r="L7" s="224" t="s">
        <v>1771</v>
      </c>
      <c r="M7" s="173" t="s">
        <v>1772</v>
      </c>
      <c r="N7" s="224" t="s">
        <v>1773</v>
      </c>
      <c r="O7" s="224" t="s">
        <v>1774</v>
      </c>
      <c r="P7" s="224" t="s">
        <v>1775</v>
      </c>
      <c r="Q7" s="102" t="s">
        <v>1776</v>
      </c>
      <c r="R7" s="224" t="s">
        <v>1777</v>
      </c>
      <c r="S7" s="173" t="s">
        <v>1778</v>
      </c>
      <c r="T7" s="173" t="s">
        <v>1779</v>
      </c>
      <c r="U7" s="225" t="s">
        <v>1780</v>
      </c>
      <c r="V7" s="224" t="s">
        <v>1781</v>
      </c>
      <c r="W7" s="224" t="s">
        <v>1782</v>
      </c>
      <c r="X7" s="224" t="s">
        <v>1783</v>
      </c>
      <c r="Y7" s="224" t="s">
        <v>1784</v>
      </c>
      <c r="Z7" s="173" t="s">
        <v>1785</v>
      </c>
      <c r="AA7" s="173" t="s">
        <v>1786</v>
      </c>
      <c r="AB7" s="225" t="s">
        <v>1787</v>
      </c>
      <c r="AC7" s="225" t="s">
        <v>1788</v>
      </c>
      <c r="AD7" s="224" t="s">
        <v>1789</v>
      </c>
      <c r="AE7" s="224" t="s">
        <v>1790</v>
      </c>
      <c r="AF7" s="224" t="s">
        <v>1791</v>
      </c>
      <c r="AG7" s="224" t="s">
        <v>1792</v>
      </c>
      <c r="AH7" s="224" t="s">
        <v>1793</v>
      </c>
      <c r="AI7" s="225" t="s">
        <v>1794</v>
      </c>
      <c r="AJ7" s="225" t="s">
        <v>1795</v>
      </c>
      <c r="AK7" s="225" t="s">
        <v>1796</v>
      </c>
      <c r="AL7" s="225" t="s">
        <v>1797</v>
      </c>
      <c r="AM7" s="226">
        <v>6.5</v>
      </c>
      <c r="AN7" s="227">
        <f t="shared" si="1"/>
        <v>20</v>
      </c>
      <c r="AO7" s="32">
        <f t="shared" si="2"/>
        <v>0</v>
      </c>
      <c r="AP7" s="32">
        <f t="shared" si="3"/>
        <v>0</v>
      </c>
      <c r="AQ7" s="42">
        <f t="shared" si="4"/>
        <v>20</v>
      </c>
      <c r="AR7" s="32">
        <f t="shared" si="5"/>
        <v>2</v>
      </c>
      <c r="AS7" s="32">
        <f t="shared" si="6"/>
        <v>9</v>
      </c>
      <c r="AT7" s="32">
        <f t="shared" si="7"/>
        <v>0</v>
      </c>
      <c r="AU7" s="37">
        <f t="shared" si="8"/>
        <v>0</v>
      </c>
      <c r="AV7" s="30">
        <v>1</v>
      </c>
      <c r="AW7" s="34">
        <f t="shared" si="9"/>
        <v>31</v>
      </c>
      <c r="AX7" s="19">
        <v>31</v>
      </c>
      <c r="AY7" s="228">
        <f t="shared" si="10"/>
        <v>31</v>
      </c>
      <c r="AZ7" s="229">
        <f t="shared" si="11"/>
        <v>0.90909090909090906</v>
      </c>
      <c r="BA7" s="228">
        <f t="shared" si="12"/>
        <v>0</v>
      </c>
      <c r="BB7" s="230">
        <f t="shared" si="13"/>
        <v>1</v>
      </c>
      <c r="BC7" s="226">
        <v>7.5</v>
      </c>
    </row>
    <row r="8" spans="1:981" s="17" customFormat="1" ht="14.5">
      <c r="A8" s="127" t="s">
        <v>1798</v>
      </c>
      <c r="B8" s="28" t="s">
        <v>1799</v>
      </c>
      <c r="C8" s="29">
        <v>44417</v>
      </c>
      <c r="D8" s="102" t="s">
        <v>1800</v>
      </c>
      <c r="E8" s="28" t="s">
        <v>1801</v>
      </c>
      <c r="F8" s="28">
        <f t="shared" ca="1" si="0"/>
        <v>14</v>
      </c>
      <c r="G8" s="173" t="s">
        <v>1802</v>
      </c>
      <c r="H8" s="224" t="s">
        <v>1803</v>
      </c>
      <c r="I8" s="224" t="s">
        <v>1804</v>
      </c>
      <c r="J8" s="224" t="s">
        <v>1805</v>
      </c>
      <c r="K8" s="224" t="s">
        <v>1806</v>
      </c>
      <c r="L8" s="224" t="s">
        <v>1807</v>
      </c>
      <c r="M8" s="173" t="s">
        <v>1808</v>
      </c>
      <c r="N8" s="224" t="s">
        <v>1809</v>
      </c>
      <c r="O8" s="224" t="s">
        <v>1810</v>
      </c>
      <c r="P8" s="224" t="s">
        <v>1811</v>
      </c>
      <c r="Q8" s="102" t="s">
        <v>1812</v>
      </c>
      <c r="R8" s="224" t="s">
        <v>1813</v>
      </c>
      <c r="S8" s="173" t="s">
        <v>1814</v>
      </c>
      <c r="T8" s="173" t="s">
        <v>1815</v>
      </c>
      <c r="U8" s="225" t="s">
        <v>1816</v>
      </c>
      <c r="V8" s="224" t="s">
        <v>1817</v>
      </c>
      <c r="W8" s="224" t="s">
        <v>1818</v>
      </c>
      <c r="X8" s="224" t="s">
        <v>1819</v>
      </c>
      <c r="Y8" s="224" t="s">
        <v>1820</v>
      </c>
      <c r="Z8" s="173" t="s">
        <v>1821</v>
      </c>
      <c r="AA8" s="173" t="s">
        <v>1822</v>
      </c>
      <c r="AB8" s="225" t="s">
        <v>1823</v>
      </c>
      <c r="AC8" s="225" t="s">
        <v>1824</v>
      </c>
      <c r="AD8" s="224" t="s">
        <v>1825</v>
      </c>
      <c r="AE8" s="224" t="s">
        <v>1826</v>
      </c>
      <c r="AF8" s="224" t="s">
        <v>1827</v>
      </c>
      <c r="AG8" s="224" t="s">
        <v>1828</v>
      </c>
      <c r="AH8" s="224" t="s">
        <v>1829</v>
      </c>
      <c r="AI8" s="225" t="s">
        <v>1830</v>
      </c>
      <c r="AJ8" s="225" t="s">
        <v>1831</v>
      </c>
      <c r="AK8" s="225" t="s">
        <v>1832</v>
      </c>
      <c r="AL8" s="225" t="s">
        <v>1833</v>
      </c>
      <c r="AM8" s="226">
        <v>7.5</v>
      </c>
      <c r="AN8" s="227">
        <f t="shared" si="1"/>
        <v>22</v>
      </c>
      <c r="AO8" s="32">
        <f t="shared" si="2"/>
        <v>0</v>
      </c>
      <c r="AP8" s="32">
        <f t="shared" si="3"/>
        <v>0</v>
      </c>
      <c r="AQ8" s="42">
        <f t="shared" si="4"/>
        <v>20</v>
      </c>
      <c r="AR8" s="32">
        <f t="shared" si="5"/>
        <v>0</v>
      </c>
      <c r="AS8" s="32">
        <f t="shared" si="6"/>
        <v>9</v>
      </c>
      <c r="AT8" s="32">
        <f t="shared" si="7"/>
        <v>2</v>
      </c>
      <c r="AU8" s="32">
        <f t="shared" si="8"/>
        <v>0</v>
      </c>
      <c r="AV8" s="30">
        <v>0</v>
      </c>
      <c r="AW8" s="34">
        <f t="shared" si="9"/>
        <v>31</v>
      </c>
      <c r="AX8" s="19">
        <v>31</v>
      </c>
      <c r="AY8" s="228">
        <f t="shared" si="10"/>
        <v>31</v>
      </c>
      <c r="AZ8" s="229">
        <f t="shared" si="11"/>
        <v>1</v>
      </c>
      <c r="BA8" s="228">
        <f t="shared" si="12"/>
        <v>0</v>
      </c>
      <c r="BB8" s="230">
        <f t="shared" si="13"/>
        <v>1</v>
      </c>
      <c r="BC8" s="226">
        <v>7.5</v>
      </c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</row>
    <row r="9" spans="1:981">
      <c r="A9" s="127" t="s">
        <v>1834</v>
      </c>
      <c r="B9" s="28" t="s">
        <v>1835</v>
      </c>
      <c r="C9" s="29">
        <v>44515</v>
      </c>
      <c r="D9" s="28" t="s">
        <v>1836</v>
      </c>
      <c r="E9" s="28" t="s">
        <v>1837</v>
      </c>
      <c r="F9" s="28">
        <f t="shared" ca="1" si="0"/>
        <v>11</v>
      </c>
      <c r="G9" s="173" t="s">
        <v>1838</v>
      </c>
      <c r="H9" s="224" t="s">
        <v>1839</v>
      </c>
      <c r="I9" s="224" t="s">
        <v>1840</v>
      </c>
      <c r="J9" s="224" t="s">
        <v>1841</v>
      </c>
      <c r="K9" s="224" t="s">
        <v>1842</v>
      </c>
      <c r="L9" s="224" t="s">
        <v>1843</v>
      </c>
      <c r="M9" s="173" t="s">
        <v>1844</v>
      </c>
      <c r="N9" s="224" t="s">
        <v>1845</v>
      </c>
      <c r="O9" s="224" t="s">
        <v>1846</v>
      </c>
      <c r="P9" s="224" t="s">
        <v>1847</v>
      </c>
      <c r="Q9" s="102" t="s">
        <v>1848</v>
      </c>
      <c r="R9" s="231" t="s">
        <v>1849</v>
      </c>
      <c r="S9" s="173" t="s">
        <v>1850</v>
      </c>
      <c r="T9" s="173" t="s">
        <v>1851</v>
      </c>
      <c r="U9" s="225" t="s">
        <v>1852</v>
      </c>
      <c r="V9" s="224" t="s">
        <v>1853</v>
      </c>
      <c r="W9" s="224" t="s">
        <v>1854</v>
      </c>
      <c r="X9" s="224" t="s">
        <v>1855</v>
      </c>
      <c r="Y9" s="224" t="s">
        <v>1856</v>
      </c>
      <c r="Z9" s="173" t="s">
        <v>1857</v>
      </c>
      <c r="AA9" s="173" t="s">
        <v>1858</v>
      </c>
      <c r="AB9" s="225" t="s">
        <v>1859</v>
      </c>
      <c r="AC9" s="225" t="s">
        <v>1860</v>
      </c>
      <c r="AD9" s="224" t="s">
        <v>1861</v>
      </c>
      <c r="AE9" s="224" t="s">
        <v>1862</v>
      </c>
      <c r="AF9" s="224" t="s">
        <v>1863</v>
      </c>
      <c r="AG9" s="224" t="s">
        <v>1864</v>
      </c>
      <c r="AH9" s="224" t="s">
        <v>1865</v>
      </c>
      <c r="AI9" s="224" t="s">
        <v>1866</v>
      </c>
      <c r="AJ9" s="225" t="s">
        <v>1867</v>
      </c>
      <c r="AK9" s="224" t="s">
        <v>1868</v>
      </c>
      <c r="AL9" s="224" t="s">
        <v>1869</v>
      </c>
      <c r="AM9" s="226">
        <v>0.12</v>
      </c>
      <c r="AN9" s="227">
        <f t="shared" si="1"/>
        <v>18</v>
      </c>
      <c r="AO9" s="32">
        <f t="shared" si="2"/>
        <v>3</v>
      </c>
      <c r="AP9" s="32">
        <f t="shared" si="3"/>
        <v>0</v>
      </c>
      <c r="AQ9" s="42">
        <f t="shared" si="4"/>
        <v>16</v>
      </c>
      <c r="AR9" s="32">
        <f t="shared" si="5"/>
        <v>1</v>
      </c>
      <c r="AS9" s="32">
        <f t="shared" si="6"/>
        <v>9</v>
      </c>
      <c r="AT9" s="32">
        <f t="shared" si="7"/>
        <v>2</v>
      </c>
      <c r="AU9" s="37">
        <f t="shared" si="8"/>
        <v>0</v>
      </c>
      <c r="AV9" s="30">
        <v>3</v>
      </c>
      <c r="AW9" s="34">
        <f t="shared" si="9"/>
        <v>30.5</v>
      </c>
      <c r="AX9" s="19">
        <v>31</v>
      </c>
      <c r="AY9" s="228">
        <f t="shared" si="10"/>
        <v>31</v>
      </c>
      <c r="AZ9" s="229">
        <f t="shared" si="11"/>
        <v>0.81818181818181823</v>
      </c>
      <c r="BA9" s="228">
        <f t="shared" si="12"/>
        <v>0</v>
      </c>
      <c r="BB9" s="230">
        <f t="shared" si="13"/>
        <v>0.9838709677419355</v>
      </c>
      <c r="BC9" s="226">
        <v>3.12</v>
      </c>
    </row>
    <row r="10" spans="1:981" s="17" customFormat="1" ht="14.5">
      <c r="A10" s="127" t="s">
        <v>1870</v>
      </c>
      <c r="B10" s="28" t="s">
        <v>1871</v>
      </c>
      <c r="C10" s="29">
        <v>44515</v>
      </c>
      <c r="D10" s="28" t="s">
        <v>1872</v>
      </c>
      <c r="E10" s="28" t="s">
        <v>1873</v>
      </c>
      <c r="F10" s="28">
        <f t="shared" ca="1" si="0"/>
        <v>11</v>
      </c>
      <c r="G10" s="173" t="s">
        <v>1874</v>
      </c>
      <c r="H10" s="224" t="s">
        <v>1875</v>
      </c>
      <c r="I10" s="224" t="s">
        <v>1876</v>
      </c>
      <c r="J10" s="224" t="s">
        <v>1877</v>
      </c>
      <c r="K10" s="102" t="s">
        <v>1878</v>
      </c>
      <c r="L10" s="102" t="s">
        <v>1879</v>
      </c>
      <c r="M10" s="173" t="s">
        <v>1880</v>
      </c>
      <c r="N10" s="224" t="s">
        <v>1881</v>
      </c>
      <c r="O10" s="224" t="s">
        <v>1882</v>
      </c>
      <c r="P10" s="224" t="s">
        <v>1883</v>
      </c>
      <c r="Q10" s="102" t="s">
        <v>1884</v>
      </c>
      <c r="R10" s="173" t="s">
        <v>1885</v>
      </c>
      <c r="S10" s="173" t="s">
        <v>1886</v>
      </c>
      <c r="T10" s="173" t="s">
        <v>1887</v>
      </c>
      <c r="U10" s="225" t="s">
        <v>1888</v>
      </c>
      <c r="V10" s="224" t="s">
        <v>1889</v>
      </c>
      <c r="W10" s="224" t="s">
        <v>1890</v>
      </c>
      <c r="X10" s="224" t="s">
        <v>1891</v>
      </c>
      <c r="Y10" s="224" t="s">
        <v>1892</v>
      </c>
      <c r="Z10" s="173" t="s">
        <v>1893</v>
      </c>
      <c r="AA10" s="173" t="s">
        <v>1894</v>
      </c>
      <c r="AB10" s="102" t="s">
        <v>1895</v>
      </c>
      <c r="AC10" s="102" t="s">
        <v>1896</v>
      </c>
      <c r="AD10" s="224" t="s">
        <v>1897</v>
      </c>
      <c r="AE10" s="224" t="s">
        <v>1898</v>
      </c>
      <c r="AF10" s="224" t="s">
        <v>1899</v>
      </c>
      <c r="AG10" s="224" t="s">
        <v>1900</v>
      </c>
      <c r="AH10" s="224" t="s">
        <v>1901</v>
      </c>
      <c r="AI10" s="224" t="s">
        <v>1902</v>
      </c>
      <c r="AJ10" s="225" t="s">
        <v>1903</v>
      </c>
      <c r="AK10" s="224" t="s">
        <v>1904</v>
      </c>
      <c r="AL10" s="224" t="s">
        <v>1905</v>
      </c>
      <c r="AM10" s="226">
        <v>0</v>
      </c>
      <c r="AN10" s="227">
        <f t="shared" si="1"/>
        <v>16</v>
      </c>
      <c r="AO10" s="32">
        <f t="shared" si="2"/>
        <v>0</v>
      </c>
      <c r="AP10" s="32">
        <f t="shared" si="3"/>
        <v>3</v>
      </c>
      <c r="AQ10" s="42">
        <f t="shared" si="4"/>
        <v>14</v>
      </c>
      <c r="AR10" s="32">
        <f t="shared" si="5"/>
        <v>4</v>
      </c>
      <c r="AS10" s="32">
        <f t="shared" si="6"/>
        <v>8</v>
      </c>
      <c r="AT10" s="32">
        <f t="shared" si="7"/>
        <v>2</v>
      </c>
      <c r="AU10" s="37">
        <f t="shared" si="8"/>
        <v>0</v>
      </c>
      <c r="AV10" s="30">
        <v>1.5</v>
      </c>
      <c r="AW10" s="34">
        <f t="shared" si="9"/>
        <v>27.5</v>
      </c>
      <c r="AX10" s="19">
        <v>31</v>
      </c>
      <c r="AY10" s="228">
        <f t="shared" si="10"/>
        <v>31</v>
      </c>
      <c r="AZ10" s="229">
        <f t="shared" si="11"/>
        <v>0.72727272727272729</v>
      </c>
      <c r="BA10" s="228">
        <f t="shared" si="12"/>
        <v>0</v>
      </c>
      <c r="BB10" s="230">
        <f t="shared" si="13"/>
        <v>0.88709677419354838</v>
      </c>
      <c r="BC10" s="226">
        <v>1.5</v>
      </c>
      <c r="BD10" s="22"/>
      <c r="BE10" s="22"/>
      <c r="BF10" s="22"/>
      <c r="BG10" s="22"/>
      <c r="BH10" s="22"/>
      <c r="BI10" s="22"/>
      <c r="BJ10" s="22"/>
      <c r="BK10" s="22"/>
    </row>
    <row r="11" spans="1:981" ht="14.5">
      <c r="A11" s="127" t="s">
        <v>1906</v>
      </c>
      <c r="B11" s="127" t="s">
        <v>1907</v>
      </c>
      <c r="C11" s="29">
        <v>44531</v>
      </c>
      <c r="D11" s="28" t="s">
        <v>1908</v>
      </c>
      <c r="E11" s="28" t="s">
        <v>1909</v>
      </c>
      <c r="F11" s="28">
        <f t="shared" ca="1" si="0"/>
        <v>11</v>
      </c>
      <c r="G11" s="173" t="s">
        <v>1910</v>
      </c>
      <c r="H11" s="224" t="s">
        <v>1911</v>
      </c>
      <c r="I11" s="224" t="s">
        <v>1912</v>
      </c>
      <c r="J11" s="224" t="s">
        <v>1913</v>
      </c>
      <c r="K11" s="102" t="s">
        <v>1914</v>
      </c>
      <c r="L11" s="102" t="s">
        <v>1915</v>
      </c>
      <c r="M11" s="173" t="s">
        <v>1916</v>
      </c>
      <c r="N11" s="224" t="s">
        <v>1917</v>
      </c>
      <c r="O11" s="224" t="s">
        <v>1918</v>
      </c>
      <c r="P11" s="224" t="s">
        <v>1919</v>
      </c>
      <c r="Q11" s="102" t="s">
        <v>1920</v>
      </c>
      <c r="R11" s="173" t="s">
        <v>1921</v>
      </c>
      <c r="S11" s="173" t="s">
        <v>1922</v>
      </c>
      <c r="T11" s="173" t="s">
        <v>1923</v>
      </c>
      <c r="U11" s="225" t="s">
        <v>1924</v>
      </c>
      <c r="V11" s="224" t="s">
        <v>1925</v>
      </c>
      <c r="W11" s="224" t="s">
        <v>1926</v>
      </c>
      <c r="X11" s="224" t="s">
        <v>1927</v>
      </c>
      <c r="Y11" s="224" t="s">
        <v>1928</v>
      </c>
      <c r="Z11" s="173" t="s">
        <v>1929</v>
      </c>
      <c r="AA11" s="173" t="s">
        <v>1930</v>
      </c>
      <c r="AB11" s="102" t="s">
        <v>1931</v>
      </c>
      <c r="AC11" s="102" t="s">
        <v>1932</v>
      </c>
      <c r="AD11" s="224" t="s">
        <v>1933</v>
      </c>
      <c r="AE11" s="224" t="s">
        <v>1934</v>
      </c>
      <c r="AF11" s="224" t="s">
        <v>1935</v>
      </c>
      <c r="AG11" s="224" t="s">
        <v>1936</v>
      </c>
      <c r="AH11" s="224" t="s">
        <v>1937</v>
      </c>
      <c r="AI11" s="224" t="s">
        <v>1938</v>
      </c>
      <c r="AJ11" s="225" t="s">
        <v>1939</v>
      </c>
      <c r="AK11" s="224" t="s">
        <v>1940</v>
      </c>
      <c r="AL11" s="224" t="s">
        <v>1941</v>
      </c>
      <c r="AM11" s="226">
        <v>0.5</v>
      </c>
      <c r="AN11" s="227">
        <f t="shared" si="1"/>
        <v>20</v>
      </c>
      <c r="AO11" s="32">
        <f t="shared" si="2"/>
        <v>1</v>
      </c>
      <c r="AP11" s="32">
        <f t="shared" si="3"/>
        <v>0</v>
      </c>
      <c r="AQ11" s="42">
        <f t="shared" si="4"/>
        <v>20</v>
      </c>
      <c r="AR11" s="32">
        <f t="shared" si="5"/>
        <v>1</v>
      </c>
      <c r="AS11" s="32">
        <f t="shared" si="6"/>
        <v>9</v>
      </c>
      <c r="AT11" s="32">
        <f t="shared" si="7"/>
        <v>0</v>
      </c>
      <c r="AU11" s="37">
        <f t="shared" si="8"/>
        <v>0</v>
      </c>
      <c r="AV11" s="30">
        <v>1.5</v>
      </c>
      <c r="AW11" s="34">
        <f t="shared" si="9"/>
        <v>31</v>
      </c>
      <c r="AX11" s="19">
        <v>31</v>
      </c>
      <c r="AY11" s="228">
        <f t="shared" si="10"/>
        <v>31</v>
      </c>
      <c r="AZ11" s="229">
        <f t="shared" si="11"/>
        <v>0.90909090909090906</v>
      </c>
      <c r="BA11" s="228">
        <f t="shared" si="12"/>
        <v>0</v>
      </c>
      <c r="BB11" s="230">
        <f t="shared" si="13"/>
        <v>1</v>
      </c>
      <c r="BC11" s="226">
        <v>2</v>
      </c>
    </row>
    <row r="12" spans="1:981" s="17" customFormat="1" ht="14.5">
      <c r="A12" s="127" t="s">
        <v>1942</v>
      </c>
      <c r="B12" s="232" t="s">
        <v>1943</v>
      </c>
      <c r="C12" s="29">
        <v>44593</v>
      </c>
      <c r="D12" s="28" t="s">
        <v>1944</v>
      </c>
      <c r="E12" s="28" t="s">
        <v>1945</v>
      </c>
      <c r="F12" s="28">
        <f t="shared" ca="1" si="0"/>
        <v>9</v>
      </c>
      <c r="G12" s="173" t="s">
        <v>1946</v>
      </c>
      <c r="H12" s="224" t="s">
        <v>1947</v>
      </c>
      <c r="I12" s="224" t="s">
        <v>1948</v>
      </c>
      <c r="J12" s="224" t="s">
        <v>1949</v>
      </c>
      <c r="K12" s="102" t="s">
        <v>1950</v>
      </c>
      <c r="L12" s="102" t="s">
        <v>1951</v>
      </c>
      <c r="M12" s="173" t="s">
        <v>1952</v>
      </c>
      <c r="N12" s="173" t="s">
        <v>1953</v>
      </c>
      <c r="O12" s="224" t="s">
        <v>1954</v>
      </c>
      <c r="P12" s="224" t="s">
        <v>1955</v>
      </c>
      <c r="Q12" s="102" t="s">
        <v>1956</v>
      </c>
      <c r="R12" s="224" t="s">
        <v>1957</v>
      </c>
      <c r="S12" s="173" t="s">
        <v>1958</v>
      </c>
      <c r="T12" s="173" t="s">
        <v>1959</v>
      </c>
      <c r="U12" s="225" t="s">
        <v>1960</v>
      </c>
      <c r="V12" s="224" t="s">
        <v>1961</v>
      </c>
      <c r="W12" s="224" t="s">
        <v>1962</v>
      </c>
      <c r="X12" s="224" t="s">
        <v>1963</v>
      </c>
      <c r="Y12" s="224" t="s">
        <v>1964</v>
      </c>
      <c r="Z12" s="173" t="s">
        <v>1965</v>
      </c>
      <c r="AA12" s="173" t="s">
        <v>1966</v>
      </c>
      <c r="AB12" s="102" t="s">
        <v>1967</v>
      </c>
      <c r="AC12" s="102" t="s">
        <v>1968</v>
      </c>
      <c r="AD12" s="224" t="s">
        <v>1969</v>
      </c>
      <c r="AE12" s="224" t="s">
        <v>1970</v>
      </c>
      <c r="AF12" s="224" t="s">
        <v>1971</v>
      </c>
      <c r="AG12" s="224" t="s">
        <v>1972</v>
      </c>
      <c r="AH12" s="224" t="s">
        <v>1973</v>
      </c>
      <c r="AI12" s="224" t="s">
        <v>1974</v>
      </c>
      <c r="AJ12" s="225" t="s">
        <v>1975</v>
      </c>
      <c r="AK12" s="224" t="s">
        <v>1976</v>
      </c>
      <c r="AL12" s="224" t="s">
        <v>1977</v>
      </c>
      <c r="AM12" s="226">
        <v>0.25</v>
      </c>
      <c r="AN12" s="227">
        <f t="shared" si="1"/>
        <v>16</v>
      </c>
      <c r="AO12" s="32">
        <f t="shared" si="2"/>
        <v>3</v>
      </c>
      <c r="AP12" s="32">
        <f t="shared" si="3"/>
        <v>3</v>
      </c>
      <c r="AQ12" s="42">
        <f t="shared" si="4"/>
        <v>16</v>
      </c>
      <c r="AR12" s="32">
        <f t="shared" si="5"/>
        <v>0</v>
      </c>
      <c r="AS12" s="32">
        <f t="shared" si="6"/>
        <v>9</v>
      </c>
      <c r="AT12" s="32">
        <f t="shared" si="7"/>
        <v>0</v>
      </c>
      <c r="AU12" s="37">
        <f t="shared" si="8"/>
        <v>0</v>
      </c>
      <c r="AV12" s="30">
        <v>1</v>
      </c>
      <c r="AW12" s="34">
        <f t="shared" si="9"/>
        <v>26</v>
      </c>
      <c r="AX12" s="19">
        <v>31</v>
      </c>
      <c r="AY12" s="228">
        <f t="shared" si="10"/>
        <v>31</v>
      </c>
      <c r="AZ12" s="229">
        <f t="shared" si="11"/>
        <v>0.72727272727272729</v>
      </c>
      <c r="BA12" s="228">
        <f t="shared" si="12"/>
        <v>0</v>
      </c>
      <c r="BB12" s="230">
        <f t="shared" si="13"/>
        <v>0.83870967741935487</v>
      </c>
      <c r="BC12" s="226">
        <v>1.25</v>
      </c>
    </row>
    <row r="13" spans="1:981">
      <c r="A13" s="127" t="s">
        <v>1978</v>
      </c>
      <c r="B13" s="233" t="s">
        <v>1979</v>
      </c>
      <c r="C13" s="29">
        <v>44635</v>
      </c>
      <c r="D13" s="28" t="s">
        <v>1980</v>
      </c>
      <c r="E13" s="28" t="s">
        <v>1981</v>
      </c>
      <c r="F13" s="28">
        <f t="shared" ca="1" si="0"/>
        <v>7</v>
      </c>
      <c r="G13" s="173" t="s">
        <v>1982</v>
      </c>
      <c r="H13" s="224" t="s">
        <v>1983</v>
      </c>
      <c r="I13" s="224" t="s">
        <v>1984</v>
      </c>
      <c r="J13" s="224" t="s">
        <v>1985</v>
      </c>
      <c r="K13" s="102" t="s">
        <v>1986</v>
      </c>
      <c r="L13" s="102" t="s">
        <v>1987</v>
      </c>
      <c r="M13" s="231" t="s">
        <v>1988</v>
      </c>
      <c r="N13" s="224" t="s">
        <v>1989</v>
      </c>
      <c r="O13" s="224" t="s">
        <v>1990</v>
      </c>
      <c r="P13" s="231" t="s">
        <v>1991</v>
      </c>
      <c r="Q13" s="102" t="s">
        <v>1992</v>
      </c>
      <c r="R13" s="224" t="s">
        <v>1993</v>
      </c>
      <c r="S13" s="173" t="s">
        <v>1994</v>
      </c>
      <c r="T13" s="173" t="s">
        <v>1995</v>
      </c>
      <c r="U13" s="224" t="s">
        <v>1996</v>
      </c>
      <c r="V13" s="224" t="s">
        <v>1997</v>
      </c>
      <c r="W13" s="224" t="s">
        <v>1998</v>
      </c>
      <c r="X13" s="224" t="s">
        <v>1999</v>
      </c>
      <c r="Y13" s="224" t="s">
        <v>2000</v>
      </c>
      <c r="Z13" s="224" t="s">
        <v>2001</v>
      </c>
      <c r="AA13" s="224" t="s">
        <v>2002</v>
      </c>
      <c r="AB13" s="102" t="s">
        <v>2003</v>
      </c>
      <c r="AC13" s="102" t="s">
        <v>2004</v>
      </c>
      <c r="AD13" s="224" t="s">
        <v>2005</v>
      </c>
      <c r="AE13" s="224" t="s">
        <v>2006</v>
      </c>
      <c r="AF13" s="224" t="s">
        <v>2007</v>
      </c>
      <c r="AG13" s="224" t="s">
        <v>2008</v>
      </c>
      <c r="AH13" s="224" t="s">
        <v>2009</v>
      </c>
      <c r="AI13" s="224" t="s">
        <v>2010</v>
      </c>
      <c r="AJ13" s="225" t="s">
        <v>2011</v>
      </c>
      <c r="AK13" s="224" t="s">
        <v>2012</v>
      </c>
      <c r="AL13" s="224" t="s">
        <v>2013</v>
      </c>
      <c r="AM13" s="226">
        <v>0.25</v>
      </c>
      <c r="AN13" s="227">
        <f t="shared" si="1"/>
        <v>19</v>
      </c>
      <c r="AO13" s="32">
        <f t="shared" si="2"/>
        <v>2</v>
      </c>
      <c r="AP13" s="32">
        <f t="shared" si="3"/>
        <v>0</v>
      </c>
      <c r="AQ13" s="42">
        <f t="shared" si="4"/>
        <v>17</v>
      </c>
      <c r="AR13" s="32">
        <f t="shared" si="5"/>
        <v>1</v>
      </c>
      <c r="AS13" s="32">
        <f t="shared" si="6"/>
        <v>9</v>
      </c>
      <c r="AT13" s="32">
        <f t="shared" si="7"/>
        <v>2</v>
      </c>
      <c r="AU13" s="37">
        <f t="shared" si="8"/>
        <v>0</v>
      </c>
      <c r="AV13" s="30">
        <v>1</v>
      </c>
      <c r="AW13" s="34">
        <f t="shared" si="9"/>
        <v>29.5</v>
      </c>
      <c r="AX13" s="19">
        <v>31</v>
      </c>
      <c r="AY13" s="228">
        <f t="shared" si="10"/>
        <v>31</v>
      </c>
      <c r="AZ13" s="229">
        <f t="shared" si="11"/>
        <v>0.86363636363636365</v>
      </c>
      <c r="BA13" s="228">
        <f t="shared" si="12"/>
        <v>0</v>
      </c>
      <c r="BB13" s="230">
        <f t="shared" si="13"/>
        <v>0.95161290322580649</v>
      </c>
      <c r="BC13" s="226">
        <v>1.25</v>
      </c>
    </row>
    <row r="14" spans="1:981" s="17" customFormat="1">
      <c r="A14" s="127" t="s">
        <v>2014</v>
      </c>
      <c r="B14" s="232" t="s">
        <v>2015</v>
      </c>
      <c r="C14" s="29">
        <v>44641</v>
      </c>
      <c r="D14" s="28" t="s">
        <v>2016</v>
      </c>
      <c r="E14" s="28" t="s">
        <v>2017</v>
      </c>
      <c r="F14" s="28">
        <f t="shared" ca="1" si="0"/>
        <v>7</v>
      </c>
      <c r="G14" s="173" t="s">
        <v>2018</v>
      </c>
      <c r="H14" s="224" t="s">
        <v>2019</v>
      </c>
      <c r="I14" s="224" t="s">
        <v>2020</v>
      </c>
      <c r="J14" s="224" t="s">
        <v>2021</v>
      </c>
      <c r="K14" s="102" t="s">
        <v>2022</v>
      </c>
      <c r="L14" s="102" t="s">
        <v>2023</v>
      </c>
      <c r="M14" s="231" t="s">
        <v>2024</v>
      </c>
      <c r="N14" s="224" t="s">
        <v>2025</v>
      </c>
      <c r="O14" s="224" t="s">
        <v>2026</v>
      </c>
      <c r="P14" s="231" t="s">
        <v>2027</v>
      </c>
      <c r="Q14" s="102" t="s">
        <v>2028</v>
      </c>
      <c r="R14" s="224" t="s">
        <v>2029</v>
      </c>
      <c r="S14" s="173" t="s">
        <v>2030</v>
      </c>
      <c r="T14" s="173" t="s">
        <v>2031</v>
      </c>
      <c r="U14" s="224" t="s">
        <v>2032</v>
      </c>
      <c r="V14" s="224" t="s">
        <v>2033</v>
      </c>
      <c r="W14" s="224" t="s">
        <v>2034</v>
      </c>
      <c r="X14" s="224" t="s">
        <v>2035</v>
      </c>
      <c r="Y14" s="224" t="s">
        <v>2036</v>
      </c>
      <c r="Z14" s="224" t="s">
        <v>2037</v>
      </c>
      <c r="AA14" s="224" t="s">
        <v>2038</v>
      </c>
      <c r="AB14" s="102" t="s">
        <v>2039</v>
      </c>
      <c r="AC14" s="102" t="s">
        <v>2040</v>
      </c>
      <c r="AD14" s="224" t="s">
        <v>2041</v>
      </c>
      <c r="AE14" s="224" t="s">
        <v>2042</v>
      </c>
      <c r="AF14" s="224" t="s">
        <v>2043</v>
      </c>
      <c r="AG14" s="224" t="s">
        <v>2044</v>
      </c>
      <c r="AH14" s="224" t="s">
        <v>2045</v>
      </c>
      <c r="AI14" s="224" t="s">
        <v>2046</v>
      </c>
      <c r="AJ14" s="225" t="s">
        <v>2047</v>
      </c>
      <c r="AK14" s="224" t="s">
        <v>2048</v>
      </c>
      <c r="AL14" s="224" t="s">
        <v>2049</v>
      </c>
      <c r="AM14" s="226">
        <v>0</v>
      </c>
      <c r="AN14" s="227">
        <f t="shared" si="1"/>
        <v>18</v>
      </c>
      <c r="AO14" s="32">
        <f t="shared" si="2"/>
        <v>2</v>
      </c>
      <c r="AP14" s="32">
        <f t="shared" si="3"/>
        <v>0</v>
      </c>
      <c r="AQ14" s="42">
        <f t="shared" si="4"/>
        <v>16</v>
      </c>
      <c r="AR14" s="32">
        <f t="shared" si="5"/>
        <v>2</v>
      </c>
      <c r="AS14" s="32">
        <f t="shared" si="6"/>
        <v>9</v>
      </c>
      <c r="AT14" s="32">
        <f t="shared" si="7"/>
        <v>2</v>
      </c>
      <c r="AU14" s="37">
        <f t="shared" si="8"/>
        <v>0</v>
      </c>
      <c r="AV14" s="30">
        <v>2.5</v>
      </c>
      <c r="AW14" s="34">
        <f t="shared" si="9"/>
        <v>30.5</v>
      </c>
      <c r="AX14" s="19">
        <v>31</v>
      </c>
      <c r="AY14" s="228">
        <f t="shared" si="10"/>
        <v>31</v>
      </c>
      <c r="AZ14" s="229">
        <f t="shared" si="11"/>
        <v>0.81818181818181823</v>
      </c>
      <c r="BA14" s="228">
        <f t="shared" si="12"/>
        <v>0</v>
      </c>
      <c r="BB14" s="230">
        <f t="shared" si="13"/>
        <v>0.9838709677419355</v>
      </c>
      <c r="BC14" s="226">
        <v>2.5</v>
      </c>
    </row>
    <row r="15" spans="1:981">
      <c r="A15" s="127" t="s">
        <v>2050</v>
      </c>
      <c r="B15" s="233" t="s">
        <v>2051</v>
      </c>
      <c r="C15" s="29">
        <v>44671</v>
      </c>
      <c r="D15" s="102" t="s">
        <v>2052</v>
      </c>
      <c r="E15" s="102" t="s">
        <v>2053</v>
      </c>
      <c r="F15" s="28">
        <f t="shared" ca="1" si="0"/>
        <v>6</v>
      </c>
      <c r="G15" s="173" t="s">
        <v>2054</v>
      </c>
      <c r="H15" s="224" t="s">
        <v>2055</v>
      </c>
      <c r="I15" s="224" t="s">
        <v>2056</v>
      </c>
      <c r="J15" s="224" t="s">
        <v>2057</v>
      </c>
      <c r="K15" s="102" t="s">
        <v>2058</v>
      </c>
      <c r="L15" s="102" t="s">
        <v>2059</v>
      </c>
      <c r="M15" s="231" t="s">
        <v>2060</v>
      </c>
      <c r="N15" s="224" t="s">
        <v>2061</v>
      </c>
      <c r="O15" s="224" t="s">
        <v>2062</v>
      </c>
      <c r="P15" s="231" t="s">
        <v>2063</v>
      </c>
      <c r="Q15" s="102" t="s">
        <v>2064</v>
      </c>
      <c r="R15" s="224" t="s">
        <v>2065</v>
      </c>
      <c r="S15" s="173" t="s">
        <v>2066</v>
      </c>
      <c r="T15" s="173" t="s">
        <v>2067</v>
      </c>
      <c r="U15" s="224" t="s">
        <v>2068</v>
      </c>
      <c r="V15" s="224" t="s">
        <v>2069</v>
      </c>
      <c r="W15" s="224" t="s">
        <v>2070</v>
      </c>
      <c r="X15" s="224" t="s">
        <v>2071</v>
      </c>
      <c r="Y15" s="231" t="s">
        <v>2072</v>
      </c>
      <c r="Z15" s="231" t="s">
        <v>2073</v>
      </c>
      <c r="AA15" s="231" t="s">
        <v>2074</v>
      </c>
      <c r="AB15" s="102" t="s">
        <v>2075</v>
      </c>
      <c r="AC15" s="102" t="s">
        <v>2076</v>
      </c>
      <c r="AD15" s="231" t="s">
        <v>2077</v>
      </c>
      <c r="AE15" s="224" t="s">
        <v>2078</v>
      </c>
      <c r="AF15" s="224" t="s">
        <v>2079</v>
      </c>
      <c r="AG15" s="231" t="s">
        <v>2080</v>
      </c>
      <c r="AH15" s="231" t="s">
        <v>2081</v>
      </c>
      <c r="AI15" s="231" t="s">
        <v>2082</v>
      </c>
      <c r="AJ15" s="225" t="s">
        <v>2083</v>
      </c>
      <c r="AK15" s="231" t="s">
        <v>2084</v>
      </c>
      <c r="AL15" s="231" t="s">
        <v>2085</v>
      </c>
      <c r="AM15" s="226">
        <v>0.375</v>
      </c>
      <c r="AN15" s="227">
        <f t="shared" si="1"/>
        <v>17</v>
      </c>
      <c r="AO15" s="32">
        <f t="shared" si="2"/>
        <v>2</v>
      </c>
      <c r="AP15" s="32">
        <f t="shared" si="3"/>
        <v>2</v>
      </c>
      <c r="AQ15" s="42">
        <f t="shared" si="4"/>
        <v>16</v>
      </c>
      <c r="AR15" s="32">
        <f t="shared" si="5"/>
        <v>1</v>
      </c>
      <c r="AS15" s="32">
        <f t="shared" si="6"/>
        <v>9</v>
      </c>
      <c r="AT15" s="32">
        <f t="shared" si="7"/>
        <v>1</v>
      </c>
      <c r="AU15" s="32">
        <f t="shared" si="8"/>
        <v>0</v>
      </c>
      <c r="AV15" s="30">
        <v>2.5</v>
      </c>
      <c r="AW15" s="34">
        <f t="shared" si="9"/>
        <v>29</v>
      </c>
      <c r="AX15" s="19">
        <v>31</v>
      </c>
      <c r="AY15" s="228">
        <f t="shared" si="10"/>
        <v>31</v>
      </c>
      <c r="AZ15" s="229">
        <f t="shared" si="11"/>
        <v>0.77272727272727271</v>
      </c>
      <c r="BA15" s="228">
        <f t="shared" si="12"/>
        <v>0</v>
      </c>
      <c r="BB15" s="230">
        <f t="shared" si="13"/>
        <v>0.93548387096774188</v>
      </c>
      <c r="BC15" s="226">
        <v>2.875</v>
      </c>
    </row>
    <row r="16" spans="1:981">
      <c r="A16" s="127" t="s">
        <v>2086</v>
      </c>
      <c r="B16" s="233" t="s">
        <v>2087</v>
      </c>
      <c r="C16" s="29">
        <v>44683</v>
      </c>
      <c r="D16" s="102" t="s">
        <v>2088</v>
      </c>
      <c r="E16" s="102" t="s">
        <v>2089</v>
      </c>
      <c r="F16" s="28">
        <f t="shared" ca="1" si="0"/>
        <v>6</v>
      </c>
      <c r="G16" s="173" t="s">
        <v>2090</v>
      </c>
      <c r="H16" s="224" t="s">
        <v>2091</v>
      </c>
      <c r="I16" s="224" t="s">
        <v>2092</v>
      </c>
      <c r="J16" s="224" t="s">
        <v>2093</v>
      </c>
      <c r="K16" s="102" t="s">
        <v>2094</v>
      </c>
      <c r="L16" s="102" t="s">
        <v>2095</v>
      </c>
      <c r="M16" s="224" t="s">
        <v>2096</v>
      </c>
      <c r="N16" s="224" t="s">
        <v>2097</v>
      </c>
      <c r="O16" s="224" t="s">
        <v>2098</v>
      </c>
      <c r="P16" s="224" t="s">
        <v>2099</v>
      </c>
      <c r="Q16" s="102" t="s">
        <v>2100</v>
      </c>
      <c r="R16" s="224" t="s">
        <v>2101</v>
      </c>
      <c r="S16" s="173" t="s">
        <v>2102</v>
      </c>
      <c r="T16" s="173" t="s">
        <v>2103</v>
      </c>
      <c r="U16" s="224" t="s">
        <v>2104</v>
      </c>
      <c r="V16" s="224" t="s">
        <v>2105</v>
      </c>
      <c r="W16" s="224" t="s">
        <v>2106</v>
      </c>
      <c r="X16" s="224" t="s">
        <v>2107</v>
      </c>
      <c r="Y16" s="231" t="s">
        <v>2108</v>
      </c>
      <c r="Z16" s="231" t="s">
        <v>2109</v>
      </c>
      <c r="AA16" s="231" t="s">
        <v>2110</v>
      </c>
      <c r="AB16" s="102" t="s">
        <v>2111</v>
      </c>
      <c r="AC16" s="102" t="s">
        <v>2112</v>
      </c>
      <c r="AD16" s="231" t="s">
        <v>2113</v>
      </c>
      <c r="AE16" s="224" t="s">
        <v>2114</v>
      </c>
      <c r="AF16" s="231" t="s">
        <v>2115</v>
      </c>
      <c r="AG16" s="231" t="s">
        <v>2116</v>
      </c>
      <c r="AH16" s="231" t="s">
        <v>2117</v>
      </c>
      <c r="AI16" s="231" t="s">
        <v>2118</v>
      </c>
      <c r="AJ16" s="225" t="s">
        <v>2119</v>
      </c>
      <c r="AK16" s="231" t="s">
        <v>2120</v>
      </c>
      <c r="AL16" s="231" t="s">
        <v>2121</v>
      </c>
      <c r="AM16" s="226">
        <v>0.25</v>
      </c>
      <c r="AN16" s="227">
        <f t="shared" si="1"/>
        <v>18</v>
      </c>
      <c r="AO16" s="32">
        <f t="shared" si="2"/>
        <v>4</v>
      </c>
      <c r="AP16" s="32">
        <f t="shared" si="3"/>
        <v>0</v>
      </c>
      <c r="AQ16" s="42">
        <f t="shared" si="4"/>
        <v>16</v>
      </c>
      <c r="AR16" s="32">
        <f t="shared" si="5"/>
        <v>0</v>
      </c>
      <c r="AS16" s="32">
        <f t="shared" si="6"/>
        <v>9</v>
      </c>
      <c r="AT16" s="32">
        <f t="shared" si="7"/>
        <v>2</v>
      </c>
      <c r="AU16" s="32">
        <f t="shared" si="8"/>
        <v>0</v>
      </c>
      <c r="AV16" s="30">
        <v>3.5</v>
      </c>
      <c r="AW16" s="34">
        <f t="shared" si="9"/>
        <v>30.5</v>
      </c>
      <c r="AX16" s="19">
        <v>31</v>
      </c>
      <c r="AY16" s="228">
        <f t="shared" si="10"/>
        <v>31</v>
      </c>
      <c r="AZ16" s="229">
        <f t="shared" si="11"/>
        <v>0.81818181818181823</v>
      </c>
      <c r="BA16" s="228">
        <f t="shared" si="12"/>
        <v>0</v>
      </c>
      <c r="BB16" s="230">
        <f t="shared" si="13"/>
        <v>0.9838709677419355</v>
      </c>
      <c r="BC16" s="226">
        <v>3.75</v>
      </c>
    </row>
    <row r="17" spans="1:61">
      <c r="A17" s="18" t="s">
        <v>2122</v>
      </c>
      <c r="B17" s="234" t="s">
        <v>2123</v>
      </c>
      <c r="C17" s="235">
        <v>44726</v>
      </c>
      <c r="D17" s="163" t="s">
        <v>2124</v>
      </c>
      <c r="E17" s="102" t="s">
        <v>2125</v>
      </c>
      <c r="F17" s="28">
        <f t="shared" ca="1" si="0"/>
        <v>4</v>
      </c>
      <c r="G17" s="173" t="s">
        <v>2126</v>
      </c>
      <c r="H17" s="102" t="s">
        <v>2127</v>
      </c>
      <c r="I17" s="224" t="s">
        <v>2128</v>
      </c>
      <c r="J17" s="224" t="s">
        <v>2129</v>
      </c>
      <c r="K17" s="102" t="s">
        <v>2130</v>
      </c>
      <c r="L17" s="102" t="s">
        <v>2131</v>
      </c>
      <c r="M17" s="102" t="s">
        <v>2132</v>
      </c>
      <c r="N17" s="102" t="s">
        <v>2133</v>
      </c>
      <c r="O17" s="102" t="s">
        <v>2134</v>
      </c>
      <c r="P17" s="102" t="s">
        <v>2135</v>
      </c>
      <c r="Q17" s="102" t="s">
        <v>2136</v>
      </c>
      <c r="R17" s="102" t="s">
        <v>2137</v>
      </c>
      <c r="S17" s="102" t="s">
        <v>2138</v>
      </c>
      <c r="T17" s="102" t="s">
        <v>2139</v>
      </c>
      <c r="U17" s="102" t="s">
        <v>2140</v>
      </c>
      <c r="V17" s="224" t="s">
        <v>2141</v>
      </c>
      <c r="W17" s="224" t="s">
        <v>2142</v>
      </c>
      <c r="X17" s="224" t="s">
        <v>2143</v>
      </c>
      <c r="Y17" s="231" t="s">
        <v>2144</v>
      </c>
      <c r="Z17" s="231" t="s">
        <v>2145</v>
      </c>
      <c r="AA17" s="231" t="s">
        <v>2146</v>
      </c>
      <c r="AB17" s="231" t="s">
        <v>2147</v>
      </c>
      <c r="AC17" s="231" t="s">
        <v>2148</v>
      </c>
      <c r="AD17" s="231" t="s">
        <v>2149</v>
      </c>
      <c r="AE17" s="224" t="s">
        <v>2150</v>
      </c>
      <c r="AF17" s="231" t="s">
        <v>2151</v>
      </c>
      <c r="AG17" s="224" t="s">
        <v>2152</v>
      </c>
      <c r="AH17" s="231" t="s">
        <v>2153</v>
      </c>
      <c r="AI17" s="231" t="s">
        <v>2154</v>
      </c>
      <c r="AJ17" s="231" t="s">
        <v>2155</v>
      </c>
      <c r="AK17" s="231" t="s">
        <v>2156</v>
      </c>
      <c r="AL17" s="231" t="s">
        <v>2157</v>
      </c>
      <c r="AM17" s="226">
        <v>0.25</v>
      </c>
      <c r="AN17" s="227">
        <f t="shared" si="1"/>
        <v>21</v>
      </c>
      <c r="AO17" s="32">
        <f t="shared" si="2"/>
        <v>1</v>
      </c>
      <c r="AP17" s="32">
        <f t="shared" si="3"/>
        <v>0</v>
      </c>
      <c r="AQ17" s="42">
        <f t="shared" si="4"/>
        <v>20</v>
      </c>
      <c r="AR17" s="32">
        <f t="shared" si="5"/>
        <v>0</v>
      </c>
      <c r="AS17" s="32">
        <f t="shared" si="6"/>
        <v>9</v>
      </c>
      <c r="AT17" s="32">
        <f t="shared" si="7"/>
        <v>1</v>
      </c>
      <c r="AU17" s="32">
        <f t="shared" si="8"/>
        <v>0</v>
      </c>
      <c r="AV17" s="30">
        <v>1</v>
      </c>
      <c r="AW17" s="34">
        <f t="shared" si="9"/>
        <v>31</v>
      </c>
      <c r="AX17" s="19">
        <v>31</v>
      </c>
      <c r="AY17" s="228">
        <f t="shared" si="10"/>
        <v>31</v>
      </c>
      <c r="AZ17" s="229">
        <f t="shared" si="11"/>
        <v>0.95454545454545459</v>
      </c>
      <c r="BA17" s="228">
        <f t="shared" si="12"/>
        <v>0</v>
      </c>
      <c r="BB17" s="230">
        <f t="shared" si="13"/>
        <v>1</v>
      </c>
      <c r="BC17" s="226">
        <v>1.25</v>
      </c>
    </row>
    <row r="18" spans="1:61">
      <c r="A18" s="236" t="s">
        <v>2158</v>
      </c>
      <c r="B18" s="237" t="s">
        <v>2159</v>
      </c>
      <c r="C18" s="238">
        <v>44720</v>
      </c>
      <c r="D18" s="28" t="s">
        <v>2160</v>
      </c>
      <c r="E18" s="28" t="s">
        <v>2161</v>
      </c>
      <c r="F18" s="28">
        <f t="shared" ca="1" si="0"/>
        <v>5</v>
      </c>
      <c r="G18" s="173" t="s">
        <v>2162</v>
      </c>
      <c r="H18" s="239" t="s">
        <v>2163</v>
      </c>
      <c r="I18" s="224" t="s">
        <v>2164</v>
      </c>
      <c r="J18" s="224" t="s">
        <v>2165</v>
      </c>
      <c r="K18" s="239" t="s">
        <v>2166</v>
      </c>
      <c r="L18" s="239" t="s">
        <v>2167</v>
      </c>
      <c r="M18" s="239" t="s">
        <v>2168</v>
      </c>
      <c r="N18" s="239" t="s">
        <v>2169</v>
      </c>
      <c r="O18" s="239" t="s">
        <v>2170</v>
      </c>
      <c r="P18" s="239" t="s">
        <v>2171</v>
      </c>
      <c r="Q18" s="102" t="s">
        <v>2172</v>
      </c>
      <c r="R18" s="240" t="s">
        <v>2173</v>
      </c>
      <c r="S18" s="231" t="s">
        <v>2174</v>
      </c>
      <c r="T18" s="173" t="s">
        <v>2175</v>
      </c>
      <c r="U18" s="241" t="s">
        <v>2176</v>
      </c>
      <c r="V18" s="240" t="s">
        <v>2177</v>
      </c>
      <c r="W18" s="224" t="s">
        <v>2178</v>
      </c>
      <c r="X18" s="224" t="s">
        <v>2179</v>
      </c>
      <c r="Y18" s="240" t="s">
        <v>2180</v>
      </c>
      <c r="Z18" s="231" t="s">
        <v>2181</v>
      </c>
      <c r="AA18" s="240" t="s">
        <v>2182</v>
      </c>
      <c r="AB18" s="240" t="s">
        <v>2183</v>
      </c>
      <c r="AC18" s="240" t="s">
        <v>2184</v>
      </c>
      <c r="AD18" s="240" t="s">
        <v>2185</v>
      </c>
      <c r="AE18" s="224" t="s">
        <v>2186</v>
      </c>
      <c r="AF18" s="240" t="s">
        <v>2187</v>
      </c>
      <c r="AG18" s="224" t="s">
        <v>2188</v>
      </c>
      <c r="AH18" s="240" t="s">
        <v>2189</v>
      </c>
      <c r="AI18" s="240" t="s">
        <v>2190</v>
      </c>
      <c r="AJ18" s="240" t="s">
        <v>2191</v>
      </c>
      <c r="AK18" s="240" t="s">
        <v>2192</v>
      </c>
      <c r="AL18" s="240" t="s">
        <v>2193</v>
      </c>
      <c r="AM18" s="226">
        <v>3</v>
      </c>
      <c r="AN18" s="227">
        <f t="shared" si="1"/>
        <v>20</v>
      </c>
      <c r="AO18" s="32">
        <f t="shared" si="2"/>
        <v>2</v>
      </c>
      <c r="AP18" s="32">
        <f t="shared" si="3"/>
        <v>0</v>
      </c>
      <c r="AQ18" s="42">
        <f t="shared" si="4"/>
        <v>20</v>
      </c>
      <c r="AR18" s="32">
        <f t="shared" si="5"/>
        <v>0</v>
      </c>
      <c r="AS18" s="32">
        <f t="shared" si="6"/>
        <v>9</v>
      </c>
      <c r="AT18" s="32">
        <f t="shared" si="7"/>
        <v>0</v>
      </c>
      <c r="AU18" s="37">
        <f t="shared" si="8"/>
        <v>0</v>
      </c>
      <c r="AV18" s="30">
        <v>2</v>
      </c>
      <c r="AW18" s="34">
        <f t="shared" si="9"/>
        <v>31</v>
      </c>
      <c r="AX18" s="19">
        <v>31</v>
      </c>
      <c r="AY18" s="228">
        <f t="shared" si="10"/>
        <v>31</v>
      </c>
      <c r="AZ18" s="229">
        <f t="shared" si="11"/>
        <v>0.90909090909090906</v>
      </c>
      <c r="BA18" s="228">
        <f t="shared" si="12"/>
        <v>0</v>
      </c>
      <c r="BB18" s="230">
        <f t="shared" si="13"/>
        <v>1</v>
      </c>
      <c r="BC18" s="226">
        <v>5</v>
      </c>
    </row>
    <row r="19" spans="1:61">
      <c r="A19" s="242" t="s">
        <v>2194</v>
      </c>
      <c r="B19" s="243" t="s">
        <v>2195</v>
      </c>
      <c r="C19" s="244">
        <v>44739</v>
      </c>
      <c r="D19" s="163" t="s">
        <v>2196</v>
      </c>
      <c r="E19" s="102" t="s">
        <v>2197</v>
      </c>
      <c r="F19" s="28">
        <f t="shared" ca="1" si="0"/>
        <v>4</v>
      </c>
      <c r="G19" s="173" t="s">
        <v>2198</v>
      </c>
      <c r="H19" s="231" t="s">
        <v>2199</v>
      </c>
      <c r="I19" s="224" t="s">
        <v>2200</v>
      </c>
      <c r="J19" s="224" t="s">
        <v>2201</v>
      </c>
      <c r="K19" s="231" t="s">
        <v>2202</v>
      </c>
      <c r="L19" s="231" t="s">
        <v>2203</v>
      </c>
      <c r="M19" s="231" t="s">
        <v>2204</v>
      </c>
      <c r="N19" s="231" t="s">
        <v>2205</v>
      </c>
      <c r="O19" s="231" t="s">
        <v>2206</v>
      </c>
      <c r="P19" s="231" t="s">
        <v>2207</v>
      </c>
      <c r="Q19" s="102" t="s">
        <v>2208</v>
      </c>
      <c r="R19" s="231" t="s">
        <v>2209</v>
      </c>
      <c r="S19" s="231" t="s">
        <v>2210</v>
      </c>
      <c r="T19" s="231" t="s">
        <v>2211</v>
      </c>
      <c r="U19" s="231" t="s">
        <v>2212</v>
      </c>
      <c r="V19" s="231" t="s">
        <v>2213</v>
      </c>
      <c r="W19" s="224" t="s">
        <v>2214</v>
      </c>
      <c r="X19" s="224" t="s">
        <v>2215</v>
      </c>
      <c r="Y19" s="231" t="s">
        <v>2216</v>
      </c>
      <c r="Z19" s="231" t="s">
        <v>2217</v>
      </c>
      <c r="AA19" s="231" t="s">
        <v>2218</v>
      </c>
      <c r="AB19" s="231" t="s">
        <v>2219</v>
      </c>
      <c r="AC19" s="231" t="s">
        <v>2220</v>
      </c>
      <c r="AD19" s="231" t="s">
        <v>2221</v>
      </c>
      <c r="AE19" s="224" t="s">
        <v>2222</v>
      </c>
      <c r="AF19" s="231" t="s">
        <v>2223</v>
      </c>
      <c r="AG19" s="231" t="s">
        <v>2224</v>
      </c>
      <c r="AH19" s="231" t="s">
        <v>2225</v>
      </c>
      <c r="AI19" s="231" t="s">
        <v>2226</v>
      </c>
      <c r="AJ19" s="231" t="s">
        <v>2227</v>
      </c>
      <c r="AK19" s="231" t="s">
        <v>2228</v>
      </c>
      <c r="AL19" s="231" t="s">
        <v>2229</v>
      </c>
      <c r="AM19" s="226">
        <v>1.25</v>
      </c>
      <c r="AN19" s="227">
        <f t="shared" si="1"/>
        <v>22</v>
      </c>
      <c r="AO19" s="32">
        <f t="shared" si="2"/>
        <v>0</v>
      </c>
      <c r="AP19" s="32">
        <f t="shared" si="3"/>
        <v>0</v>
      </c>
      <c r="AQ19" s="42">
        <f t="shared" si="4"/>
        <v>22</v>
      </c>
      <c r="AR19" s="32">
        <f t="shared" si="5"/>
        <v>0</v>
      </c>
      <c r="AS19" s="32">
        <f t="shared" si="6"/>
        <v>9</v>
      </c>
      <c r="AT19" s="32">
        <f t="shared" si="7"/>
        <v>0</v>
      </c>
      <c r="AU19" s="32">
        <f t="shared" si="8"/>
        <v>0</v>
      </c>
      <c r="AV19" s="30">
        <v>0</v>
      </c>
      <c r="AW19" s="34">
        <f t="shared" si="9"/>
        <v>31</v>
      </c>
      <c r="AX19" s="19">
        <v>31</v>
      </c>
      <c r="AY19" s="228">
        <f t="shared" si="10"/>
        <v>31</v>
      </c>
      <c r="AZ19" s="229">
        <f t="shared" si="11"/>
        <v>1</v>
      </c>
      <c r="BA19" s="228">
        <f t="shared" si="12"/>
        <v>0</v>
      </c>
      <c r="BB19" s="230">
        <f t="shared" si="13"/>
        <v>1</v>
      </c>
      <c r="BC19" s="226">
        <v>1.25</v>
      </c>
    </row>
    <row r="20" spans="1:61" s="17" customFormat="1">
      <c r="A20" s="242" t="s">
        <v>2230</v>
      </c>
      <c r="B20" s="245" t="s">
        <v>2231</v>
      </c>
      <c r="C20" s="246">
        <v>44746</v>
      </c>
      <c r="D20" s="163" t="s">
        <v>2232</v>
      </c>
      <c r="E20" s="102" t="s">
        <v>2233</v>
      </c>
      <c r="F20" s="28">
        <f t="shared" ca="1" si="0"/>
        <v>4</v>
      </c>
      <c r="G20" s="173" t="s">
        <v>2234</v>
      </c>
      <c r="H20" s="231" t="s">
        <v>2235</v>
      </c>
      <c r="I20" s="231" t="s">
        <v>2236</v>
      </c>
      <c r="J20" s="231" t="s">
        <v>2237</v>
      </c>
      <c r="K20" s="231" t="s">
        <v>2238</v>
      </c>
      <c r="L20" s="231" t="s">
        <v>2239</v>
      </c>
      <c r="M20" s="231" t="s">
        <v>2240</v>
      </c>
      <c r="N20" s="231" t="s">
        <v>2241</v>
      </c>
      <c r="O20" s="231" t="s">
        <v>2242</v>
      </c>
      <c r="P20" s="231" t="s">
        <v>2243</v>
      </c>
      <c r="Q20" s="102" t="s">
        <v>2244</v>
      </c>
      <c r="R20" s="231" t="s">
        <v>2245</v>
      </c>
      <c r="S20" s="231" t="s">
        <v>2246</v>
      </c>
      <c r="T20" s="231" t="s">
        <v>2247</v>
      </c>
      <c r="U20" s="231" t="s">
        <v>2248</v>
      </c>
      <c r="V20" s="231" t="s">
        <v>2249</v>
      </c>
      <c r="W20" s="224" t="s">
        <v>2250</v>
      </c>
      <c r="X20" s="224" t="s">
        <v>2251</v>
      </c>
      <c r="Y20" s="231" t="s">
        <v>2252</v>
      </c>
      <c r="Z20" s="231" t="s">
        <v>2253</v>
      </c>
      <c r="AA20" s="231" t="s">
        <v>2254</v>
      </c>
      <c r="AB20" s="231" t="s">
        <v>2255</v>
      </c>
      <c r="AC20" s="231" t="s">
        <v>2256</v>
      </c>
      <c r="AD20" s="231" t="s">
        <v>2257</v>
      </c>
      <c r="AE20" s="224" t="s">
        <v>2258</v>
      </c>
      <c r="AF20" s="231" t="s">
        <v>2259</v>
      </c>
      <c r="AG20" s="231" t="s">
        <v>2260</v>
      </c>
      <c r="AH20" s="231" t="s">
        <v>2261</v>
      </c>
      <c r="AI20" s="231" t="s">
        <v>2262</v>
      </c>
      <c r="AJ20" s="231" t="s">
        <v>2263</v>
      </c>
      <c r="AK20" s="231" t="s">
        <v>2264</v>
      </c>
      <c r="AL20" s="231" t="s">
        <v>2265</v>
      </c>
      <c r="AM20" s="226">
        <v>1.25</v>
      </c>
      <c r="AN20" s="227">
        <f t="shared" si="1"/>
        <v>22</v>
      </c>
      <c r="AO20" s="32">
        <f t="shared" si="2"/>
        <v>0</v>
      </c>
      <c r="AP20" s="32">
        <f t="shared" si="3"/>
        <v>0</v>
      </c>
      <c r="AQ20" s="42">
        <f t="shared" si="4"/>
        <v>22</v>
      </c>
      <c r="AR20" s="32">
        <f t="shared" si="5"/>
        <v>0</v>
      </c>
      <c r="AS20" s="32">
        <f t="shared" si="6"/>
        <v>9</v>
      </c>
      <c r="AT20" s="32">
        <f t="shared" si="7"/>
        <v>0</v>
      </c>
      <c r="AU20" s="32">
        <f t="shared" si="8"/>
        <v>0</v>
      </c>
      <c r="AV20" s="30">
        <v>0</v>
      </c>
      <c r="AW20" s="34">
        <f t="shared" si="9"/>
        <v>31</v>
      </c>
      <c r="AX20" s="19">
        <v>31</v>
      </c>
      <c r="AY20" s="228">
        <f t="shared" si="10"/>
        <v>31</v>
      </c>
      <c r="AZ20" s="229">
        <f t="shared" si="11"/>
        <v>1</v>
      </c>
      <c r="BA20" s="228">
        <f t="shared" si="12"/>
        <v>0</v>
      </c>
      <c r="BB20" s="230">
        <f t="shared" si="13"/>
        <v>1</v>
      </c>
      <c r="BC20" s="226">
        <v>1.25</v>
      </c>
    </row>
    <row r="21" spans="1:61" s="17" customFormat="1">
      <c r="A21" s="242" t="s">
        <v>2266</v>
      </c>
      <c r="B21" s="245" t="s">
        <v>2267</v>
      </c>
      <c r="C21" s="246">
        <v>44753</v>
      </c>
      <c r="D21" s="163" t="s">
        <v>2268</v>
      </c>
      <c r="E21" s="102" t="s">
        <v>2269</v>
      </c>
      <c r="F21" s="28">
        <f t="shared" ca="1" si="0"/>
        <v>3</v>
      </c>
      <c r="G21" s="173" t="s">
        <v>2270</v>
      </c>
      <c r="H21" s="247" t="s">
        <v>2271</v>
      </c>
      <c r="I21" s="247" t="s">
        <v>2272</v>
      </c>
      <c r="J21" s="247" t="s">
        <v>2273</v>
      </c>
      <c r="K21" s="247" t="s">
        <v>2274</v>
      </c>
      <c r="L21" s="247" t="s">
        <v>2275</v>
      </c>
      <c r="M21" s="247" t="s">
        <v>2276</v>
      </c>
      <c r="N21" s="247" t="s">
        <v>2277</v>
      </c>
      <c r="O21" s="247" t="s">
        <v>2278</v>
      </c>
      <c r="P21" s="247" t="s">
        <v>2279</v>
      </c>
      <c r="Q21" s="247" t="s">
        <v>2280</v>
      </c>
      <c r="R21" s="231" t="s">
        <v>2281</v>
      </c>
      <c r="S21" s="231" t="s">
        <v>2282</v>
      </c>
      <c r="T21" s="231" t="s">
        <v>2283</v>
      </c>
      <c r="U21" s="231" t="s">
        <v>2284</v>
      </c>
      <c r="V21" s="231" t="s">
        <v>2285</v>
      </c>
      <c r="W21" s="224" t="s">
        <v>2286</v>
      </c>
      <c r="X21" s="224" t="s">
        <v>2287</v>
      </c>
      <c r="Y21" s="231" t="s">
        <v>2288</v>
      </c>
      <c r="Z21" s="231" t="s">
        <v>2289</v>
      </c>
      <c r="AA21" s="231" t="s">
        <v>2290</v>
      </c>
      <c r="AB21" s="231" t="s">
        <v>2291</v>
      </c>
      <c r="AC21" s="231" t="s">
        <v>2292</v>
      </c>
      <c r="AD21" s="231" t="s">
        <v>2293</v>
      </c>
      <c r="AE21" s="224" t="s">
        <v>2294</v>
      </c>
      <c r="AF21" s="231" t="s">
        <v>2295</v>
      </c>
      <c r="AG21" s="231" t="s">
        <v>2296</v>
      </c>
      <c r="AH21" s="231" t="s">
        <v>2297</v>
      </c>
      <c r="AI21" s="231" t="s">
        <v>2298</v>
      </c>
      <c r="AJ21" s="231" t="s">
        <v>2299</v>
      </c>
      <c r="AK21" s="231" t="s">
        <v>2300</v>
      </c>
      <c r="AL21" s="231" t="s">
        <v>2301</v>
      </c>
      <c r="AM21" s="226">
        <v>0</v>
      </c>
      <c r="AN21" s="227">
        <f t="shared" si="1"/>
        <v>20</v>
      </c>
      <c r="AO21" s="32">
        <f t="shared" si="2"/>
        <v>1</v>
      </c>
      <c r="AP21" s="32">
        <f t="shared" si="3"/>
        <v>0</v>
      </c>
      <c r="AQ21" s="42">
        <f t="shared" si="4"/>
        <v>18</v>
      </c>
      <c r="AR21" s="32">
        <f t="shared" si="5"/>
        <v>1</v>
      </c>
      <c r="AS21" s="32">
        <f t="shared" si="6"/>
        <v>9</v>
      </c>
      <c r="AT21" s="32">
        <f t="shared" si="7"/>
        <v>2</v>
      </c>
      <c r="AU21" s="32">
        <f t="shared" si="8"/>
        <v>0</v>
      </c>
      <c r="AV21" s="30">
        <v>1.5</v>
      </c>
      <c r="AW21" s="34">
        <f t="shared" si="9"/>
        <v>31</v>
      </c>
      <c r="AX21" s="19">
        <v>31</v>
      </c>
      <c r="AY21" s="228">
        <f t="shared" si="10"/>
        <v>31</v>
      </c>
      <c r="AZ21" s="229">
        <f t="shared" si="11"/>
        <v>0.90909090909090906</v>
      </c>
      <c r="BA21" s="228">
        <f t="shared" si="12"/>
        <v>0</v>
      </c>
      <c r="BB21" s="230">
        <f t="shared" si="13"/>
        <v>1</v>
      </c>
      <c r="BC21" s="226">
        <v>1.5</v>
      </c>
    </row>
    <row r="22" spans="1:61">
      <c r="A22" s="248" t="s">
        <v>2302</v>
      </c>
      <c r="B22" s="245" t="s">
        <v>2303</v>
      </c>
      <c r="C22" s="246">
        <v>44760</v>
      </c>
      <c r="D22" s="249" t="s">
        <v>2304</v>
      </c>
      <c r="E22" s="102" t="s">
        <v>2305</v>
      </c>
      <c r="F22" s="28">
        <f t="shared" ca="1" si="0"/>
        <v>3</v>
      </c>
      <c r="G22" s="173" t="s">
        <v>2306</v>
      </c>
      <c r="H22" s="247" t="s">
        <v>2307</v>
      </c>
      <c r="I22" s="247" t="s">
        <v>2308</v>
      </c>
      <c r="J22" s="247" t="s">
        <v>2309</v>
      </c>
      <c r="K22" s="247" t="s">
        <v>2310</v>
      </c>
      <c r="L22" s="247" t="s">
        <v>2311</v>
      </c>
      <c r="M22" s="247" t="s">
        <v>2312</v>
      </c>
      <c r="N22" s="247" t="s">
        <v>2313</v>
      </c>
      <c r="O22" s="247" t="s">
        <v>2314</v>
      </c>
      <c r="P22" s="247" t="s">
        <v>2315</v>
      </c>
      <c r="Q22" s="247" t="s">
        <v>2316</v>
      </c>
      <c r="R22" s="247" t="s">
        <v>2317</v>
      </c>
      <c r="S22" s="247" t="s">
        <v>2318</v>
      </c>
      <c r="T22" s="247" t="s">
        <v>2319</v>
      </c>
      <c r="U22" s="247" t="s">
        <v>2320</v>
      </c>
      <c r="V22" s="247" t="s">
        <v>2321</v>
      </c>
      <c r="W22" s="247" t="s">
        <v>2322</v>
      </c>
      <c r="X22" s="247" t="s">
        <v>2323</v>
      </c>
      <c r="Y22" s="231" t="s">
        <v>2324</v>
      </c>
      <c r="Z22" s="231" t="s">
        <v>2325</v>
      </c>
      <c r="AA22" s="231" t="s">
        <v>2326</v>
      </c>
      <c r="AB22" s="231" t="s">
        <v>2327</v>
      </c>
      <c r="AC22" s="231" t="s">
        <v>2328</v>
      </c>
      <c r="AD22" s="231" t="s">
        <v>2329</v>
      </c>
      <c r="AE22" s="224" t="s">
        <v>2330</v>
      </c>
      <c r="AF22" s="231" t="s">
        <v>2331</v>
      </c>
      <c r="AG22" s="231" t="s">
        <v>2332</v>
      </c>
      <c r="AH22" s="231" t="s">
        <v>2333</v>
      </c>
      <c r="AI22" s="231" t="s">
        <v>2334</v>
      </c>
      <c r="AJ22" s="231" t="s">
        <v>2335</v>
      </c>
      <c r="AK22" s="231" t="s">
        <v>2336</v>
      </c>
      <c r="AL22" s="231" t="s">
        <v>2337</v>
      </c>
      <c r="AM22" s="226">
        <v>1</v>
      </c>
      <c r="AN22" s="227">
        <f t="shared" si="1"/>
        <v>21</v>
      </c>
      <c r="AO22" s="32">
        <f t="shared" si="2"/>
        <v>1</v>
      </c>
      <c r="AP22" s="32">
        <f t="shared" si="3"/>
        <v>0</v>
      </c>
      <c r="AQ22" s="42">
        <f t="shared" si="4"/>
        <v>21</v>
      </c>
      <c r="AR22" s="32">
        <f t="shared" si="5"/>
        <v>0</v>
      </c>
      <c r="AS22" s="32">
        <f t="shared" si="6"/>
        <v>9</v>
      </c>
      <c r="AT22" s="32">
        <f t="shared" si="7"/>
        <v>0</v>
      </c>
      <c r="AU22" s="37">
        <f t="shared" si="8"/>
        <v>0</v>
      </c>
      <c r="AV22" s="30">
        <v>1</v>
      </c>
      <c r="AW22" s="34">
        <f t="shared" si="9"/>
        <v>31</v>
      </c>
      <c r="AX22" s="19">
        <v>31</v>
      </c>
      <c r="AY22" s="228">
        <f t="shared" si="10"/>
        <v>31</v>
      </c>
      <c r="AZ22" s="229">
        <f t="shared" si="11"/>
        <v>0.95454545454545459</v>
      </c>
      <c r="BA22" s="228">
        <f t="shared" si="12"/>
        <v>0</v>
      </c>
      <c r="BB22" s="230">
        <f t="shared" si="13"/>
        <v>1</v>
      </c>
      <c r="BC22" s="226">
        <v>2</v>
      </c>
    </row>
    <row r="23" spans="1:61">
      <c r="A23" s="250" t="s">
        <v>2338</v>
      </c>
      <c r="B23" s="245" t="s">
        <v>2339</v>
      </c>
      <c r="C23" s="246">
        <v>44761</v>
      </c>
      <c r="D23" s="249" t="s">
        <v>2340</v>
      </c>
      <c r="E23" s="102" t="s">
        <v>2341</v>
      </c>
      <c r="F23" s="28">
        <f t="shared" ca="1" si="0"/>
        <v>3</v>
      </c>
      <c r="G23" s="173" t="s">
        <v>2342</v>
      </c>
      <c r="H23" s="251" t="s">
        <v>2343</v>
      </c>
      <c r="I23" s="251" t="s">
        <v>2344</v>
      </c>
      <c r="J23" s="251" t="s">
        <v>2345</v>
      </c>
      <c r="K23" s="251" t="s">
        <v>2346</v>
      </c>
      <c r="L23" s="251" t="s">
        <v>2347</v>
      </c>
      <c r="M23" s="251" t="s">
        <v>2348</v>
      </c>
      <c r="N23" s="251" t="s">
        <v>2349</v>
      </c>
      <c r="O23" s="251" t="s">
        <v>2350</v>
      </c>
      <c r="P23" s="251" t="s">
        <v>2351</v>
      </c>
      <c r="Q23" s="251" t="s">
        <v>2352</v>
      </c>
      <c r="R23" s="251" t="s">
        <v>2353</v>
      </c>
      <c r="S23" s="251" t="s">
        <v>2354</v>
      </c>
      <c r="T23" s="251" t="s">
        <v>2355</v>
      </c>
      <c r="U23" s="251" t="s">
        <v>2356</v>
      </c>
      <c r="V23" s="251" t="s">
        <v>2357</v>
      </c>
      <c r="W23" s="251" t="s">
        <v>2358</v>
      </c>
      <c r="X23" s="251" t="s">
        <v>2359</v>
      </c>
      <c r="Y23" s="252" t="s">
        <v>2360</v>
      </c>
      <c r="Z23" s="252" t="s">
        <v>2361</v>
      </c>
      <c r="AA23" s="252" t="s">
        <v>2362</v>
      </c>
      <c r="AB23" s="252" t="s">
        <v>2363</v>
      </c>
      <c r="AC23" s="252" t="s">
        <v>2364</v>
      </c>
      <c r="AD23" s="252" t="s">
        <v>2365</v>
      </c>
      <c r="AE23" s="253" t="s">
        <v>2366</v>
      </c>
      <c r="AF23" s="252" t="s">
        <v>2367</v>
      </c>
      <c r="AG23" s="252" t="s">
        <v>2368</v>
      </c>
      <c r="AH23" s="252" t="s">
        <v>2369</v>
      </c>
      <c r="AI23" s="252" t="s">
        <v>2370</v>
      </c>
      <c r="AJ23" s="252" t="s">
        <v>2371</v>
      </c>
      <c r="AK23" s="252" t="s">
        <v>2372</v>
      </c>
      <c r="AL23" s="252" t="s">
        <v>2373</v>
      </c>
      <c r="AM23" s="226">
        <v>2.5</v>
      </c>
      <c r="AN23" s="227">
        <f t="shared" si="1"/>
        <v>22</v>
      </c>
      <c r="AO23" s="32">
        <f t="shared" si="2"/>
        <v>0</v>
      </c>
      <c r="AP23" s="32">
        <f t="shared" si="3"/>
        <v>0</v>
      </c>
      <c r="AQ23" s="42">
        <f t="shared" si="4"/>
        <v>22</v>
      </c>
      <c r="AR23" s="32">
        <f t="shared" si="5"/>
        <v>0</v>
      </c>
      <c r="AS23" s="32">
        <f t="shared" si="6"/>
        <v>9</v>
      </c>
      <c r="AT23" s="32">
        <f t="shared" si="7"/>
        <v>0</v>
      </c>
      <c r="AU23" s="77">
        <f t="shared" si="8"/>
        <v>0</v>
      </c>
      <c r="AV23" s="30">
        <v>0</v>
      </c>
      <c r="AW23" s="34">
        <f t="shared" si="9"/>
        <v>31</v>
      </c>
      <c r="AX23" s="19">
        <v>31</v>
      </c>
      <c r="AY23" s="228">
        <f t="shared" si="10"/>
        <v>31</v>
      </c>
      <c r="AZ23" s="229">
        <f t="shared" si="11"/>
        <v>1</v>
      </c>
      <c r="BA23" s="228">
        <f t="shared" si="12"/>
        <v>0</v>
      </c>
      <c r="BB23" s="230">
        <f t="shared" si="13"/>
        <v>1</v>
      </c>
      <c r="BC23" s="226">
        <v>2.5</v>
      </c>
    </row>
    <row r="24" spans="1:61" ht="14.5">
      <c r="A24" s="250" t="s">
        <v>2374</v>
      </c>
      <c r="B24" s="245" t="s">
        <v>2375</v>
      </c>
      <c r="C24" s="246">
        <v>44781</v>
      </c>
      <c r="D24" s="249" t="s">
        <v>2376</v>
      </c>
      <c r="E24" s="102" t="s">
        <v>2377</v>
      </c>
      <c r="F24" s="28">
        <f t="shared" ca="1" si="0"/>
        <v>3</v>
      </c>
      <c r="G24" s="254" t="s">
        <v>2378</v>
      </c>
      <c r="H24" s="163" t="s">
        <v>2379</v>
      </c>
      <c r="I24" s="163" t="s">
        <v>2380</v>
      </c>
      <c r="J24" s="163" t="s">
        <v>2381</v>
      </c>
      <c r="K24" s="163" t="s">
        <v>2382</v>
      </c>
      <c r="L24" s="163" t="s">
        <v>2383</v>
      </c>
      <c r="M24" s="163" t="s">
        <v>2384</v>
      </c>
      <c r="N24" s="163" t="s">
        <v>2385</v>
      </c>
      <c r="O24" s="163" t="s">
        <v>2386</v>
      </c>
      <c r="P24" s="163" t="s">
        <v>2387</v>
      </c>
      <c r="Q24" s="163" t="s">
        <v>2388</v>
      </c>
      <c r="R24" s="163" t="s">
        <v>2389</v>
      </c>
      <c r="S24" s="163" t="s">
        <v>2390</v>
      </c>
      <c r="T24" s="163" t="s">
        <v>2391</v>
      </c>
      <c r="U24" s="163" t="s">
        <v>2392</v>
      </c>
      <c r="V24" s="163" t="s">
        <v>2393</v>
      </c>
      <c r="W24" s="163" t="s">
        <v>2394</v>
      </c>
      <c r="X24" s="163" t="s">
        <v>2395</v>
      </c>
      <c r="Y24" s="163" t="s">
        <v>2396</v>
      </c>
      <c r="Z24" s="163" t="s">
        <v>2397</v>
      </c>
      <c r="AA24" s="163" t="s">
        <v>2398</v>
      </c>
      <c r="AB24" s="163" t="s">
        <v>2399</v>
      </c>
      <c r="AC24" s="163" t="s">
        <v>2400</v>
      </c>
      <c r="AD24" s="163" t="s">
        <v>2401</v>
      </c>
      <c r="AE24" s="163" t="s">
        <v>2402</v>
      </c>
      <c r="AF24" s="163" t="s">
        <v>2403</v>
      </c>
      <c r="AG24" s="163" t="s">
        <v>2404</v>
      </c>
      <c r="AH24" s="163" t="s">
        <v>2405</v>
      </c>
      <c r="AI24" s="163" t="s">
        <v>2406</v>
      </c>
      <c r="AJ24" s="163" t="s">
        <v>2407</v>
      </c>
      <c r="AK24" s="163" t="s">
        <v>2408</v>
      </c>
      <c r="AL24" s="163" t="s">
        <v>2409</v>
      </c>
      <c r="AM24" s="226">
        <v>2.5</v>
      </c>
      <c r="AN24" s="227">
        <f t="shared" si="1"/>
        <v>22</v>
      </c>
      <c r="AO24" s="32">
        <f t="shared" si="2"/>
        <v>0</v>
      </c>
      <c r="AP24" s="32">
        <f t="shared" si="3"/>
        <v>0</v>
      </c>
      <c r="AQ24" s="42">
        <f t="shared" si="4"/>
        <v>21</v>
      </c>
      <c r="AR24" s="32">
        <f t="shared" si="5"/>
        <v>0</v>
      </c>
      <c r="AS24" s="32">
        <f t="shared" si="6"/>
        <v>9</v>
      </c>
      <c r="AT24" s="32">
        <f t="shared" si="7"/>
        <v>1</v>
      </c>
      <c r="AU24" s="77">
        <f t="shared" si="8"/>
        <v>0</v>
      </c>
      <c r="AV24" s="30">
        <v>0</v>
      </c>
      <c r="AW24" s="34">
        <f t="shared" si="9"/>
        <v>31</v>
      </c>
      <c r="AX24" s="19">
        <v>31</v>
      </c>
      <c r="AY24" s="228">
        <f t="shared" si="10"/>
        <v>31</v>
      </c>
      <c r="AZ24" s="229">
        <f t="shared" si="11"/>
        <v>1</v>
      </c>
      <c r="BA24" s="228">
        <f t="shared" si="12"/>
        <v>0</v>
      </c>
      <c r="BB24" s="230">
        <f t="shared" si="13"/>
        <v>1</v>
      </c>
      <c r="BC24" s="226">
        <v>2.5</v>
      </c>
    </row>
    <row r="25" spans="1:61" ht="14.5">
      <c r="A25" s="255" t="s">
        <v>2410</v>
      </c>
      <c r="B25" s="256" t="s">
        <v>2411</v>
      </c>
      <c r="C25" s="257">
        <v>44790</v>
      </c>
      <c r="D25" s="199" t="s">
        <v>2412</v>
      </c>
      <c r="E25" s="258" t="s">
        <v>2413</v>
      </c>
      <c r="F25" s="84">
        <f t="shared" ca="1" si="0"/>
        <v>2</v>
      </c>
      <c r="G25" s="259" t="s">
        <v>2414</v>
      </c>
      <c r="H25" s="199" t="s">
        <v>2415</v>
      </c>
      <c r="I25" s="199" t="s">
        <v>2416</v>
      </c>
      <c r="J25" s="199" t="s">
        <v>2417</v>
      </c>
      <c r="K25" s="199" t="s">
        <v>2418</v>
      </c>
      <c r="L25" s="199" t="s">
        <v>2419</v>
      </c>
      <c r="M25" s="199" t="s">
        <v>2420</v>
      </c>
      <c r="N25" s="199" t="s">
        <v>2421</v>
      </c>
      <c r="O25" s="199" t="s">
        <v>2422</v>
      </c>
      <c r="P25" s="199" t="s">
        <v>2423</v>
      </c>
      <c r="Q25" s="199" t="s">
        <v>2424</v>
      </c>
      <c r="R25" s="199" t="s">
        <v>2425</v>
      </c>
      <c r="S25" s="199" t="s">
        <v>2426</v>
      </c>
      <c r="T25" s="199" t="s">
        <v>2427</v>
      </c>
      <c r="U25" s="199" t="s">
        <v>2428</v>
      </c>
      <c r="V25" s="199" t="s">
        <v>2429</v>
      </c>
      <c r="W25" s="199" t="s">
        <v>2430</v>
      </c>
      <c r="X25" s="199" t="s">
        <v>2431</v>
      </c>
      <c r="Y25" s="199" t="s">
        <v>2432</v>
      </c>
      <c r="Z25" s="199" t="s">
        <v>2433</v>
      </c>
      <c r="AA25" s="199" t="s">
        <v>2434</v>
      </c>
      <c r="AB25" s="199" t="s">
        <v>2435</v>
      </c>
      <c r="AC25" s="199" t="s">
        <v>2436</v>
      </c>
      <c r="AD25" s="199" t="s">
        <v>2437</v>
      </c>
      <c r="AE25" s="199" t="s">
        <v>2438</v>
      </c>
      <c r="AF25" s="199" t="s">
        <v>2439</v>
      </c>
      <c r="AG25" s="199" t="s">
        <v>2440</v>
      </c>
      <c r="AH25" s="199" t="s">
        <v>2441</v>
      </c>
      <c r="AI25" s="199" t="s">
        <v>2442</v>
      </c>
      <c r="AJ25" s="199" t="s">
        <v>2443</v>
      </c>
      <c r="AK25" s="199" t="s">
        <v>2444</v>
      </c>
      <c r="AL25" s="199" t="s">
        <v>2445</v>
      </c>
      <c r="AM25" s="226">
        <v>0.25</v>
      </c>
      <c r="AN25" s="260">
        <f t="shared" si="1"/>
        <v>15</v>
      </c>
      <c r="AO25" s="58">
        <f t="shared" si="2"/>
        <v>6</v>
      </c>
      <c r="AP25" s="32">
        <f t="shared" si="3"/>
        <v>1</v>
      </c>
      <c r="AQ25" s="42">
        <f t="shared" si="4"/>
        <v>15</v>
      </c>
      <c r="AR25" s="32">
        <f t="shared" si="5"/>
        <v>2</v>
      </c>
      <c r="AS25" s="32">
        <f t="shared" si="6"/>
        <v>7</v>
      </c>
      <c r="AT25" s="32">
        <f t="shared" si="7"/>
        <v>0</v>
      </c>
      <c r="AU25" s="58">
        <f t="shared" si="8"/>
        <v>0</v>
      </c>
      <c r="AV25" s="30">
        <v>1</v>
      </c>
      <c r="AW25" s="261">
        <f t="shared" si="9"/>
        <v>24</v>
      </c>
      <c r="AX25" s="19">
        <v>31</v>
      </c>
      <c r="AY25" s="262">
        <f t="shared" si="10"/>
        <v>31</v>
      </c>
      <c r="AZ25" s="229">
        <f t="shared" si="11"/>
        <v>0.68181818181818177</v>
      </c>
      <c r="BA25" s="228">
        <f t="shared" si="12"/>
        <v>0</v>
      </c>
      <c r="BB25" s="263">
        <f t="shared" si="13"/>
        <v>0.77419354838709675</v>
      </c>
      <c r="BC25" s="226">
        <v>1.25</v>
      </c>
    </row>
    <row r="26" spans="1:61" ht="14.5">
      <c r="A26" s="264" t="s">
        <v>2446</v>
      </c>
      <c r="B26" s="199" t="s">
        <v>2447</v>
      </c>
      <c r="C26" s="265">
        <v>44816</v>
      </c>
      <c r="D26" s="199" t="s">
        <v>2448</v>
      </c>
      <c r="E26" s="266" t="s">
        <v>2449</v>
      </c>
      <c r="F26" s="163">
        <v>1</v>
      </c>
      <c r="G26" s="267" t="s">
        <v>2450</v>
      </c>
      <c r="H26" s="163" t="s">
        <v>2451</v>
      </c>
      <c r="I26" s="163" t="s">
        <v>2452</v>
      </c>
      <c r="J26" s="163" t="s">
        <v>2453</v>
      </c>
      <c r="K26" s="163" t="s">
        <v>2454</v>
      </c>
      <c r="L26" s="163" t="s">
        <v>2455</v>
      </c>
      <c r="M26" s="163" t="s">
        <v>2456</v>
      </c>
      <c r="N26" s="163" t="s">
        <v>2457</v>
      </c>
      <c r="O26" s="163" t="s">
        <v>2458</v>
      </c>
      <c r="P26" s="163" t="s">
        <v>2459</v>
      </c>
      <c r="Q26" s="163" t="s">
        <v>2460</v>
      </c>
      <c r="R26" s="163" t="s">
        <v>2461</v>
      </c>
      <c r="S26" s="163" t="s">
        <v>2462</v>
      </c>
      <c r="T26" s="163" t="s">
        <v>2463</v>
      </c>
      <c r="U26" s="163" t="s">
        <v>2464</v>
      </c>
      <c r="V26" s="163" t="s">
        <v>2465</v>
      </c>
      <c r="W26" s="163" t="s">
        <v>2466</v>
      </c>
      <c r="X26" s="163" t="s">
        <v>2467</v>
      </c>
      <c r="Y26" s="163" t="s">
        <v>2468</v>
      </c>
      <c r="Z26" s="163" t="s">
        <v>2469</v>
      </c>
      <c r="AA26" s="163" t="s">
        <v>2470</v>
      </c>
      <c r="AB26" s="163" t="s">
        <v>2471</v>
      </c>
      <c r="AC26" s="163" t="s">
        <v>2472</v>
      </c>
      <c r="AD26" s="163" t="s">
        <v>2473</v>
      </c>
      <c r="AE26" s="163" t="s">
        <v>2474</v>
      </c>
      <c r="AF26" s="163" t="s">
        <v>2475</v>
      </c>
      <c r="AG26" s="163" t="s">
        <v>2476</v>
      </c>
      <c r="AH26" s="163" t="s">
        <v>2477</v>
      </c>
      <c r="AI26" s="163" t="s">
        <v>2478</v>
      </c>
      <c r="AJ26" s="163" t="s">
        <v>2479</v>
      </c>
      <c r="AK26" s="163" t="s">
        <v>2480</v>
      </c>
      <c r="AL26" s="163" t="s">
        <v>2481</v>
      </c>
      <c r="AM26" s="226">
        <v>0</v>
      </c>
      <c r="AN26" s="227">
        <f t="shared" si="1"/>
        <v>21</v>
      </c>
      <c r="AO26" s="32">
        <f t="shared" si="2"/>
        <v>0</v>
      </c>
      <c r="AP26" s="32">
        <f t="shared" si="3"/>
        <v>0</v>
      </c>
      <c r="AQ26" s="42">
        <f t="shared" si="4"/>
        <v>18</v>
      </c>
      <c r="AR26" s="32">
        <f t="shared" si="5"/>
        <v>1</v>
      </c>
      <c r="AS26" s="32">
        <f t="shared" si="6"/>
        <v>9</v>
      </c>
      <c r="AT26" s="32">
        <f t="shared" si="7"/>
        <v>3</v>
      </c>
      <c r="AU26" s="32">
        <f t="shared" si="8"/>
        <v>1</v>
      </c>
      <c r="AV26" s="30">
        <v>0</v>
      </c>
      <c r="AW26" s="34">
        <f t="shared" si="9"/>
        <v>30</v>
      </c>
      <c r="AX26" s="19">
        <v>31</v>
      </c>
      <c r="AY26" s="30">
        <f t="shared" si="10"/>
        <v>31</v>
      </c>
      <c r="AZ26" s="229">
        <f t="shared" si="11"/>
        <v>0.90909090909090906</v>
      </c>
      <c r="BA26" s="228">
        <f t="shared" si="12"/>
        <v>0</v>
      </c>
      <c r="BB26" s="35">
        <f t="shared" si="13"/>
        <v>0.967741935483871</v>
      </c>
      <c r="BC26" s="226">
        <v>0</v>
      </c>
    </row>
    <row r="27" spans="1:61" ht="13">
      <c r="A27" s="268" t="s">
        <v>2482</v>
      </c>
      <c r="B27" s="269" t="s">
        <v>2483</v>
      </c>
      <c r="C27" s="270">
        <v>44844</v>
      </c>
      <c r="D27" s="269" t="s">
        <v>2484</v>
      </c>
      <c r="E27" s="266" t="s">
        <v>2485</v>
      </c>
      <c r="F27" s="163">
        <v>0</v>
      </c>
      <c r="G27" s="271" t="s">
        <v>2486</v>
      </c>
      <c r="H27" s="163" t="s">
        <v>2487</v>
      </c>
      <c r="I27" s="163" t="s">
        <v>2488</v>
      </c>
      <c r="J27" s="163" t="s">
        <v>2489</v>
      </c>
      <c r="K27" s="163" t="s">
        <v>2490</v>
      </c>
      <c r="L27" s="163" t="s">
        <v>2491</v>
      </c>
      <c r="M27" s="163" t="s">
        <v>2492</v>
      </c>
      <c r="N27" s="163" t="s">
        <v>2493</v>
      </c>
      <c r="O27" s="163" t="s">
        <v>2494</v>
      </c>
      <c r="P27" s="163" t="s">
        <v>2495</v>
      </c>
      <c r="Q27" s="163" t="s">
        <v>2496</v>
      </c>
      <c r="R27" s="163" t="s">
        <v>2497</v>
      </c>
      <c r="S27" s="163" t="s">
        <v>2498</v>
      </c>
      <c r="T27" s="163" t="s">
        <v>2499</v>
      </c>
      <c r="U27" s="163" t="s">
        <v>2500</v>
      </c>
      <c r="V27" s="163" t="s">
        <v>2501</v>
      </c>
      <c r="W27" s="163" t="s">
        <v>2502</v>
      </c>
      <c r="X27" s="163" t="s">
        <v>2503</v>
      </c>
      <c r="Y27" s="163" t="s">
        <v>2504</v>
      </c>
      <c r="Z27" s="163" t="s">
        <v>2505</v>
      </c>
      <c r="AA27" s="163" t="s">
        <v>2506</v>
      </c>
      <c r="AB27" s="163" t="s">
        <v>2507</v>
      </c>
      <c r="AC27" s="163" t="s">
        <v>2508</v>
      </c>
      <c r="AD27" s="163" t="s">
        <v>2509</v>
      </c>
      <c r="AE27" s="163" t="s">
        <v>2510</v>
      </c>
      <c r="AF27" s="163" t="s">
        <v>2511</v>
      </c>
      <c r="AG27" s="163" t="s">
        <v>2512</v>
      </c>
      <c r="AH27" s="163" t="s">
        <v>2513</v>
      </c>
      <c r="AI27" s="163" t="s">
        <v>2514</v>
      </c>
      <c r="AJ27" s="163" t="s">
        <v>2515</v>
      </c>
      <c r="AK27" s="163" t="s">
        <v>2516</v>
      </c>
      <c r="AL27" s="163" t="s">
        <v>2517</v>
      </c>
      <c r="AM27" s="226">
        <v>0</v>
      </c>
      <c r="AN27" s="227">
        <f t="shared" si="1"/>
        <v>16</v>
      </c>
      <c r="AO27" s="32">
        <f t="shared" si="2"/>
        <v>0</v>
      </c>
      <c r="AP27" s="32">
        <f t="shared" si="3"/>
        <v>0</v>
      </c>
      <c r="AQ27" s="42">
        <f t="shared" si="4"/>
        <v>16</v>
      </c>
      <c r="AR27" s="32">
        <f t="shared" si="5"/>
        <v>0</v>
      </c>
      <c r="AS27" s="32">
        <f t="shared" si="6"/>
        <v>6</v>
      </c>
      <c r="AT27" s="32">
        <f t="shared" si="7"/>
        <v>0</v>
      </c>
      <c r="AU27" s="32">
        <f t="shared" si="8"/>
        <v>0</v>
      </c>
      <c r="AV27" s="30">
        <v>0</v>
      </c>
      <c r="AW27" s="34">
        <f t="shared" si="9"/>
        <v>22</v>
      </c>
      <c r="AX27" s="19">
        <v>31</v>
      </c>
      <c r="AY27" s="30">
        <f t="shared" si="10"/>
        <v>22</v>
      </c>
      <c r="AZ27" s="229">
        <f t="shared" si="11"/>
        <v>0.72727272727272729</v>
      </c>
      <c r="BA27" s="228">
        <f t="shared" si="12"/>
        <v>9</v>
      </c>
      <c r="BB27" s="35">
        <f t="shared" si="13"/>
        <v>0.70967741935483875</v>
      </c>
      <c r="BC27" s="226">
        <v>0</v>
      </c>
      <c r="BD27" s="192"/>
      <c r="BE27" s="192"/>
      <c r="BF27" s="192"/>
      <c r="BG27" s="192"/>
      <c r="BH27" s="192"/>
      <c r="BI27" s="192"/>
    </row>
    <row r="28" spans="1:61" ht="13">
      <c r="AM28" s="272"/>
      <c r="AN28" s="227"/>
      <c r="AO28" s="32"/>
      <c r="AP28" s="32"/>
      <c r="AQ28" s="42"/>
      <c r="AR28" s="32"/>
      <c r="AS28" s="32"/>
      <c r="AT28" s="32"/>
      <c r="AU28" s="32"/>
      <c r="AV28" s="30"/>
      <c r="AW28" s="34"/>
      <c r="AX28" s="19"/>
      <c r="AY28" s="30"/>
      <c r="AZ28" s="89"/>
      <c r="BA28" s="30"/>
      <c r="BB28" s="35"/>
      <c r="BC28" s="226"/>
    </row>
  </sheetData>
  <autoFilter ref="A1:BC28" xr:uid="{00000000-0009-0000-0000-000008000000}"/>
  <conditionalFormatting sqref="C24:C25">
    <cfRule type="expression" priority="2">
      <formula>#REF!</formula>
    </cfRule>
  </conditionalFormatting>
  <conditionalFormatting sqref="C2:C23">
    <cfRule type="expression" priority="3">
      <formula>#REF!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October  Payroll 22</vt:lpstr>
      <vt:lpstr>May 22 Final</vt:lpstr>
      <vt:lpstr>Sales Install</vt:lpstr>
      <vt:lpstr>Stack Incentive</vt:lpstr>
      <vt:lpstr>Qualified Appointment Septembe</vt:lpstr>
      <vt:lpstr>Break Exceed</vt:lpstr>
      <vt:lpstr>FNF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Kumar Pandey</cp:lastModifiedBy>
  <dcterms:created xsi:type="dcterms:W3CDTF">2022-11-08T07:13:42Z</dcterms:created>
  <dcterms:modified xsi:type="dcterms:W3CDTF">2022-11-08T08:51:25Z</dcterms:modified>
</cp:coreProperties>
</file>