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08-01-2021" state="visible" r:id="rId4"/>
  </sheets>
  <calcPr calcId="171027"/>
</workbook>
</file>

<file path=xl/sharedStrings.xml><?xml version="1.0" encoding="utf-8"?>
<sst xmlns="http://schemas.openxmlformats.org/spreadsheetml/2006/main" count="278" uniqueCount="118">
  <si>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</si>
  <si>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</si>
  <si>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</si>
  <si>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</si>
  <si>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</si>
  <si>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</si>
  <si>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</si>
  <si>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</si>
  <si>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</si>
  <si>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</si>
  <si>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</si>
  <si>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BIT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</si>
  <si>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</si>
  <si>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</si>
  <si>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</si>
  <si>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</si>
  <si>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</si>
  <si>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</si>
  <si>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</si>
  <si>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</si>
  <si>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</si>
  <si>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</si>
  <si>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</si>
  <si>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</si>
  <si>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</si>
  <si>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</si>
  <si>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</si>
  <si>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</si>
  <si>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</si>
  <si>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</si>
  <si>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</si>
  <si>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</si>
  <si>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</si>
  <si>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</si>
  <si>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</si>
  <si>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</si>
  <si>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</si>
  <si>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</si>
  <si>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</si>
  <si>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Sr.No.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</si>
  <si>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</si>
  <si>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</si>
  <si>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</si>
  <si>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</si>
  <si>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</si>
  <si>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</si>
  <si>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</si>
  <si>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</si>
  <si>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</si>
  <si>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Fluorescent</t>
  </si>
  <si>
    <t>Measurement</t>
  </si>
  <si>
    <t>LAB</t>
  </si>
  <si>
    <t>Location</t>
  </si>
  <si>
    <t>MILKY</t>
  </si>
  <si>
    <t>Linc</t>
  </si>
  <si>
    <t>H&amp;A</t>
  </si>
  <si>
    <t>RO</t>
  </si>
  <si>
    <t>Ratio</t>
  </si>
  <si>
    <t>Girdle%</t>
  </si>
  <si>
    <t>Girdle</t>
  </si>
  <si>
    <t>CULET</t>
  </si>
  <si>
    <t>FC</t>
  </si>
  <si>
    <t>KEY TO SYMBOL</t>
  </si>
  <si>
    <t>GIA Comments</t>
  </si>
  <si>
    <t>Color Desc</t>
  </si>
  <si>
    <t>My Comments</t>
  </si>
  <si>
    <t>Certificate Link</t>
  </si>
  <si>
    <t>Video Link</t>
  </si>
  <si>
    <t>SIZE</t>
  </si>
  <si>
    <t>AVAILABLE</t>
  </si>
  <si>
    <t>ROUND</t>
  </si>
  <si>
    <t>VS1</t>
  </si>
  <si>
    <t>G</t>
  </si>
  <si>
    <t>WH</t>
  </si>
  <si>
    <t>EX</t>
  </si>
  <si>
    <t>ST</t>
  </si>
  <si>
    <t>4.72-4.75x2.93</t>
  </si>
  <si>
    <t>MUMBAI</t>
  </si>
  <si>
    <t>BT1</t>
  </si>
  <si>
    <t>NV</t>
  </si>
  <si>
    <t>WT1</t>
  </si>
  <si>
    <t>WC1</t>
  </si>
  <si>
    <t>M0</t>
  </si>
  <si>
    <t>PO1</t>
  </si>
  <si>
    <t>CO1</t>
  </si>
  <si>
    <t>TO0</t>
  </si>
  <si>
    <t>E1</t>
  </si>
  <si>
    <t>L.I</t>
  </si>
  <si>
    <t>H&amp;A VG</t>
  </si>
  <si>
    <t>NA</t>
  </si>
  <si>
    <t>THN - STK</t>
  </si>
  <si>
    <t>N</t>
  </si>
  <si>
    <t>BLUE</t>
  </si>
  <si>
    <t>Crystal, Feather, Etch Channel, Indented Natural</t>
  </si>
  <si>
    <t>-</t>
  </si>
  <si>
    <t>0.40</t>
  </si>
  <si>
    <t>VG</t>
  </si>
  <si>
    <t>4.78-4.80x2.89</t>
  </si>
  <si>
    <t>BT0</t>
  </si>
  <si>
    <t>BC0</t>
  </si>
  <si>
    <t>WT0</t>
  </si>
  <si>
    <t>PO0</t>
  </si>
  <si>
    <t>CO0</t>
  </si>
  <si>
    <t>MED - STK</t>
  </si>
  <si>
    <t>Feather</t>
  </si>
  <si>
    <t>4.71-4.73x2.95</t>
  </si>
  <si>
    <t>Feather, Cloud, Pinpoint</t>
  </si>
  <si>
    <t>GD</t>
  </si>
  <si>
    <t>4.72-4.75x2.92</t>
  </si>
  <si>
    <t>Etch Channel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</si>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</sst>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"/>
  <sheetFormatPr defaultRowHeight="15" outlineLevelRow="0" outlineLevelCol="0" x14ac:dyDescent="55"/>
  <cols>
    <col min="1" max="1" width="6" customWidth="1"/>
    <col min="2" max="43" width="10" customWidth="1"/>
    <col min="44" max="45" width="50" customWidth="1"/>
    <col min="46" max="47" width="10" customWidth="1"/>
    <col min="48" max="49" width="15" customWidth="1"/>
    <col min="50" max="50" hidden="1" customWidth="1"/>
  </cols>
  <sheetData>
    <row r="1" spans="1:50" x14ac:dyDescent="0.25">
      <c r="A1" s="1" t="s">
        <v>0</v>
      </c>
      <c r="B1" s="1"/>
      <c r="C1" s="1" t="s">
        <v>0</v>
      </c>
      <c r="D1" s="2" t="s">
        <v>1</v>
      </c>
      <c r="E1" s="2" t="s">
        <v>2</v>
      </c>
      <c r="F1" s="3" t="s">
        <v>3</v>
      </c>
      <c r="G1" s="3"/>
      <c r="H1" s="3"/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1" t="s">
        <v>0</v>
      </c>
      <c r="O1" s="1" t="s">
        <v>0</v>
      </c>
      <c r="P1" s="1" t="s">
        <v>0</v>
      </c>
      <c r="Q1" s="1" t="s">
        <v>0</v>
      </c>
      <c r="R1" s="2" t="s">
        <v>9</v>
      </c>
      <c r="S1" s="2" t="s">
        <v>10</v>
      </c>
      <c r="T1" s="1" t="s">
        <v>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2" t="s">
        <v>19</v>
      </c>
      <c r="AL1" s="2" t="s">
        <v>20</v>
      </c>
      <c r="AM1" s="2" t="s">
        <v>21</v>
      </c>
      <c r="AN1" s="2" t="s">
        <v>22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</row>
    <row r="2" spans="1:40" x14ac:dyDescent="0.25">
      <c r="A2" s="1"/>
      <c r="B2" s="1"/>
      <c r="C2" s="2" t="s">
        <v>23</v>
      </c>
      <c r="D2" s="4">
        <f>ROUND(COUNTA(D6:D9),2)</f>
      </c>
      <c r="E2" s="4">
        <f>ROUND(SUM(E6:E9),2)</f>
      </c>
      <c r="F2" s="3"/>
      <c r="G2" s="3"/>
      <c r="H2" s="3"/>
      <c r="I2" s="4">
        <f>ROUND(J2/E2,2)</f>
      </c>
      <c r="J2" s="4">
        <f>ROUND(SUM(J6:J9),2)</f>
      </c>
      <c r="K2" s="4">
        <f>ROUND((M2/J2*100)-100,2)</f>
      </c>
      <c r="L2" s="4">
        <f>ROUND(M2/E2,2)</f>
      </c>
      <c r="M2" s="4">
        <f>ROUND(SUM(M6:M9),2)</f>
      </c>
      <c r="N2" s="1"/>
      <c r="O2" s="1"/>
      <c r="P2" s="1"/>
      <c r="Q2" s="1"/>
      <c r="R2" s="5" t="s">
        <v>24</v>
      </c>
      <c r="S2" s="5" t="s">
        <v>25</v>
      </c>
      <c r="T2" s="1"/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5" t="s">
        <v>34</v>
      </c>
      <c r="AL2" s="5" t="s">
        <v>35</v>
      </c>
      <c r="AM2" s="5" t="s">
        <v>36</v>
      </c>
      <c r="AN2" s="5" t="s">
        <v>37</v>
      </c>
    </row>
    <row r="3" spans="1:13" x14ac:dyDescent="0.25">
      <c r="A3" s="1"/>
      <c r="B3" s="1"/>
      <c r="C3" s="2" t="s">
        <v>38</v>
      </c>
      <c r="D3" s="4">
        <f>ROUND(SUBTOTAL(3,D6:D9),2)</f>
      </c>
      <c r="E3" s="4">
        <f>ROUND(SUBTOTAL(9,E6:E9),2)</f>
      </c>
      <c r="F3" s="3"/>
      <c r="G3" s="3"/>
      <c r="H3" s="3"/>
      <c r="I3" s="4">
        <f>ROUND(J3/E3,2)</f>
      </c>
      <c r="J3" s="4">
        <f>ROUND(SUBTOTAL(9,J6:J9),2)</f>
      </c>
      <c r="K3" s="4">
        <f>ROUND((M3/J3*100)-100,2)</f>
      </c>
      <c r="L3" s="4">
        <f>ROUND(M3/E3,2)</f>
      </c>
      <c r="M3" s="4">
        <f>ROUND(SUBTOTAL(9,M6:M9),2)</f>
      </c>
    </row>
    <row r="5" spans="1:50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2</v>
      </c>
      <c r="F5" s="2" t="s">
        <v>43</v>
      </c>
      <c r="G5" s="2" t="s">
        <v>44</v>
      </c>
      <c r="H5" s="2" t="s">
        <v>45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9</v>
      </c>
      <c r="S5" s="2" t="s">
        <v>10</v>
      </c>
      <c r="T5" s="2" t="s">
        <v>50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19</v>
      </c>
      <c r="AL5" s="2" t="s">
        <v>20</v>
      </c>
      <c r="AM5" s="2" t="s">
        <v>21</v>
      </c>
      <c r="AN5" s="2" t="s">
        <v>22</v>
      </c>
      <c r="AO5" s="2" t="s">
        <v>59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</row>
    <row r="6" spans="1:50" x14ac:dyDescent="0.25">
      <c r="A6" s="6">
        <v>1</v>
      </c>
      <c r="B6" s="7">
        <f>HYPERLINK("https://my.hk.co/diamond-details/5fc21bade0de36218f9a4676","1549225")</f>
      </c>
      <c r="C6" s="1" t="s">
        <v>69</v>
      </c>
      <c r="D6" s="1" t="s">
        <v>70</v>
      </c>
      <c r="E6" s="8">
        <v>0.4</v>
      </c>
      <c r="F6" s="1" t="s">
        <v>71</v>
      </c>
      <c r="G6" s="1" t="s">
        <v>72</v>
      </c>
      <c r="H6" s="1" t="s">
        <v>73</v>
      </c>
      <c r="I6" s="9">
        <v>2600</v>
      </c>
      <c r="J6" s="9">
        <v>1040</v>
      </c>
      <c r="K6" s="8">
        <v>-44.74</v>
      </c>
      <c r="L6" s="8">
        <v>1436.76</v>
      </c>
      <c r="M6" s="8">
        <v>574.7</v>
      </c>
      <c r="N6" s="1" t="s">
        <v>74</v>
      </c>
      <c r="O6" s="1" t="s">
        <v>74</v>
      </c>
      <c r="P6" s="1" t="s">
        <v>74</v>
      </c>
      <c r="Q6" s="1" t="s">
        <v>75</v>
      </c>
      <c r="R6" s="10">
        <v>61.7</v>
      </c>
      <c r="S6" s="6">
        <v>59</v>
      </c>
      <c r="T6" s="1" t="s">
        <v>76</v>
      </c>
      <c r="U6" s="7">
        <f>HYPERLINK("https://www.gia.edu/report-check?reportno=2366655064","GIA")</f>
      </c>
      <c r="V6" s="1" t="s">
        <v>77</v>
      </c>
      <c r="W6" s="1" t="s">
        <v>78</v>
      </c>
      <c r="X6" s="1" t="s">
        <v>79</v>
      </c>
      <c r="Y6" s="1" t="s">
        <v>80</v>
      </c>
      <c r="Z6" s="1" t="s">
        <v>81</v>
      </c>
      <c r="AA6" s="1" t="s">
        <v>82</v>
      </c>
      <c r="AB6" s="1" t="s">
        <v>83</v>
      </c>
      <c r="AC6" s="1" t="s">
        <v>84</v>
      </c>
      <c r="AD6" s="1" t="s">
        <v>85</v>
      </c>
      <c r="AE6" s="1" t="s">
        <v>86</v>
      </c>
      <c r="AF6" s="1" t="s">
        <v>87</v>
      </c>
      <c r="AG6" s="1" t="s">
        <v>88</v>
      </c>
      <c r="AH6" s="1" t="s">
        <v>89</v>
      </c>
      <c r="AI6" s="8">
        <v>1.01</v>
      </c>
      <c r="AJ6" s="8">
        <v>3.5</v>
      </c>
      <c r="AK6" s="8">
        <v>41.8</v>
      </c>
      <c r="AL6" s="8">
        <v>44.5</v>
      </c>
      <c r="AM6" s="8">
        <v>34</v>
      </c>
      <c r="AN6" s="8">
        <v>14</v>
      </c>
      <c r="AO6" s="1" t="s">
        <v>90</v>
      </c>
      <c r="AP6" s="1" t="s">
        <v>91</v>
      </c>
      <c r="AQ6" s="1" t="s">
        <v>92</v>
      </c>
      <c r="AR6" s="1" t="s">
        <v>93</v>
      </c>
      <c r="AS6" s="1" t="s">
        <v>94</v>
      </c>
      <c r="AT6" s="1" t="s">
        <v>94</v>
      </c>
      <c r="AU6" s="1" t="s">
        <v>94</v>
      </c>
      <c r="AV6" s="7">
        <f>HYPERLINK("https://diamanti.s3.amazonaws.com/certificates/2366655064.jpg","Certi Link")</f>
      </c>
      <c r="AW6" s="7">
        <f>HYPERLINK("https://diamanti.s3.amazonaws.com/video/Vision360.html?d=202157-1238","Video Link")</f>
      </c>
      <c r="AX6" s="1" t="s">
        <v>95</v>
      </c>
    </row>
    <row r="7" spans="1:50" x14ac:dyDescent="0.25">
      <c r="A7" s="6">
        <v>2</v>
      </c>
      <c r="B7" s="7">
        <f>HYPERLINK("https://my.hk.co/diamond-details/5feef45002171075dc99f2b3","1597044")</f>
      </c>
      <c r="C7" s="1" t="s">
        <v>69</v>
      </c>
      <c r="D7" s="1" t="s">
        <v>70</v>
      </c>
      <c r="E7" s="8">
        <v>0.4</v>
      </c>
      <c r="F7" s="1" t="s">
        <v>71</v>
      </c>
      <c r="G7" s="1" t="s">
        <v>72</v>
      </c>
      <c r="H7" s="1" t="s">
        <v>73</v>
      </c>
      <c r="I7" s="9">
        <v>2600</v>
      </c>
      <c r="J7" s="9">
        <v>1040</v>
      </c>
      <c r="K7" s="8">
        <v>-44</v>
      </c>
      <c r="L7" s="8">
        <v>1456</v>
      </c>
      <c r="M7" s="8">
        <v>582.4</v>
      </c>
      <c r="N7" s="1" t="s">
        <v>74</v>
      </c>
      <c r="O7" s="1" t="s">
        <v>74</v>
      </c>
      <c r="P7" s="1" t="s">
        <v>96</v>
      </c>
      <c r="Q7" s="1" t="s">
        <v>75</v>
      </c>
      <c r="R7" s="10">
        <v>60.3</v>
      </c>
      <c r="S7" s="6">
        <v>59</v>
      </c>
      <c r="T7" s="1" t="s">
        <v>97</v>
      </c>
      <c r="U7" s="7">
        <f>HYPERLINK("https://www.gia.edu/report-check?reportno=2215328485","GIA")</f>
      </c>
      <c r="V7" s="1" t="s">
        <v>77</v>
      </c>
      <c r="W7" s="1" t="s">
        <v>98</v>
      </c>
      <c r="X7" s="1" t="s">
        <v>99</v>
      </c>
      <c r="Y7" s="1" t="s">
        <v>100</v>
      </c>
      <c r="Z7" s="1" t="s">
        <v>81</v>
      </c>
      <c r="AA7" s="1" t="s">
        <v>82</v>
      </c>
      <c r="AB7" s="1" t="s">
        <v>101</v>
      </c>
      <c r="AC7" s="1" t="s">
        <v>102</v>
      </c>
      <c r="AD7" s="1" t="s">
        <v>85</v>
      </c>
      <c r="AE7" s="1" t="s">
        <v>86</v>
      </c>
      <c r="AF7" s="1" t="s">
        <v>87</v>
      </c>
      <c r="AG7" s="1" t="s">
        <v>79</v>
      </c>
      <c r="AH7" s="1" t="s">
        <v>89</v>
      </c>
      <c r="AI7" s="8">
        <v>1</v>
      </c>
      <c r="AJ7" s="8">
        <v>3.5</v>
      </c>
      <c r="AK7" s="8">
        <v>41.8</v>
      </c>
      <c r="AL7" s="8">
        <v>44.5</v>
      </c>
      <c r="AM7" s="8">
        <v>31.5</v>
      </c>
      <c r="AN7" s="8">
        <v>12.5</v>
      </c>
      <c r="AO7" s="1" t="s">
        <v>103</v>
      </c>
      <c r="AP7" s="1" t="s">
        <v>91</v>
      </c>
      <c r="AQ7" s="1" t="s">
        <v>92</v>
      </c>
      <c r="AR7" s="1" t="s">
        <v>104</v>
      </c>
      <c r="AS7" s="1" t="s">
        <v>94</v>
      </c>
      <c r="AT7" s="1" t="s">
        <v>94</v>
      </c>
      <c r="AU7" s="1" t="s">
        <v>94</v>
      </c>
      <c r="AV7" s="7">
        <f>HYPERLINK("https://diamanti.s3.amazonaws.com/certificates/2215328485.jpg","Certi Link")</f>
      </c>
      <c r="AW7" s="7">
        <f>HYPERLINK("https://diamanti.s3.amazonaws.com/video/Vision360.html?d=201186-55","Video Link")</f>
      </c>
      <c r="AX7" s="1" t="s">
        <v>95</v>
      </c>
    </row>
    <row r="8" spans="1:50" x14ac:dyDescent="0.25">
      <c r="A8" s="6">
        <v>3</v>
      </c>
      <c r="B8" s="7">
        <f>HYPERLINK("https://my.hk.co/diamond-details/5fc21b6ce0de36218f9a436d","1549229")</f>
      </c>
      <c r="C8" s="1" t="s">
        <v>69</v>
      </c>
      <c r="D8" s="1" t="s">
        <v>70</v>
      </c>
      <c r="E8" s="8">
        <v>0.4</v>
      </c>
      <c r="F8" s="1" t="s">
        <v>71</v>
      </c>
      <c r="G8" s="1" t="s">
        <v>72</v>
      </c>
      <c r="H8" s="1" t="s">
        <v>73</v>
      </c>
      <c r="I8" s="9">
        <v>2600</v>
      </c>
      <c r="J8" s="9">
        <v>1040</v>
      </c>
      <c r="K8" s="8">
        <v>-42.03</v>
      </c>
      <c r="L8" s="8">
        <v>1507.22</v>
      </c>
      <c r="M8" s="8">
        <v>602.89</v>
      </c>
      <c r="N8" s="1" t="s">
        <v>74</v>
      </c>
      <c r="O8" s="1" t="s">
        <v>74</v>
      </c>
      <c r="P8" s="1" t="s">
        <v>74</v>
      </c>
      <c r="Q8" s="1" t="s">
        <v>75</v>
      </c>
      <c r="R8" s="10">
        <v>62.4</v>
      </c>
      <c r="S8" s="6">
        <v>58</v>
      </c>
      <c r="T8" s="1" t="s">
        <v>105</v>
      </c>
      <c r="U8" s="7">
        <f>HYPERLINK("https://www.gia.edu/report-check?reportno=6362645029","GIA")</f>
      </c>
      <c r="V8" s="1" t="s">
        <v>77</v>
      </c>
      <c r="W8" s="1" t="s">
        <v>98</v>
      </c>
      <c r="X8" s="1" t="s">
        <v>99</v>
      </c>
      <c r="Y8" s="1" t="s">
        <v>80</v>
      </c>
      <c r="Z8" s="1" t="s">
        <v>81</v>
      </c>
      <c r="AA8" s="1" t="s">
        <v>82</v>
      </c>
      <c r="AB8" s="1" t="s">
        <v>101</v>
      </c>
      <c r="AC8" s="1" t="s">
        <v>102</v>
      </c>
      <c r="AD8" s="1" t="s">
        <v>85</v>
      </c>
      <c r="AE8" s="1" t="s">
        <v>86</v>
      </c>
      <c r="AF8" s="1" t="s">
        <v>87</v>
      </c>
      <c r="AG8" s="1" t="s">
        <v>0</v>
      </c>
      <c r="AH8" s="1" t="s">
        <v>89</v>
      </c>
      <c r="AI8" s="8">
        <v>1</v>
      </c>
      <c r="AJ8" s="8">
        <v>3.5</v>
      </c>
      <c r="AK8" s="8">
        <v>41</v>
      </c>
      <c r="AL8" s="8">
        <v>43.5</v>
      </c>
      <c r="AM8" s="8">
        <v>36.5</v>
      </c>
      <c r="AN8" s="8">
        <v>15.5</v>
      </c>
      <c r="AO8" s="1" t="s">
        <v>103</v>
      </c>
      <c r="AP8" s="1" t="s">
        <v>91</v>
      </c>
      <c r="AQ8" s="1" t="s">
        <v>92</v>
      </c>
      <c r="AR8" s="1" t="s">
        <v>106</v>
      </c>
      <c r="AS8" s="1" t="s">
        <v>94</v>
      </c>
      <c r="AT8" s="1" t="s">
        <v>94</v>
      </c>
      <c r="AU8" s="1" t="s">
        <v>94</v>
      </c>
      <c r="AV8" s="7">
        <f>HYPERLINK("https://diamanti.s3.amazonaws.com/certificates/6362645029.jpg","Certi Link")</f>
      </c>
      <c r="AW8" s="7">
        <f>HYPERLINK("https://diamanti.s3.amazonaws.com/video/Vision360.html?d=203159-116","Video Link")</f>
      </c>
      <c r="AX8" s="1" t="s">
        <v>95</v>
      </c>
    </row>
    <row r="9" spans="1:50" x14ac:dyDescent="0.25">
      <c r="A9" s="6">
        <v>4</v>
      </c>
      <c r="B9" s="7">
        <f>HYPERLINK("https://my.hk.co/diamond-details/5fa28210939f3c3e85688c2a","1531771")</f>
      </c>
      <c r="C9" s="1" t="s">
        <v>69</v>
      </c>
      <c r="D9" s="1" t="s">
        <v>70</v>
      </c>
      <c r="E9" s="8">
        <v>0.4</v>
      </c>
      <c r="F9" s="1" t="s">
        <v>71</v>
      </c>
      <c r="G9" s="1" t="s">
        <v>72</v>
      </c>
      <c r="H9" s="1" t="s">
        <v>73</v>
      </c>
      <c r="I9" s="9">
        <v>2600</v>
      </c>
      <c r="J9" s="9">
        <v>1040</v>
      </c>
      <c r="K9" s="8">
        <v>-41.99</v>
      </c>
      <c r="L9" s="8">
        <v>1508.26</v>
      </c>
      <c r="M9" s="8">
        <v>603.3</v>
      </c>
      <c r="N9" s="1" t="s">
        <v>96</v>
      </c>
      <c r="O9" s="1" t="s">
        <v>96</v>
      </c>
      <c r="P9" s="1" t="s">
        <v>107</v>
      </c>
      <c r="Q9" s="1" t="s">
        <v>91</v>
      </c>
      <c r="R9" s="10">
        <v>61.7</v>
      </c>
      <c r="S9" s="6">
        <v>55</v>
      </c>
      <c r="T9" s="1" t="s">
        <v>108</v>
      </c>
      <c r="U9" s="7">
        <f>HYPERLINK("https://www.gia.edu/report-check?reportno=5366454384","GIA")</f>
      </c>
      <c r="V9" s="1" t="s">
        <v>77</v>
      </c>
      <c r="W9" s="1" t="s">
        <v>98</v>
      </c>
      <c r="X9" s="1" t="s">
        <v>99</v>
      </c>
      <c r="Y9" s="1" t="s">
        <v>100</v>
      </c>
      <c r="Z9" s="1" t="s">
        <v>81</v>
      </c>
      <c r="AA9" s="1" t="s">
        <v>82</v>
      </c>
      <c r="AB9" s="1" t="s">
        <v>101</v>
      </c>
      <c r="AC9" s="1" t="s">
        <v>102</v>
      </c>
      <c r="AD9" s="1" t="s">
        <v>85</v>
      </c>
      <c r="AE9" s="1" t="s">
        <v>86</v>
      </c>
      <c r="AF9" s="1" t="s">
        <v>87</v>
      </c>
      <c r="AG9" s="1" t="s">
        <v>88</v>
      </c>
      <c r="AH9" s="1" t="s">
        <v>89</v>
      </c>
      <c r="AI9" s="8">
        <v>1.01</v>
      </c>
      <c r="AJ9" s="8">
        <v>4</v>
      </c>
      <c r="AK9" s="8">
        <v>40.6</v>
      </c>
      <c r="AL9" s="8">
        <v>42.5</v>
      </c>
      <c r="AM9" s="8">
        <v>33.5</v>
      </c>
      <c r="AN9" s="8">
        <v>15</v>
      </c>
      <c r="AO9" s="1" t="s">
        <v>103</v>
      </c>
      <c r="AP9" s="1" t="s">
        <v>91</v>
      </c>
      <c r="AQ9" s="1" t="s">
        <v>0</v>
      </c>
      <c r="AR9" s="1" t="s">
        <v>109</v>
      </c>
      <c r="AS9" s="1" t="s">
        <v>94</v>
      </c>
      <c r="AT9" s="1" t="s">
        <v>94</v>
      </c>
      <c r="AU9" s="1" t="s">
        <v>94</v>
      </c>
      <c r="AV9" s="7">
        <f>HYPERLINK("https://diamanti.s3.amazonaws.com/certificates/5366454384.jpg","Certi Link")</f>
      </c>
      <c r="AW9" s="7">
        <f>HYPERLINK("https://diamanti.s3.amazonaws.com/video/Vision360.html?d=203150-35","Video Link")</f>
      </c>
      <c r="AX9" s="1" t="s">
        <v>95</v>
      </c>
    </row>
    <row r="12" spans="2:17" x14ac:dyDescent="0.25">
      <c r="B12" s="11" t="s">
        <v>110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2:17" x14ac:dyDescent="0.25">
      <c r="B13" s="12" t="s">
        <v>111</v>
      </c>
      <c r="C13" s="12"/>
      <c r="D13" s="12"/>
      <c r="E13" s="12"/>
      <c r="F13" s="12"/>
      <c r="G13" s="12"/>
      <c r="H13" s="12"/>
      <c r="K13" s="12" t="s">
        <v>42</v>
      </c>
      <c r="L13" s="12"/>
      <c r="M13" s="12"/>
      <c r="N13" s="12"/>
      <c r="O13" s="12"/>
      <c r="P13" s="12"/>
      <c r="Q13" s="12"/>
    </row>
    <row r="14" spans="2:17" x14ac:dyDescent="0.25">
      <c r="B14" s="13" t="s">
        <v>111</v>
      </c>
      <c r="C14" s="13" t="s">
        <v>112</v>
      </c>
      <c r="D14" s="13" t="s">
        <v>113</v>
      </c>
      <c r="E14" s="13" t="s">
        <v>114</v>
      </c>
      <c r="F14" s="13" t="s">
        <v>6</v>
      </c>
      <c r="G14" s="13" t="s">
        <v>115</v>
      </c>
      <c r="H14" s="13" t="s">
        <v>116</v>
      </c>
      <c r="K14" s="13" t="s">
        <v>42</v>
      </c>
      <c r="L14" s="13" t="s">
        <v>112</v>
      </c>
      <c r="M14" s="13" t="s">
        <v>113</v>
      </c>
      <c r="N14" s="13" t="s">
        <v>114</v>
      </c>
      <c r="O14" s="13" t="s">
        <v>6</v>
      </c>
      <c r="P14" s="13" t="s">
        <v>115</v>
      </c>
      <c r="Q14" s="13" t="s">
        <v>116</v>
      </c>
    </row>
    <row r="15" spans="2:17" x14ac:dyDescent="0.25">
      <c r="B15" s="13" t="s">
        <v>95</v>
      </c>
      <c r="C15" s="12">
        <f>SUMPRODUCT(SUBTOTAL(3,OFFSET($AX$6:$AX$10,ROW($AX$6:$AX$10)-MIN(ROW($AX$6:$AX$10)),,1)),--($AX$6:$AX$10=B15))</f>
      </c>
      <c r="D15" s="14">
        <f>C15/$C$17</f>
      </c>
      <c r="E15" s="12">
        <f>SUMPRODUCT(SUBTOTAL(3,OFFSET($AX$6:$AX$10,ROW($AX$6:$AX$10)-MIN(ROW($AX$6:$AX$10)),,1)),--($AX$6:$AX$10=B15),($E$6:$E$10))</f>
      </c>
      <c r="F15" s="12">
        <f>=IF(H15&gt;0,ROUND(SUM(((G15)/((H15*1)))*100),2)-100,)</f>
      </c>
      <c r="G15" s="12">
        <f>SUMPRODUCT(SUBTOTAL(3,OFFSET($AX$6:$AX$10,ROW($AX$6:$AX$10)-MIN(ROW($AX$6:$AX$10)),,1)),--($AX$6:$AX$10=B15),($M$6:$M$10))</f>
      </c>
      <c r="H15" s="12">
        <f>SUMPRODUCT(SUBTOTAL(3,OFFSET(AX$6:$AX10,ROW($AX$6:$AX$10)-MIN(ROW($AX$6:$AX$10)),,1)),--($AX$6:$AX$10=B15),($J$6:$J$10))</f>
      </c>
      <c r="K15" s="13" t="s">
        <v>70</v>
      </c>
      <c r="L15" s="12">
        <f>SUMPRODUCT(SUBTOTAL(3,OFFSET($D$6:$D$10,ROW($D$6:$D$10)-MIN(ROW($D$6:$D$10)),,1)),--($D$6:$D$10=K15))</f>
      </c>
      <c r="M15" s="14">
        <f>L15/$L$17</f>
      </c>
      <c r="N15" s="12">
        <f>SUMPRODUCT(SUBTOTAL(3,OFFSET($D$6:$D$10,ROW($D$6:$D$10)-MIN(ROW($D$6:$D$10)),,1)),--($D$6:$D$10=K15),($E$6:$E$10))</f>
      </c>
      <c r="O15" s="12">
        <f>=IF(Q15&gt;0,ROUND(SUM(((P15)/((Q15*1)))*100),2)-100,)</f>
      </c>
      <c r="P15" s="12">
        <f>SUMPRODUCT(SUBTOTAL(3,OFFSET($D$6:$D$10,ROW($D$6:$D$10)-MIN(ROW($D$6:$D$10)),,1)),--($D$6:$D$10=K15),($M$6:$M$10))</f>
      </c>
      <c r="Q15" s="12">
        <f>SUMPRODUCT(SUBTOTAL(3,OFFSET(D$6:$D10,ROW($D$6:$D$10)-MIN(ROW($D$6:$D$10)),,1)),--($D$6:$D$10=K15),($J$6:$J$10))</f>
      </c>
    </row>
    <row r="16" spans="2:17" x14ac:dyDescent="0.25">
      <c r="B16" s="13"/>
      <c r="C16" s="12"/>
      <c r="D16" s="12"/>
      <c r="E16" s="12"/>
      <c r="F16" s="12"/>
      <c r="G16" s="12"/>
      <c r="H16" s="12"/>
      <c r="K16" s="13"/>
      <c r="L16" s="12"/>
      <c r="M16" s="12"/>
      <c r="N16" s="12"/>
      <c r="O16" s="12"/>
      <c r="P16" s="12"/>
      <c r="Q16" s="12"/>
    </row>
    <row r="17" spans="2:17" x14ac:dyDescent="0.25">
      <c r="B17" s="13" t="s">
        <v>117</v>
      </c>
      <c r="C17" s="12">
        <f>SUM(C14:C16)</f>
      </c>
      <c r="D17" s="14">
        <f>SUM(D14:D16)</f>
      </c>
      <c r="E17" s="12">
        <f>SUM(E14:E16)</f>
      </c>
      <c r="F17" s="12">
        <f>AVERAGE(F14:F16)</f>
      </c>
      <c r="G17" s="12">
        <f>SUM(G14:G16)</f>
      </c>
      <c r="H17" s="12">
        <f>SUM(H14:H16)</f>
      </c>
      <c r="K17" s="13" t="s">
        <v>117</v>
      </c>
      <c r="L17" s="12">
        <f>SUM(L14:L16)</f>
      </c>
      <c r="M17" s="14">
        <f>SUM(M14:M16)</f>
      </c>
      <c r="N17" s="12">
        <f>SUM(N14:N16)</f>
      </c>
      <c r="O17" s="12">
        <f>AVERAGE(O14:O16)</f>
      </c>
      <c r="P17" s="12">
        <f>SUM(P14:P16)</f>
      </c>
      <c r="Q17" s="12">
        <f>SUM(Q14:Q16)</f>
      </c>
    </row>
    <row r="19" spans="2:17" x14ac:dyDescent="0.25">
      <c r="B19" s="12" t="s">
        <v>43</v>
      </c>
      <c r="C19" s="12"/>
      <c r="D19" s="12"/>
      <c r="E19" s="12"/>
      <c r="F19" s="12"/>
      <c r="G19" s="12"/>
      <c r="H19" s="12"/>
      <c r="K19" s="12" t="s">
        <v>44</v>
      </c>
      <c r="L19" s="12"/>
      <c r="M19" s="12"/>
      <c r="N19" s="12"/>
      <c r="O19" s="12"/>
      <c r="P19" s="12"/>
      <c r="Q19" s="12"/>
    </row>
    <row r="20" spans="2:17" x14ac:dyDescent="0.25">
      <c r="B20" s="13" t="s">
        <v>43</v>
      </c>
      <c r="C20" s="13" t="s">
        <v>112</v>
      </c>
      <c r="D20" s="13" t="s">
        <v>113</v>
      </c>
      <c r="E20" s="13" t="s">
        <v>114</v>
      </c>
      <c r="F20" s="13" t="s">
        <v>6</v>
      </c>
      <c r="G20" s="13" t="s">
        <v>115</v>
      </c>
      <c r="H20" s="13" t="s">
        <v>116</v>
      </c>
      <c r="K20" s="13" t="s">
        <v>44</v>
      </c>
      <c r="L20" s="13" t="s">
        <v>112</v>
      </c>
      <c r="M20" s="13" t="s">
        <v>113</v>
      </c>
      <c r="N20" s="13" t="s">
        <v>114</v>
      </c>
      <c r="O20" s="13" t="s">
        <v>6</v>
      </c>
      <c r="P20" s="13" t="s">
        <v>115</v>
      </c>
      <c r="Q20" s="13" t="s">
        <v>116</v>
      </c>
    </row>
    <row r="21" spans="2:17" x14ac:dyDescent="0.25">
      <c r="B21" s="13" t="s">
        <v>71</v>
      </c>
      <c r="C21" s="12">
        <f>SUMPRODUCT(SUBTOTAL(3,OFFSET($F$6:$F$10,ROW($F$6:$F$10)-MIN(ROW($F$6:$F$10)),,1)),--($F$6:$F$10=B21))</f>
      </c>
      <c r="D21" s="14">
        <f>C21/$C$23</f>
      </c>
      <c r="E21" s="12">
        <f>SUMPRODUCT(SUBTOTAL(3,OFFSET($F$6:$F$10,ROW($F$6:$F$10)-MIN(ROW($F$6:$F$10)),,1)),--($F$6:$F$10=B21),($E$6:$E$10))</f>
      </c>
      <c r="F21" s="12">
        <f>=IF(H21&gt;0,ROUND(SUM(((G21)/((H21*1)))*100),2)-100,)</f>
      </c>
      <c r="G21" s="12">
        <f>SUMPRODUCT(SUBTOTAL(3,OFFSET($F$6:$F$10,ROW($F$6:$F$10)-MIN(ROW($F$6:$F$10)),,1)),--($F$6:$F$10=B21),($M$6:$M$10))</f>
      </c>
      <c r="H21" s="12">
        <f>SUMPRODUCT(SUBTOTAL(3,OFFSET(F$6:$F10,ROW($F$6:$F$10)-MIN(ROW($F$6:$F$10)),,1)),--($F$6:$F$10=B21),($J$6:$J$10))</f>
      </c>
      <c r="K21" s="13" t="s">
        <v>72</v>
      </c>
      <c r="L21" s="12">
        <f>SUMPRODUCT(SUBTOTAL(3,OFFSET($G$6:$G$10,ROW($G$6:$G$10)-MIN(ROW($G$6:$G$10)),,1)),--($G$6:$G$10=K21))</f>
      </c>
      <c r="M21" s="14">
        <f>L21/$L$23</f>
      </c>
      <c r="N21" s="12">
        <f>SUMPRODUCT(SUBTOTAL(3,OFFSET($G$6:$G$10,ROW($G$6:$G$10)-MIN(ROW($G$6:$G$10)),,1)),--($G$6:$G$10=K21),($E$6:$E$10))</f>
      </c>
      <c r="O21" s="12">
        <f>=IF(Q21&gt;0,ROUND(SUM(((P21)/((Q21*1)))*100),2)-100,)</f>
      </c>
      <c r="P21" s="12">
        <f>SUMPRODUCT(SUBTOTAL(3,OFFSET($G$6:$G$10,ROW($G$6:$G$10)-MIN(ROW($G$6:$G$10)),,1)),--($G$6:$G$10=K21),($M$6:$M$10))</f>
      </c>
      <c r="Q21" s="12">
        <f>SUMPRODUCT(SUBTOTAL(3,OFFSET(G$6:$G10,ROW($G$6:$G$10)-MIN(ROW($G$6:$G$10)),,1)),--($G$6:$G$10=K21),($J$6:$J$10))</f>
      </c>
    </row>
    <row r="22" spans="2:17" x14ac:dyDescent="0.25">
      <c r="B22" s="13"/>
      <c r="C22" s="12"/>
      <c r="D22" s="12"/>
      <c r="E22" s="12"/>
      <c r="F22" s="12"/>
      <c r="G22" s="12"/>
      <c r="H22" s="12"/>
      <c r="K22" s="13"/>
      <c r="L22" s="12"/>
      <c r="M22" s="12"/>
      <c r="N22" s="12"/>
      <c r="O22" s="12"/>
      <c r="P22" s="12"/>
      <c r="Q22" s="12"/>
    </row>
    <row r="23" spans="2:17" x14ac:dyDescent="0.25">
      <c r="B23" s="13" t="s">
        <v>117</v>
      </c>
      <c r="C23" s="12">
        <f>SUM(C20:C22)</f>
      </c>
      <c r="D23" s="14">
        <f>SUM(D20:D22)</f>
      </c>
      <c r="E23" s="12">
        <f>SUM(E20:E22)</f>
      </c>
      <c r="F23" s="12">
        <f>AVERAGE(F20:F22)</f>
      </c>
      <c r="G23" s="12">
        <f>SUM(G20:G22)</f>
      </c>
      <c r="H23" s="12">
        <f>SUM(H20:H22)</f>
      </c>
      <c r="K23" s="13" t="s">
        <v>117</v>
      </c>
      <c r="L23" s="12">
        <f>SUM(L20:L22)</f>
      </c>
      <c r="M23" s="14">
        <f>SUM(M20:M22)</f>
      </c>
      <c r="N23" s="12">
        <f>SUM(N20:N22)</f>
      </c>
      <c r="O23" s="12">
        <f>AVERAGE(O20:O22)</f>
      </c>
      <c r="P23" s="12">
        <f>SUM(P20:P22)</f>
      </c>
      <c r="Q23" s="12">
        <f>SUM(Q20:Q22)</f>
      </c>
    </row>
  </sheetData>
  <autoFilter ref="A5:AX10"/>
  <mergeCells count="7">
    <mergeCell ref="A1:B3"/>
    <mergeCell ref="F1:H3"/>
    <mergeCell ref="B12:Q12"/>
    <mergeCell ref="B13:H13"/>
    <mergeCell ref="K13:Q13"/>
    <mergeCell ref="B19:H19"/>
    <mergeCell ref="K19:Q1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08-01-2021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2021-01-08T04:11:43Z</dcterms:created>
  <dcterms:modified xsi:type="dcterms:W3CDTF">2021-01-08T04:11:43Z</dcterms:modified>
</cp:coreProperties>
</file>