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390" windowWidth="16770" windowHeight="12555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45621"/>
</workbook>
</file>

<file path=xl/calcChain.xml><?xml version="1.0" encoding="utf-8"?>
<calcChain xmlns="http://schemas.openxmlformats.org/spreadsheetml/2006/main">
  <c r="N4" i="2" l="1"/>
  <c r="L4" i="2"/>
  <c r="D15" i="3" l="1"/>
  <c r="D14" i="3"/>
  <c r="E4" i="3"/>
  <c r="E5" i="3"/>
  <c r="E6" i="3"/>
  <c r="E7" i="3"/>
  <c r="F7" i="3" s="1"/>
  <c r="E8" i="3"/>
  <c r="F107" i="5"/>
  <c r="F108" i="5"/>
  <c r="F109" i="5"/>
  <c r="F110" i="5"/>
  <c r="F111" i="5"/>
  <c r="F112" i="5"/>
  <c r="F113" i="5"/>
  <c r="F114" i="5"/>
  <c r="F115" i="5"/>
  <c r="F106" i="5"/>
  <c r="D107" i="5"/>
  <c r="I107" i="5" s="1"/>
  <c r="E107" i="5"/>
  <c r="G107" i="5"/>
  <c r="D108" i="5"/>
  <c r="I108" i="5" s="1"/>
  <c r="E108" i="5"/>
  <c r="G108" i="5"/>
  <c r="D109" i="5"/>
  <c r="I109" i="5" s="1"/>
  <c r="E109" i="5"/>
  <c r="G109" i="5"/>
  <c r="D110" i="5"/>
  <c r="I110" i="5" s="1"/>
  <c r="E110" i="5"/>
  <c r="G110" i="5"/>
  <c r="D111" i="5"/>
  <c r="I111" i="5" s="1"/>
  <c r="E111" i="5"/>
  <c r="G111" i="5"/>
  <c r="D112" i="5"/>
  <c r="I112" i="5" s="1"/>
  <c r="E112" i="5"/>
  <c r="G112" i="5"/>
  <c r="D113" i="5"/>
  <c r="I113" i="5" s="1"/>
  <c r="E113" i="5"/>
  <c r="G113" i="5"/>
  <c r="D114" i="5"/>
  <c r="I114" i="5" s="1"/>
  <c r="E114" i="5"/>
  <c r="G114" i="5"/>
  <c r="D115" i="5"/>
  <c r="I115" i="5" s="1"/>
  <c r="E115" i="5"/>
  <c r="G115" i="5"/>
  <c r="G106" i="5"/>
  <c r="E106" i="5"/>
  <c r="D106" i="5"/>
  <c r="I106" i="5" s="1"/>
  <c r="C116" i="5"/>
  <c r="B116" i="5"/>
  <c r="I73" i="5"/>
  <c r="I74" i="5"/>
  <c r="I75" i="5"/>
  <c r="I76" i="5"/>
  <c r="I77" i="5"/>
  <c r="I78" i="5"/>
  <c r="I79" i="5"/>
  <c r="I80" i="5"/>
  <c r="I81" i="5"/>
  <c r="I72" i="5"/>
  <c r="H79" i="5"/>
  <c r="H80" i="5"/>
  <c r="F79" i="5"/>
  <c r="F80" i="5"/>
  <c r="E73" i="5"/>
  <c r="E74" i="5"/>
  <c r="E75" i="5"/>
  <c r="G75" i="5" s="1"/>
  <c r="E76" i="5"/>
  <c r="E77" i="5"/>
  <c r="E78" i="5"/>
  <c r="E79" i="5"/>
  <c r="G79" i="5" s="1"/>
  <c r="E80" i="5"/>
  <c r="E81" i="5"/>
  <c r="E72" i="5"/>
  <c r="L39" i="5"/>
  <c r="J42" i="5" s="1"/>
  <c r="D73" i="5"/>
  <c r="G73" i="5" s="1"/>
  <c r="D74" i="5"/>
  <c r="H74" i="5" s="1"/>
  <c r="D75" i="5"/>
  <c r="H75" i="5" s="1"/>
  <c r="D76" i="5"/>
  <c r="D77" i="5"/>
  <c r="G77" i="5" s="1"/>
  <c r="D78" i="5"/>
  <c r="H78" i="5" s="1"/>
  <c r="D79" i="5"/>
  <c r="D80" i="5"/>
  <c r="D81" i="5"/>
  <c r="G81" i="5" s="1"/>
  <c r="D72" i="5"/>
  <c r="H72" i="5" s="1"/>
  <c r="C82" i="5"/>
  <c r="B82" i="5"/>
  <c r="F4" i="3"/>
  <c r="F5" i="3"/>
  <c r="F6" i="3"/>
  <c r="F8" i="3"/>
  <c r="G9" i="3"/>
  <c r="G5" i="3"/>
  <c r="G6" i="3"/>
  <c r="G7" i="3"/>
  <c r="G8" i="3"/>
  <c r="G4" i="3"/>
  <c r="F6" i="5"/>
  <c r="F7" i="5"/>
  <c r="F8" i="5"/>
  <c r="F9" i="5"/>
  <c r="F10" i="5"/>
  <c r="F11" i="5"/>
  <c r="F12" i="5"/>
  <c r="F13" i="5"/>
  <c r="F14" i="5"/>
  <c r="F5" i="5"/>
  <c r="E6" i="5"/>
  <c r="E7" i="5"/>
  <c r="E8" i="5"/>
  <c r="E9" i="5"/>
  <c r="E10" i="5"/>
  <c r="E11" i="5"/>
  <c r="E12" i="5"/>
  <c r="E13" i="5"/>
  <c r="E14" i="5"/>
  <c r="E5" i="5"/>
  <c r="D6" i="5"/>
  <c r="D7" i="5"/>
  <c r="D8" i="5"/>
  <c r="D9" i="5"/>
  <c r="D10" i="5"/>
  <c r="D11" i="5"/>
  <c r="D12" i="5"/>
  <c r="D13" i="5"/>
  <c r="D14" i="5"/>
  <c r="D5" i="5"/>
  <c r="C14" i="6"/>
  <c r="D14" i="6"/>
  <c r="B14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I5" i="6"/>
  <c r="H5" i="6"/>
  <c r="G5" i="6"/>
  <c r="F5" i="6"/>
  <c r="F14" i="6" s="1"/>
  <c r="E5" i="6"/>
  <c r="C2" i="6"/>
  <c r="L8" i="6" s="1"/>
  <c r="K12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J13" i="6"/>
  <c r="K13" i="6" s="1"/>
  <c r="J5" i="6"/>
  <c r="K5" i="6" s="1"/>
  <c r="C48" i="5"/>
  <c r="B48" i="5"/>
  <c r="E47" i="5"/>
  <c r="D47" i="5"/>
  <c r="I47" i="5" s="1"/>
  <c r="E46" i="5"/>
  <c r="D46" i="5"/>
  <c r="I46" i="5" s="1"/>
  <c r="E45" i="5"/>
  <c r="D45" i="5"/>
  <c r="F45" i="5" s="1"/>
  <c r="H45" i="5" s="1"/>
  <c r="E44" i="5"/>
  <c r="D44" i="5"/>
  <c r="G44" i="5" s="1"/>
  <c r="E43" i="5"/>
  <c r="D43" i="5"/>
  <c r="I43" i="5" s="1"/>
  <c r="E42" i="5"/>
  <c r="D42" i="5"/>
  <c r="E41" i="5"/>
  <c r="D41" i="5"/>
  <c r="G41" i="5" s="1"/>
  <c r="E40" i="5"/>
  <c r="D40" i="5"/>
  <c r="E39" i="5"/>
  <c r="D39" i="5"/>
  <c r="I39" i="5" s="1"/>
  <c r="E38" i="5"/>
  <c r="D38" i="5"/>
  <c r="F38" i="5" s="1"/>
  <c r="O13" i="2"/>
  <c r="O5" i="2"/>
  <c r="O6" i="2"/>
  <c r="O7" i="2"/>
  <c r="O8" i="2"/>
  <c r="O9" i="2"/>
  <c r="O10" i="2"/>
  <c r="O11" i="2"/>
  <c r="O12" i="2"/>
  <c r="O4" i="2"/>
  <c r="O3" i="2"/>
  <c r="N13" i="2"/>
  <c r="N5" i="2"/>
  <c r="N6" i="2"/>
  <c r="N7" i="2"/>
  <c r="N8" i="2"/>
  <c r="N9" i="2"/>
  <c r="N10" i="2"/>
  <c r="N11" i="2"/>
  <c r="N12" i="2"/>
  <c r="J68" i="1"/>
  <c r="J69" i="1"/>
  <c r="J70" i="1"/>
  <c r="J71" i="1"/>
  <c r="J72" i="1"/>
  <c r="J73" i="1"/>
  <c r="J74" i="1"/>
  <c r="J75" i="1"/>
  <c r="J76" i="1"/>
  <c r="G116" i="5" l="1"/>
  <c r="G76" i="5"/>
  <c r="G80" i="5"/>
  <c r="E116" i="5"/>
  <c r="F76" i="5"/>
  <c r="H76" i="5"/>
  <c r="F75" i="5"/>
  <c r="H115" i="5"/>
  <c r="H114" i="5"/>
  <c r="H113" i="5"/>
  <c r="H112" i="5"/>
  <c r="H111" i="5"/>
  <c r="H110" i="5"/>
  <c r="H109" i="5"/>
  <c r="H108" i="5"/>
  <c r="H107" i="5"/>
  <c r="F81" i="5"/>
  <c r="F77" i="5"/>
  <c r="F73" i="5"/>
  <c r="H81" i="5"/>
  <c r="H77" i="5"/>
  <c r="H73" i="5"/>
  <c r="H106" i="5"/>
  <c r="H116" i="5" s="1"/>
  <c r="D116" i="5"/>
  <c r="G78" i="5"/>
  <c r="F116" i="5"/>
  <c r="E82" i="5"/>
  <c r="G72" i="5"/>
  <c r="G74" i="5"/>
  <c r="I38" i="5"/>
  <c r="D82" i="5"/>
  <c r="F72" i="5"/>
  <c r="F78" i="5"/>
  <c r="F74" i="5"/>
  <c r="F9" i="3"/>
  <c r="I82" i="5"/>
  <c r="J45" i="5"/>
  <c r="J41" i="5"/>
  <c r="J38" i="5"/>
  <c r="J44" i="5"/>
  <c r="J40" i="5"/>
  <c r="J47" i="5"/>
  <c r="J43" i="5"/>
  <c r="J39" i="5"/>
  <c r="J46" i="5"/>
  <c r="F44" i="5"/>
  <c r="H44" i="5" s="1"/>
  <c r="I41" i="5"/>
  <c r="G42" i="5"/>
  <c r="F43" i="5"/>
  <c r="H43" i="5" s="1"/>
  <c r="E48" i="5"/>
  <c r="D15" i="5"/>
  <c r="G46" i="5"/>
  <c r="F41" i="5"/>
  <c r="H41" i="5" s="1"/>
  <c r="I44" i="5"/>
  <c r="G40" i="5"/>
  <c r="G43" i="5"/>
  <c r="G47" i="5"/>
  <c r="G39" i="5"/>
  <c r="F40" i="5"/>
  <c r="H40" i="5" s="1"/>
  <c r="I40" i="5"/>
  <c r="F47" i="5"/>
  <c r="H47" i="5" s="1"/>
  <c r="F39" i="5"/>
  <c r="H39" i="5" s="1"/>
  <c r="G45" i="5"/>
  <c r="D48" i="5"/>
  <c r="F46" i="5"/>
  <c r="H46" i="5" s="1"/>
  <c r="F42" i="5"/>
  <c r="H42" i="5" s="1"/>
  <c r="G38" i="5"/>
  <c r="I42" i="5"/>
  <c r="E15" i="5"/>
  <c r="I45" i="5"/>
  <c r="H14" i="6"/>
  <c r="E14" i="6"/>
  <c r="I14" i="6"/>
  <c r="G14" i="6"/>
  <c r="K14" i="6"/>
  <c r="J22" i="6" s="1"/>
  <c r="L11" i="6"/>
  <c r="L7" i="6"/>
  <c r="L5" i="6"/>
  <c r="L10" i="6"/>
  <c r="L6" i="6"/>
  <c r="L13" i="6"/>
  <c r="L9" i="6"/>
  <c r="L12" i="6"/>
  <c r="G5" i="2"/>
  <c r="G6" i="2"/>
  <c r="G7" i="2"/>
  <c r="G8" i="2"/>
  <c r="G9" i="2"/>
  <c r="G10" i="2"/>
  <c r="G11" i="2"/>
  <c r="G12" i="2"/>
  <c r="G4" i="2"/>
  <c r="E5" i="2"/>
  <c r="L5" i="2" s="1"/>
  <c r="M5" i="2" s="1"/>
  <c r="E6" i="2"/>
  <c r="J6" i="2" s="1"/>
  <c r="E7" i="2"/>
  <c r="J7" i="2" s="1"/>
  <c r="E8" i="2"/>
  <c r="F8" i="2" s="1"/>
  <c r="E9" i="2"/>
  <c r="L9" i="2" s="1"/>
  <c r="M9" i="2" s="1"/>
  <c r="E10" i="2"/>
  <c r="J10" i="2" s="1"/>
  <c r="E11" i="2"/>
  <c r="J11" i="2" s="1"/>
  <c r="E12" i="2"/>
  <c r="F12" i="2" s="1"/>
  <c r="E4" i="2"/>
  <c r="M4" i="2" s="1"/>
  <c r="G82" i="5" l="1"/>
  <c r="F82" i="5"/>
  <c r="H82" i="5"/>
  <c r="G48" i="5"/>
  <c r="L14" i="6"/>
  <c r="J23" i="6" s="1"/>
  <c r="F48" i="5"/>
  <c r="H38" i="5"/>
  <c r="H48" i="5" s="1"/>
  <c r="G13" i="2"/>
  <c r="J12" i="2"/>
  <c r="J8" i="2"/>
  <c r="L8" i="2"/>
  <c r="M8" i="2" s="1"/>
  <c r="J4" i="2"/>
  <c r="J5" i="2"/>
  <c r="J9" i="2"/>
  <c r="L12" i="2"/>
  <c r="M12" i="2" s="1"/>
  <c r="F11" i="2"/>
  <c r="F7" i="2"/>
  <c r="F10" i="2"/>
  <c r="F6" i="2"/>
  <c r="L11" i="2"/>
  <c r="M11" i="2" s="1"/>
  <c r="L7" i="2"/>
  <c r="M7" i="2" s="1"/>
  <c r="F4" i="2"/>
  <c r="F9" i="2"/>
  <c r="F5" i="2"/>
  <c r="L10" i="2"/>
  <c r="M10" i="2" s="1"/>
  <c r="L6" i="2"/>
  <c r="M6" i="2" s="1"/>
  <c r="E13" i="2"/>
  <c r="C15" i="5"/>
  <c r="B15" i="5"/>
  <c r="C9" i="3"/>
  <c r="B9" i="3"/>
  <c r="D5" i="3"/>
  <c r="D6" i="3"/>
  <c r="D7" i="3"/>
  <c r="D8" i="3"/>
  <c r="D4" i="3"/>
  <c r="B13" i="2"/>
  <c r="C13" i="2"/>
  <c r="K5" i="2"/>
  <c r="K6" i="2"/>
  <c r="K7" i="2"/>
  <c r="K8" i="2"/>
  <c r="K9" i="2"/>
  <c r="K10" i="2"/>
  <c r="K11" i="2"/>
  <c r="K12" i="2"/>
  <c r="K4" i="2"/>
  <c r="D5" i="2"/>
  <c r="D6" i="2"/>
  <c r="I6" i="2" s="1"/>
  <c r="D7" i="2"/>
  <c r="H7" i="2" s="1"/>
  <c r="D8" i="2"/>
  <c r="D9" i="2"/>
  <c r="D10" i="2"/>
  <c r="H10" i="2" s="1"/>
  <c r="D11" i="2"/>
  <c r="H11" i="2" s="1"/>
  <c r="D12" i="2"/>
  <c r="D4" i="2"/>
  <c r="K69" i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68" i="1"/>
  <c r="D9" i="3" l="1"/>
  <c r="J13" i="2"/>
  <c r="I7" i="2"/>
  <c r="H4" i="2"/>
  <c r="I4" i="2"/>
  <c r="H9" i="2"/>
  <c r="I9" i="2"/>
  <c r="H5" i="2"/>
  <c r="I5" i="2"/>
  <c r="F13" i="2"/>
  <c r="H12" i="2"/>
  <c r="I12" i="2"/>
  <c r="H8" i="2"/>
  <c r="I8" i="2"/>
  <c r="I10" i="2"/>
  <c r="I11" i="2"/>
  <c r="K13" i="2"/>
  <c r="H77" i="1"/>
  <c r="H6" i="2"/>
  <c r="D13" i="2"/>
  <c r="K77" i="1"/>
  <c r="I13" i="2" l="1"/>
  <c r="H13" i="2"/>
  <c r="G69" i="1"/>
  <c r="G70" i="1"/>
  <c r="G71" i="1"/>
  <c r="G72" i="1"/>
  <c r="G73" i="1"/>
  <c r="G74" i="1"/>
  <c r="G75" i="1"/>
  <c r="G76" i="1"/>
  <c r="G68" i="1"/>
  <c r="F69" i="1"/>
  <c r="F70" i="1"/>
  <c r="F71" i="1"/>
  <c r="F72" i="1"/>
  <c r="F73" i="1"/>
  <c r="F74" i="1"/>
  <c r="F75" i="1"/>
  <c r="F76" i="1"/>
  <c r="F68" i="1"/>
  <c r="C80" i="1"/>
  <c r="B80" i="1"/>
  <c r="C77" i="1"/>
  <c r="B77" i="1"/>
  <c r="E76" i="1"/>
  <c r="I76" i="1" s="1"/>
  <c r="D76" i="1"/>
  <c r="E75" i="1"/>
  <c r="I75" i="1" s="1"/>
  <c r="D75" i="1"/>
  <c r="E74" i="1"/>
  <c r="I74" i="1" s="1"/>
  <c r="D74" i="1"/>
  <c r="E73" i="1"/>
  <c r="I73" i="1" s="1"/>
  <c r="D73" i="1"/>
  <c r="E72" i="1"/>
  <c r="I72" i="1" s="1"/>
  <c r="D72" i="1"/>
  <c r="E71" i="1"/>
  <c r="I71" i="1" s="1"/>
  <c r="D71" i="1"/>
  <c r="E70" i="1"/>
  <c r="D70" i="1"/>
  <c r="E69" i="1"/>
  <c r="I69" i="1" s="1"/>
  <c r="D69" i="1"/>
  <c r="E68" i="1"/>
  <c r="I68" i="1" s="1"/>
  <c r="D68" i="1"/>
  <c r="E77" i="1" l="1"/>
  <c r="L69" i="1"/>
  <c r="L73" i="1"/>
  <c r="L68" i="1"/>
  <c r="L70" i="1"/>
  <c r="L74" i="1"/>
  <c r="L71" i="1"/>
  <c r="L75" i="1"/>
  <c r="L72" i="1"/>
  <c r="L76" i="1"/>
  <c r="D77" i="1"/>
  <c r="F77" i="1"/>
  <c r="G77" i="1"/>
  <c r="I70" i="1"/>
  <c r="I77" i="1" s="1"/>
  <c r="H8" i="1"/>
  <c r="H9" i="1"/>
  <c r="H10" i="1"/>
  <c r="H11" i="1"/>
  <c r="H12" i="1"/>
  <c r="H13" i="1"/>
  <c r="H14" i="1"/>
  <c r="H15" i="1"/>
  <c r="H7" i="1"/>
  <c r="C19" i="1"/>
  <c r="B19" i="1"/>
  <c r="E8" i="1"/>
  <c r="E9" i="1"/>
  <c r="E10" i="1"/>
  <c r="E11" i="1"/>
  <c r="E12" i="1"/>
  <c r="E13" i="1"/>
  <c r="E14" i="1"/>
  <c r="E15" i="1"/>
  <c r="E7" i="1"/>
  <c r="C16" i="1"/>
  <c r="B16" i="1"/>
  <c r="D8" i="1"/>
  <c r="D9" i="1"/>
  <c r="D10" i="1"/>
  <c r="D11" i="1"/>
  <c r="D12" i="1"/>
  <c r="D13" i="1"/>
  <c r="D14" i="1"/>
  <c r="D15" i="1"/>
  <c r="D7" i="1"/>
  <c r="D16" i="1" l="1"/>
  <c r="H16" i="1"/>
  <c r="E16" i="1"/>
  <c r="L77" i="1"/>
  <c r="C36" i="1" l="1"/>
  <c r="C33" i="1"/>
  <c r="C34" i="1" s="1"/>
  <c r="F8" i="1" l="1"/>
  <c r="G8" i="1" s="1"/>
  <c r="F13" i="1"/>
  <c r="G13" i="1" s="1"/>
  <c r="F15" i="1"/>
  <c r="G15" i="1" s="1"/>
  <c r="F12" i="1"/>
  <c r="G12" i="1" s="1"/>
  <c r="F10" i="1"/>
  <c r="G10" i="1" s="1"/>
  <c r="F7" i="1"/>
  <c r="G7" i="1" s="1"/>
  <c r="F14" i="1"/>
  <c r="G14" i="1" s="1"/>
  <c r="G16" i="1" s="1"/>
  <c r="C35" i="1" s="1"/>
  <c r="F9" i="1"/>
  <c r="G9" i="1" s="1"/>
  <c r="F11" i="1"/>
  <c r="G11" i="1" s="1"/>
</calcChain>
</file>

<file path=xl/sharedStrings.xml><?xml version="1.0" encoding="utf-8"?>
<sst xmlns="http://schemas.openxmlformats.org/spreadsheetml/2006/main" count="141" uniqueCount="89">
  <si>
    <t>Problem 1</t>
  </si>
  <si>
    <t>x</t>
  </si>
  <si>
    <t>y</t>
  </si>
  <si>
    <t>xy</t>
  </si>
  <si>
    <t>x^2</t>
  </si>
  <si>
    <t>y Mean</t>
  </si>
  <si>
    <t>x Mean</t>
  </si>
  <si>
    <t>Sums</t>
  </si>
  <si>
    <t>a1  =</t>
  </si>
  <si>
    <t>a0 =</t>
  </si>
  <si>
    <t>Slope</t>
  </si>
  <si>
    <t>Intercept</t>
  </si>
  <si>
    <t>Regression Line</t>
  </si>
  <si>
    <t xml:space="preserve">Sr = </t>
  </si>
  <si>
    <t>(yi-a0-a1xi)^2</t>
  </si>
  <si>
    <t>Std error of Estimation</t>
  </si>
  <si>
    <t>Sy/x =</t>
  </si>
  <si>
    <t xml:space="preserve">r = </t>
  </si>
  <si>
    <t>Correlation Coefficient</t>
  </si>
  <si>
    <t>a) Using Least squares Regression</t>
  </si>
  <si>
    <t>y^2</t>
  </si>
  <si>
    <t>The fit is fairly good with the straight line, however looking at the plot</t>
  </si>
  <si>
    <t xml:space="preserve">one can interpret that the data has curvature and it seems to be going </t>
  </si>
  <si>
    <t>away from our line we move further away on the x axis</t>
  </si>
  <si>
    <t>b) Using Parabolic (second order polynomial)</t>
  </si>
  <si>
    <t>y = a0 +a1x</t>
  </si>
  <si>
    <t>y = a0 +a1x +a2X^2</t>
  </si>
  <si>
    <t>x^3</t>
  </si>
  <si>
    <t>x^2y</t>
  </si>
  <si>
    <t>x^4</t>
  </si>
  <si>
    <t>(y-a0-a1x-a2x^2)^2</t>
  </si>
  <si>
    <t>Reg Parabola</t>
  </si>
  <si>
    <t>Problem 2</t>
  </si>
  <si>
    <t>Y^2</t>
  </si>
  <si>
    <t>Sum</t>
  </si>
  <si>
    <t>Problem 3</t>
  </si>
  <si>
    <t>x1</t>
  </si>
  <si>
    <t>x2</t>
  </si>
  <si>
    <t>x1^2</t>
  </si>
  <si>
    <t>y =1.4881-0.4518*x+0.191*x^2</t>
  </si>
  <si>
    <t>y =-2.0139 + 1.4583 x</t>
  </si>
  <si>
    <t>Problem 4</t>
  </si>
  <si>
    <t xml:space="preserve"> </t>
  </si>
  <si>
    <t>(yavg-y)^2</t>
  </si>
  <si>
    <t>x1*y</t>
  </si>
  <si>
    <t>x1*x2</t>
  </si>
  <si>
    <t>Y= 2.1962+.9601(ln x)-2.4143*x</t>
  </si>
  <si>
    <t>y = (exp of Y)</t>
  </si>
  <si>
    <t>x2 = x</t>
  </si>
  <si>
    <t>x2^2</t>
  </si>
  <si>
    <t>x2*Y</t>
  </si>
  <si>
    <t>Y= ln y</t>
  </si>
  <si>
    <t>x1 = ln x</t>
  </si>
  <si>
    <t>sr</t>
  </si>
  <si>
    <t>Mean</t>
  </si>
  <si>
    <t>Y= log y</t>
  </si>
  <si>
    <t>x1 =Log x</t>
  </si>
  <si>
    <t>St Line Regression</t>
  </si>
  <si>
    <t>x1*Y</t>
  </si>
  <si>
    <t>Power Regression</t>
  </si>
  <si>
    <t>Regression Estimate</t>
  </si>
  <si>
    <t>(y-a0-a1x1-a2x2)^2</t>
  </si>
  <si>
    <t>y = 14.4609 + 9.0252*x1-5.7043*x2</t>
  </si>
  <si>
    <t>Mean Y</t>
  </si>
  <si>
    <t>St</t>
  </si>
  <si>
    <t>"= St"</t>
  </si>
  <si>
    <t>x2*y</t>
  </si>
  <si>
    <t>a2 =</t>
  </si>
  <si>
    <t>Problem 5</t>
  </si>
  <si>
    <t>x*y</t>
  </si>
  <si>
    <t>y= 20.6 +.4945*x</t>
  </si>
  <si>
    <t>a) Using St Line regression</t>
  </si>
  <si>
    <t>b) Using Power Equation fit</t>
  </si>
  <si>
    <t>Regression line</t>
  </si>
  <si>
    <t>y =3.789+0.9857*x1+0.8418*x2</t>
  </si>
  <si>
    <t>y = 9.935735*x^.3856</t>
  </si>
  <si>
    <t>Y= 0.9972+0.3859*x1</t>
  </si>
  <si>
    <t>c) Using A Saturation Growth rate Equation fit</t>
  </si>
  <si>
    <t>x1 = 1/x</t>
  </si>
  <si>
    <t>1/y</t>
  </si>
  <si>
    <t>X ^2</t>
  </si>
  <si>
    <t>X*Y</t>
  </si>
  <si>
    <t>Y= .02+.1961*x1</t>
  </si>
  <si>
    <t>d) Using a parabola fit</t>
  </si>
  <si>
    <t>x * y</t>
  </si>
  <si>
    <t>x^2*y</t>
  </si>
  <si>
    <t>y = 11.767 + 1.3779*x -0.0161*x^2</t>
  </si>
  <si>
    <t>At.lg (a0)</t>
  </si>
  <si>
    <t>y = 50*x(9.805 +x)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</si>
</sst>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3" xfId="0" applyNumberFormat="1" applyBorder="1"/>
    <xf numFmtId="0" fontId="1" fillId="0" borderId="3" xfId="0" applyFont="1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3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1" fillId="0" borderId="3" xfId="0" applyNumberFormat="1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64" fontId="0" fillId="0" borderId="0" xfId="0" applyNumberFormat="1"/>
    <xf numFmtId="0" fontId="1" fillId="0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/>
    <xf numFmtId="0" fontId="1" fillId="0" borderId="1" xfId="0" applyFont="1" applyFill="1" applyBorder="1" applyAlignment="1">
      <alignment horizontal="left"/>
    </xf>
    <xf numFmtId="2" fontId="0" fillId="0" borderId="1" xfId="0" applyNumberForma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4" fontId="0" fillId="0" borderId="6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8575">
              <a:noFill/>
            </a:ln>
          </c:spPr>
          <c:xVal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Sheet1!$C$7:$C$15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v>Regression Line</c:v>
          </c:tx>
          <c:marker>
            <c:symbol val="none"/>
          </c:marker>
          <c:xVal>
            <c:numRef>
              <c:f>Sheet1!$B$7:$B$15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Sheet1!$F$7:$F$15</c:f>
              <c:numCache>
                <c:formatCode>0.0000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4800"/>
        <c:axId val="51886720"/>
      </c:scatterChart>
      <c:valAx>
        <c:axId val="51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86720"/>
        <c:crosses val="autoZero"/>
        <c:crossBetween val="midCat"/>
      </c:valAx>
      <c:valAx>
        <c:axId val="518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8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4740363336935"/>
          <c:y val="2.1784978534619935E-2"/>
          <c:w val="0.83534017806597705"/>
          <c:h val="0.9066339591223157"/>
        </c:manualLayout>
      </c:layout>
      <c:scatterChart>
        <c:scatterStyle val="smoothMarker"/>
        <c:varyColors val="0"/>
        <c:ser>
          <c:idx val="1"/>
          <c:order val="1"/>
          <c:tx>
            <c:v>Growth Saturation Equation</c:v>
          </c:tx>
          <c:marker>
            <c:symbol val="none"/>
          </c:marker>
          <c:xVal>
            <c:numRef>
              <c:f>Sheet5!$B$72:$B$81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Sheet5!$I$72:$I$81</c:f>
              <c:numCache>
                <c:formatCode>0.0000</c:formatCode>
                <c:ptCount val="10"/>
                <c:pt idx="0">
                  <c:v>16.886187098953055</c:v>
                </c:pt>
                <c:pt idx="1">
                  <c:v>25.246149962130776</c:v>
                </c:pt>
                <c:pt idx="2">
                  <c:v>30.235839548478129</c:v>
                </c:pt>
                <c:pt idx="3">
                  <c:v>33.551417547391381</c:v>
                </c:pt>
                <c:pt idx="4">
                  <c:v>35.914380117799169</c:v>
                </c:pt>
                <c:pt idx="5">
                  <c:v>37.683708076874765</c:v>
                </c:pt>
                <c:pt idx="6">
                  <c:v>39.05814083249637</c:v>
                </c:pt>
                <c:pt idx="7">
                  <c:v>40.156610782049995</c:v>
                </c:pt>
                <c:pt idx="8">
                  <c:v>41.054648298512909</c:v>
                </c:pt>
                <c:pt idx="9">
                  <c:v>41.802524872502296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240"/>
        <c:axId val="52444160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Sheet5!$C$72:$C$81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240"/>
        <c:axId val="52444160"/>
      </c:scatterChart>
      <c:valAx>
        <c:axId val="524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44160"/>
        <c:crosses val="autoZero"/>
        <c:crossBetween val="midCat"/>
      </c:valAx>
      <c:valAx>
        <c:axId val="524441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244224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Parabola Equation</c:v>
          </c:tx>
          <c:marker>
            <c:symbol val="none"/>
          </c:marker>
          <c:xVal>
            <c:numRef>
              <c:f>Sheet5!$B$106:$B$115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Sheet5!$I$106:$I$115</c:f>
              <c:numCache>
                <c:formatCode>General</c:formatCode>
                <c:ptCount val="10"/>
                <c:pt idx="0">
                  <c:v>18.254000000000001</c:v>
                </c:pt>
                <c:pt idx="1">
                  <c:v>23.936</c:v>
                </c:pt>
                <c:pt idx="2">
                  <c:v>28.812999999999999</c:v>
                </c:pt>
                <c:pt idx="3">
                  <c:v>32.885000000000005</c:v>
                </c:pt>
                <c:pt idx="4">
                  <c:v>36.152000000000001</c:v>
                </c:pt>
                <c:pt idx="5">
                  <c:v>38.613999999999997</c:v>
                </c:pt>
                <c:pt idx="6">
                  <c:v>40.271000000000001</c:v>
                </c:pt>
                <c:pt idx="7">
                  <c:v>41.122999999999998</c:v>
                </c:pt>
                <c:pt idx="8">
                  <c:v>41.169999999999995</c:v>
                </c:pt>
                <c:pt idx="9">
                  <c:v>40.411999999999992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912"/>
        <c:axId val="75032832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Sheet5!$B$106:$B$115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Sheet5!$C$106:$C$115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912"/>
        <c:axId val="75032832"/>
      </c:scatterChart>
      <c:valAx>
        <c:axId val="75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032832"/>
        <c:crosses val="autoZero"/>
        <c:crossBetween val="midCat"/>
      </c:valAx>
      <c:valAx>
        <c:axId val="75032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1.6931216931216932E-2"/>
              <c:y val="0.407129174207908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3091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88407699037618E-2"/>
          <c:y val="5.1400554097404488E-2"/>
          <c:w val="0.73812357830271214"/>
          <c:h val="0.8326195683872849"/>
        </c:manualLayout>
      </c:layout>
      <c:scatterChart>
        <c:scatterStyle val="smoothMarker"/>
        <c:varyColors val="0"/>
        <c:ser>
          <c:idx val="1"/>
          <c:order val="1"/>
          <c:tx>
            <c:v>Second Order Regression</c:v>
          </c:tx>
          <c:marker>
            <c:symbol val="none"/>
          </c:marker>
          <c:xVal>
            <c:numRef>
              <c:f>Sheet1!$B$68:$B$76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Sheet1!$J$68:$J$76</c:f>
              <c:numCache>
                <c:formatCode>General</c:formatCode>
                <c:ptCount val="9"/>
                <c:pt idx="0">
                  <c:v>1.2273000000000001</c:v>
                </c:pt>
                <c:pt idx="1">
                  <c:v>1.3485</c:v>
                </c:pt>
                <c:pt idx="2">
                  <c:v>1.8517000000000001</c:v>
                </c:pt>
                <c:pt idx="3">
                  <c:v>2.7369000000000003</c:v>
                </c:pt>
                <c:pt idx="4">
                  <c:v>4.0041000000000002</c:v>
                </c:pt>
                <c:pt idx="5">
                  <c:v>5.6533000000000007</c:v>
                </c:pt>
                <c:pt idx="6">
                  <c:v>7.6844999999999999</c:v>
                </c:pt>
                <c:pt idx="7">
                  <c:v>10.0977</c:v>
                </c:pt>
                <c:pt idx="8">
                  <c:v>12.892900000000001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9264"/>
        <c:axId val="51821184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Sheet1!$B$68:$B$76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Sheet1!$C$68:$C$76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9264"/>
        <c:axId val="51821184"/>
      </c:scatterChart>
      <c:valAx>
        <c:axId val="518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21184"/>
        <c:crosses val="autoZero"/>
        <c:crossBetween val="midCat"/>
      </c:valAx>
      <c:valAx>
        <c:axId val="51821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793624599008457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19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537401574803153"/>
          <c:y val="0.29089895013123357"/>
          <c:w val="0.23795931758530184"/>
          <c:h val="0.28077553223572904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Semi Log</a:t>
            </a:r>
          </a:p>
        </c:rich>
      </c:tx>
      <c:layout>
        <c:manualLayout>
          <c:xMode val="edge"/>
          <c:yMode val="edge"/>
          <c:x val="0.70042869641294836"/>
          <c:y val="6.8928367415335479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Sheet2!$D$4:$D$12</c:f>
              <c:numCache>
                <c:formatCode>0.0000</c:formatCode>
                <c:ptCount val="9"/>
                <c:pt idx="0">
                  <c:v>-0.2876820724517809</c:v>
                </c:pt>
                <c:pt idx="1">
                  <c:v>0.22314355131420976</c:v>
                </c:pt>
                <c:pt idx="2">
                  <c:v>0.37156355643248301</c:v>
                </c:pt>
                <c:pt idx="3">
                  <c:v>0.22314355131420976</c:v>
                </c:pt>
                <c:pt idx="4">
                  <c:v>-0.16251892949777494</c:v>
                </c:pt>
                <c:pt idx="5">
                  <c:v>-0.59783700075562041</c:v>
                </c:pt>
                <c:pt idx="6">
                  <c:v>-1.0498221244986778</c:v>
                </c:pt>
                <c:pt idx="7">
                  <c:v>-1.2729656758128873</c:v>
                </c:pt>
                <c:pt idx="8">
                  <c:v>-1.7147984280919266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Sheet2!$L$4:$L$12</c:f>
              <c:numCache>
                <c:formatCode>0.0000</c:formatCode>
                <c:ptCount val="9"/>
                <c:pt idx="0">
                  <c:v>-0.25594194778358292</c:v>
                </c:pt>
                <c:pt idx="1">
                  <c:v>0.16811866027202044</c:v>
                </c:pt>
                <c:pt idx="2">
                  <c:v>0.35074926832762399</c:v>
                </c:pt>
                <c:pt idx="3">
                  <c:v>0.25717631862227264</c:v>
                </c:pt>
                <c:pt idx="4">
                  <c:v>-7.7826631083079079E-2</c:v>
                </c:pt>
                <c:pt idx="5">
                  <c:v>-0.69049406968476124</c:v>
                </c:pt>
                <c:pt idx="6">
                  <c:v>-1.0359629497053509</c:v>
                </c:pt>
                <c:pt idx="7">
                  <c:v>-1.39865381615521</c:v>
                </c:pt>
                <c:pt idx="8">
                  <c:v>-1.5852060230274754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7648"/>
        <c:axId val="51869568"/>
      </c:scatterChart>
      <c:valAx>
        <c:axId val="518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69568"/>
        <c:crosses val="autoZero"/>
        <c:crossBetween val="midCat"/>
      </c:valAx>
      <c:valAx>
        <c:axId val="518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Y= ln</a:t>
                </a:r>
                <a:r>
                  <a:rPr lang="en-US" baseline="0"/>
                  <a:t> y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18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89728937007874021"/>
          <c:h val="0.85576771653543304"/>
        </c:manualLayout>
      </c:layout>
      <c:scatterChart>
        <c:scatterStyle val="smoothMarker"/>
        <c:varyColors val="0"/>
        <c:ser>
          <c:idx val="0"/>
          <c:order val="0"/>
          <c:tx>
            <c:v>Regression Line</c:v>
          </c:tx>
          <c:marker>
            <c:symbol val="none"/>
          </c:marker>
          <c:xVal>
            <c:numRef>
              <c:f>Sheet2!$B$4:$B$12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Sheet2!$M$4:$M$12</c:f>
              <c:numCache>
                <c:formatCode>0.0000</c:formatCode>
                <c:ptCount val="9"/>
                <c:pt idx="0">
                  <c:v>0.77418691075383583</c:v>
                </c:pt>
                <c:pt idx="1">
                  <c:v>1.1830769865561703</c:v>
                </c:pt>
                <c:pt idx="2">
                  <c:v>1.4201312093960907</c:v>
                </c:pt>
                <c:pt idx="3">
                  <c:v>1.2932731347950808</c:v>
                </c:pt>
                <c:pt idx="4">
                  <c:v>0.92512480052588963</c:v>
                </c:pt>
                <c:pt idx="5">
                  <c:v>0.50132831674422385</c:v>
                </c:pt>
                <c:pt idx="6">
                  <c:v>0.35488448042901743</c:v>
                </c:pt>
                <c:pt idx="7">
                  <c:v>0.24692915233379614</c:v>
                </c:pt>
                <c:pt idx="8">
                  <c:v>0.20490557350124083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9296"/>
        <c:axId val="51889664"/>
      </c:scatterChart>
      <c:scatterChart>
        <c:scatterStyle val="lineMarker"/>
        <c:varyColors val="0"/>
        <c:ser>
          <c:idx val="1"/>
          <c:order val="1"/>
          <c:tx>
            <c:v>Data Points</c:v>
          </c:tx>
          <c:spPr>
            <a:ln w="28575">
              <a:noFill/>
            </a:ln>
          </c:spPr>
          <c:xVal>
            <c:numRef>
              <c:f>Sheet2!$B$4:$B$12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0.75</c:v>
                </c:pt>
                <c:pt idx="1">
                  <c:v>1.25</c:v>
                </c:pt>
                <c:pt idx="2">
                  <c:v>1.45</c:v>
                </c:pt>
                <c:pt idx="3">
                  <c:v>1.25</c:v>
                </c:pt>
                <c:pt idx="4">
                  <c:v>0.85</c:v>
                </c:pt>
                <c:pt idx="5">
                  <c:v>0.55000000000000004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9296"/>
        <c:axId val="51889664"/>
      </c:scatterChart>
      <c:valAx>
        <c:axId val="518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2959842519685038"/>
              <c:y val="0.915717410323709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1889664"/>
        <c:crosses val="autoZero"/>
        <c:crossBetween val="midCat"/>
      </c:valAx>
      <c:valAx>
        <c:axId val="518896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879994167395742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5187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387379702537184"/>
          <c:y val="8.7579104695246421E-2"/>
          <c:w val="0.28390398075240597"/>
          <c:h val="0.153545494313210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16352587563468E-2"/>
          <c:y val="1.4089507696217692E-2"/>
          <c:w val="0.93179085298001108"/>
          <c:h val="0.9299065989733286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640"/>
        <c:axId val="52018560"/>
      </c:scatterChart>
      <c:scatterChart>
        <c:scatterStyle val="smoothMarker"/>
        <c:varyColors val="0"/>
        <c:ser>
          <c:idx val="1"/>
          <c:order val="1"/>
          <c:tx>
            <c:v>St line Regression</c:v>
          </c:tx>
          <c:marker>
            <c:symbol val="none"/>
          </c:marker>
          <c:xVal>
            <c:numRef>
              <c:f>Sheet5!$B$5:$B$14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Sheet5!$F$5:$F$14</c:f>
              <c:numCache>
                <c:formatCode>0.00</c:formatCode>
                <c:ptCount val="10"/>
                <c:pt idx="0">
                  <c:v>23.072500000000002</c:v>
                </c:pt>
                <c:pt idx="1">
                  <c:v>25.545000000000002</c:v>
                </c:pt>
                <c:pt idx="2">
                  <c:v>28.017500000000002</c:v>
                </c:pt>
                <c:pt idx="3">
                  <c:v>30.490000000000002</c:v>
                </c:pt>
                <c:pt idx="4">
                  <c:v>32.962500000000006</c:v>
                </c:pt>
                <c:pt idx="5">
                  <c:v>35.435000000000002</c:v>
                </c:pt>
                <c:pt idx="6">
                  <c:v>37.907499999999999</c:v>
                </c:pt>
                <c:pt idx="7">
                  <c:v>40.380000000000003</c:v>
                </c:pt>
                <c:pt idx="8">
                  <c:v>42.852500000000006</c:v>
                </c:pt>
                <c:pt idx="9">
                  <c:v>45.325000000000003</c:v>
                </c:pt>
              </c:numCache>
            </c:numRef>
          </c:yVal>
          <c:smooth val="1"/>
        </c:ser>
        <c:ser>
          <c:idx val="2"/>
          <c:order val="2"/>
          <c:tx>
            <c:v>Power Equation Regression</c:v>
          </c:tx>
          <c:xVal>
            <c:numRef>
              <c:f>Sheet5!$B$38:$B$47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Sheet5!$J$38:$J$47</c:f>
              <c:numCache>
                <c:formatCode>General</c:formatCode>
                <c:ptCount val="10"/>
                <c:pt idx="0">
                  <c:v>18.480887940142608</c:v>
                </c:pt>
                <c:pt idx="1">
                  <c:v>24.143487297141515</c:v>
                </c:pt>
                <c:pt idx="2">
                  <c:v>28.229344225091651</c:v>
                </c:pt>
                <c:pt idx="3">
                  <c:v>31.541124038801762</c:v>
                </c:pt>
                <c:pt idx="4">
                  <c:v>34.375234328852301</c:v>
                </c:pt>
                <c:pt idx="5">
                  <c:v>36.87889975376779</c:v>
                </c:pt>
                <c:pt idx="6">
                  <c:v>39.137460102918453</c:v>
                </c:pt>
                <c:pt idx="7">
                  <c:v>41.205418810764073</c:v>
                </c:pt>
                <c:pt idx="8">
                  <c:v>43.119999318201906</c:v>
                </c:pt>
                <c:pt idx="9">
                  <c:v>44.907908972933484</c:v>
                </c:pt>
              </c:numCache>
            </c:numRef>
          </c:yVal>
          <c:smooth val="1"/>
        </c:ser>
        <c:ser>
          <c:idx val="3"/>
          <c:order val="3"/>
          <c:tx>
            <c:v>Saturation Growth Rate</c:v>
          </c:tx>
          <c:xVal>
            <c:numRef>
              <c:f>Sheet5!$B$72:$B$81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Sheet5!$I$72:$I$81</c:f>
              <c:numCache>
                <c:formatCode>0.0000</c:formatCode>
                <c:ptCount val="10"/>
                <c:pt idx="0">
                  <c:v>16.886187098953055</c:v>
                </c:pt>
                <c:pt idx="1">
                  <c:v>25.246149962130776</c:v>
                </c:pt>
                <c:pt idx="2">
                  <c:v>30.235839548478129</c:v>
                </c:pt>
                <c:pt idx="3">
                  <c:v>33.551417547391381</c:v>
                </c:pt>
                <c:pt idx="4">
                  <c:v>35.914380117799169</c:v>
                </c:pt>
                <c:pt idx="5">
                  <c:v>37.683708076874765</c:v>
                </c:pt>
                <c:pt idx="6">
                  <c:v>39.05814083249637</c:v>
                </c:pt>
                <c:pt idx="7">
                  <c:v>40.156610782049995</c:v>
                </c:pt>
                <c:pt idx="8">
                  <c:v>41.054648298512909</c:v>
                </c:pt>
                <c:pt idx="9">
                  <c:v>41.802524872502296</c:v>
                </c:pt>
              </c:numCache>
            </c:numRef>
          </c:yVal>
          <c:smooth val="1"/>
        </c:ser>
        <c:ser>
          <c:idx val="4"/>
          <c:order val="4"/>
          <c:tx>
            <c:v>Parabola</c:v>
          </c:tx>
          <c:xVal>
            <c:numRef>
              <c:f>Sheet5!$B$106:$B$115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Sheet5!$I$106:$I$115</c:f>
              <c:numCache>
                <c:formatCode>General</c:formatCode>
                <c:ptCount val="10"/>
                <c:pt idx="0">
                  <c:v>18.254000000000001</c:v>
                </c:pt>
                <c:pt idx="1">
                  <c:v>23.936</c:v>
                </c:pt>
                <c:pt idx="2">
                  <c:v>28.812999999999999</c:v>
                </c:pt>
                <c:pt idx="3">
                  <c:v>32.885000000000005</c:v>
                </c:pt>
                <c:pt idx="4">
                  <c:v>36.152000000000001</c:v>
                </c:pt>
                <c:pt idx="5">
                  <c:v>38.613999999999997</c:v>
                </c:pt>
                <c:pt idx="6">
                  <c:v>40.271000000000001</c:v>
                </c:pt>
                <c:pt idx="7">
                  <c:v>41.122999999999998</c:v>
                </c:pt>
                <c:pt idx="8">
                  <c:v>41.169999999999995</c:v>
                </c:pt>
                <c:pt idx="9">
                  <c:v>40.411999999999992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640"/>
        <c:axId val="52018560"/>
      </c:scatterChart>
      <c:valAx>
        <c:axId val="52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18560"/>
        <c:crosses val="autoZero"/>
        <c:crossBetween val="midCat"/>
      </c:valAx>
      <c:valAx>
        <c:axId val="5201856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5125624826807948E-2"/>
              <c:y val="0.47649721698499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016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84983291129759"/>
          <c:y val="0.37484613291171343"/>
          <c:w val="0.23642487550285871"/>
          <c:h val="0.20874930395083235"/>
        </c:manualLayout>
      </c:layout>
      <c:overlay val="1"/>
    </c:legend>
    <c:plotVisOnly val="1"/>
    <c:dispBlanksAs val="gap"/>
    <c:showDLblsOverMax val="0"/>
  </c:chart>
  <c:printSettings>
    <c:headerFooter/>
    <c:pageMargins b="1" l="0" r="0" t="0" header="0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3262601860956"/>
          <c:y val="6.9060627433922855E-2"/>
          <c:w val="0.72943622185937507"/>
          <c:h val="0.78117614121769141"/>
        </c:manualLayout>
      </c:layout>
      <c:scatterChart>
        <c:scatterStyle val="smoothMarker"/>
        <c:varyColors val="0"/>
        <c:ser>
          <c:idx val="1"/>
          <c:order val="1"/>
          <c:tx>
            <c:v>Power Equation </c:v>
          </c:tx>
          <c:marker>
            <c:symbol val="none"/>
          </c:marker>
          <c:xVal>
            <c:numRef>
              <c:f>Sheet5!$D$38:$D$47</c:f>
              <c:numCache>
                <c:formatCode>0.0000</c:formatCode>
                <c:ptCount val="10"/>
                <c:pt idx="0">
                  <c:v>0.69897000433601886</c:v>
                </c:pt>
                <c:pt idx="1">
                  <c:v>1</c:v>
                </c:pt>
                <c:pt idx="2">
                  <c:v>1.1760912590556813</c:v>
                </c:pt>
                <c:pt idx="3">
                  <c:v>1.3010299956639813</c:v>
                </c:pt>
                <c:pt idx="4">
                  <c:v>1.3979400086720377</c:v>
                </c:pt>
                <c:pt idx="5">
                  <c:v>1.4771212547196624</c:v>
                </c:pt>
                <c:pt idx="6">
                  <c:v>1.5440680443502757</c:v>
                </c:pt>
                <c:pt idx="7">
                  <c:v>1.6020599913279623</c:v>
                </c:pt>
                <c:pt idx="8">
                  <c:v>1.6532125137753437</c:v>
                </c:pt>
                <c:pt idx="9">
                  <c:v>1.6989700043360187</c:v>
                </c:pt>
              </c:numCache>
            </c:numRef>
          </c:xVal>
          <c:yVal>
            <c:numRef>
              <c:f>Sheet5!$I$38:$I$47</c:f>
              <c:numCache>
                <c:formatCode>0.0000</c:formatCode>
                <c:ptCount val="10"/>
                <c:pt idx="0">
                  <c:v>1.2669325246732697</c:v>
                </c:pt>
                <c:pt idx="1">
                  <c:v>1.3831</c:v>
                </c:pt>
                <c:pt idx="2">
                  <c:v>1.4510536168695873</c:v>
                </c:pt>
                <c:pt idx="3">
                  <c:v>1.4992674753267303</c:v>
                </c:pt>
                <c:pt idx="4">
                  <c:v>1.5366650493465395</c:v>
                </c:pt>
                <c:pt idx="5">
                  <c:v>1.5672210921963177</c:v>
                </c:pt>
                <c:pt idx="6">
                  <c:v>1.5930558583147714</c:v>
                </c:pt>
                <c:pt idx="7">
                  <c:v>1.6154349506534607</c:v>
                </c:pt>
                <c:pt idx="8">
                  <c:v>1.6351747090659052</c:v>
                </c:pt>
                <c:pt idx="9">
                  <c:v>1.6528325246732698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504"/>
        <c:axId val="52103424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Sheet5!$D$38:$D$47</c:f>
              <c:numCache>
                <c:formatCode>0.0000</c:formatCode>
                <c:ptCount val="10"/>
                <c:pt idx="0">
                  <c:v>0.69897000433601886</c:v>
                </c:pt>
                <c:pt idx="1">
                  <c:v>1</c:v>
                </c:pt>
                <c:pt idx="2">
                  <c:v>1.1760912590556813</c:v>
                </c:pt>
                <c:pt idx="3">
                  <c:v>1.3010299956639813</c:v>
                </c:pt>
                <c:pt idx="4">
                  <c:v>1.3979400086720377</c:v>
                </c:pt>
                <c:pt idx="5">
                  <c:v>1.4771212547196624</c:v>
                </c:pt>
                <c:pt idx="6">
                  <c:v>1.5440680443502757</c:v>
                </c:pt>
                <c:pt idx="7">
                  <c:v>1.6020599913279623</c:v>
                </c:pt>
                <c:pt idx="8">
                  <c:v>1.6532125137753437</c:v>
                </c:pt>
                <c:pt idx="9">
                  <c:v>1.6989700043360187</c:v>
                </c:pt>
              </c:numCache>
            </c:numRef>
          </c:xVal>
          <c:yVal>
            <c:numRef>
              <c:f>Sheet5!$E$38:$E$47</c:f>
              <c:numCache>
                <c:formatCode>0.0000</c:formatCode>
                <c:ptCount val="10"/>
                <c:pt idx="0">
                  <c:v>1.2304489213782739</c:v>
                </c:pt>
                <c:pt idx="1">
                  <c:v>1.3802112417116059</c:v>
                </c:pt>
                <c:pt idx="2">
                  <c:v>1.4913616938342726</c:v>
                </c:pt>
                <c:pt idx="3">
                  <c:v>1.5185139398778875</c:v>
                </c:pt>
                <c:pt idx="4">
                  <c:v>1.568201724066995</c:v>
                </c:pt>
                <c:pt idx="5">
                  <c:v>1.568201724066995</c:v>
                </c:pt>
                <c:pt idx="6">
                  <c:v>1.6020599913279623</c:v>
                </c:pt>
                <c:pt idx="7">
                  <c:v>1.6020599913279623</c:v>
                </c:pt>
                <c:pt idx="8">
                  <c:v>1.6232492903979006</c:v>
                </c:pt>
                <c:pt idx="9">
                  <c:v>1.6127838567197355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504"/>
        <c:axId val="52103424"/>
      </c:scatterChart>
      <c:valAx>
        <c:axId val="52101504"/>
        <c:scaling>
          <c:orientation val="minMax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x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2103424"/>
        <c:crosses val="autoZero"/>
        <c:crossBetween val="midCat"/>
      </c:valAx>
      <c:valAx>
        <c:axId val="52103424"/>
        <c:scaling>
          <c:orientation val="minMax"/>
          <c:min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y</a:t>
                </a:r>
              </a:p>
            </c:rich>
          </c:tx>
          <c:layout>
            <c:manualLayout>
              <c:xMode val="edge"/>
              <c:yMode val="edge"/>
              <c:x val="0"/>
              <c:y val="0.48336821881004077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52101504"/>
        <c:crosses val="autoZero"/>
        <c:crossBetween val="midCat"/>
        <c:minorUnit val="1.0000000000000002E-2"/>
      </c:valAx>
    </c:plotArea>
    <c:legend>
      <c:legendPos val="r"/>
      <c:layout>
        <c:manualLayout>
          <c:xMode val="edge"/>
          <c:yMode val="edge"/>
          <c:x val="0.68908223972003502"/>
          <c:y val="0.39313466025080196"/>
          <c:w val="0.29206887895883427"/>
          <c:h val="0.1379716598557879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St Line Regression</c:v>
          </c:tx>
          <c:marker>
            <c:symbol val="none"/>
          </c:marker>
          <c:xVal>
            <c:numRef>
              <c:f>Sheet5!$B$5:$B$14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Sheet5!$F$5:$F$14</c:f>
              <c:numCache>
                <c:formatCode>0.00</c:formatCode>
                <c:ptCount val="10"/>
                <c:pt idx="0">
                  <c:v>23.072500000000002</c:v>
                </c:pt>
                <c:pt idx="1">
                  <c:v>25.545000000000002</c:v>
                </c:pt>
                <c:pt idx="2">
                  <c:v>28.017500000000002</c:v>
                </c:pt>
                <c:pt idx="3">
                  <c:v>30.490000000000002</c:v>
                </c:pt>
                <c:pt idx="4">
                  <c:v>32.962500000000006</c:v>
                </c:pt>
                <c:pt idx="5">
                  <c:v>35.435000000000002</c:v>
                </c:pt>
                <c:pt idx="6">
                  <c:v>37.907499999999999</c:v>
                </c:pt>
                <c:pt idx="7">
                  <c:v>40.380000000000003</c:v>
                </c:pt>
                <c:pt idx="8">
                  <c:v>42.852500000000006</c:v>
                </c:pt>
                <c:pt idx="9">
                  <c:v>45.325000000000003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5056"/>
        <c:axId val="52131328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5056"/>
        <c:axId val="52131328"/>
      </c:scatterChart>
      <c:valAx>
        <c:axId val="52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6602946908864112"/>
              <c:y val="0.85568496785895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131328"/>
        <c:crosses val="autoZero"/>
        <c:crossBetween val="midCat"/>
      </c:valAx>
      <c:valAx>
        <c:axId val="52131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212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85979877515314"/>
          <c:y val="0.30980132691746864"/>
          <c:w val="0.30114011610617636"/>
          <c:h val="0.1499879011993323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Power Equation</c:v>
          </c:tx>
          <c:marker>
            <c:symbol val="none"/>
          </c:marker>
          <c:xVal>
            <c:numRef>
              <c:f>Sheet5!$B$38:$B$47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Sheet5!$J$38:$J$47</c:f>
              <c:numCache>
                <c:formatCode>General</c:formatCode>
                <c:ptCount val="10"/>
                <c:pt idx="0">
                  <c:v>18.480887940142608</c:v>
                </c:pt>
                <c:pt idx="1">
                  <c:v>24.143487297141515</c:v>
                </c:pt>
                <c:pt idx="2">
                  <c:v>28.229344225091651</c:v>
                </c:pt>
                <c:pt idx="3">
                  <c:v>31.541124038801762</c:v>
                </c:pt>
                <c:pt idx="4">
                  <c:v>34.375234328852301</c:v>
                </c:pt>
                <c:pt idx="5">
                  <c:v>36.87889975376779</c:v>
                </c:pt>
                <c:pt idx="6">
                  <c:v>39.137460102918453</c:v>
                </c:pt>
                <c:pt idx="7">
                  <c:v>41.205418810764073</c:v>
                </c:pt>
                <c:pt idx="8">
                  <c:v>43.119999318201906</c:v>
                </c:pt>
                <c:pt idx="9">
                  <c:v>44.907908972933484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8864"/>
        <c:axId val="52151040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Sheet5!$B$38:$B$47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Sheet5!$C$38:$C$47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8864"/>
        <c:axId val="52151040"/>
      </c:scatterChart>
      <c:valAx>
        <c:axId val="521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51040"/>
        <c:crosses val="autoZero"/>
        <c:crossBetween val="midCat"/>
      </c:valAx>
      <c:valAx>
        <c:axId val="521510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1.9716574245224893E-2"/>
              <c:y val="0.401115597094272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14886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7868264718657"/>
          <c:y val="5.3342225465613256E-2"/>
          <c:w val="0.81514111435371273"/>
          <c:h val="0.82919485784083602"/>
        </c:manualLayout>
      </c:layout>
      <c:scatterChart>
        <c:scatterStyle val="smoothMarker"/>
        <c:varyColors val="0"/>
        <c:ser>
          <c:idx val="1"/>
          <c:order val="1"/>
          <c:tx>
            <c:v>Growth Saturation Equation</c:v>
          </c:tx>
          <c:marker>
            <c:symbol val="none"/>
          </c:marker>
          <c:xVal>
            <c:numRef>
              <c:f>Sheet5!$D$72:$D$81</c:f>
              <c:numCache>
                <c:formatCode>0.0000</c:formatCode>
                <c:ptCount val="10"/>
                <c:pt idx="0">
                  <c:v>0.2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  <c:pt idx="5">
                  <c:v>3.3333333333333333E-2</c:v>
                </c:pt>
                <c:pt idx="6">
                  <c:v>2.8571428571428571E-2</c:v>
                </c:pt>
                <c:pt idx="7">
                  <c:v>2.5000000000000001E-2</c:v>
                </c:pt>
                <c:pt idx="8">
                  <c:v>2.2222222222222223E-2</c:v>
                </c:pt>
                <c:pt idx="9">
                  <c:v>0.02</c:v>
                </c:pt>
              </c:numCache>
            </c:numRef>
          </c:xVal>
          <c:yVal>
            <c:numRef>
              <c:f>Sheet5!$H$72:$H$81</c:f>
              <c:numCache>
                <c:formatCode>0.0000</c:formatCode>
                <c:ptCount val="10"/>
                <c:pt idx="0">
                  <c:v>5.9220000000000009E-2</c:v>
                </c:pt>
                <c:pt idx="1">
                  <c:v>3.9610000000000006E-2</c:v>
                </c:pt>
                <c:pt idx="2">
                  <c:v>3.307333333333333E-2</c:v>
                </c:pt>
                <c:pt idx="3">
                  <c:v>2.9805000000000002E-2</c:v>
                </c:pt>
                <c:pt idx="4">
                  <c:v>2.7844000000000001E-2</c:v>
                </c:pt>
                <c:pt idx="5">
                  <c:v>2.6536666666666667E-2</c:v>
                </c:pt>
                <c:pt idx="6">
                  <c:v>2.5602857142857142E-2</c:v>
                </c:pt>
                <c:pt idx="7">
                  <c:v>2.4902500000000001E-2</c:v>
                </c:pt>
                <c:pt idx="8">
                  <c:v>2.4357777777777777E-2</c:v>
                </c:pt>
                <c:pt idx="9">
                  <c:v>2.3921999999999999E-2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512"/>
        <c:axId val="52338688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Sheet5!$D$72:$D$81</c:f>
              <c:numCache>
                <c:formatCode>0.0000</c:formatCode>
                <c:ptCount val="10"/>
                <c:pt idx="0">
                  <c:v>0.2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  <c:pt idx="5">
                  <c:v>3.3333333333333333E-2</c:v>
                </c:pt>
                <c:pt idx="6">
                  <c:v>2.8571428571428571E-2</c:v>
                </c:pt>
                <c:pt idx="7">
                  <c:v>2.5000000000000001E-2</c:v>
                </c:pt>
                <c:pt idx="8">
                  <c:v>2.2222222222222223E-2</c:v>
                </c:pt>
                <c:pt idx="9">
                  <c:v>0.02</c:v>
                </c:pt>
              </c:numCache>
            </c:numRef>
          </c:xVal>
          <c:yVal>
            <c:numRef>
              <c:f>Sheet5!$E$72:$E$81</c:f>
              <c:numCache>
                <c:formatCode>0.0000</c:formatCode>
                <c:ptCount val="10"/>
                <c:pt idx="0">
                  <c:v>5.8823529411764705E-2</c:v>
                </c:pt>
                <c:pt idx="1">
                  <c:v>4.1666666666666664E-2</c:v>
                </c:pt>
                <c:pt idx="2">
                  <c:v>3.2258064516129031E-2</c:v>
                </c:pt>
                <c:pt idx="3">
                  <c:v>3.0303030303030304E-2</c:v>
                </c:pt>
                <c:pt idx="4">
                  <c:v>2.7027027027027029E-2</c:v>
                </c:pt>
                <c:pt idx="5">
                  <c:v>2.7027027027027029E-2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2.3809523809523808E-2</c:v>
                </c:pt>
                <c:pt idx="9">
                  <c:v>2.4390243902439025E-2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512"/>
        <c:axId val="52338688"/>
      </c:scatterChart>
      <c:valAx>
        <c:axId val="523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1/x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2338688"/>
        <c:crosses val="autoZero"/>
        <c:crossBetween val="midCat"/>
      </c:valAx>
      <c:valAx>
        <c:axId val="52338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1/y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233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99727837450398"/>
          <c:y val="0.41226132583163982"/>
          <c:w val="0.24829558258945139"/>
          <c:h val="0.3016420113852419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20</xdr:row>
      <xdr:rowOff>38100</xdr:rowOff>
    </xdr:from>
    <xdr:to>
      <xdr:col>3</xdr:col>
      <xdr:colOff>552703</xdr:colOff>
      <xdr:row>24</xdr:row>
      <xdr:rowOff>162049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276600"/>
          <a:ext cx="1810003" cy="88594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114299</xdr:colOff>
      <xdr:row>36</xdr:row>
      <xdr:rowOff>185737</xdr:rowOff>
    </xdr:from>
    <xdr:to>
      <xdr:col>8</xdr:col>
      <xdr:colOff>600074</xdr:colOff>
      <xdr:row>54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152400</xdr:colOff>
      <xdr:row>20</xdr:row>
      <xdr:rowOff>47625</xdr:rowOff>
    </xdr:from>
    <xdr:to>
      <xdr:col>5</xdr:col>
      <xdr:colOff>952697</xdr:colOff>
      <xdr:row>24</xdr:row>
      <xdr:rowOff>133468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3286125"/>
          <a:ext cx="1409897" cy="8478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95250</xdr:colOff>
      <xdr:row>26</xdr:row>
      <xdr:rowOff>0</xdr:rowOff>
    </xdr:from>
    <xdr:to>
      <xdr:col>5</xdr:col>
      <xdr:colOff>609945</xdr:colOff>
      <xdr:row>30</xdr:row>
      <xdr:rowOff>47738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4381500"/>
          <a:ext cx="2467320" cy="80973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200026</xdr:colOff>
      <xdr:row>81</xdr:row>
      <xdr:rowOff>176211</xdr:rowOff>
    </xdr:from>
    <xdr:to>
      <xdr:col>8</xdr:col>
      <xdr:colOff>600076</xdr:colOff>
      <xdr:row>103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51</xdr:row>
      <xdr:rowOff>42862</xdr:rowOff>
    </xdr:from>
    <xdr:to>
      <xdr:col>10</xdr:col>
      <xdr:colOff>47625</xdr:colOff>
      <xdr:row>66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70</xdr:row>
      <xdr:rowOff>52386</xdr:rowOff>
    </xdr:from>
    <xdr:to>
      <xdr:col>10</xdr:col>
      <xdr:colOff>9525</xdr:colOff>
      <xdr:row>87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0</xdr:row>
      <xdr:rowOff>61911</xdr:rowOff>
    </xdr:from>
    <xdr:to>
      <xdr:col>24</xdr:col>
      <xdr:colOff>409575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52387</xdr:rowOff>
    </xdr:from>
    <xdr:to>
      <xdr:col>7</xdr:col>
      <xdr:colOff>366714</xdr:colOff>
      <xdr:row>65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16</xdr:row>
      <xdr:rowOff>157163</xdr:rowOff>
    </xdr:from>
    <xdr:to>
      <xdr:col>7</xdr:col>
      <xdr:colOff>285750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48</xdr:row>
      <xdr:rowOff>38100</xdr:rowOff>
    </xdr:from>
    <xdr:to>
      <xdr:col>12</xdr:col>
      <xdr:colOff>590549</xdr:colOff>
      <xdr:row>65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82</xdr:row>
      <xdr:rowOff>147637</xdr:rowOff>
    </xdr:from>
    <xdr:to>
      <xdr:col>6</xdr:col>
      <xdr:colOff>381000</xdr:colOff>
      <xdr:row>101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82</xdr:row>
      <xdr:rowOff>157162</xdr:rowOff>
    </xdr:from>
    <xdr:to>
      <xdr:col>11</xdr:col>
      <xdr:colOff>504825</xdr:colOff>
      <xdr:row>101</xdr:row>
      <xdr:rowOff>66676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561975</xdr:colOff>
      <xdr:row>117</xdr:row>
      <xdr:rowOff>52387</xdr:rowOff>
    </xdr:from>
    <xdr:to>
      <xdr:col>9</xdr:col>
      <xdr:colOff>542925</xdr:colOff>
      <xdr:row>135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opLeftCell="A10" workbookViewId="0">
      <selection activeCell="B33" sqref="B33:D36"/>
    </sheetView>
  </sheetViews>
  <sheetFormatPr defaultRowHeight="15" x14ac:dyDescent="0.25"/>
  <cols>
    <col min="3" max="3" width="11" customWidth="1"/>
    <col min="6" max="6" width="15.5703125" customWidth="1"/>
    <col min="7" max="7" width="13.7109375" customWidth="1"/>
    <col min="10" max="10" width="14.85546875" customWidth="1"/>
    <col min="11" max="11" width="17.85546875" customWidth="1"/>
    <col min="12" max="12" width="10.85546875" customWidth="1"/>
  </cols>
  <sheetData>
    <row r="1" spans="1:8" x14ac:dyDescent="0.25">
      <c r="A1" s="1" t="s">
        <v>0</v>
      </c>
    </row>
    <row r="2" spans="1:8" x14ac:dyDescent="0.25">
      <c r="A2" s="1" t="s">
        <v>19</v>
      </c>
    </row>
    <row r="3" spans="1:8" x14ac:dyDescent="0.25">
      <c r="A3" s="1"/>
    </row>
    <row r="4" spans="1:8" x14ac:dyDescent="0.25">
      <c r="A4" s="1"/>
      <c r="D4" s="1" t="s">
        <v>25</v>
      </c>
    </row>
    <row r="5" spans="1:8" x14ac:dyDescent="0.25">
      <c r="A5" s="1"/>
      <c r="F5" t="s">
        <v>40</v>
      </c>
    </row>
    <row r="6" spans="1:8" x14ac:dyDescent="0.25">
      <c r="B6" s="4" t="s">
        <v>1</v>
      </c>
      <c r="C6" s="4" t="s">
        <v>2</v>
      </c>
      <c r="D6" s="4" t="s">
        <v>3</v>
      </c>
      <c r="E6" s="4" t="s">
        <v>4</v>
      </c>
      <c r="F6" s="10" t="s">
        <v>12</v>
      </c>
      <c r="G6" s="7" t="s">
        <v>14</v>
      </c>
      <c r="H6" s="7" t="s">
        <v>20</v>
      </c>
    </row>
    <row r="7" spans="1:8" x14ac:dyDescent="0.25">
      <c r="B7" s="5">
        <v>1</v>
      </c>
      <c r="C7" s="5">
        <v>1</v>
      </c>
      <c r="D7" s="5">
        <f>B7*C7</f>
        <v>1</v>
      </c>
      <c r="E7" s="5">
        <f>B7^2</f>
        <v>1</v>
      </c>
      <c r="F7" s="11">
        <f t="shared" ref="F7:F15" si="0">$C$34+$C$33*B7</f>
        <v>-0.55555555555555514</v>
      </c>
      <c r="G7" s="8">
        <f>(C7-F7)^2</f>
        <v>2.4197530864197518</v>
      </c>
      <c r="H7" s="5">
        <f>C7^2</f>
        <v>1</v>
      </c>
    </row>
    <row r="8" spans="1:8" x14ac:dyDescent="0.25">
      <c r="B8" s="5">
        <v>2</v>
      </c>
      <c r="C8" s="5">
        <v>1.5</v>
      </c>
      <c r="D8" s="5">
        <f t="shared" ref="D8:D15" si="1">B8*C8</f>
        <v>3</v>
      </c>
      <c r="E8" s="5">
        <f t="shared" ref="E8:E15" si="2">B8^2</f>
        <v>4</v>
      </c>
      <c r="F8" s="11">
        <f t="shared" si="0"/>
        <v>0.90277777777777812</v>
      </c>
      <c r="G8" s="8">
        <f t="shared" ref="G8:G15" si="3">(C8-F8)^2</f>
        <v>0.35667438271604895</v>
      </c>
      <c r="H8" s="5">
        <f t="shared" ref="H8:H15" si="4">C8^2</f>
        <v>2.25</v>
      </c>
    </row>
    <row r="9" spans="1:8" x14ac:dyDescent="0.25">
      <c r="B9" s="5">
        <v>3</v>
      </c>
      <c r="C9" s="5">
        <v>2</v>
      </c>
      <c r="D9" s="5">
        <f t="shared" si="1"/>
        <v>6</v>
      </c>
      <c r="E9" s="5">
        <f t="shared" si="2"/>
        <v>9</v>
      </c>
      <c r="F9" s="11">
        <f t="shared" si="0"/>
        <v>2.3611111111111116</v>
      </c>
      <c r="G9" s="8">
        <f t="shared" si="3"/>
        <v>0.13040123456790159</v>
      </c>
      <c r="H9" s="5">
        <f t="shared" si="4"/>
        <v>4</v>
      </c>
    </row>
    <row r="10" spans="1:8" x14ac:dyDescent="0.25">
      <c r="B10" s="5">
        <v>4</v>
      </c>
      <c r="C10" s="5">
        <v>3</v>
      </c>
      <c r="D10" s="5">
        <f t="shared" si="1"/>
        <v>12</v>
      </c>
      <c r="E10" s="5">
        <f t="shared" si="2"/>
        <v>16</v>
      </c>
      <c r="F10" s="11">
        <f t="shared" si="0"/>
        <v>3.8194444444444446</v>
      </c>
      <c r="G10" s="8">
        <f t="shared" si="3"/>
        <v>0.67148919753086456</v>
      </c>
      <c r="H10" s="5">
        <f t="shared" si="4"/>
        <v>9</v>
      </c>
    </row>
    <row r="11" spans="1:8" x14ac:dyDescent="0.25">
      <c r="B11" s="5">
        <v>5</v>
      </c>
      <c r="C11" s="5">
        <v>4</v>
      </c>
      <c r="D11" s="5">
        <f t="shared" si="1"/>
        <v>20</v>
      </c>
      <c r="E11" s="5">
        <f t="shared" si="2"/>
        <v>25</v>
      </c>
      <c r="F11" s="11">
        <f t="shared" si="0"/>
        <v>5.2777777777777777</v>
      </c>
      <c r="G11" s="8">
        <f t="shared" si="3"/>
        <v>1.6327160493827158</v>
      </c>
      <c r="H11" s="5">
        <f t="shared" si="4"/>
        <v>16</v>
      </c>
    </row>
    <row r="12" spans="1:8" x14ac:dyDescent="0.25">
      <c r="B12" s="5">
        <v>6</v>
      </c>
      <c r="C12" s="5">
        <v>5</v>
      </c>
      <c r="D12" s="5">
        <f t="shared" si="1"/>
        <v>30</v>
      </c>
      <c r="E12" s="5">
        <f t="shared" si="2"/>
        <v>36</v>
      </c>
      <c r="F12" s="11">
        <f t="shared" si="0"/>
        <v>6.7361111111111116</v>
      </c>
      <c r="G12" s="8">
        <f t="shared" si="3"/>
        <v>3.0140817901234587</v>
      </c>
      <c r="H12" s="5">
        <f t="shared" si="4"/>
        <v>25</v>
      </c>
    </row>
    <row r="13" spans="1:8" x14ac:dyDescent="0.25">
      <c r="B13" s="5">
        <v>7</v>
      </c>
      <c r="C13" s="5">
        <v>8</v>
      </c>
      <c r="D13" s="5">
        <f t="shared" si="1"/>
        <v>56</v>
      </c>
      <c r="E13" s="5">
        <f t="shared" si="2"/>
        <v>49</v>
      </c>
      <c r="F13" s="11">
        <f t="shared" si="0"/>
        <v>8.1944444444444429</v>
      </c>
      <c r="G13" s="8">
        <f t="shared" si="3"/>
        <v>3.7808641975308026E-2</v>
      </c>
      <c r="H13" s="5">
        <f t="shared" si="4"/>
        <v>64</v>
      </c>
    </row>
    <row r="14" spans="1:8" x14ac:dyDescent="0.25">
      <c r="B14" s="5">
        <v>8</v>
      </c>
      <c r="C14" s="5">
        <v>10</v>
      </c>
      <c r="D14" s="5">
        <f t="shared" si="1"/>
        <v>80</v>
      </c>
      <c r="E14" s="5">
        <f t="shared" si="2"/>
        <v>64</v>
      </c>
      <c r="F14" s="11">
        <f t="shared" si="0"/>
        <v>9.6527777777777786</v>
      </c>
      <c r="G14" s="8">
        <f t="shared" si="3"/>
        <v>0.12056327160493772</v>
      </c>
      <c r="H14" s="5">
        <f t="shared" si="4"/>
        <v>100</v>
      </c>
    </row>
    <row r="15" spans="1:8" x14ac:dyDescent="0.25">
      <c r="B15" s="5">
        <v>9</v>
      </c>
      <c r="C15" s="5">
        <v>13</v>
      </c>
      <c r="D15" s="5">
        <f t="shared" si="1"/>
        <v>117</v>
      </c>
      <c r="E15" s="5">
        <f t="shared" si="2"/>
        <v>81</v>
      </c>
      <c r="F15" s="13">
        <f t="shared" si="0"/>
        <v>11.111111111111111</v>
      </c>
      <c r="G15" s="14">
        <f t="shared" si="3"/>
        <v>3.5679012345679029</v>
      </c>
      <c r="H15" s="5">
        <f t="shared" si="4"/>
        <v>169</v>
      </c>
    </row>
    <row r="16" spans="1:8" x14ac:dyDescent="0.25">
      <c r="A16" s="1" t="s">
        <v>7</v>
      </c>
      <c r="B16" s="2">
        <f>SUM(B7:B15)</f>
        <v>45</v>
      </c>
      <c r="C16" s="2">
        <f t="shared" ref="C16:E16" si="5">SUM(C7:C15)</f>
        <v>47.5</v>
      </c>
      <c r="D16" s="2">
        <f t="shared" si="5"/>
        <v>325</v>
      </c>
      <c r="E16" s="12">
        <f t="shared" si="5"/>
        <v>285</v>
      </c>
      <c r="F16" s="15" t="s">
        <v>13</v>
      </c>
      <c r="G16" s="16">
        <f xml:space="preserve"> SUM(G7:G15)</f>
        <v>11.951388888888893</v>
      </c>
      <c r="H16" s="2">
        <f>SUM(H7:H15)</f>
        <v>390.25</v>
      </c>
    </row>
    <row r="18" spans="2:3" x14ac:dyDescent="0.25">
      <c r="B18" s="4" t="s">
        <v>6</v>
      </c>
      <c r="C18" s="4" t="s">
        <v>5</v>
      </c>
    </row>
    <row r="19" spans="2:3" x14ac:dyDescent="0.25">
      <c r="B19" s="4">
        <f>AVERAGE(B7:B15)</f>
        <v>5</v>
      </c>
      <c r="C19" s="6">
        <f>AVERAGE(C7:C15)</f>
        <v>5.2777777777777777</v>
      </c>
    </row>
    <row r="33" spans="2:6" x14ac:dyDescent="0.25">
      <c r="B33" s="3" t="s">
        <v>8</v>
      </c>
      <c r="C33" s="21">
        <f>(9*D16-B16*C16)/(9*E16-B16^2)</f>
        <v>1.4583333333333333</v>
      </c>
      <c r="D33" s="12" t="s">
        <v>10</v>
      </c>
      <c r="E33" s="17"/>
      <c r="F33" s="18"/>
    </row>
    <row r="34" spans="2:6" x14ac:dyDescent="0.25">
      <c r="B34" s="3" t="s">
        <v>9</v>
      </c>
      <c r="C34" s="21">
        <f>C19-C33*B19</f>
        <v>-2.0138888888888884</v>
      </c>
      <c r="D34" s="23" t="s">
        <v>11</v>
      </c>
      <c r="E34" s="19"/>
      <c r="F34" s="20"/>
    </row>
    <row r="35" spans="2:6" x14ac:dyDescent="0.25">
      <c r="B35" s="3" t="s">
        <v>16</v>
      </c>
      <c r="C35" s="2">
        <f>(G16/7)^0.5</f>
        <v>1.3066526967183247</v>
      </c>
      <c r="D35" s="22" t="s">
        <v>15</v>
      </c>
      <c r="E35" s="19"/>
      <c r="F35" s="20"/>
    </row>
    <row r="36" spans="2:6" x14ac:dyDescent="0.25">
      <c r="B36" s="24" t="s">
        <v>17</v>
      </c>
      <c r="C36" s="2">
        <f xml:space="preserve"> (9*D16-B16*C16)/((9*E16-B16^2)^0.5 *(9*H16-C16^2)^0.5)</f>
        <v>0.9562222894698601</v>
      </c>
      <c r="D36" s="25" t="s">
        <v>18</v>
      </c>
      <c r="E36" s="5"/>
      <c r="F36" s="5"/>
    </row>
    <row r="58" spans="1:1" x14ac:dyDescent="0.25">
      <c r="A58" t="s">
        <v>21</v>
      </c>
    </row>
    <row r="59" spans="1:1" x14ac:dyDescent="0.25">
      <c r="A59" t="s">
        <v>22</v>
      </c>
    </row>
    <row r="60" spans="1:1" x14ac:dyDescent="0.25">
      <c r="A60" t="s">
        <v>23</v>
      </c>
    </row>
    <row r="63" spans="1:1" x14ac:dyDescent="0.25">
      <c r="A63" s="1" t="s">
        <v>24</v>
      </c>
    </row>
    <row r="64" spans="1:1" x14ac:dyDescent="0.25">
      <c r="A64" s="1"/>
    </row>
    <row r="65" spans="1:12" x14ac:dyDescent="0.25">
      <c r="A65" s="1"/>
      <c r="D65" s="1" t="s">
        <v>26</v>
      </c>
    </row>
    <row r="66" spans="1:12" x14ac:dyDescent="0.25">
      <c r="J66" t="s">
        <v>39</v>
      </c>
    </row>
    <row r="67" spans="1:12" x14ac:dyDescent="0.25">
      <c r="B67" s="4" t="s">
        <v>1</v>
      </c>
      <c r="C67" s="4" t="s">
        <v>2</v>
      </c>
      <c r="D67" s="4" t="s">
        <v>3</v>
      </c>
      <c r="E67" s="4" t="s">
        <v>4</v>
      </c>
      <c r="F67" s="10" t="s">
        <v>20</v>
      </c>
      <c r="G67" s="7" t="s">
        <v>27</v>
      </c>
      <c r="H67" s="7" t="s">
        <v>29</v>
      </c>
      <c r="I67" s="7" t="s">
        <v>28</v>
      </c>
      <c r="J67" s="7" t="s">
        <v>31</v>
      </c>
      <c r="K67" s="7" t="s">
        <v>30</v>
      </c>
      <c r="L67" s="7" t="s">
        <v>43</v>
      </c>
    </row>
    <row r="68" spans="1:12" x14ac:dyDescent="0.25">
      <c r="B68" s="5">
        <v>1</v>
      </c>
      <c r="C68" s="5">
        <v>1</v>
      </c>
      <c r="D68" s="5">
        <f>B68*C68</f>
        <v>1</v>
      </c>
      <c r="E68" s="5">
        <f>B68^2</f>
        <v>1</v>
      </c>
      <c r="F68" s="5">
        <f>C68^2</f>
        <v>1</v>
      </c>
      <c r="G68" s="8">
        <f>B68^3</f>
        <v>1</v>
      </c>
      <c r="H68" s="5">
        <f t="shared" ref="H68:H76" si="6">B68^4</f>
        <v>1</v>
      </c>
      <c r="I68" s="5">
        <f>E68*C68</f>
        <v>1</v>
      </c>
      <c r="J68" s="5">
        <f>1.4881-0.4518*B68+0.191*B68^2</f>
        <v>1.2273000000000001</v>
      </c>
      <c r="K68" s="5">
        <f>(C68-J68)^2</f>
        <v>5.1665290000000023E-2</v>
      </c>
      <c r="L68" s="8">
        <f>($C$80-C68)^2</f>
        <v>18.299382716049383</v>
      </c>
    </row>
    <row r="69" spans="1:12" x14ac:dyDescent="0.25">
      <c r="B69" s="5">
        <v>2</v>
      </c>
      <c r="C69" s="5">
        <v>1.5</v>
      </c>
      <c r="D69" s="5">
        <f t="shared" ref="D69:D76" si="7">B69*C69</f>
        <v>3</v>
      </c>
      <c r="E69" s="5">
        <f t="shared" ref="E69:E76" si="8">B69^2</f>
        <v>4</v>
      </c>
      <c r="F69" s="5">
        <f t="shared" ref="F69:F76" si="9">C69^2</f>
        <v>2.25</v>
      </c>
      <c r="G69" s="8">
        <f t="shared" ref="G69:G76" si="10">B69^3</f>
        <v>8</v>
      </c>
      <c r="H69" s="5">
        <f t="shared" si="6"/>
        <v>16</v>
      </c>
      <c r="I69" s="5">
        <f t="shared" ref="I69:I76" si="11">E69*C69</f>
        <v>6</v>
      </c>
      <c r="J69" s="5">
        <f t="shared" ref="J69:J76" si="12">1.4881-0.4518*B69+0.191*B69^2</f>
        <v>1.3485</v>
      </c>
      <c r="K69" s="5">
        <f t="shared" ref="K69:K76" si="13">(C69-J69)^2</f>
        <v>2.295224999999999E-2</v>
      </c>
      <c r="L69" s="8">
        <f t="shared" ref="L69:L76" si="14">($C$80-C69)^2</f>
        <v>14.271604938271604</v>
      </c>
    </row>
    <row r="70" spans="1:12" x14ac:dyDescent="0.25">
      <c r="B70" s="5">
        <v>3</v>
      </c>
      <c r="C70" s="5">
        <v>2</v>
      </c>
      <c r="D70" s="5">
        <f t="shared" si="7"/>
        <v>6</v>
      </c>
      <c r="E70" s="5">
        <f t="shared" si="8"/>
        <v>9</v>
      </c>
      <c r="F70" s="5">
        <f t="shared" si="9"/>
        <v>4</v>
      </c>
      <c r="G70" s="8">
        <f t="shared" si="10"/>
        <v>27</v>
      </c>
      <c r="H70" s="5">
        <f t="shared" si="6"/>
        <v>81</v>
      </c>
      <c r="I70" s="5">
        <f t="shared" si="11"/>
        <v>18</v>
      </c>
      <c r="J70" s="5">
        <f t="shared" si="12"/>
        <v>1.8517000000000001</v>
      </c>
      <c r="K70" s="5">
        <f t="shared" si="13"/>
        <v>2.1992889999999963E-2</v>
      </c>
      <c r="L70" s="8">
        <f t="shared" si="14"/>
        <v>10.743827160493826</v>
      </c>
    </row>
    <row r="71" spans="1:12" x14ac:dyDescent="0.25">
      <c r="B71" s="5">
        <v>4</v>
      </c>
      <c r="C71" s="5">
        <v>3</v>
      </c>
      <c r="D71" s="5">
        <f t="shared" si="7"/>
        <v>12</v>
      </c>
      <c r="E71" s="5">
        <f t="shared" si="8"/>
        <v>16</v>
      </c>
      <c r="F71" s="5">
        <f t="shared" si="9"/>
        <v>9</v>
      </c>
      <c r="G71" s="8">
        <f t="shared" si="10"/>
        <v>64</v>
      </c>
      <c r="H71" s="5">
        <f t="shared" si="6"/>
        <v>256</v>
      </c>
      <c r="I71" s="5">
        <f t="shared" si="11"/>
        <v>48</v>
      </c>
      <c r="J71" s="5">
        <f t="shared" si="12"/>
        <v>2.7369000000000003</v>
      </c>
      <c r="K71" s="5">
        <f t="shared" si="13"/>
        <v>6.9221609999999822E-2</v>
      </c>
      <c r="L71" s="8">
        <f t="shared" si="14"/>
        <v>5.1882716049382713</v>
      </c>
    </row>
    <row r="72" spans="1:12" x14ac:dyDescent="0.25">
      <c r="B72" s="5">
        <v>5</v>
      </c>
      <c r="C72" s="5">
        <v>4</v>
      </c>
      <c r="D72" s="5">
        <f t="shared" si="7"/>
        <v>20</v>
      </c>
      <c r="E72" s="5">
        <f t="shared" si="8"/>
        <v>25</v>
      </c>
      <c r="F72" s="5">
        <f t="shared" si="9"/>
        <v>16</v>
      </c>
      <c r="G72" s="8">
        <f t="shared" si="10"/>
        <v>125</v>
      </c>
      <c r="H72" s="5">
        <f t="shared" si="6"/>
        <v>625</v>
      </c>
      <c r="I72" s="5">
        <f t="shared" si="11"/>
        <v>100</v>
      </c>
      <c r="J72" s="5">
        <f t="shared" si="12"/>
        <v>4.0041000000000002</v>
      </c>
      <c r="K72" s="5">
        <f t="shared" si="13"/>
        <v>1.6810000000001758E-5</v>
      </c>
      <c r="L72" s="8">
        <f t="shared" si="14"/>
        <v>1.6327160493827158</v>
      </c>
    </row>
    <row r="73" spans="1:12" x14ac:dyDescent="0.25">
      <c r="B73" s="5">
        <v>6</v>
      </c>
      <c r="C73" s="5">
        <v>5</v>
      </c>
      <c r="D73" s="5">
        <f t="shared" si="7"/>
        <v>30</v>
      </c>
      <c r="E73" s="5">
        <f t="shared" si="8"/>
        <v>36</v>
      </c>
      <c r="F73" s="5">
        <f t="shared" si="9"/>
        <v>25</v>
      </c>
      <c r="G73" s="8">
        <f t="shared" si="10"/>
        <v>216</v>
      </c>
      <c r="H73" s="5">
        <f t="shared" si="6"/>
        <v>1296</v>
      </c>
      <c r="I73" s="5">
        <f t="shared" si="11"/>
        <v>180</v>
      </c>
      <c r="J73" s="5">
        <f t="shared" si="12"/>
        <v>5.6533000000000007</v>
      </c>
      <c r="K73" s="5">
        <f t="shared" si="13"/>
        <v>0.42680089000000088</v>
      </c>
      <c r="L73" s="8">
        <f t="shared" si="14"/>
        <v>7.7160493827160434E-2</v>
      </c>
    </row>
    <row r="74" spans="1:12" x14ac:dyDescent="0.25">
      <c r="B74" s="5">
        <v>7</v>
      </c>
      <c r="C74" s="5">
        <v>8</v>
      </c>
      <c r="D74" s="5">
        <f t="shared" si="7"/>
        <v>56</v>
      </c>
      <c r="E74" s="5">
        <f t="shared" si="8"/>
        <v>49</v>
      </c>
      <c r="F74" s="5">
        <f t="shared" si="9"/>
        <v>64</v>
      </c>
      <c r="G74" s="8">
        <f t="shared" si="10"/>
        <v>343</v>
      </c>
      <c r="H74" s="5">
        <f t="shared" si="6"/>
        <v>2401</v>
      </c>
      <c r="I74" s="5">
        <f t="shared" si="11"/>
        <v>392</v>
      </c>
      <c r="J74" s="5">
        <f t="shared" si="12"/>
        <v>7.6844999999999999</v>
      </c>
      <c r="K74" s="5">
        <f t="shared" si="13"/>
        <v>9.9540250000000066E-2</v>
      </c>
      <c r="L74" s="8">
        <f t="shared" si="14"/>
        <v>7.4104938271604945</v>
      </c>
    </row>
    <row r="75" spans="1:12" x14ac:dyDescent="0.25">
      <c r="B75" s="5">
        <v>8</v>
      </c>
      <c r="C75" s="5">
        <v>10</v>
      </c>
      <c r="D75" s="5">
        <f t="shared" si="7"/>
        <v>80</v>
      </c>
      <c r="E75" s="5">
        <f t="shared" si="8"/>
        <v>64</v>
      </c>
      <c r="F75" s="5">
        <f t="shared" si="9"/>
        <v>100</v>
      </c>
      <c r="G75" s="8">
        <f t="shared" si="10"/>
        <v>512</v>
      </c>
      <c r="H75" s="5">
        <f t="shared" si="6"/>
        <v>4096</v>
      </c>
      <c r="I75" s="5">
        <f t="shared" si="11"/>
        <v>640</v>
      </c>
      <c r="J75" s="5">
        <f t="shared" si="12"/>
        <v>10.0977</v>
      </c>
      <c r="K75" s="5">
        <f t="shared" si="13"/>
        <v>9.5452899999999372E-3</v>
      </c>
      <c r="L75" s="8">
        <f t="shared" si="14"/>
        <v>22.299382716049383</v>
      </c>
    </row>
    <row r="76" spans="1:12" x14ac:dyDescent="0.25">
      <c r="B76" s="5">
        <v>9</v>
      </c>
      <c r="C76" s="5">
        <v>13</v>
      </c>
      <c r="D76" s="5">
        <f t="shared" si="7"/>
        <v>117</v>
      </c>
      <c r="E76" s="5">
        <f t="shared" si="8"/>
        <v>81</v>
      </c>
      <c r="F76" s="5">
        <f t="shared" si="9"/>
        <v>169</v>
      </c>
      <c r="G76" s="8">
        <f t="shared" si="10"/>
        <v>729</v>
      </c>
      <c r="H76" s="5">
        <f t="shared" si="6"/>
        <v>6561</v>
      </c>
      <c r="I76" s="5">
        <f t="shared" si="11"/>
        <v>1053</v>
      </c>
      <c r="J76" s="5">
        <f t="shared" si="12"/>
        <v>12.892900000000001</v>
      </c>
      <c r="K76" s="5">
        <f t="shared" si="13"/>
        <v>1.1470409999999804E-2</v>
      </c>
      <c r="L76" s="8">
        <f t="shared" si="14"/>
        <v>59.632716049382715</v>
      </c>
    </row>
    <row r="77" spans="1:12" x14ac:dyDescent="0.25">
      <c r="A77" s="1" t="s">
        <v>7</v>
      </c>
      <c r="B77" s="2">
        <f>SUM(B68:B76)</f>
        <v>45</v>
      </c>
      <c r="C77" s="2">
        <f t="shared" ref="C77" si="15">SUM(C68:C76)</f>
        <v>47.5</v>
      </c>
      <c r="D77" s="2">
        <f t="shared" ref="D77" si="16">SUM(D68:D76)</f>
        <v>325</v>
      </c>
      <c r="E77" s="12">
        <f t="shared" ref="E77" si="17">SUM(E68:E76)</f>
        <v>285</v>
      </c>
      <c r="F77" s="16">
        <f xml:space="preserve"> SUM(F68:F76)</f>
        <v>390.25</v>
      </c>
      <c r="G77" s="16">
        <f xml:space="preserve"> SUM(G68:G76)</f>
        <v>2025</v>
      </c>
      <c r="H77" s="2">
        <f>SUM(H68:H76)</f>
        <v>15333</v>
      </c>
      <c r="I77" s="2">
        <f>SUM(I68:I76)</f>
        <v>2438</v>
      </c>
      <c r="J77" s="3" t="s">
        <v>13</v>
      </c>
      <c r="K77" s="29">
        <f>SUM(K68:K76)</f>
        <v>0.71320569000000056</v>
      </c>
      <c r="L77" s="8">
        <f>SUM(L68:L76)</f>
        <v>139.55555555555554</v>
      </c>
    </row>
    <row r="79" spans="1:12" x14ac:dyDescent="0.25">
      <c r="B79" s="4" t="s">
        <v>6</v>
      </c>
      <c r="C79" s="4" t="s">
        <v>5</v>
      </c>
    </row>
    <row r="80" spans="1:12" x14ac:dyDescent="0.25">
      <c r="B80" s="4">
        <f>AVERAGE(B68:B76)</f>
        <v>5</v>
      </c>
      <c r="C80" s="6">
        <f>AVERAGE(C68:C76)</f>
        <v>5.2777777777777777</v>
      </c>
    </row>
  </sheetData>
  <dataConsolidate/>
  <pageMargins left="0.7" right="0.7" top="0.75" bottom="0.75" header="0.3" footer="0.3"/>
  <pageSetup scale="88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O4" sqref="O4"/>
    </sheetView>
  </sheetViews>
  <sheetFormatPr defaultRowHeight="15" x14ac:dyDescent="0.25"/>
  <cols>
    <col min="2" max="2" width="6.42578125" customWidth="1"/>
    <col min="3" max="3" width="6" customWidth="1"/>
    <col min="7" max="7" width="6.85546875" customWidth="1"/>
    <col min="8" max="8" width="10.140625" customWidth="1"/>
    <col min="9" max="9" width="11.140625" customWidth="1"/>
    <col min="11" max="11" width="7" customWidth="1"/>
    <col min="12" max="12" width="15.140625" customWidth="1"/>
    <col min="13" max="13" width="12.140625" customWidth="1"/>
  </cols>
  <sheetData>
    <row r="1" spans="1:16" x14ac:dyDescent="0.25">
      <c r="A1" s="1" t="s">
        <v>32</v>
      </c>
    </row>
    <row r="2" spans="1:16" x14ac:dyDescent="0.25">
      <c r="L2" s="1" t="s">
        <v>46</v>
      </c>
    </row>
    <row r="3" spans="1:16" x14ac:dyDescent="0.25">
      <c r="B3" s="4" t="s">
        <v>1</v>
      </c>
      <c r="C3" s="4" t="s">
        <v>2</v>
      </c>
      <c r="D3" s="4" t="s">
        <v>51</v>
      </c>
      <c r="E3" s="4" t="s">
        <v>52</v>
      </c>
      <c r="F3" s="4" t="s">
        <v>38</v>
      </c>
      <c r="G3" s="4" t="s">
        <v>48</v>
      </c>
      <c r="H3" s="4" t="s">
        <v>50</v>
      </c>
      <c r="I3" s="4" t="s">
        <v>44</v>
      </c>
      <c r="J3" s="4" t="s">
        <v>45</v>
      </c>
      <c r="K3" s="4" t="s">
        <v>49</v>
      </c>
      <c r="L3" s="7" t="s">
        <v>12</v>
      </c>
      <c r="M3" s="7" t="s">
        <v>47</v>
      </c>
      <c r="N3" s="9" t="s">
        <v>53</v>
      </c>
      <c r="O3" s="36">
        <f>AVERAGE(D4:D12)</f>
        <v>-0.47419706356086283</v>
      </c>
      <c r="P3" s="37" t="s">
        <v>54</v>
      </c>
    </row>
    <row r="4" spans="1:16" x14ac:dyDescent="0.25">
      <c r="B4" s="28">
        <v>0.1</v>
      </c>
      <c r="C4" s="28">
        <v>0.75</v>
      </c>
      <c r="D4" s="35">
        <f>LN(C4)</f>
        <v>-0.2876820724517809</v>
      </c>
      <c r="E4" s="35">
        <f>LN(B4)</f>
        <v>-2.3025850929940455</v>
      </c>
      <c r="F4" s="35">
        <f>E4^2</f>
        <v>5.3018981104783967</v>
      </c>
      <c r="G4" s="28">
        <f>B4</f>
        <v>0.1</v>
      </c>
      <c r="H4" s="35">
        <f>B4*D4</f>
        <v>-2.876820724517809E-2</v>
      </c>
      <c r="I4" s="35">
        <f>E4*D4</f>
        <v>0.66241245154910366</v>
      </c>
      <c r="J4" s="35">
        <f>E4*B4</f>
        <v>-0.23025850929940456</v>
      </c>
      <c r="K4" s="28">
        <f>B4^2</f>
        <v>1.0000000000000002E-2</v>
      </c>
      <c r="L4" s="8">
        <f>2.1962+0.9601*E4-2.4143*B4</f>
        <v>-0.25594194778358292</v>
      </c>
      <c r="M4" s="8">
        <f>EXP(L4)</f>
        <v>0.77418691075383583</v>
      </c>
      <c r="N4">
        <f>(D4-L4)^2</f>
        <v>1.0074355139527498E-3</v>
      </c>
      <c r="O4">
        <f>($O$3-D4)^2</f>
        <v>3.4787841908420908E-2</v>
      </c>
    </row>
    <row r="5" spans="1:16" x14ac:dyDescent="0.25">
      <c r="B5" s="28">
        <v>0.2</v>
      </c>
      <c r="C5" s="28">
        <v>1.25</v>
      </c>
      <c r="D5" s="35">
        <f t="shared" ref="D5:D12" si="0">LN(C5)</f>
        <v>0.22314355131420976</v>
      </c>
      <c r="E5" s="35">
        <f t="shared" ref="E5:E12" si="1">LN(B5)</f>
        <v>-1.6094379124341003</v>
      </c>
      <c r="F5" s="35">
        <f t="shared" ref="F5:F12" si="2">E5^2</f>
        <v>2.5902903939802346</v>
      </c>
      <c r="G5" s="28">
        <f t="shared" ref="G5:G12" si="3">B5</f>
        <v>0.2</v>
      </c>
      <c r="H5" s="35">
        <f t="shared" ref="H5:H12" si="4">B5*D5</f>
        <v>4.4628710262841959E-2</v>
      </c>
      <c r="I5" s="35">
        <f t="shared" ref="I5:I12" si="5">E5*D5</f>
        <v>-0.35913569140027329</v>
      </c>
      <c r="J5" s="35">
        <f t="shared" ref="J5:J12" si="6">E5*B5</f>
        <v>-0.32188758248682009</v>
      </c>
      <c r="K5" s="28">
        <f t="shared" ref="K5:K12" si="7">B5^2</f>
        <v>4.0000000000000008E-2</v>
      </c>
      <c r="L5" s="8">
        <f t="shared" ref="L4:L12" si="8">2.1962+0.9601*E5-2.4143*B5</f>
        <v>0.16811866027202044</v>
      </c>
      <c r="M5" s="8">
        <f t="shared" ref="M5:M12" si="9">EXP(L5)</f>
        <v>1.1830769865561703</v>
      </c>
      <c r="N5">
        <f t="shared" ref="N5:N12" si="10">(D5-L5)^2</f>
        <v>3.0277386342048075E-3</v>
      </c>
      <c r="O5">
        <f t="shared" ref="O5:O12" si="11">($O$3-D5)^2</f>
        <v>0.48628393315434432</v>
      </c>
    </row>
    <row r="6" spans="1:16" x14ac:dyDescent="0.25">
      <c r="B6" s="28">
        <v>0.4</v>
      </c>
      <c r="C6" s="28">
        <v>1.45</v>
      </c>
      <c r="D6" s="35">
        <f t="shared" si="0"/>
        <v>0.37156355643248301</v>
      </c>
      <c r="E6" s="35">
        <f t="shared" si="1"/>
        <v>-0.916290731874155</v>
      </c>
      <c r="F6" s="35">
        <f t="shared" si="2"/>
        <v>0.83958870531847463</v>
      </c>
      <c r="G6" s="28">
        <f t="shared" si="3"/>
        <v>0.4</v>
      </c>
      <c r="H6" s="35">
        <f t="shared" si="4"/>
        <v>0.14862542257299322</v>
      </c>
      <c r="I6" s="35">
        <f t="shared" si="5"/>
        <v>-0.34046024306128375</v>
      </c>
      <c r="J6" s="35">
        <f t="shared" si="6"/>
        <v>-0.36651629274966202</v>
      </c>
      <c r="K6" s="28">
        <f t="shared" si="7"/>
        <v>0.16000000000000003</v>
      </c>
      <c r="L6" s="8">
        <f t="shared" si="8"/>
        <v>0.35074926832762399</v>
      </c>
      <c r="M6" s="8">
        <f t="shared" si="9"/>
        <v>1.4201312093960907</v>
      </c>
      <c r="N6">
        <f t="shared" si="10"/>
        <v>4.3323458931207587E-4</v>
      </c>
      <c r="O6">
        <f t="shared" si="11"/>
        <v>0.71531102633152877</v>
      </c>
    </row>
    <row r="7" spans="1:16" x14ac:dyDescent="0.25">
      <c r="B7" s="28">
        <v>0.6</v>
      </c>
      <c r="C7" s="28">
        <v>1.25</v>
      </c>
      <c r="D7" s="35">
        <f t="shared" si="0"/>
        <v>0.22314355131420976</v>
      </c>
      <c r="E7" s="35">
        <f t="shared" si="1"/>
        <v>-0.51082562376599072</v>
      </c>
      <c r="F7" s="35">
        <f t="shared" si="2"/>
        <v>0.2609428178959135</v>
      </c>
      <c r="G7" s="28">
        <f t="shared" si="3"/>
        <v>0.6</v>
      </c>
      <c r="H7" s="35">
        <f t="shared" si="4"/>
        <v>0.13388613078852585</v>
      </c>
      <c r="I7" s="35">
        <f t="shared" si="5"/>
        <v>-0.11398744378943956</v>
      </c>
      <c r="J7" s="35">
        <f t="shared" si="6"/>
        <v>-0.30649537425959444</v>
      </c>
      <c r="K7" s="28">
        <f t="shared" si="7"/>
        <v>0.36</v>
      </c>
      <c r="L7" s="8">
        <f t="shared" si="8"/>
        <v>0.25717631862227264</v>
      </c>
      <c r="M7" s="8">
        <f t="shared" si="9"/>
        <v>1.2932731347950808</v>
      </c>
      <c r="N7">
        <f t="shared" si="10"/>
        <v>1.158229250644753E-3</v>
      </c>
      <c r="O7">
        <f t="shared" si="11"/>
        <v>0.48628393315434432</v>
      </c>
    </row>
    <row r="8" spans="1:16" x14ac:dyDescent="0.25">
      <c r="B8" s="28">
        <v>0.9</v>
      </c>
      <c r="C8" s="28">
        <v>0.85</v>
      </c>
      <c r="D8" s="35">
        <f t="shared" si="0"/>
        <v>-0.16251892949777494</v>
      </c>
      <c r="E8" s="35">
        <f t="shared" si="1"/>
        <v>-0.10536051565782628</v>
      </c>
      <c r="F8" s="35">
        <f t="shared" si="2"/>
        <v>1.1100838259683056E-2</v>
      </c>
      <c r="G8" s="28">
        <f t="shared" si="3"/>
        <v>0.9</v>
      </c>
      <c r="H8" s="35">
        <f t="shared" si="4"/>
        <v>-0.14626703654799744</v>
      </c>
      <c r="I8" s="35">
        <f t="shared" si="5"/>
        <v>1.7123078216043482E-2</v>
      </c>
      <c r="J8" s="35">
        <f t="shared" si="6"/>
        <v>-9.4824464092043662E-2</v>
      </c>
      <c r="K8" s="28">
        <f t="shared" si="7"/>
        <v>0.81</v>
      </c>
      <c r="L8" s="8">
        <f t="shared" si="8"/>
        <v>-7.7826631083079079E-2</v>
      </c>
      <c r="M8" s="8">
        <f t="shared" si="9"/>
        <v>0.92512480052588963</v>
      </c>
      <c r="N8">
        <f t="shared" si="10"/>
        <v>7.1727854107638952E-3</v>
      </c>
      <c r="O8">
        <f t="shared" si="11"/>
        <v>9.7143259253048175E-2</v>
      </c>
    </row>
    <row r="9" spans="1:16" x14ac:dyDescent="0.25">
      <c r="B9" s="28">
        <v>1.3</v>
      </c>
      <c r="C9" s="28">
        <v>0.55000000000000004</v>
      </c>
      <c r="D9" s="35">
        <f t="shared" si="0"/>
        <v>-0.59783700075562041</v>
      </c>
      <c r="E9" s="35">
        <f t="shared" si="1"/>
        <v>0.26236426446749106</v>
      </c>
      <c r="F9" s="35">
        <f t="shared" si="2"/>
        <v>6.8835007269567594E-2</v>
      </c>
      <c r="G9" s="28">
        <f t="shared" si="3"/>
        <v>1.3</v>
      </c>
      <c r="H9" s="35">
        <f t="shared" si="4"/>
        <v>-0.77718810098230651</v>
      </c>
      <c r="I9" s="35">
        <f t="shared" si="5"/>
        <v>-0.15685106497469925</v>
      </c>
      <c r="J9" s="35">
        <f t="shared" si="6"/>
        <v>0.34107354380773841</v>
      </c>
      <c r="K9" s="28">
        <f t="shared" si="7"/>
        <v>1.6900000000000002</v>
      </c>
      <c r="L9" s="8">
        <f t="shared" si="8"/>
        <v>-0.69049406968476124</v>
      </c>
      <c r="M9" s="8">
        <f t="shared" si="9"/>
        <v>0.50132831674422385</v>
      </c>
      <c r="N9">
        <f t="shared" si="10"/>
        <v>8.5853324225395548E-3</v>
      </c>
      <c r="O9">
        <f t="shared" si="11"/>
        <v>1.5286834069523598E-2</v>
      </c>
    </row>
    <row r="10" spans="1:16" x14ac:dyDescent="0.25">
      <c r="B10" s="28">
        <v>1.5</v>
      </c>
      <c r="C10" s="28">
        <v>0.35</v>
      </c>
      <c r="D10" s="35">
        <f t="shared" si="0"/>
        <v>-1.0498221244986778</v>
      </c>
      <c r="E10" s="35">
        <f t="shared" si="1"/>
        <v>0.40546510810816438</v>
      </c>
      <c r="F10" s="35">
        <f t="shared" si="2"/>
        <v>0.16440195389316542</v>
      </c>
      <c r="G10" s="28">
        <f t="shared" si="3"/>
        <v>1.5</v>
      </c>
      <c r="H10" s="35">
        <f t="shared" si="4"/>
        <v>-1.5747331867480168</v>
      </c>
      <c r="I10" s="35">
        <f t="shared" si="5"/>
        <v>-0.42566624120419921</v>
      </c>
      <c r="J10" s="35">
        <f t="shared" si="6"/>
        <v>0.60819766216224658</v>
      </c>
      <c r="K10" s="28">
        <f t="shared" si="7"/>
        <v>2.25</v>
      </c>
      <c r="L10" s="8">
        <f t="shared" si="8"/>
        <v>-1.0359629497053509</v>
      </c>
      <c r="M10" s="8">
        <f t="shared" si="9"/>
        <v>0.35488448042901743</v>
      </c>
      <c r="N10">
        <f t="shared" si="10"/>
        <v>1.9207672595199021E-4</v>
      </c>
      <c r="O10">
        <f t="shared" si="11"/>
        <v>0.33134421077966331</v>
      </c>
    </row>
    <row r="11" spans="1:16" x14ac:dyDescent="0.25">
      <c r="B11" s="28">
        <v>1.7</v>
      </c>
      <c r="C11" s="28">
        <v>0.28000000000000003</v>
      </c>
      <c r="D11" s="35">
        <f t="shared" si="0"/>
        <v>-1.2729656758128873</v>
      </c>
      <c r="E11" s="35">
        <f t="shared" si="1"/>
        <v>0.53062825106217038</v>
      </c>
      <c r="F11" s="35">
        <f t="shared" si="2"/>
        <v>0.28156634082529769</v>
      </c>
      <c r="G11" s="28">
        <f t="shared" si="3"/>
        <v>1.7</v>
      </c>
      <c r="H11" s="35">
        <f t="shared" si="4"/>
        <v>-2.1640416488819083</v>
      </c>
      <c r="I11" s="35">
        <f t="shared" si="5"/>
        <v>-0.67547155021876615</v>
      </c>
      <c r="J11" s="35">
        <f t="shared" si="6"/>
        <v>0.90206802680568965</v>
      </c>
      <c r="K11" s="28">
        <f t="shared" si="7"/>
        <v>2.8899999999999997</v>
      </c>
      <c r="L11" s="8">
        <f t="shared" si="8"/>
        <v>-1.39865381615521</v>
      </c>
      <c r="M11" s="8">
        <f t="shared" si="9"/>
        <v>0.24692915233379614</v>
      </c>
      <c r="N11">
        <f t="shared" si="10"/>
        <v>1.5797508622711402E-2</v>
      </c>
      <c r="O11">
        <f t="shared" si="11"/>
        <v>0.63803129591902519</v>
      </c>
    </row>
    <row r="12" spans="1:16" x14ac:dyDescent="0.25">
      <c r="B12" s="28">
        <v>1.8</v>
      </c>
      <c r="C12" s="28">
        <v>0.18</v>
      </c>
      <c r="D12" s="35">
        <f t="shared" si="0"/>
        <v>-1.7147984280919266</v>
      </c>
      <c r="E12" s="35">
        <f t="shared" si="1"/>
        <v>0.58778666490211906</v>
      </c>
      <c r="F12" s="35">
        <f t="shared" si="2"/>
        <v>0.34549316343675601</v>
      </c>
      <c r="G12" s="28">
        <f t="shared" si="3"/>
        <v>1.8</v>
      </c>
      <c r="H12" s="35">
        <f t="shared" si="4"/>
        <v>-3.086637170565468</v>
      </c>
      <c r="I12" s="35">
        <f t="shared" si="5"/>
        <v>-1.0079356490275497</v>
      </c>
      <c r="J12" s="35">
        <f t="shared" si="6"/>
        <v>1.0580159968238143</v>
      </c>
      <c r="K12" s="28">
        <f t="shared" si="7"/>
        <v>3.24</v>
      </c>
      <c r="L12" s="8">
        <f t="shared" si="8"/>
        <v>-1.5852060230274754</v>
      </c>
      <c r="M12" s="8">
        <f t="shared" si="9"/>
        <v>0.20490557350124083</v>
      </c>
      <c r="N12">
        <f t="shared" si="10"/>
        <v>1.679419145038881E-2</v>
      </c>
      <c r="O12">
        <f t="shared" si="11"/>
        <v>1.5390917456763376</v>
      </c>
    </row>
    <row r="13" spans="1:16" x14ac:dyDescent="0.25">
      <c r="A13" s="1" t="s">
        <v>34</v>
      </c>
      <c r="B13" s="2">
        <f t="shared" ref="B13:K13" si="12">SUM(B4:B12)</f>
        <v>8.5</v>
      </c>
      <c r="C13" s="2">
        <f t="shared" si="12"/>
        <v>6.9099999999999993</v>
      </c>
      <c r="D13" s="34">
        <f t="shared" si="12"/>
        <v>-4.2677735720477656</v>
      </c>
      <c r="E13" s="34">
        <f>SUM(E4:E12)</f>
        <v>-3.6582555881861718</v>
      </c>
      <c r="F13" s="34">
        <f>SUM(F4:F12)</f>
        <v>9.8641173313574892</v>
      </c>
      <c r="G13" s="2">
        <f>SUM(G4:G12)</f>
        <v>8.5</v>
      </c>
      <c r="H13" s="34">
        <f t="shared" si="12"/>
        <v>-7.4504950873465141</v>
      </c>
      <c r="I13" s="34">
        <f>SUM(I4:I12)</f>
        <v>-2.399972353911064</v>
      </c>
      <c r="J13" s="34">
        <f>SUM(J4:J12)</f>
        <v>1.589373006711964</v>
      </c>
      <c r="K13" s="2">
        <f t="shared" si="12"/>
        <v>11.450000000000001</v>
      </c>
      <c r="L13" s="5"/>
      <c r="N13">
        <f>SUM(N4:N12)</f>
        <v>5.4168532620470035E-2</v>
      </c>
      <c r="O13" s="36">
        <f>SUM(O3:O12)</f>
        <v>3.8693670166853731</v>
      </c>
    </row>
    <row r="16" spans="1:16" x14ac:dyDescent="0.25">
      <c r="B16" s="32"/>
      <c r="C16" s="30"/>
      <c r="D16" s="33"/>
      <c r="E16" s="33"/>
      <c r="F16" s="33"/>
      <c r="G16" s="33"/>
      <c r="H16" s="31"/>
      <c r="I16" s="31"/>
      <c r="J16" s="31"/>
      <c r="K16" s="31"/>
    </row>
    <row r="18" spans="11:11" x14ac:dyDescent="0.25">
      <c r="K18" t="s">
        <v>42</v>
      </c>
    </row>
  </sheetData>
  <pageMargins left="0.25" right="0.25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5" max="5" width="14.7109375" customWidth="1"/>
    <col min="6" max="6" width="17.5703125" customWidth="1"/>
  </cols>
  <sheetData>
    <row r="1" spans="1:7" x14ac:dyDescent="0.25">
      <c r="A1" s="1" t="s">
        <v>35</v>
      </c>
    </row>
    <row r="2" spans="1:7" x14ac:dyDescent="0.25">
      <c r="E2" s="5" t="s">
        <v>74</v>
      </c>
      <c r="F2" s="5"/>
      <c r="G2" s="5"/>
    </row>
    <row r="3" spans="1:7" x14ac:dyDescent="0.25">
      <c r="B3" s="4" t="s">
        <v>2</v>
      </c>
      <c r="C3" s="4" t="s">
        <v>36</v>
      </c>
      <c r="D3" s="45" t="s">
        <v>37</v>
      </c>
      <c r="E3" s="43" t="s">
        <v>73</v>
      </c>
      <c r="F3" s="7" t="s">
        <v>61</v>
      </c>
      <c r="G3" s="7" t="s">
        <v>64</v>
      </c>
    </row>
    <row r="4" spans="1:7" x14ac:dyDescent="0.25">
      <c r="B4" s="5">
        <v>2.2000000000000002</v>
      </c>
      <c r="C4" s="5">
        <v>1</v>
      </c>
      <c r="D4" s="46">
        <f>1/C4</f>
        <v>1</v>
      </c>
      <c r="E4" s="8">
        <f>0.3789+0.9857*C4+0.8418*D4</f>
        <v>2.2063999999999999</v>
      </c>
      <c r="F4" s="8">
        <f>(B4-E4)^2</f>
        <v>4.095999999999666E-5</v>
      </c>
      <c r="G4" s="5">
        <f>(AVERAGE($B$4:$B$8)-B4)^2</f>
        <v>2.3104</v>
      </c>
    </row>
    <row r="5" spans="1:7" x14ac:dyDescent="0.25">
      <c r="B5" s="5">
        <v>2.8</v>
      </c>
      <c r="C5" s="5">
        <v>2</v>
      </c>
      <c r="D5" s="46">
        <f t="shared" ref="D5:D8" si="0">1/C5</f>
        <v>0.5</v>
      </c>
      <c r="E5" s="8">
        <f t="shared" ref="E5:E8" si="1">0.3789+0.9857*C5+0.8418*D5</f>
        <v>2.7711999999999999</v>
      </c>
      <c r="F5" s="8">
        <f t="shared" ref="F5:F8" si="2">(B5-E5)^2</f>
        <v>8.294399999999964E-4</v>
      </c>
      <c r="G5" s="5">
        <f t="shared" ref="G5:G8" si="3">(AVERAGE($B$4:$B$8)-B5)^2</f>
        <v>0.84640000000000071</v>
      </c>
    </row>
    <row r="6" spans="1:7" x14ac:dyDescent="0.25">
      <c r="B6" s="5">
        <v>3.6</v>
      </c>
      <c r="C6" s="5">
        <v>3</v>
      </c>
      <c r="D6" s="46">
        <f t="shared" si="0"/>
        <v>0.33333333333333331</v>
      </c>
      <c r="E6" s="8">
        <f t="shared" si="1"/>
        <v>3.6166</v>
      </c>
      <c r="F6" s="8">
        <f t="shared" si="2"/>
        <v>2.7555999999999826E-4</v>
      </c>
      <c r="G6" s="5">
        <f t="shared" si="3"/>
        <v>1.4400000000000026E-2</v>
      </c>
    </row>
    <row r="7" spans="1:7" x14ac:dyDescent="0.25">
      <c r="B7" s="5">
        <v>4.5</v>
      </c>
      <c r="C7" s="5">
        <v>4</v>
      </c>
      <c r="D7" s="46">
        <f t="shared" si="0"/>
        <v>0.25</v>
      </c>
      <c r="E7" s="8">
        <f t="shared" si="1"/>
        <v>4.5321499999999997</v>
      </c>
      <c r="F7" s="8">
        <f t="shared" si="2"/>
        <v>1.0336224999999795E-3</v>
      </c>
      <c r="G7" s="5">
        <f t="shared" si="3"/>
        <v>0.60839999999999972</v>
      </c>
    </row>
    <row r="8" spans="1:7" x14ac:dyDescent="0.25">
      <c r="B8" s="5">
        <v>5.5</v>
      </c>
      <c r="C8" s="5">
        <v>5</v>
      </c>
      <c r="D8" s="46">
        <f t="shared" si="0"/>
        <v>0.2</v>
      </c>
      <c r="E8" s="8">
        <f t="shared" si="1"/>
        <v>5.4757599999999993</v>
      </c>
      <c r="F8" s="8">
        <f t="shared" si="2"/>
        <v>5.8757760000003418E-4</v>
      </c>
      <c r="G8" s="5">
        <f t="shared" si="3"/>
        <v>3.1683999999999992</v>
      </c>
    </row>
    <row r="9" spans="1:7" x14ac:dyDescent="0.25">
      <c r="A9" s="1" t="s">
        <v>34</v>
      </c>
      <c r="B9" s="2">
        <f>SUM(B4:B8)</f>
        <v>18.600000000000001</v>
      </c>
      <c r="C9" s="2">
        <f t="shared" ref="C9:D9" si="4">SUM(C4:C8)</f>
        <v>15</v>
      </c>
      <c r="D9" s="2">
        <f t="shared" si="4"/>
        <v>2.2833333333333332</v>
      </c>
      <c r="E9" s="47" t="s">
        <v>13</v>
      </c>
      <c r="F9" s="48">
        <f>SUM(F4:F8)</f>
        <v>2.7671601000000051E-3</v>
      </c>
      <c r="G9" s="33">
        <f>SUM(G4:G8)</f>
        <v>6.9479999999999995</v>
      </c>
    </row>
    <row r="14" spans="1:7" x14ac:dyDescent="0.25">
      <c r="C14" s="3" t="s">
        <v>16</v>
      </c>
      <c r="D14" s="49">
        <f>(F9/2)^0.5</f>
        <v>3.7196505884289757E-2</v>
      </c>
      <c r="E14" s="2" t="s">
        <v>15</v>
      </c>
      <c r="F14" s="5"/>
    </row>
    <row r="15" spans="1:7" x14ac:dyDescent="0.25">
      <c r="C15" s="24" t="s">
        <v>17</v>
      </c>
      <c r="D15" s="49">
        <f>SQRT((G9-F9)/G9)</f>
        <v>0.9998008465981495</v>
      </c>
      <c r="E15" s="25" t="s">
        <v>18</v>
      </c>
      <c r="F15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workbookViewId="0">
      <selection activeCell="A103" sqref="A103:L136"/>
    </sheetView>
  </sheetViews>
  <sheetFormatPr defaultRowHeight="15" x14ac:dyDescent="0.25"/>
  <cols>
    <col min="2" max="2" width="6.5703125" customWidth="1"/>
    <col min="3" max="3" width="6.42578125" customWidth="1"/>
    <col min="4" max="4" width="8.7109375" customWidth="1"/>
    <col min="5" max="5" width="8.28515625" customWidth="1"/>
    <col min="6" max="6" width="11.140625" customWidth="1"/>
    <col min="7" max="7" width="7.42578125" customWidth="1"/>
    <col min="8" max="8" width="14.28515625" customWidth="1"/>
    <col min="9" max="9" width="18.28515625" customWidth="1"/>
  </cols>
  <sheetData>
    <row r="1" spans="1:9" x14ac:dyDescent="0.25">
      <c r="A1" s="1" t="s">
        <v>41</v>
      </c>
    </row>
    <row r="2" spans="1:9" x14ac:dyDescent="0.25">
      <c r="A2" s="1"/>
      <c r="B2" t="s">
        <v>71</v>
      </c>
    </row>
    <row r="3" spans="1:9" x14ac:dyDescent="0.25">
      <c r="F3" s="1" t="s">
        <v>70</v>
      </c>
    </row>
    <row r="4" spans="1:9" x14ac:dyDescent="0.25">
      <c r="B4" s="4" t="s">
        <v>1</v>
      </c>
      <c r="C4" s="4" t="s">
        <v>2</v>
      </c>
      <c r="D4" s="26" t="s">
        <v>69</v>
      </c>
      <c r="E4" s="26" t="s">
        <v>4</v>
      </c>
      <c r="F4" s="43" t="s">
        <v>57</v>
      </c>
      <c r="H4" s="41"/>
      <c r="I4" s="31"/>
    </row>
    <row r="5" spans="1:9" x14ac:dyDescent="0.25">
      <c r="B5" s="28">
        <v>5</v>
      </c>
      <c r="C5" s="28">
        <v>17</v>
      </c>
      <c r="D5" s="28">
        <f>B5*C5</f>
        <v>85</v>
      </c>
      <c r="E5" s="28">
        <f>B5^2</f>
        <v>25</v>
      </c>
      <c r="F5" s="44">
        <f t="shared" ref="F5:F14" si="0" xml:space="preserve"> 20.6 +0.4945*B5</f>
        <v>23.072500000000002</v>
      </c>
      <c r="H5" s="42"/>
      <c r="I5" s="31"/>
    </row>
    <row r="6" spans="1:9" x14ac:dyDescent="0.25">
      <c r="B6" s="28">
        <v>10</v>
      </c>
      <c r="C6" s="28">
        <v>24</v>
      </c>
      <c r="D6" s="28">
        <f t="shared" ref="D6:D14" si="1">B6*C6</f>
        <v>240</v>
      </c>
      <c r="E6" s="28">
        <f t="shared" ref="E6:E14" si="2">B6^2</f>
        <v>100</v>
      </c>
      <c r="F6" s="44">
        <f t="shared" si="0"/>
        <v>25.545000000000002</v>
      </c>
      <c r="H6" s="42"/>
      <c r="I6" s="31"/>
    </row>
    <row r="7" spans="1:9" x14ac:dyDescent="0.25">
      <c r="B7" s="28">
        <v>15</v>
      </c>
      <c r="C7" s="28">
        <v>31</v>
      </c>
      <c r="D7" s="28">
        <f t="shared" si="1"/>
        <v>465</v>
      </c>
      <c r="E7" s="28">
        <f t="shared" si="2"/>
        <v>225</v>
      </c>
      <c r="F7" s="44">
        <f t="shared" si="0"/>
        <v>28.017500000000002</v>
      </c>
      <c r="H7" s="42"/>
      <c r="I7" s="31"/>
    </row>
    <row r="8" spans="1:9" x14ac:dyDescent="0.25">
      <c r="B8" s="28">
        <v>20</v>
      </c>
      <c r="C8" s="28">
        <v>33</v>
      </c>
      <c r="D8" s="28">
        <f t="shared" si="1"/>
        <v>660</v>
      </c>
      <c r="E8" s="28">
        <f t="shared" si="2"/>
        <v>400</v>
      </c>
      <c r="F8" s="44">
        <f t="shared" si="0"/>
        <v>30.490000000000002</v>
      </c>
      <c r="H8" s="42"/>
      <c r="I8" s="31"/>
    </row>
    <row r="9" spans="1:9" x14ac:dyDescent="0.25">
      <c r="B9" s="28">
        <v>25</v>
      </c>
      <c r="C9" s="28">
        <v>37</v>
      </c>
      <c r="D9" s="28">
        <f t="shared" si="1"/>
        <v>925</v>
      </c>
      <c r="E9" s="28">
        <f t="shared" si="2"/>
        <v>625</v>
      </c>
      <c r="F9" s="44">
        <f t="shared" si="0"/>
        <v>32.962500000000006</v>
      </c>
      <c r="H9" s="42"/>
      <c r="I9" s="31"/>
    </row>
    <row r="10" spans="1:9" x14ac:dyDescent="0.25">
      <c r="B10" s="28">
        <v>30</v>
      </c>
      <c r="C10" s="28">
        <v>37</v>
      </c>
      <c r="D10" s="28">
        <f t="shared" si="1"/>
        <v>1110</v>
      </c>
      <c r="E10" s="28">
        <f t="shared" si="2"/>
        <v>900</v>
      </c>
      <c r="F10" s="44">
        <f t="shared" si="0"/>
        <v>35.435000000000002</v>
      </c>
      <c r="H10" s="42"/>
      <c r="I10" s="31"/>
    </row>
    <row r="11" spans="1:9" x14ac:dyDescent="0.25">
      <c r="B11" s="28">
        <v>35</v>
      </c>
      <c r="C11" s="28">
        <v>40</v>
      </c>
      <c r="D11" s="28">
        <f t="shared" si="1"/>
        <v>1400</v>
      </c>
      <c r="E11" s="28">
        <f t="shared" si="2"/>
        <v>1225</v>
      </c>
      <c r="F11" s="44">
        <f t="shared" si="0"/>
        <v>37.907499999999999</v>
      </c>
      <c r="H11" s="42"/>
      <c r="I11" s="31"/>
    </row>
    <row r="12" spans="1:9" x14ac:dyDescent="0.25">
      <c r="B12" s="28">
        <v>40</v>
      </c>
      <c r="C12" s="28">
        <v>40</v>
      </c>
      <c r="D12" s="28">
        <f t="shared" si="1"/>
        <v>1600</v>
      </c>
      <c r="E12" s="28">
        <f t="shared" si="2"/>
        <v>1600</v>
      </c>
      <c r="F12" s="44">
        <f t="shared" si="0"/>
        <v>40.380000000000003</v>
      </c>
      <c r="H12" s="42"/>
      <c r="I12" s="31"/>
    </row>
    <row r="13" spans="1:9" x14ac:dyDescent="0.25">
      <c r="B13" s="28">
        <v>45</v>
      </c>
      <c r="C13" s="28">
        <v>42</v>
      </c>
      <c r="D13" s="28">
        <f t="shared" si="1"/>
        <v>1890</v>
      </c>
      <c r="E13" s="28">
        <f t="shared" si="2"/>
        <v>2025</v>
      </c>
      <c r="F13" s="44">
        <f t="shared" si="0"/>
        <v>42.852500000000006</v>
      </c>
      <c r="H13" s="42"/>
      <c r="I13" s="31"/>
    </row>
    <row r="14" spans="1:9" x14ac:dyDescent="0.25">
      <c r="B14" s="28">
        <v>50</v>
      </c>
      <c r="C14" s="28">
        <v>41</v>
      </c>
      <c r="D14" s="28">
        <f t="shared" si="1"/>
        <v>2050</v>
      </c>
      <c r="E14" s="28">
        <f t="shared" si="2"/>
        <v>2500</v>
      </c>
      <c r="F14" s="44">
        <f t="shared" si="0"/>
        <v>45.325000000000003</v>
      </c>
      <c r="H14" s="42"/>
      <c r="I14" s="31"/>
    </row>
    <row r="15" spans="1:9" x14ac:dyDescent="0.25">
      <c r="A15" s="1" t="s">
        <v>34</v>
      </c>
      <c r="B15" s="2">
        <f t="shared" ref="B15:E15" si="3">SUM(B5:B14)</f>
        <v>275</v>
      </c>
      <c r="C15" s="2">
        <f t="shared" si="3"/>
        <v>342</v>
      </c>
      <c r="D15" s="2">
        <f t="shared" si="3"/>
        <v>10425</v>
      </c>
      <c r="E15" s="2">
        <f t="shared" si="3"/>
        <v>9625</v>
      </c>
      <c r="F15" s="2"/>
      <c r="H15" s="30"/>
      <c r="I15" s="31"/>
    </row>
    <row r="16" spans="1:9" x14ac:dyDescent="0.25">
      <c r="H16" s="31"/>
      <c r="I16" s="31"/>
    </row>
    <row r="17" spans="8:9" x14ac:dyDescent="0.25">
      <c r="H17" s="31"/>
      <c r="I17" s="31"/>
    </row>
    <row r="18" spans="8:9" x14ac:dyDescent="0.25">
      <c r="H18" s="31"/>
      <c r="I18" s="31"/>
    </row>
    <row r="19" spans="8:9" x14ac:dyDescent="0.25">
      <c r="H19" s="31"/>
      <c r="I19" s="31"/>
    </row>
    <row r="20" spans="8:9" x14ac:dyDescent="0.25">
      <c r="H20" s="31"/>
      <c r="I20" s="31"/>
    </row>
    <row r="21" spans="8:9" x14ac:dyDescent="0.25">
      <c r="H21" s="31"/>
      <c r="I21" s="31"/>
    </row>
    <row r="22" spans="8:9" x14ac:dyDescent="0.25">
      <c r="H22" s="31"/>
      <c r="I22" s="31"/>
    </row>
    <row r="23" spans="8:9" x14ac:dyDescent="0.25">
      <c r="H23" s="31"/>
      <c r="I23" s="31"/>
    </row>
    <row r="35" spans="1:12" x14ac:dyDescent="0.25">
      <c r="B35" t="s">
        <v>72</v>
      </c>
    </row>
    <row r="36" spans="1:12" x14ac:dyDescent="0.25">
      <c r="I36" t="s">
        <v>76</v>
      </c>
    </row>
    <row r="37" spans="1:12" x14ac:dyDescent="0.25">
      <c r="B37" s="4" t="s">
        <v>1</v>
      </c>
      <c r="C37" s="4" t="s">
        <v>2</v>
      </c>
      <c r="D37" s="4" t="s">
        <v>56</v>
      </c>
      <c r="E37" s="4" t="s">
        <v>55</v>
      </c>
      <c r="F37" s="26" t="s">
        <v>38</v>
      </c>
      <c r="G37" s="26" t="s">
        <v>58</v>
      </c>
      <c r="H37" s="27" t="s">
        <v>33</v>
      </c>
      <c r="I37" s="43" t="s">
        <v>59</v>
      </c>
      <c r="J37" s="43" t="s">
        <v>75</v>
      </c>
    </row>
    <row r="38" spans="1:12" x14ac:dyDescent="0.25">
      <c r="B38" s="28">
        <v>5</v>
      </c>
      <c r="C38" s="28">
        <v>17</v>
      </c>
      <c r="D38" s="35">
        <f>LOG(B38)</f>
        <v>0.69897000433601886</v>
      </c>
      <c r="E38" s="35">
        <f>LOG(C38)</f>
        <v>1.2304489213782739</v>
      </c>
      <c r="F38" s="35">
        <f>D38^2</f>
        <v>0.4885590669614942</v>
      </c>
      <c r="G38" s="35">
        <f>D38*E38</f>
        <v>0.8600468879110218</v>
      </c>
      <c r="H38" s="35">
        <f>F38^2</f>
        <v>0.23868996191028577</v>
      </c>
      <c r="I38" s="8">
        <f xml:space="preserve"> 0.9972+0.3859*D38</f>
        <v>1.2669325246732697</v>
      </c>
      <c r="J38" s="5">
        <f>$L$39*B38^0.3856</f>
        <v>18.480887940142608</v>
      </c>
    </row>
    <row r="39" spans="1:12" x14ac:dyDescent="0.25">
      <c r="B39" s="28">
        <v>10</v>
      </c>
      <c r="C39" s="28">
        <v>24</v>
      </c>
      <c r="D39" s="35">
        <f t="shared" ref="D39:E47" si="4">LOG(B39)</f>
        <v>1</v>
      </c>
      <c r="E39" s="35">
        <f t="shared" si="4"/>
        <v>1.3802112417116059</v>
      </c>
      <c r="F39" s="35">
        <f t="shared" ref="F39:F47" si="5">D39^2</f>
        <v>1</v>
      </c>
      <c r="G39" s="35">
        <f t="shared" ref="G39:G47" si="6">D39*E39</f>
        <v>1.3802112417116059</v>
      </c>
      <c r="H39" s="35">
        <f t="shared" ref="H39:H47" si="7">F39^2</f>
        <v>1</v>
      </c>
      <c r="I39" s="8">
        <f t="shared" ref="I39:I47" si="8" xml:space="preserve"> 0.9972+0.3859*D39</f>
        <v>1.3831</v>
      </c>
      <c r="J39" s="5">
        <f t="shared" ref="J39:J47" si="9">$L$39*B39^0.3856</f>
        <v>24.143487297141515</v>
      </c>
      <c r="K39" t="s">
        <v>87</v>
      </c>
      <c r="L39">
        <f>10^0.9972</f>
        <v>9.9357350058684446</v>
      </c>
    </row>
    <row r="40" spans="1:12" x14ac:dyDescent="0.25">
      <c r="B40" s="28">
        <v>15</v>
      </c>
      <c r="C40" s="28">
        <v>31</v>
      </c>
      <c r="D40" s="35">
        <f t="shared" si="4"/>
        <v>1.1760912590556813</v>
      </c>
      <c r="E40" s="35">
        <f t="shared" si="4"/>
        <v>1.4913616938342726</v>
      </c>
      <c r="F40" s="35">
        <f t="shared" si="5"/>
        <v>1.3831906496271777</v>
      </c>
      <c r="G40" s="35">
        <f t="shared" si="6"/>
        <v>1.7539774522089633</v>
      </c>
      <c r="H40" s="35">
        <f t="shared" si="7"/>
        <v>1.9132163732160541</v>
      </c>
      <c r="I40" s="8">
        <f t="shared" si="8"/>
        <v>1.4510536168695873</v>
      </c>
      <c r="J40" s="5">
        <f t="shared" si="9"/>
        <v>28.229344225091651</v>
      </c>
    </row>
    <row r="41" spans="1:12" x14ac:dyDescent="0.25">
      <c r="B41" s="28">
        <v>20</v>
      </c>
      <c r="C41" s="28">
        <v>33</v>
      </c>
      <c r="D41" s="35">
        <f t="shared" si="4"/>
        <v>1.3010299956639813</v>
      </c>
      <c r="E41" s="35">
        <f t="shared" si="4"/>
        <v>1.5185139398778875</v>
      </c>
      <c r="F41" s="35">
        <f t="shared" si="5"/>
        <v>1.6926790496174191</v>
      </c>
      <c r="G41" s="35">
        <f t="shared" si="6"/>
        <v>1.9756321846150231</v>
      </c>
      <c r="H41" s="35">
        <f t="shared" si="7"/>
        <v>2.8651623650137292</v>
      </c>
      <c r="I41" s="8">
        <f t="shared" si="8"/>
        <v>1.4992674753267303</v>
      </c>
      <c r="J41" s="5">
        <f t="shared" si="9"/>
        <v>31.541124038801762</v>
      </c>
    </row>
    <row r="42" spans="1:12" x14ac:dyDescent="0.25">
      <c r="B42" s="28">
        <v>25</v>
      </c>
      <c r="C42" s="28">
        <v>37</v>
      </c>
      <c r="D42" s="35">
        <f t="shared" si="4"/>
        <v>1.3979400086720377</v>
      </c>
      <c r="E42" s="35">
        <f t="shared" si="4"/>
        <v>1.568201724066995</v>
      </c>
      <c r="F42" s="35">
        <f t="shared" si="5"/>
        <v>1.9542362678459768</v>
      </c>
      <c r="G42" s="35">
        <f t="shared" si="6"/>
        <v>2.1922519317417195</v>
      </c>
      <c r="H42" s="35">
        <f t="shared" si="7"/>
        <v>3.8190393905645723</v>
      </c>
      <c r="I42" s="8">
        <f t="shared" si="8"/>
        <v>1.5366650493465395</v>
      </c>
      <c r="J42" s="5">
        <f t="shared" si="9"/>
        <v>34.375234328852301</v>
      </c>
    </row>
    <row r="43" spans="1:12" x14ac:dyDescent="0.25">
      <c r="B43" s="28">
        <v>30</v>
      </c>
      <c r="C43" s="28">
        <v>37</v>
      </c>
      <c r="D43" s="35">
        <f t="shared" si="4"/>
        <v>1.4771212547196624</v>
      </c>
      <c r="E43" s="35">
        <f t="shared" si="4"/>
        <v>1.568201724066995</v>
      </c>
      <c r="F43" s="35">
        <f t="shared" si="5"/>
        <v>2.1818872011445896</v>
      </c>
      <c r="G43" s="35">
        <f t="shared" si="6"/>
        <v>2.3164240983073774</v>
      </c>
      <c r="H43" s="35">
        <f t="shared" si="7"/>
        <v>4.7606317585185707</v>
      </c>
      <c r="I43" s="8">
        <f t="shared" si="8"/>
        <v>1.5672210921963177</v>
      </c>
      <c r="J43" s="5">
        <f t="shared" si="9"/>
        <v>36.87889975376779</v>
      </c>
    </row>
    <row r="44" spans="1:12" x14ac:dyDescent="0.25">
      <c r="B44" s="28">
        <v>35</v>
      </c>
      <c r="C44" s="28">
        <v>40</v>
      </c>
      <c r="D44" s="35">
        <f t="shared" si="4"/>
        <v>1.5440680443502757</v>
      </c>
      <c r="E44" s="35">
        <f t="shared" si="4"/>
        <v>1.6020599913279623</v>
      </c>
      <c r="F44" s="35">
        <f t="shared" si="5"/>
        <v>2.3841461255836847</v>
      </c>
      <c r="G44" s="35">
        <f t="shared" si="6"/>
        <v>2.4736896377415865</v>
      </c>
      <c r="H44" s="35">
        <f t="shared" si="7"/>
        <v>5.6841527481356948</v>
      </c>
      <c r="I44" s="8">
        <f t="shared" si="8"/>
        <v>1.5930558583147714</v>
      </c>
      <c r="J44" s="5">
        <f t="shared" si="9"/>
        <v>39.137460102918453</v>
      </c>
    </row>
    <row r="45" spans="1:12" x14ac:dyDescent="0.25">
      <c r="B45" s="28">
        <v>40</v>
      </c>
      <c r="C45" s="28">
        <v>40</v>
      </c>
      <c r="D45" s="35">
        <f t="shared" si="4"/>
        <v>1.6020599913279623</v>
      </c>
      <c r="E45" s="35">
        <f t="shared" si="4"/>
        <v>1.6020599913279623</v>
      </c>
      <c r="F45" s="35">
        <f t="shared" si="5"/>
        <v>2.5665962158137505</v>
      </c>
      <c r="G45" s="35">
        <f t="shared" si="6"/>
        <v>2.5665962158137505</v>
      </c>
      <c r="H45" s="35">
        <f t="shared" si="7"/>
        <v>6.5874161350294642</v>
      </c>
      <c r="I45" s="8">
        <f t="shared" si="8"/>
        <v>1.6154349506534607</v>
      </c>
      <c r="J45" s="5">
        <f t="shared" si="9"/>
        <v>41.205418810764073</v>
      </c>
    </row>
    <row r="46" spans="1:12" x14ac:dyDescent="0.25">
      <c r="B46" s="28">
        <v>45</v>
      </c>
      <c r="C46" s="28">
        <v>42</v>
      </c>
      <c r="D46" s="35">
        <f t="shared" si="4"/>
        <v>1.6532125137753437</v>
      </c>
      <c r="E46" s="35">
        <f t="shared" si="4"/>
        <v>1.6232492903979006</v>
      </c>
      <c r="F46" s="35">
        <f t="shared" si="5"/>
        <v>2.733111615703391</v>
      </c>
      <c r="G46" s="35">
        <f t="shared" si="6"/>
        <v>2.6835760398627562</v>
      </c>
      <c r="H46" s="35">
        <f t="shared" si="7"/>
        <v>7.4698991038928009</v>
      </c>
      <c r="I46" s="8">
        <f t="shared" si="8"/>
        <v>1.6351747090659052</v>
      </c>
      <c r="J46" s="5">
        <f t="shared" si="9"/>
        <v>43.119999318201906</v>
      </c>
    </row>
    <row r="47" spans="1:12" x14ac:dyDescent="0.25">
      <c r="B47" s="28">
        <v>50</v>
      </c>
      <c r="C47" s="28">
        <v>41</v>
      </c>
      <c r="D47" s="35">
        <f t="shared" si="4"/>
        <v>1.6989700043360187</v>
      </c>
      <c r="E47" s="35">
        <f t="shared" si="4"/>
        <v>1.6127838567197355</v>
      </c>
      <c r="F47" s="35">
        <f t="shared" si="5"/>
        <v>2.8864990756335316</v>
      </c>
      <c r="G47" s="35">
        <f t="shared" si="6"/>
        <v>2.7400713960441898</v>
      </c>
      <c r="H47" s="35">
        <f t="shared" si="7"/>
        <v>8.3318769136332325</v>
      </c>
      <c r="I47" s="8">
        <f t="shared" si="8"/>
        <v>1.6528325246732698</v>
      </c>
      <c r="J47" s="5">
        <f t="shared" si="9"/>
        <v>44.907908972933484</v>
      </c>
    </row>
    <row r="48" spans="1:12" x14ac:dyDescent="0.25">
      <c r="A48" s="1" t="s">
        <v>34</v>
      </c>
      <c r="B48" s="2">
        <f t="shared" ref="B48:C48" si="10">SUM(B38:B47)</f>
        <v>275</v>
      </c>
      <c r="C48" s="2">
        <f t="shared" si="10"/>
        <v>342</v>
      </c>
      <c r="D48" s="34">
        <f>SUM(D38:D47)</f>
        <v>13.549463076236982</v>
      </c>
      <c r="E48" s="34">
        <f t="shared" ref="E48:H48" si="11">SUM(E38:E47)</f>
        <v>15.197092374709591</v>
      </c>
      <c r="F48" s="34">
        <f t="shared" si="11"/>
        <v>19.270905267931013</v>
      </c>
      <c r="G48" s="34">
        <f t="shared" si="11"/>
        <v>20.942477085957993</v>
      </c>
      <c r="H48" s="34">
        <f t="shared" si="11"/>
        <v>42.670084749914402</v>
      </c>
      <c r="I48" s="36"/>
    </row>
    <row r="69" spans="2:9" x14ac:dyDescent="0.25">
      <c r="B69" t="s">
        <v>77</v>
      </c>
    </row>
    <row r="71" spans="2:9" x14ac:dyDescent="0.25">
      <c r="B71" s="4" t="s">
        <v>1</v>
      </c>
      <c r="C71" s="4" t="s">
        <v>2</v>
      </c>
      <c r="D71" s="5" t="s">
        <v>78</v>
      </c>
      <c r="E71" s="5" t="s">
        <v>79</v>
      </c>
      <c r="F71" s="5" t="s">
        <v>80</v>
      </c>
      <c r="G71" s="5" t="s">
        <v>81</v>
      </c>
      <c r="H71" s="5" t="s">
        <v>82</v>
      </c>
      <c r="I71" s="5" t="s">
        <v>88</v>
      </c>
    </row>
    <row r="72" spans="2:9" x14ac:dyDescent="0.25">
      <c r="B72" s="28">
        <v>5</v>
      </c>
      <c r="C72" s="28">
        <v>17</v>
      </c>
      <c r="D72" s="8">
        <f>1/B72</f>
        <v>0.2</v>
      </c>
      <c r="E72" s="8">
        <f>1/C72</f>
        <v>5.8823529411764705E-2</v>
      </c>
      <c r="F72" s="8">
        <f>D72^2</f>
        <v>4.0000000000000008E-2</v>
      </c>
      <c r="G72" s="8">
        <f>D72*E72</f>
        <v>1.1764705882352941E-2</v>
      </c>
      <c r="H72" s="8">
        <f xml:space="preserve"> 0.02+0.1961*D72</f>
        <v>5.9220000000000009E-2</v>
      </c>
      <c r="I72" s="8">
        <f>50*B72/(9.805+B72)</f>
        <v>16.886187098953055</v>
      </c>
    </row>
    <row r="73" spans="2:9" x14ac:dyDescent="0.25">
      <c r="B73" s="28">
        <v>10</v>
      </c>
      <c r="C73" s="28">
        <v>24</v>
      </c>
      <c r="D73" s="8">
        <f t="shared" ref="D73:D81" si="12">1/B73</f>
        <v>0.1</v>
      </c>
      <c r="E73" s="8">
        <f t="shared" ref="E73:E81" si="13">1/C73</f>
        <v>4.1666666666666664E-2</v>
      </c>
      <c r="F73" s="8">
        <f>D73^2</f>
        <v>1.0000000000000002E-2</v>
      </c>
      <c r="G73" s="8">
        <f t="shared" ref="G73:G81" si="14">D73*E73</f>
        <v>4.1666666666666666E-3</v>
      </c>
      <c r="H73" s="8">
        <f t="shared" ref="H73:H81" si="15" xml:space="preserve"> 0.02+0.1961*D73</f>
        <v>3.9610000000000006E-2</v>
      </c>
      <c r="I73" s="8">
        <f t="shared" ref="I73:I81" si="16">50*B73/(9.805+B73)</f>
        <v>25.246149962130776</v>
      </c>
    </row>
    <row r="74" spans="2:9" x14ac:dyDescent="0.25">
      <c r="B74" s="28">
        <v>15</v>
      </c>
      <c r="C74" s="28">
        <v>31</v>
      </c>
      <c r="D74" s="8">
        <f t="shared" si="12"/>
        <v>6.6666666666666666E-2</v>
      </c>
      <c r="E74" s="8">
        <f t="shared" si="13"/>
        <v>3.2258064516129031E-2</v>
      </c>
      <c r="F74" s="8">
        <f t="shared" ref="F74:F81" si="17">D74^2</f>
        <v>4.4444444444444444E-3</v>
      </c>
      <c r="G74" s="8">
        <f t="shared" si="14"/>
        <v>2.1505376344086021E-3</v>
      </c>
      <c r="H74" s="8">
        <f t="shared" si="15"/>
        <v>3.307333333333333E-2</v>
      </c>
      <c r="I74" s="8">
        <f t="shared" si="16"/>
        <v>30.235839548478129</v>
      </c>
    </row>
    <row r="75" spans="2:9" x14ac:dyDescent="0.25">
      <c r="B75" s="28">
        <v>20</v>
      </c>
      <c r="C75" s="28">
        <v>33</v>
      </c>
      <c r="D75" s="8">
        <f t="shared" si="12"/>
        <v>0.05</v>
      </c>
      <c r="E75" s="8">
        <f t="shared" si="13"/>
        <v>3.0303030303030304E-2</v>
      </c>
      <c r="F75" s="8">
        <f t="shared" si="17"/>
        <v>2.5000000000000005E-3</v>
      </c>
      <c r="G75" s="8">
        <f t="shared" si="14"/>
        <v>1.5151515151515154E-3</v>
      </c>
      <c r="H75" s="8">
        <f t="shared" si="15"/>
        <v>2.9805000000000002E-2</v>
      </c>
      <c r="I75" s="8">
        <f t="shared" si="16"/>
        <v>33.551417547391381</v>
      </c>
    </row>
    <row r="76" spans="2:9" x14ac:dyDescent="0.25">
      <c r="B76" s="28">
        <v>25</v>
      </c>
      <c r="C76" s="28">
        <v>37</v>
      </c>
      <c r="D76" s="8">
        <f t="shared" si="12"/>
        <v>0.04</v>
      </c>
      <c r="E76" s="8">
        <f t="shared" si="13"/>
        <v>2.7027027027027029E-2</v>
      </c>
      <c r="F76" s="8">
        <f t="shared" si="17"/>
        <v>1.6000000000000001E-3</v>
      </c>
      <c r="G76" s="8">
        <f t="shared" si="14"/>
        <v>1.0810810810810811E-3</v>
      </c>
      <c r="H76" s="8">
        <f t="shared" si="15"/>
        <v>2.7844000000000001E-2</v>
      </c>
      <c r="I76" s="8">
        <f t="shared" si="16"/>
        <v>35.914380117799169</v>
      </c>
    </row>
    <row r="77" spans="2:9" x14ac:dyDescent="0.25">
      <c r="B77" s="28">
        <v>30</v>
      </c>
      <c r="C77" s="28">
        <v>37</v>
      </c>
      <c r="D77" s="8">
        <f t="shared" si="12"/>
        <v>3.3333333333333333E-2</v>
      </c>
      <c r="E77" s="8">
        <f t="shared" si="13"/>
        <v>2.7027027027027029E-2</v>
      </c>
      <c r="F77" s="8">
        <f t="shared" si="17"/>
        <v>1.1111111111111111E-3</v>
      </c>
      <c r="G77" s="8">
        <f t="shared" si="14"/>
        <v>9.0090090090090091E-4</v>
      </c>
      <c r="H77" s="8">
        <f t="shared" si="15"/>
        <v>2.6536666666666667E-2</v>
      </c>
      <c r="I77" s="8">
        <f t="shared" si="16"/>
        <v>37.683708076874765</v>
      </c>
    </row>
    <row r="78" spans="2:9" x14ac:dyDescent="0.25">
      <c r="B78" s="28">
        <v>35</v>
      </c>
      <c r="C78" s="28">
        <v>40</v>
      </c>
      <c r="D78" s="8">
        <f t="shared" si="12"/>
        <v>2.8571428571428571E-2</v>
      </c>
      <c r="E78" s="8">
        <f t="shared" si="13"/>
        <v>2.5000000000000001E-2</v>
      </c>
      <c r="F78" s="8">
        <f t="shared" si="17"/>
        <v>8.1632653061224482E-4</v>
      </c>
      <c r="G78" s="8">
        <f t="shared" si="14"/>
        <v>7.1428571428571429E-4</v>
      </c>
      <c r="H78" s="8">
        <f t="shared" si="15"/>
        <v>2.5602857142857142E-2</v>
      </c>
      <c r="I78" s="8">
        <f t="shared" si="16"/>
        <v>39.05814083249637</v>
      </c>
    </row>
    <row r="79" spans="2:9" x14ac:dyDescent="0.25">
      <c r="B79" s="28">
        <v>40</v>
      </c>
      <c r="C79" s="28">
        <v>40</v>
      </c>
      <c r="D79" s="8">
        <f t="shared" si="12"/>
        <v>2.5000000000000001E-2</v>
      </c>
      <c r="E79" s="8">
        <f t="shared" si="13"/>
        <v>2.5000000000000001E-2</v>
      </c>
      <c r="F79" s="8">
        <f t="shared" si="17"/>
        <v>6.2500000000000012E-4</v>
      </c>
      <c r="G79" s="8">
        <f t="shared" si="14"/>
        <v>6.2500000000000012E-4</v>
      </c>
      <c r="H79" s="8">
        <f t="shared" si="15"/>
        <v>2.4902500000000001E-2</v>
      </c>
      <c r="I79" s="8">
        <f t="shared" si="16"/>
        <v>40.156610782049995</v>
      </c>
    </row>
    <row r="80" spans="2:9" x14ac:dyDescent="0.25">
      <c r="B80" s="28">
        <v>45</v>
      </c>
      <c r="C80" s="28">
        <v>42</v>
      </c>
      <c r="D80" s="8">
        <f t="shared" si="12"/>
        <v>2.2222222222222223E-2</v>
      </c>
      <c r="E80" s="8">
        <f t="shared" si="13"/>
        <v>2.3809523809523808E-2</v>
      </c>
      <c r="F80" s="8">
        <f t="shared" si="17"/>
        <v>4.9382716049382717E-4</v>
      </c>
      <c r="G80" s="8">
        <f t="shared" si="14"/>
        <v>5.2910052910052914E-4</v>
      </c>
      <c r="H80" s="8">
        <f t="shared" si="15"/>
        <v>2.4357777777777777E-2</v>
      </c>
      <c r="I80" s="8">
        <f t="shared" si="16"/>
        <v>41.054648298512909</v>
      </c>
    </row>
    <row r="81" spans="1:9" x14ac:dyDescent="0.25">
      <c r="B81" s="28">
        <v>50</v>
      </c>
      <c r="C81" s="28">
        <v>41</v>
      </c>
      <c r="D81" s="8">
        <f t="shared" si="12"/>
        <v>0.02</v>
      </c>
      <c r="E81" s="8">
        <f t="shared" si="13"/>
        <v>2.4390243902439025E-2</v>
      </c>
      <c r="F81" s="8">
        <f t="shared" si="17"/>
        <v>4.0000000000000002E-4</v>
      </c>
      <c r="G81" s="8">
        <f t="shared" si="14"/>
        <v>4.8780487804878054E-4</v>
      </c>
      <c r="H81" s="8">
        <f t="shared" si="15"/>
        <v>2.3921999999999999E-2</v>
      </c>
      <c r="I81" s="8">
        <f t="shared" si="16"/>
        <v>41.802524872502296</v>
      </c>
    </row>
    <row r="82" spans="1:9" x14ac:dyDescent="0.25">
      <c r="A82" s="1" t="s">
        <v>34</v>
      </c>
      <c r="B82" s="2">
        <f t="shared" ref="B82:I82" si="18">SUM(B72:B81)</f>
        <v>275</v>
      </c>
      <c r="C82" s="2">
        <f t="shared" si="18"/>
        <v>342</v>
      </c>
      <c r="D82" s="34">
        <f t="shared" si="18"/>
        <v>0.58579365079365087</v>
      </c>
      <c r="E82" s="34">
        <f t="shared" si="18"/>
        <v>0.31530511266360761</v>
      </c>
      <c r="F82" s="34">
        <f t="shared" si="18"/>
        <v>6.1990709246661641E-2</v>
      </c>
      <c r="G82" s="34">
        <f t="shared" si="18"/>
        <v>2.3935234801996733E-2</v>
      </c>
      <c r="H82" s="34">
        <f t="shared" si="18"/>
        <v>0.31487413492063493</v>
      </c>
      <c r="I82" s="34">
        <f t="shared" si="18"/>
        <v>341.58960713718886</v>
      </c>
    </row>
    <row r="103" spans="2:11" x14ac:dyDescent="0.25">
      <c r="B103" t="s">
        <v>83</v>
      </c>
    </row>
    <row r="105" spans="2:11" x14ac:dyDescent="0.25">
      <c r="B105" s="4" t="s">
        <v>1</v>
      </c>
      <c r="C105" s="4" t="s">
        <v>2</v>
      </c>
      <c r="D105" s="2" t="s">
        <v>4</v>
      </c>
      <c r="E105" s="2" t="s">
        <v>27</v>
      </c>
      <c r="F105" s="2" t="s">
        <v>29</v>
      </c>
      <c r="G105" s="2" t="s">
        <v>84</v>
      </c>
      <c r="H105" s="2" t="s">
        <v>85</v>
      </c>
      <c r="I105" s="2" t="s">
        <v>86</v>
      </c>
      <c r="J105" s="2"/>
      <c r="K105" s="2"/>
    </row>
    <row r="106" spans="2:11" x14ac:dyDescent="0.25">
      <c r="B106" s="28">
        <v>5</v>
      </c>
      <c r="C106" s="28">
        <v>17</v>
      </c>
      <c r="D106" s="5">
        <f>B106^2</f>
        <v>25</v>
      </c>
      <c r="E106" s="5">
        <f>B106^3</f>
        <v>125</v>
      </c>
      <c r="F106" s="5">
        <f>B106^4</f>
        <v>625</v>
      </c>
      <c r="G106" s="5">
        <f>B106*C106</f>
        <v>85</v>
      </c>
      <c r="H106" s="5">
        <f>D106*C106</f>
        <v>425</v>
      </c>
      <c r="I106" s="5">
        <f xml:space="preserve"> 11.767 + 1.3779*B106 -0.0161*D106</f>
        <v>18.254000000000001</v>
      </c>
      <c r="J106" s="5"/>
      <c r="K106" s="5"/>
    </row>
    <row r="107" spans="2:11" x14ac:dyDescent="0.25">
      <c r="B107" s="28">
        <v>10</v>
      </c>
      <c r="C107" s="28">
        <v>24</v>
      </c>
      <c r="D107" s="5">
        <f t="shared" ref="D107:D115" si="19">B107^2</f>
        <v>100</v>
      </c>
      <c r="E107" s="5">
        <f t="shared" ref="E107:E115" si="20">B107^3</f>
        <v>1000</v>
      </c>
      <c r="F107" s="5">
        <f t="shared" ref="F107:F115" si="21">B107^4</f>
        <v>10000</v>
      </c>
      <c r="G107" s="5">
        <f t="shared" ref="G107:G115" si="22">B107*C107</f>
        <v>240</v>
      </c>
      <c r="H107" s="5">
        <f t="shared" ref="H107:H115" si="23">D107*C107</f>
        <v>2400</v>
      </c>
      <c r="I107" s="5">
        <f t="shared" ref="I107:I115" si="24" xml:space="preserve"> 11.767 + 1.3779*B107 -0.0161*D107</f>
        <v>23.936</v>
      </c>
      <c r="J107" s="5"/>
      <c r="K107" s="5"/>
    </row>
    <row r="108" spans="2:11" x14ac:dyDescent="0.25">
      <c r="B108" s="28">
        <v>15</v>
      </c>
      <c r="C108" s="28">
        <v>31</v>
      </c>
      <c r="D108" s="5">
        <f t="shared" si="19"/>
        <v>225</v>
      </c>
      <c r="E108" s="5">
        <f t="shared" si="20"/>
        <v>3375</v>
      </c>
      <c r="F108" s="5">
        <f t="shared" si="21"/>
        <v>50625</v>
      </c>
      <c r="G108" s="5">
        <f t="shared" si="22"/>
        <v>465</v>
      </c>
      <c r="H108" s="5">
        <f t="shared" si="23"/>
        <v>6975</v>
      </c>
      <c r="I108" s="5">
        <f t="shared" si="24"/>
        <v>28.812999999999999</v>
      </c>
      <c r="J108" s="5"/>
      <c r="K108" s="5"/>
    </row>
    <row r="109" spans="2:11" x14ac:dyDescent="0.25">
      <c r="B109" s="28">
        <v>20</v>
      </c>
      <c r="C109" s="28">
        <v>33</v>
      </c>
      <c r="D109" s="5">
        <f t="shared" si="19"/>
        <v>400</v>
      </c>
      <c r="E109" s="5">
        <f t="shared" si="20"/>
        <v>8000</v>
      </c>
      <c r="F109" s="5">
        <f t="shared" si="21"/>
        <v>160000</v>
      </c>
      <c r="G109" s="5">
        <f t="shared" si="22"/>
        <v>660</v>
      </c>
      <c r="H109" s="5">
        <f t="shared" si="23"/>
        <v>13200</v>
      </c>
      <c r="I109" s="5">
        <f t="shared" si="24"/>
        <v>32.885000000000005</v>
      </c>
      <c r="J109" s="5"/>
      <c r="K109" s="5"/>
    </row>
    <row r="110" spans="2:11" x14ac:dyDescent="0.25">
      <c r="B110" s="28">
        <v>25</v>
      </c>
      <c r="C110" s="28">
        <v>37</v>
      </c>
      <c r="D110" s="5">
        <f t="shared" si="19"/>
        <v>625</v>
      </c>
      <c r="E110" s="5">
        <f t="shared" si="20"/>
        <v>15625</v>
      </c>
      <c r="F110" s="5">
        <f t="shared" si="21"/>
        <v>390625</v>
      </c>
      <c r="G110" s="5">
        <f t="shared" si="22"/>
        <v>925</v>
      </c>
      <c r="H110" s="5">
        <f t="shared" si="23"/>
        <v>23125</v>
      </c>
      <c r="I110" s="5">
        <f t="shared" si="24"/>
        <v>36.152000000000001</v>
      </c>
      <c r="J110" s="5"/>
      <c r="K110" s="5"/>
    </row>
    <row r="111" spans="2:11" x14ac:dyDescent="0.25">
      <c r="B111" s="28">
        <v>30</v>
      </c>
      <c r="C111" s="28">
        <v>37</v>
      </c>
      <c r="D111" s="5">
        <f t="shared" si="19"/>
        <v>900</v>
      </c>
      <c r="E111" s="5">
        <f t="shared" si="20"/>
        <v>27000</v>
      </c>
      <c r="F111" s="5">
        <f t="shared" si="21"/>
        <v>810000</v>
      </c>
      <c r="G111" s="5">
        <f t="shared" si="22"/>
        <v>1110</v>
      </c>
      <c r="H111" s="5">
        <f t="shared" si="23"/>
        <v>33300</v>
      </c>
      <c r="I111" s="5">
        <f t="shared" si="24"/>
        <v>38.613999999999997</v>
      </c>
      <c r="J111" s="5"/>
      <c r="K111" s="5"/>
    </row>
    <row r="112" spans="2:11" x14ac:dyDescent="0.25">
      <c r="B112" s="28">
        <v>35</v>
      </c>
      <c r="C112" s="28">
        <v>40</v>
      </c>
      <c r="D112" s="5">
        <f t="shared" si="19"/>
        <v>1225</v>
      </c>
      <c r="E112" s="5">
        <f t="shared" si="20"/>
        <v>42875</v>
      </c>
      <c r="F112" s="5">
        <f t="shared" si="21"/>
        <v>1500625</v>
      </c>
      <c r="G112" s="5">
        <f t="shared" si="22"/>
        <v>1400</v>
      </c>
      <c r="H112" s="5">
        <f t="shared" si="23"/>
        <v>49000</v>
      </c>
      <c r="I112" s="5">
        <f t="shared" si="24"/>
        <v>40.271000000000001</v>
      </c>
      <c r="J112" s="5"/>
      <c r="K112" s="5"/>
    </row>
    <row r="113" spans="1:11" x14ac:dyDescent="0.25">
      <c r="B113" s="28">
        <v>40</v>
      </c>
      <c r="C113" s="28">
        <v>40</v>
      </c>
      <c r="D113" s="5">
        <f t="shared" si="19"/>
        <v>1600</v>
      </c>
      <c r="E113" s="5">
        <f t="shared" si="20"/>
        <v>64000</v>
      </c>
      <c r="F113" s="5">
        <f t="shared" si="21"/>
        <v>2560000</v>
      </c>
      <c r="G113" s="5">
        <f t="shared" si="22"/>
        <v>1600</v>
      </c>
      <c r="H113" s="5">
        <f t="shared" si="23"/>
        <v>64000</v>
      </c>
      <c r="I113" s="5">
        <f t="shared" si="24"/>
        <v>41.122999999999998</v>
      </c>
      <c r="J113" s="5"/>
      <c r="K113" s="5"/>
    </row>
    <row r="114" spans="1:11" x14ac:dyDescent="0.25">
      <c r="B114" s="28">
        <v>45</v>
      </c>
      <c r="C114" s="28">
        <v>42</v>
      </c>
      <c r="D114" s="5">
        <f t="shared" si="19"/>
        <v>2025</v>
      </c>
      <c r="E114" s="5">
        <f t="shared" si="20"/>
        <v>91125</v>
      </c>
      <c r="F114" s="5">
        <f t="shared" si="21"/>
        <v>4100625</v>
      </c>
      <c r="G114" s="5">
        <f t="shared" si="22"/>
        <v>1890</v>
      </c>
      <c r="H114" s="5">
        <f t="shared" si="23"/>
        <v>85050</v>
      </c>
      <c r="I114" s="5">
        <f t="shared" si="24"/>
        <v>41.169999999999995</v>
      </c>
      <c r="J114" s="5"/>
      <c r="K114" s="5"/>
    </row>
    <row r="115" spans="1:11" x14ac:dyDescent="0.25">
      <c r="B115" s="28">
        <v>50</v>
      </c>
      <c r="C115" s="28">
        <v>41</v>
      </c>
      <c r="D115" s="5">
        <f t="shared" si="19"/>
        <v>2500</v>
      </c>
      <c r="E115" s="5">
        <f t="shared" si="20"/>
        <v>125000</v>
      </c>
      <c r="F115" s="5">
        <f t="shared" si="21"/>
        <v>6250000</v>
      </c>
      <c r="G115" s="5">
        <f t="shared" si="22"/>
        <v>2050</v>
      </c>
      <c r="H115" s="5">
        <f t="shared" si="23"/>
        <v>102500</v>
      </c>
      <c r="I115" s="5">
        <f t="shared" si="24"/>
        <v>40.411999999999992</v>
      </c>
      <c r="J115" s="5"/>
      <c r="K115" s="5"/>
    </row>
    <row r="116" spans="1:11" x14ac:dyDescent="0.25">
      <c r="A116" s="1" t="s">
        <v>34</v>
      </c>
      <c r="B116" s="2">
        <f t="shared" ref="B116:H116" si="25">SUM(B106:B115)</f>
        <v>275</v>
      </c>
      <c r="C116" s="2">
        <f t="shared" si="25"/>
        <v>342</v>
      </c>
      <c r="D116" s="2">
        <f t="shared" si="25"/>
        <v>9625</v>
      </c>
      <c r="E116" s="2">
        <f t="shared" si="25"/>
        <v>378125</v>
      </c>
      <c r="F116" s="2">
        <f t="shared" si="25"/>
        <v>15833125</v>
      </c>
      <c r="G116" s="2">
        <f t="shared" si="25"/>
        <v>10425</v>
      </c>
      <c r="H116" s="2">
        <f t="shared" si="25"/>
        <v>379975</v>
      </c>
      <c r="I116" s="5"/>
      <c r="J116" s="5"/>
      <c r="K116" s="5"/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selection activeCell="J23" sqref="J23"/>
    </sheetView>
  </sheetViews>
  <sheetFormatPr defaultRowHeight="15" x14ac:dyDescent="0.25"/>
  <cols>
    <col min="2" max="2" width="7.42578125" customWidth="1"/>
    <col min="3" max="3" width="7.7109375" customWidth="1"/>
    <col min="4" max="4" width="6.28515625" customWidth="1"/>
    <col min="5" max="5" width="6.85546875" customWidth="1"/>
    <col min="6" max="6" width="7" customWidth="1"/>
    <col min="7" max="7" width="7.7109375" customWidth="1"/>
    <col min="8" max="8" width="7" customWidth="1"/>
    <col min="9" max="9" width="7.7109375" customWidth="1"/>
    <col min="10" max="10" width="18.85546875" customWidth="1"/>
    <col min="11" max="11" width="17.140625" customWidth="1"/>
    <col min="12" max="12" width="10.42578125" customWidth="1"/>
    <col min="13" max="13" width="6.5703125" customWidth="1"/>
  </cols>
  <sheetData>
    <row r="1" spans="1:13" x14ac:dyDescent="0.25">
      <c r="A1" s="1" t="s">
        <v>68</v>
      </c>
    </row>
    <row r="2" spans="1:13" x14ac:dyDescent="0.25">
      <c r="B2" s="1" t="s">
        <v>63</v>
      </c>
      <c r="C2" s="1">
        <f>AVERAGE(B5:B13)</f>
        <v>26.911111111111111</v>
      </c>
    </row>
    <row r="3" spans="1:13" x14ac:dyDescent="0.25">
      <c r="J3" s="1" t="s">
        <v>62</v>
      </c>
    </row>
    <row r="4" spans="1:13" x14ac:dyDescent="0.25">
      <c r="B4" s="4" t="s">
        <v>2</v>
      </c>
      <c r="C4" s="4" t="s">
        <v>36</v>
      </c>
      <c r="D4" s="4" t="s">
        <v>37</v>
      </c>
      <c r="E4" s="4" t="s">
        <v>38</v>
      </c>
      <c r="F4" s="4" t="s">
        <v>49</v>
      </c>
      <c r="G4" s="4" t="s">
        <v>45</v>
      </c>
      <c r="H4" s="4" t="s">
        <v>44</v>
      </c>
      <c r="I4" s="4" t="s">
        <v>66</v>
      </c>
      <c r="J4" s="29" t="s">
        <v>60</v>
      </c>
      <c r="K4" s="4" t="s">
        <v>61</v>
      </c>
      <c r="L4" s="5"/>
    </row>
    <row r="5" spans="1:13" x14ac:dyDescent="0.25">
      <c r="B5" s="5">
        <v>15.1</v>
      </c>
      <c r="C5" s="5">
        <v>0</v>
      </c>
      <c r="D5" s="5">
        <v>0</v>
      </c>
      <c r="E5" s="5">
        <f>C5^2</f>
        <v>0</v>
      </c>
      <c r="F5" s="5">
        <f>D5^2</f>
        <v>0</v>
      </c>
      <c r="G5" s="5">
        <f>C5*D5</f>
        <v>0</v>
      </c>
      <c r="H5" s="5">
        <f>C5*B5</f>
        <v>0</v>
      </c>
      <c r="I5" s="5">
        <f>D5*B5</f>
        <v>0</v>
      </c>
      <c r="J5" s="8">
        <f>14.4609+9.0252*C5-5.7043*D5</f>
        <v>14.460900000000001</v>
      </c>
      <c r="K5" s="8">
        <f>(B5-J5)^2</f>
        <v>0.40844880999999889</v>
      </c>
      <c r="L5" s="8">
        <f>($C$2-B5)^2</f>
        <v>139.50234567901236</v>
      </c>
    </row>
    <row r="6" spans="1:13" x14ac:dyDescent="0.25">
      <c r="B6" s="5">
        <v>17.899999999999999</v>
      </c>
      <c r="C6" s="5">
        <v>1</v>
      </c>
      <c r="D6" s="5">
        <v>1</v>
      </c>
      <c r="E6" s="5">
        <f t="shared" ref="E6:E13" si="0">C6^2</f>
        <v>1</v>
      </c>
      <c r="F6" s="5">
        <f t="shared" ref="F6:F13" si="1">D6^2</f>
        <v>1</v>
      </c>
      <c r="G6" s="5">
        <f t="shared" ref="G6:G13" si="2">C6*D6</f>
        <v>1</v>
      </c>
      <c r="H6" s="5">
        <f t="shared" ref="H6:H13" si="3">C6*B6</f>
        <v>17.899999999999999</v>
      </c>
      <c r="I6" s="5">
        <f t="shared" ref="I6:I13" si="4">D6*B6</f>
        <v>17.899999999999999</v>
      </c>
      <c r="J6" s="8">
        <f t="shared" ref="J6:J13" si="5">14.4609+9.0252*C6-5.7043*D6</f>
        <v>17.7818</v>
      </c>
      <c r="K6" s="8">
        <f t="shared" ref="K6:K13" si="6">(B6-J6)^2</f>
        <v>1.3971239999999547E-2</v>
      </c>
      <c r="L6" s="8">
        <f t="shared" ref="L6:L13" si="7">($C$2-B6)^2</f>
        <v>81.200123456790152</v>
      </c>
    </row>
    <row r="7" spans="1:13" x14ac:dyDescent="0.25">
      <c r="B7" s="5">
        <v>12.7</v>
      </c>
      <c r="C7" s="5">
        <v>1</v>
      </c>
      <c r="D7" s="5">
        <v>2</v>
      </c>
      <c r="E7" s="5">
        <f t="shared" si="0"/>
        <v>1</v>
      </c>
      <c r="F7" s="5">
        <f t="shared" si="1"/>
        <v>4</v>
      </c>
      <c r="G7" s="5">
        <f t="shared" si="2"/>
        <v>2</v>
      </c>
      <c r="H7" s="5">
        <f t="shared" si="3"/>
        <v>12.7</v>
      </c>
      <c r="I7" s="5">
        <f t="shared" si="4"/>
        <v>25.4</v>
      </c>
      <c r="J7" s="8">
        <f t="shared" si="5"/>
        <v>12.077500000000001</v>
      </c>
      <c r="K7" s="8">
        <f t="shared" si="6"/>
        <v>0.38750624999999839</v>
      </c>
      <c r="L7" s="8">
        <f t="shared" si="7"/>
        <v>201.95567901234571</v>
      </c>
    </row>
    <row r="8" spans="1:13" x14ac:dyDescent="0.25">
      <c r="B8" s="5">
        <v>25.6</v>
      </c>
      <c r="C8" s="5">
        <v>2</v>
      </c>
      <c r="D8" s="5">
        <v>1</v>
      </c>
      <c r="E8" s="5">
        <f t="shared" si="0"/>
        <v>4</v>
      </c>
      <c r="F8" s="5">
        <f t="shared" si="1"/>
        <v>1</v>
      </c>
      <c r="G8" s="5">
        <f t="shared" si="2"/>
        <v>2</v>
      </c>
      <c r="H8" s="5">
        <f t="shared" si="3"/>
        <v>51.2</v>
      </c>
      <c r="I8" s="5">
        <f t="shared" si="4"/>
        <v>25.6</v>
      </c>
      <c r="J8" s="8">
        <f t="shared" si="5"/>
        <v>26.806999999999999</v>
      </c>
      <c r="K8" s="8">
        <f t="shared" si="6"/>
        <v>1.4568489999999932</v>
      </c>
      <c r="L8" s="8">
        <f t="shared" si="7"/>
        <v>1.7190123456790094</v>
      </c>
    </row>
    <row r="9" spans="1:13" x14ac:dyDescent="0.25">
      <c r="B9" s="5">
        <v>20.5</v>
      </c>
      <c r="C9" s="5">
        <v>2</v>
      </c>
      <c r="D9" s="5">
        <v>2</v>
      </c>
      <c r="E9" s="5">
        <f t="shared" si="0"/>
        <v>4</v>
      </c>
      <c r="F9" s="5">
        <f t="shared" si="1"/>
        <v>4</v>
      </c>
      <c r="G9" s="5">
        <f t="shared" si="2"/>
        <v>4</v>
      </c>
      <c r="H9" s="5">
        <f t="shared" si="3"/>
        <v>41</v>
      </c>
      <c r="I9" s="5">
        <f t="shared" si="4"/>
        <v>41</v>
      </c>
      <c r="J9" s="8">
        <f t="shared" si="5"/>
        <v>21.102699999999999</v>
      </c>
      <c r="K9" s="8">
        <f t="shared" si="6"/>
        <v>0.36324728999999839</v>
      </c>
      <c r="L9" s="8">
        <f t="shared" si="7"/>
        <v>41.102345679012352</v>
      </c>
    </row>
    <row r="10" spans="1:13" x14ac:dyDescent="0.25">
      <c r="B10" s="5">
        <v>35.1</v>
      </c>
      <c r="C10" s="5">
        <v>3</v>
      </c>
      <c r="D10" s="5">
        <v>1</v>
      </c>
      <c r="E10" s="5">
        <f t="shared" si="0"/>
        <v>9</v>
      </c>
      <c r="F10" s="5">
        <f t="shared" si="1"/>
        <v>1</v>
      </c>
      <c r="G10" s="5">
        <f t="shared" si="2"/>
        <v>3</v>
      </c>
      <c r="H10" s="5">
        <f t="shared" si="3"/>
        <v>105.30000000000001</v>
      </c>
      <c r="I10" s="5">
        <f t="shared" si="4"/>
        <v>35.1</v>
      </c>
      <c r="J10" s="8">
        <f t="shared" si="5"/>
        <v>35.8322</v>
      </c>
      <c r="K10" s="8">
        <f t="shared" si="6"/>
        <v>0.53611683999999837</v>
      </c>
      <c r="L10" s="8">
        <f t="shared" si="7"/>
        <v>67.057901234567922</v>
      </c>
    </row>
    <row r="11" spans="1:13" x14ac:dyDescent="0.25">
      <c r="B11" s="5">
        <v>29.7</v>
      </c>
      <c r="C11" s="5">
        <v>3</v>
      </c>
      <c r="D11" s="5">
        <v>2</v>
      </c>
      <c r="E11" s="5">
        <f t="shared" si="0"/>
        <v>9</v>
      </c>
      <c r="F11" s="5">
        <f t="shared" si="1"/>
        <v>4</v>
      </c>
      <c r="G11" s="5">
        <f t="shared" si="2"/>
        <v>6</v>
      </c>
      <c r="H11" s="5">
        <f t="shared" si="3"/>
        <v>89.1</v>
      </c>
      <c r="I11" s="5">
        <f t="shared" si="4"/>
        <v>59.4</v>
      </c>
      <c r="J11" s="8">
        <f t="shared" si="5"/>
        <v>30.127900000000004</v>
      </c>
      <c r="K11" s="8">
        <f t="shared" si="6"/>
        <v>0.18309841000000396</v>
      </c>
      <c r="L11" s="8">
        <f t="shared" si="7"/>
        <v>7.7779012345678957</v>
      </c>
    </row>
    <row r="12" spans="1:13" x14ac:dyDescent="0.25">
      <c r="B12" s="5">
        <v>45.4</v>
      </c>
      <c r="C12" s="5">
        <v>4</v>
      </c>
      <c r="D12" s="5">
        <v>1</v>
      </c>
      <c r="E12" s="5">
        <f t="shared" si="0"/>
        <v>16</v>
      </c>
      <c r="F12" s="5">
        <f t="shared" si="1"/>
        <v>1</v>
      </c>
      <c r="G12" s="5">
        <f t="shared" si="2"/>
        <v>4</v>
      </c>
      <c r="H12" s="5">
        <f t="shared" si="3"/>
        <v>181.6</v>
      </c>
      <c r="I12" s="5">
        <f t="shared" si="4"/>
        <v>45.4</v>
      </c>
      <c r="J12" s="8">
        <f t="shared" si="5"/>
        <v>44.857399999999998</v>
      </c>
      <c r="K12" s="8">
        <f t="shared" si="6"/>
        <v>0.29441476000000022</v>
      </c>
      <c r="L12" s="8">
        <f t="shared" si="7"/>
        <v>341.83901234567895</v>
      </c>
    </row>
    <row r="13" spans="1:13" x14ac:dyDescent="0.25">
      <c r="B13" s="5">
        <v>40.200000000000003</v>
      </c>
      <c r="C13" s="5">
        <v>4</v>
      </c>
      <c r="D13" s="5">
        <v>2</v>
      </c>
      <c r="E13" s="5">
        <f t="shared" si="0"/>
        <v>16</v>
      </c>
      <c r="F13" s="5">
        <f t="shared" si="1"/>
        <v>4</v>
      </c>
      <c r="G13" s="5">
        <f t="shared" si="2"/>
        <v>8</v>
      </c>
      <c r="H13" s="5">
        <f t="shared" si="3"/>
        <v>160.80000000000001</v>
      </c>
      <c r="I13" s="5">
        <f t="shared" si="4"/>
        <v>80.400000000000006</v>
      </c>
      <c r="J13" s="8">
        <f t="shared" si="5"/>
        <v>39.153100000000002</v>
      </c>
      <c r="K13" s="8">
        <f t="shared" si="6"/>
        <v>1.0959996100000018</v>
      </c>
      <c r="L13" s="8">
        <f t="shared" si="7"/>
        <v>176.59456790123463</v>
      </c>
    </row>
    <row r="14" spans="1:13" x14ac:dyDescent="0.25">
      <c r="A14" s="1" t="s">
        <v>7</v>
      </c>
      <c r="B14" s="2">
        <f>SUM(B5:B13)</f>
        <v>242.2</v>
      </c>
      <c r="C14" s="2">
        <f t="shared" ref="C14:I14" si="8">SUM(C5:C13)</f>
        <v>20</v>
      </c>
      <c r="D14" s="2">
        <f t="shared" si="8"/>
        <v>12</v>
      </c>
      <c r="E14" s="2">
        <f t="shared" si="8"/>
        <v>60</v>
      </c>
      <c r="F14" s="2">
        <f t="shared" si="8"/>
        <v>20</v>
      </c>
      <c r="G14" s="2">
        <f t="shared" si="8"/>
        <v>30</v>
      </c>
      <c r="H14" s="2">
        <f t="shared" si="8"/>
        <v>659.60000000000014</v>
      </c>
      <c r="I14" s="2">
        <f t="shared" si="8"/>
        <v>330.20000000000005</v>
      </c>
      <c r="J14" s="3" t="s">
        <v>13</v>
      </c>
      <c r="K14" s="40">
        <f>SUM(K5:K13)</f>
        <v>4.7396522099999929</v>
      </c>
      <c r="L14" s="34">
        <f>SUM(L5:L13)</f>
        <v>1058.748888888889</v>
      </c>
      <c r="M14" s="1" t="s">
        <v>65</v>
      </c>
    </row>
    <row r="17" spans="9:12" x14ac:dyDescent="0.25">
      <c r="J17" s="39"/>
      <c r="K17" s="38"/>
    </row>
    <row r="19" spans="9:12" x14ac:dyDescent="0.25">
      <c r="I19" s="3" t="s">
        <v>9</v>
      </c>
      <c r="J19" s="40">
        <v>14.460900000000001</v>
      </c>
      <c r="K19" s="31"/>
      <c r="L19" s="31"/>
    </row>
    <row r="20" spans="9:12" x14ac:dyDescent="0.25">
      <c r="I20" s="3" t="s">
        <v>8</v>
      </c>
      <c r="J20" s="40">
        <v>9.0251999999999999</v>
      </c>
      <c r="K20" s="30"/>
      <c r="L20" s="31"/>
    </row>
    <row r="21" spans="9:12" x14ac:dyDescent="0.25">
      <c r="I21" s="3" t="s">
        <v>67</v>
      </c>
      <c r="J21" s="40">
        <v>-5.7042999999999999</v>
      </c>
      <c r="K21" s="30"/>
      <c r="L21" s="31"/>
    </row>
    <row r="22" spans="9:12" x14ac:dyDescent="0.25">
      <c r="I22" s="3" t="s">
        <v>16</v>
      </c>
      <c r="J22" s="29">
        <f>(K14/6)^0.5</f>
        <v>0.88878683327331021</v>
      </c>
      <c r="K22" s="2" t="s">
        <v>15</v>
      </c>
      <c r="L22" s="5"/>
    </row>
    <row r="23" spans="9:12" x14ac:dyDescent="0.25">
      <c r="I23" s="24" t="s">
        <v>17</v>
      </c>
      <c r="J23" s="29">
        <f>SQRT((L14-K14)/L14)</f>
        <v>0.99775916243611074</v>
      </c>
      <c r="K23" s="25" t="s">
        <v>18</v>
      </c>
      <c r="L23" s="5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bsoni2</cp:lastModifiedBy>
  <cp:lastPrinted>2012-10-15T04:13:47Z</cp:lastPrinted>
  <dcterms:created xsi:type="dcterms:W3CDTF">2012-10-12T20:06:36Z</dcterms:created>
  <dcterms:modified xsi:type="dcterms:W3CDTF">2012-11-16T00:31:16Z</dcterms:modified>
</cp:coreProperties>
</file>