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praveengovindaraj/Downloads/"/>
    </mc:Choice>
  </mc:AlternateContent>
  <xr:revisionPtr revIDLastSave="0" documentId="13_ncr:1_{2FA6FA83-F859-934F-B9E7-35AAED274AF4}" xr6:coauthVersionLast="45" xr6:coauthVersionMax="45" xr10:uidLastSave="{00000000-0000-0000-0000-000000000000}"/>
  <bookViews>
    <workbookView xWindow="0" yWindow="460" windowWidth="33600" windowHeight="19460" activeTab="1" xr2:uid="{00000000-000D-0000-FFFF-FFFF00000000}"/>
  </bookViews>
  <sheets>
    <sheet name="Hospital-wise status" sheetId="2" r:id="rId1"/>
    <sheet name="Hospitals sorted (district, vac" sheetId="3" r:id="rId2"/>
    <sheet name="data" sheetId="5" r:id="rId3"/>
  </sheets>
  <definedNames>
    <definedName name="_xlnm._FilterDatabase" localSheetId="0" hidden="1">'Hospital-wise status'!$A$1:$Z$397</definedName>
    <definedName name="_xlnm._FilterDatabase" localSheetId="1" hidden="1">'Hospitals sorted (district, vac'!$A$1:$T$397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97" i="5" l="1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U395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U392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U388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U386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V344" i="2"/>
  <c r="V334" i="2"/>
  <c r="V67" i="2"/>
  <c r="V65" i="2"/>
  <c r="V60" i="2"/>
  <c r="V54" i="2"/>
  <c r="V50" i="2"/>
  <c r="V48" i="2"/>
  <c r="V47" i="2"/>
  <c r="V43" i="2"/>
  <c r="V40" i="2"/>
  <c r="V39" i="2"/>
  <c r="V38" i="2"/>
  <c r="V37" i="2"/>
  <c r="V36" i="2"/>
  <c r="V35" i="2"/>
  <c r="V29" i="2"/>
  <c r="V28" i="2"/>
  <c r="V25" i="2"/>
  <c r="V23" i="2"/>
  <c r="V22" i="2"/>
  <c r="V21" i="2"/>
  <c r="V20" i="2"/>
  <c r="V19" i="2"/>
  <c r="V18" i="2"/>
  <c r="V16" i="2"/>
  <c r="V15" i="2"/>
  <c r="V14" i="2"/>
  <c r="V13" i="2"/>
  <c r="V12" i="2"/>
  <c r="V11" i="2"/>
  <c r="V10" i="2"/>
  <c r="A386" i="5" l="1"/>
  <c r="A396" i="5"/>
  <c r="A149" i="5"/>
  <c r="A151" i="5"/>
  <c r="A355" i="5"/>
  <c r="A393" i="5"/>
  <c r="A60" i="5"/>
  <c r="A71" i="5"/>
  <c r="A117" i="5"/>
  <c r="A119" i="5"/>
  <c r="A7" i="5"/>
  <c r="A99" i="5"/>
  <c r="A181" i="5"/>
  <c r="A291" i="5"/>
  <c r="A293" i="5"/>
  <c r="A295" i="5"/>
  <c r="A323" i="5"/>
  <c r="A64" i="5"/>
  <c r="A338" i="5"/>
  <c r="A44" i="5"/>
  <c r="A36" i="5"/>
  <c r="A4" i="5"/>
  <c r="A6" i="5"/>
  <c r="A175" i="5"/>
  <c r="A183" i="5"/>
  <c r="A194" i="5"/>
  <c r="A196" i="5"/>
  <c r="A198" i="5"/>
  <c r="A244" i="5"/>
  <c r="A246" i="5"/>
  <c r="A387" i="5"/>
  <c r="A381" i="5"/>
  <c r="A114" i="5"/>
  <c r="A116" i="5"/>
  <c r="A118" i="5"/>
  <c r="A160" i="5"/>
  <c r="A162" i="5"/>
  <c r="A164" i="5"/>
  <c r="A347" i="5"/>
  <c r="A39" i="5"/>
  <c r="A41" i="5"/>
  <c r="A206" i="5"/>
  <c r="A336" i="5"/>
  <c r="A362" i="5"/>
  <c r="A370" i="5"/>
  <c r="A219" i="5"/>
  <c r="A17" i="5"/>
  <c r="A131" i="5"/>
  <c r="A392" i="5"/>
  <c r="A168" i="5"/>
  <c r="A383" i="5"/>
  <c r="A55" i="5"/>
  <c r="A87" i="5"/>
  <c r="A89" i="5"/>
  <c r="A43" i="5"/>
  <c r="A45" i="5"/>
  <c r="A272" i="5"/>
  <c r="A155" i="5"/>
  <c r="A254" i="5"/>
  <c r="A292" i="5"/>
  <c r="A105" i="5"/>
  <c r="A107" i="5"/>
  <c r="A166" i="5"/>
  <c r="A14" i="5"/>
  <c r="A16" i="5"/>
  <c r="A30" i="5"/>
  <c r="A53" i="5"/>
  <c r="A79" i="5"/>
  <c r="A127" i="5"/>
  <c r="A134" i="5"/>
  <c r="A136" i="5"/>
  <c r="A138" i="5"/>
  <c r="A140" i="5"/>
  <c r="A184" i="5"/>
  <c r="A239" i="5"/>
  <c r="A247" i="5"/>
  <c r="A276" i="5"/>
  <c r="A287" i="5"/>
  <c r="A304" i="5"/>
  <c r="A176" i="5"/>
  <c r="A213" i="5"/>
  <c r="A51" i="5"/>
  <c r="A59" i="5"/>
  <c r="A232" i="5"/>
  <c r="A333" i="5"/>
  <c r="A337" i="5"/>
  <c r="A382" i="5"/>
  <c r="A384" i="5"/>
  <c r="A391" i="5"/>
  <c r="A66" i="5"/>
  <c r="A371" i="5"/>
  <c r="A3" i="5"/>
  <c r="A5" i="5"/>
  <c r="A11" i="5"/>
  <c r="A40" i="5"/>
  <c r="A42" i="5"/>
  <c r="A62" i="5"/>
  <c r="A121" i="5"/>
  <c r="A123" i="5"/>
  <c r="A125" i="5"/>
  <c r="A182" i="5"/>
  <c r="A193" i="5"/>
  <c r="A22" i="5"/>
  <c r="A26" i="5"/>
  <c r="A28" i="5"/>
  <c r="A92" i="5"/>
  <c r="A173" i="5"/>
  <c r="A200" i="5"/>
  <c r="A202" i="5"/>
  <c r="A221" i="5"/>
  <c r="A260" i="5"/>
  <c r="A268" i="5"/>
  <c r="A309" i="5"/>
  <c r="A311" i="5"/>
  <c r="A344" i="5"/>
  <c r="A354" i="5"/>
  <c r="A8" i="5"/>
  <c r="A82" i="5"/>
  <c r="A84" i="5"/>
  <c r="A86" i="5"/>
  <c r="A139" i="5"/>
  <c r="A141" i="5"/>
  <c r="A147" i="5"/>
  <c r="A214" i="5"/>
  <c r="A216" i="5"/>
  <c r="A218" i="5"/>
  <c r="A301" i="5"/>
  <c r="A61" i="5"/>
  <c r="A72" i="5"/>
  <c r="A189" i="5"/>
  <c r="A191" i="5"/>
  <c r="A204" i="5"/>
  <c r="A231" i="5"/>
  <c r="A235" i="5"/>
  <c r="A237" i="5"/>
  <c r="A265" i="5"/>
  <c r="A267" i="5"/>
  <c r="A21" i="5"/>
  <c r="A27" i="5"/>
  <c r="A35" i="5"/>
  <c r="A37" i="5"/>
  <c r="A223" i="5"/>
  <c r="A225" i="5"/>
  <c r="A229" i="5"/>
  <c r="A297" i="5"/>
  <c r="A349" i="5"/>
  <c r="A375" i="5"/>
  <c r="A380" i="5"/>
  <c r="A95" i="5"/>
  <c r="A112" i="5"/>
  <c r="A81" i="5"/>
  <c r="A274" i="5"/>
  <c r="A328" i="5"/>
  <c r="A83" i="5"/>
  <c r="A209" i="5"/>
  <c r="A378" i="5"/>
  <c r="A52" i="5"/>
  <c r="A90" i="5"/>
  <c r="A94" i="5"/>
  <c r="A100" i="5"/>
  <c r="A188" i="5"/>
  <c r="A264" i="5"/>
  <c r="A296" i="5"/>
  <c r="A324" i="5"/>
  <c r="A346" i="5"/>
  <c r="A376" i="5"/>
  <c r="A48" i="5"/>
  <c r="A50" i="5"/>
  <c r="A58" i="5"/>
  <c r="A153" i="5"/>
  <c r="A199" i="5"/>
  <c r="A201" i="5"/>
  <c r="A226" i="5"/>
  <c r="A256" i="5"/>
  <c r="A277" i="5"/>
  <c r="A9" i="5"/>
  <c r="A108" i="5"/>
  <c r="A154" i="5"/>
  <c r="A278" i="5"/>
  <c r="A329" i="5"/>
  <c r="A348" i="5"/>
  <c r="A29" i="5"/>
  <c r="A47" i="5"/>
  <c r="A49" i="5"/>
  <c r="A57" i="5"/>
  <c r="A68" i="5"/>
  <c r="A91" i="5"/>
  <c r="A113" i="5"/>
  <c r="A132" i="5"/>
  <c r="A142" i="5"/>
  <c r="A144" i="5"/>
  <c r="A150" i="5"/>
  <c r="A172" i="5"/>
  <c r="A190" i="5"/>
  <c r="A192" i="5"/>
  <c r="A215" i="5"/>
  <c r="A217" i="5"/>
  <c r="A243" i="5"/>
  <c r="A245" i="5"/>
  <c r="A257" i="5"/>
  <c r="A259" i="5"/>
  <c r="A261" i="5"/>
  <c r="A263" i="5"/>
  <c r="A285" i="5"/>
  <c r="A290" i="5"/>
  <c r="A302" i="5"/>
  <c r="A319" i="5"/>
  <c r="A335" i="5"/>
  <c r="A339" i="5"/>
  <c r="A341" i="5"/>
  <c r="A343" i="5"/>
  <c r="A345" i="5"/>
  <c r="A350" i="5"/>
  <c r="A360" i="5"/>
  <c r="A211" i="5"/>
  <c r="A251" i="5"/>
  <c r="A269" i="5"/>
  <c r="A279" i="5"/>
  <c r="A281" i="5"/>
  <c r="A288" i="5"/>
  <c r="A307" i="5"/>
  <c r="A313" i="5"/>
  <c r="A364" i="5"/>
  <c r="A368" i="5"/>
  <c r="A389" i="5"/>
  <c r="A20" i="5"/>
  <c r="A73" i="5"/>
  <c r="A109" i="5"/>
  <c r="A122" i="5"/>
  <c r="A124" i="5"/>
  <c r="A203" i="5"/>
  <c r="A159" i="5"/>
  <c r="A161" i="5"/>
  <c r="A163" i="5"/>
  <c r="A165" i="5"/>
  <c r="A167" i="5"/>
  <c r="A195" i="5"/>
  <c r="A197" i="5"/>
  <c r="A286" i="5"/>
  <c r="A303" i="5"/>
  <c r="A305" i="5"/>
  <c r="A318" i="5"/>
  <c r="A334" i="5"/>
  <c r="A379" i="5"/>
  <c r="A34" i="5"/>
  <c r="A135" i="5"/>
  <c r="A13" i="5"/>
  <c r="A15" i="5"/>
  <c r="A65" i="5"/>
  <c r="A67" i="5"/>
  <c r="A74" i="5"/>
  <c r="A76" i="5"/>
  <c r="A78" i="5"/>
  <c r="A80" i="5"/>
  <c r="A104" i="5"/>
  <c r="A169" i="5"/>
  <c r="A187" i="5"/>
  <c r="A212" i="5"/>
  <c r="A240" i="5"/>
  <c r="A248" i="5"/>
  <c r="A250" i="5"/>
  <c r="A270" i="5"/>
  <c r="A280" i="5"/>
  <c r="A282" i="5"/>
  <c r="A284" i="5"/>
  <c r="A289" i="5"/>
  <c r="A299" i="5"/>
  <c r="A306" i="5"/>
  <c r="A308" i="5"/>
  <c r="A312" i="5"/>
  <c r="A357" i="5"/>
  <c r="A363" i="5"/>
  <c r="A365" i="5"/>
  <c r="A367" i="5"/>
  <c r="A369" i="5"/>
  <c r="A373" i="5"/>
  <c r="A377" i="5"/>
  <c r="A395" i="5"/>
  <c r="A137" i="5"/>
  <c r="A283" i="5"/>
  <c r="A310" i="5"/>
  <c r="A385" i="5"/>
  <c r="A115" i="5"/>
  <c r="A12" i="5"/>
  <c r="A19" i="5"/>
  <c r="A54" i="5"/>
  <c r="A77" i="5"/>
  <c r="A111" i="5"/>
  <c r="A185" i="5"/>
  <c r="A356" i="5"/>
  <c r="A88" i="5"/>
  <c r="A23" i="5"/>
  <c r="A25" i="5"/>
  <c r="A32" i="5"/>
  <c r="A70" i="5"/>
  <c r="A96" i="5"/>
  <c r="A98" i="5"/>
  <c r="A102" i="5"/>
  <c r="A130" i="5"/>
  <c r="A143" i="5"/>
  <c r="A145" i="5"/>
  <c r="A157" i="5"/>
  <c r="A170" i="5"/>
  <c r="A174" i="5"/>
  <c r="A179" i="5"/>
  <c r="A208" i="5"/>
  <c r="A227" i="5"/>
  <c r="A233" i="5"/>
  <c r="A241" i="5"/>
  <c r="A252" i="5"/>
  <c r="A258" i="5"/>
  <c r="A315" i="5"/>
  <c r="A317" i="5"/>
  <c r="A321" i="5"/>
  <c r="A325" i="5"/>
  <c r="A327" i="5"/>
  <c r="A331" i="5"/>
  <c r="A340" i="5"/>
  <c r="A351" i="5"/>
  <c r="A353" i="5"/>
  <c r="A358" i="5"/>
  <c r="A388" i="5"/>
  <c r="A390" i="5"/>
  <c r="A394" i="5"/>
  <c r="A75" i="5"/>
  <c r="A85" i="5"/>
  <c r="A120" i="5"/>
  <c r="A128" i="5"/>
  <c r="A177" i="5"/>
  <c r="A210" i="5"/>
  <c r="A220" i="5"/>
  <c r="A222" i="5"/>
  <c r="A224" i="5"/>
  <c r="A230" i="5"/>
  <c r="A262" i="5"/>
  <c r="A271" i="5"/>
  <c r="A294" i="5"/>
  <c r="A342" i="5"/>
  <c r="A18" i="5"/>
  <c r="A106" i="5"/>
  <c r="A110" i="5"/>
  <c r="A146" i="5"/>
  <c r="A148" i="5"/>
  <c r="A171" i="5"/>
  <c r="A180" i="5"/>
  <c r="A186" i="5"/>
  <c r="A205" i="5"/>
  <c r="A228" i="5"/>
  <c r="A234" i="5"/>
  <c r="A236" i="5"/>
  <c r="A238" i="5"/>
  <c r="A249" i="5"/>
  <c r="A255" i="5"/>
  <c r="A273" i="5"/>
  <c r="A359" i="5"/>
  <c r="A361" i="5"/>
  <c r="A366" i="5"/>
  <c r="A374" i="5"/>
  <c r="A397" i="5"/>
  <c r="A24" i="5"/>
  <c r="A31" i="5"/>
  <c r="A33" i="5"/>
  <c r="A69" i="5"/>
  <c r="A97" i="5"/>
  <c r="A101" i="5"/>
  <c r="A103" i="5"/>
  <c r="A129" i="5"/>
  <c r="A133" i="5"/>
  <c r="A152" i="5"/>
  <c r="A156" i="5"/>
  <c r="A158" i="5"/>
  <c r="A178" i="5"/>
  <c r="A242" i="5"/>
  <c r="A253" i="5"/>
  <c r="A275" i="5"/>
  <c r="A300" i="5"/>
  <c r="A314" i="5"/>
  <c r="A316" i="5"/>
  <c r="A320" i="5"/>
  <c r="A322" i="5"/>
  <c r="A326" i="5"/>
  <c r="A330" i="5"/>
  <c r="A332" i="5"/>
  <c r="A352" i="5"/>
  <c r="A10" i="5"/>
  <c r="A56" i="5"/>
  <c r="A38" i="5"/>
  <c r="A2" i="5"/>
  <c r="A93" i="5"/>
  <c r="A126" i="5"/>
  <c r="A46" i="5"/>
  <c r="A63" i="5"/>
  <c r="A207" i="5"/>
  <c r="A266" i="5"/>
  <c r="A298" i="5"/>
  <c r="A372" i="5"/>
  <c r="S397" i="3" l="1"/>
  <c r="K397" i="3"/>
  <c r="M396" i="3"/>
  <c r="E396" i="3"/>
  <c r="O395" i="3"/>
  <c r="G395" i="3"/>
  <c r="Q394" i="3"/>
  <c r="I394" i="3"/>
  <c r="S393" i="3"/>
  <c r="K393" i="3"/>
  <c r="M392" i="3"/>
  <c r="E392" i="3"/>
  <c r="O391" i="3"/>
  <c r="G391" i="3"/>
  <c r="Q390" i="3"/>
  <c r="I390" i="3"/>
  <c r="S389" i="3"/>
  <c r="K389" i="3"/>
  <c r="M388" i="3"/>
  <c r="E388" i="3"/>
  <c r="O387" i="3"/>
  <c r="G387" i="3"/>
  <c r="Q386" i="3"/>
  <c r="I386" i="3"/>
  <c r="S385" i="3"/>
  <c r="K385" i="3"/>
  <c r="M384" i="3"/>
  <c r="E384" i="3"/>
  <c r="O383" i="3"/>
  <c r="G383" i="3"/>
  <c r="Q382" i="3"/>
  <c r="I382" i="3"/>
  <c r="S381" i="3"/>
  <c r="R397" i="3"/>
  <c r="J397" i="3"/>
  <c r="T396" i="3"/>
  <c r="L396" i="3"/>
  <c r="D396" i="3"/>
  <c r="N395" i="3"/>
  <c r="F395" i="3"/>
  <c r="P394" i="3"/>
  <c r="H394" i="3"/>
  <c r="R393" i="3"/>
  <c r="J393" i="3"/>
  <c r="T392" i="3"/>
  <c r="L392" i="3"/>
  <c r="D392" i="3"/>
  <c r="N391" i="3"/>
  <c r="F391" i="3"/>
  <c r="P390" i="3"/>
  <c r="H390" i="3"/>
  <c r="R389" i="3"/>
  <c r="J389" i="3"/>
  <c r="T388" i="3"/>
  <c r="L388" i="3"/>
  <c r="D388" i="3"/>
  <c r="N387" i="3"/>
  <c r="F387" i="3"/>
  <c r="P386" i="3"/>
  <c r="H386" i="3"/>
  <c r="R385" i="3"/>
  <c r="J385" i="3"/>
  <c r="T384" i="3"/>
  <c r="L384" i="3"/>
  <c r="D384" i="3"/>
  <c r="N383" i="3"/>
  <c r="F383" i="3"/>
  <c r="P382" i="3"/>
  <c r="Q397" i="3"/>
  <c r="I397" i="3"/>
  <c r="S396" i="3"/>
  <c r="K396" i="3"/>
  <c r="M395" i="3"/>
  <c r="E395" i="3"/>
  <c r="O394" i="3"/>
  <c r="G394" i="3"/>
  <c r="Q393" i="3"/>
  <c r="I393" i="3"/>
  <c r="S392" i="3"/>
  <c r="K392" i="3"/>
  <c r="M391" i="3"/>
  <c r="E391" i="3"/>
  <c r="O390" i="3"/>
  <c r="G390" i="3"/>
  <c r="Q389" i="3"/>
  <c r="I389" i="3"/>
  <c r="S388" i="3"/>
  <c r="K388" i="3"/>
  <c r="M387" i="3"/>
  <c r="E387" i="3"/>
  <c r="O386" i="3"/>
  <c r="G386" i="3"/>
  <c r="Q385" i="3"/>
  <c r="I385" i="3"/>
  <c r="S384" i="3"/>
  <c r="K384" i="3"/>
  <c r="M383" i="3"/>
  <c r="E383" i="3"/>
  <c r="O382" i="3"/>
  <c r="G382" i="3"/>
  <c r="P397" i="3"/>
  <c r="H397" i="3"/>
  <c r="R396" i="3"/>
  <c r="J396" i="3"/>
  <c r="T395" i="3"/>
  <c r="L395" i="3"/>
  <c r="D395" i="3"/>
  <c r="N394" i="3"/>
  <c r="F394" i="3"/>
  <c r="P393" i="3"/>
  <c r="H393" i="3"/>
  <c r="R392" i="3"/>
  <c r="J392" i="3"/>
  <c r="T391" i="3"/>
  <c r="L391" i="3"/>
  <c r="D391" i="3"/>
  <c r="N390" i="3"/>
  <c r="F390" i="3"/>
  <c r="P389" i="3"/>
  <c r="H389" i="3"/>
  <c r="R388" i="3"/>
  <c r="J388" i="3"/>
  <c r="T387" i="3"/>
  <c r="L387" i="3"/>
  <c r="D387" i="3"/>
  <c r="N386" i="3"/>
  <c r="F386" i="3"/>
  <c r="P385" i="3"/>
  <c r="H385" i="3"/>
  <c r="R384" i="3"/>
  <c r="J384" i="3"/>
  <c r="T383" i="3"/>
  <c r="L383" i="3"/>
  <c r="D383" i="3"/>
  <c r="N382" i="3"/>
  <c r="O397" i="3"/>
  <c r="G397" i="3"/>
  <c r="Q396" i="3"/>
  <c r="I396" i="3"/>
  <c r="S395" i="3"/>
  <c r="K395" i="3"/>
  <c r="M394" i="3"/>
  <c r="E394" i="3"/>
  <c r="O393" i="3"/>
  <c r="G393" i="3"/>
  <c r="Q392" i="3"/>
  <c r="I392" i="3"/>
  <c r="S391" i="3"/>
  <c r="K391" i="3"/>
  <c r="M390" i="3"/>
  <c r="E390" i="3"/>
  <c r="O389" i="3"/>
  <c r="G389" i="3"/>
  <c r="Q388" i="3"/>
  <c r="I388" i="3"/>
  <c r="S387" i="3"/>
  <c r="K387" i="3"/>
  <c r="M386" i="3"/>
  <c r="E386" i="3"/>
  <c r="O385" i="3"/>
  <c r="G385" i="3"/>
  <c r="Q384" i="3"/>
  <c r="I384" i="3"/>
  <c r="S383" i="3"/>
  <c r="K383" i="3"/>
  <c r="M382" i="3"/>
  <c r="E382" i="3"/>
  <c r="N397" i="3"/>
  <c r="F397" i="3"/>
  <c r="P396" i="3"/>
  <c r="H396" i="3"/>
  <c r="R395" i="3"/>
  <c r="J395" i="3"/>
  <c r="T394" i="3"/>
  <c r="L394" i="3"/>
  <c r="D394" i="3"/>
  <c r="N393" i="3"/>
  <c r="F393" i="3"/>
  <c r="P392" i="3"/>
  <c r="H392" i="3"/>
  <c r="R391" i="3"/>
  <c r="J391" i="3"/>
  <c r="T390" i="3"/>
  <c r="L390" i="3"/>
  <c r="D390" i="3"/>
  <c r="N389" i="3"/>
  <c r="F389" i="3"/>
  <c r="P388" i="3"/>
  <c r="H388" i="3"/>
  <c r="R387" i="3"/>
  <c r="J387" i="3"/>
  <c r="T386" i="3"/>
  <c r="L386" i="3"/>
  <c r="D386" i="3"/>
  <c r="N385" i="3"/>
  <c r="F385" i="3"/>
  <c r="P384" i="3"/>
  <c r="H384" i="3"/>
  <c r="R383" i="3"/>
  <c r="J383" i="3"/>
  <c r="T382" i="3"/>
  <c r="M397" i="3"/>
  <c r="E397" i="3"/>
  <c r="O396" i="3"/>
  <c r="G396" i="3"/>
  <c r="Q395" i="3"/>
  <c r="I395" i="3"/>
  <c r="S394" i="3"/>
  <c r="K394" i="3"/>
  <c r="M393" i="3"/>
  <c r="E393" i="3"/>
  <c r="O392" i="3"/>
  <c r="G392" i="3"/>
  <c r="Q391" i="3"/>
  <c r="I391" i="3"/>
  <c r="S390" i="3"/>
  <c r="K390" i="3"/>
  <c r="M389" i="3"/>
  <c r="E389" i="3"/>
  <c r="O388" i="3"/>
  <c r="G388" i="3"/>
  <c r="Q387" i="3"/>
  <c r="I387" i="3"/>
  <c r="S386" i="3"/>
  <c r="K386" i="3"/>
  <c r="M385" i="3"/>
  <c r="E385" i="3"/>
  <c r="O384" i="3"/>
  <c r="G384" i="3"/>
  <c r="Q383" i="3"/>
  <c r="I383" i="3"/>
  <c r="S382" i="3"/>
  <c r="K382" i="3"/>
  <c r="L397" i="3"/>
  <c r="T393" i="3"/>
  <c r="J390" i="3"/>
  <c r="R386" i="3"/>
  <c r="H383" i="3"/>
  <c r="R381" i="3"/>
  <c r="J381" i="3"/>
  <c r="T380" i="3"/>
  <c r="S379" i="3"/>
  <c r="K379" i="3"/>
  <c r="M378" i="3"/>
  <c r="E378" i="3"/>
  <c r="O377" i="3"/>
  <c r="G377" i="3"/>
  <c r="Q376" i="3"/>
  <c r="I376" i="3"/>
  <c r="S375" i="3"/>
  <c r="K375" i="3"/>
  <c r="M374" i="3"/>
  <c r="E374" i="3"/>
  <c r="O373" i="3"/>
  <c r="G373" i="3"/>
  <c r="Q372" i="3"/>
  <c r="I372" i="3"/>
  <c r="S371" i="3"/>
  <c r="K371" i="3"/>
  <c r="M370" i="3"/>
  <c r="E370" i="3"/>
  <c r="O369" i="3"/>
  <c r="G369" i="3"/>
  <c r="Q368" i="3"/>
  <c r="I368" i="3"/>
  <c r="S367" i="3"/>
  <c r="K367" i="3"/>
  <c r="M366" i="3"/>
  <c r="E366" i="3"/>
  <c r="O365" i="3"/>
  <c r="G365" i="3"/>
  <c r="Q364" i="3"/>
  <c r="I364" i="3"/>
  <c r="S363" i="3"/>
  <c r="K363" i="3"/>
  <c r="M362" i="3"/>
  <c r="E362" i="3"/>
  <c r="O361" i="3"/>
  <c r="G361" i="3"/>
  <c r="Q360" i="3"/>
  <c r="I360" i="3"/>
  <c r="S359" i="3"/>
  <c r="K359" i="3"/>
  <c r="M358" i="3"/>
  <c r="E358" i="3"/>
  <c r="O357" i="3"/>
  <c r="G357" i="3"/>
  <c r="Q356" i="3"/>
  <c r="I356" i="3"/>
  <c r="S355" i="3"/>
  <c r="K355" i="3"/>
  <c r="M354" i="3"/>
  <c r="E354" i="3"/>
  <c r="O353" i="3"/>
  <c r="D397" i="3"/>
  <c r="L393" i="3"/>
  <c r="T389" i="3"/>
  <c r="J386" i="3"/>
  <c r="R382" i="3"/>
  <c r="Q381" i="3"/>
  <c r="I381" i="3"/>
  <c r="Q380" i="3"/>
  <c r="R379" i="3"/>
  <c r="J379" i="3"/>
  <c r="T378" i="3"/>
  <c r="L378" i="3"/>
  <c r="D378" i="3"/>
  <c r="N377" i="3"/>
  <c r="F377" i="3"/>
  <c r="P376" i="3"/>
  <c r="H376" i="3"/>
  <c r="R375" i="3"/>
  <c r="J375" i="3"/>
  <c r="T374" i="3"/>
  <c r="L374" i="3"/>
  <c r="D374" i="3"/>
  <c r="N373" i="3"/>
  <c r="F373" i="3"/>
  <c r="P372" i="3"/>
  <c r="H372" i="3"/>
  <c r="R371" i="3"/>
  <c r="J371" i="3"/>
  <c r="T370" i="3"/>
  <c r="L370" i="3"/>
  <c r="D370" i="3"/>
  <c r="N369" i="3"/>
  <c r="F369" i="3"/>
  <c r="P368" i="3"/>
  <c r="H368" i="3"/>
  <c r="R367" i="3"/>
  <c r="J367" i="3"/>
  <c r="T366" i="3"/>
  <c r="L366" i="3"/>
  <c r="D366" i="3"/>
  <c r="N365" i="3"/>
  <c r="F365" i="3"/>
  <c r="P364" i="3"/>
  <c r="H364" i="3"/>
  <c r="R363" i="3"/>
  <c r="J363" i="3"/>
  <c r="T362" i="3"/>
  <c r="L362" i="3"/>
  <c r="D362" i="3"/>
  <c r="N361" i="3"/>
  <c r="F361" i="3"/>
  <c r="P360" i="3"/>
  <c r="H360" i="3"/>
  <c r="R359" i="3"/>
  <c r="J359" i="3"/>
  <c r="T358" i="3"/>
  <c r="L358" i="3"/>
  <c r="D358" i="3"/>
  <c r="N357" i="3"/>
  <c r="F357" i="3"/>
  <c r="P356" i="3"/>
  <c r="H356" i="3"/>
  <c r="R355" i="3"/>
  <c r="J355" i="3"/>
  <c r="T354" i="3"/>
  <c r="L354" i="3"/>
  <c r="D354" i="3"/>
  <c r="N353" i="3"/>
  <c r="F353" i="3"/>
  <c r="P352" i="3"/>
  <c r="H352" i="3"/>
  <c r="R351" i="3"/>
  <c r="J351" i="3"/>
  <c r="T350" i="3"/>
  <c r="L350" i="3"/>
  <c r="D350" i="3"/>
  <c r="N349" i="3"/>
  <c r="F349" i="3"/>
  <c r="P348" i="3"/>
  <c r="H348" i="3"/>
  <c r="R347" i="3"/>
  <c r="J347" i="3"/>
  <c r="N396" i="3"/>
  <c r="D393" i="3"/>
  <c r="L389" i="3"/>
  <c r="T385" i="3"/>
  <c r="L382" i="3"/>
  <c r="P381" i="3"/>
  <c r="H381" i="3"/>
  <c r="N380" i="3"/>
  <c r="Q379" i="3"/>
  <c r="I379" i="3"/>
  <c r="S378" i="3"/>
  <c r="K378" i="3"/>
  <c r="M377" i="3"/>
  <c r="E377" i="3"/>
  <c r="O376" i="3"/>
  <c r="G376" i="3"/>
  <c r="Q375" i="3"/>
  <c r="I375" i="3"/>
  <c r="S374" i="3"/>
  <c r="K374" i="3"/>
  <c r="M373" i="3"/>
  <c r="E373" i="3"/>
  <c r="O372" i="3"/>
  <c r="G372" i="3"/>
  <c r="Q371" i="3"/>
  <c r="I371" i="3"/>
  <c r="S370" i="3"/>
  <c r="K370" i="3"/>
  <c r="M369" i="3"/>
  <c r="E369" i="3"/>
  <c r="O368" i="3"/>
  <c r="G368" i="3"/>
  <c r="Q367" i="3"/>
  <c r="I367" i="3"/>
  <c r="S366" i="3"/>
  <c r="K366" i="3"/>
  <c r="M365" i="3"/>
  <c r="E365" i="3"/>
  <c r="O364" i="3"/>
  <c r="G364" i="3"/>
  <c r="Q363" i="3"/>
  <c r="I363" i="3"/>
  <c r="S362" i="3"/>
  <c r="K362" i="3"/>
  <c r="M361" i="3"/>
  <c r="E361" i="3"/>
  <c r="O360" i="3"/>
  <c r="G360" i="3"/>
  <c r="Q359" i="3"/>
  <c r="I359" i="3"/>
  <c r="S358" i="3"/>
  <c r="K358" i="3"/>
  <c r="M357" i="3"/>
  <c r="E357" i="3"/>
  <c r="O356" i="3"/>
  <c r="G356" i="3"/>
  <c r="Q355" i="3"/>
  <c r="I355" i="3"/>
  <c r="S354" i="3"/>
  <c r="K354" i="3"/>
  <c r="M353" i="3"/>
  <c r="E353" i="3"/>
  <c r="O352" i="3"/>
  <c r="G352" i="3"/>
  <c r="Q351" i="3"/>
  <c r="I351" i="3"/>
  <c r="S350" i="3"/>
  <c r="K350" i="3"/>
  <c r="M349" i="3"/>
  <c r="E349" i="3"/>
  <c r="O348" i="3"/>
  <c r="G348" i="3"/>
  <c r="Q347" i="3"/>
  <c r="I347" i="3"/>
  <c r="S346" i="3"/>
  <c r="F396" i="3"/>
  <c r="N392" i="3"/>
  <c r="D389" i="3"/>
  <c r="L385" i="3"/>
  <c r="J382" i="3"/>
  <c r="O381" i="3"/>
  <c r="G381" i="3"/>
  <c r="K380" i="3"/>
  <c r="P379" i="3"/>
  <c r="H379" i="3"/>
  <c r="R378" i="3"/>
  <c r="J378" i="3"/>
  <c r="T377" i="3"/>
  <c r="L377" i="3"/>
  <c r="D377" i="3"/>
  <c r="N376" i="3"/>
  <c r="F376" i="3"/>
  <c r="P375" i="3"/>
  <c r="H375" i="3"/>
  <c r="R374" i="3"/>
  <c r="J374" i="3"/>
  <c r="T373" i="3"/>
  <c r="L373" i="3"/>
  <c r="D373" i="3"/>
  <c r="N372" i="3"/>
  <c r="F372" i="3"/>
  <c r="P371" i="3"/>
  <c r="H371" i="3"/>
  <c r="R370" i="3"/>
  <c r="J370" i="3"/>
  <c r="T369" i="3"/>
  <c r="L369" i="3"/>
  <c r="D369" i="3"/>
  <c r="N368" i="3"/>
  <c r="F368" i="3"/>
  <c r="P367" i="3"/>
  <c r="H367" i="3"/>
  <c r="R366" i="3"/>
  <c r="J366" i="3"/>
  <c r="T365" i="3"/>
  <c r="L365" i="3"/>
  <c r="D365" i="3"/>
  <c r="N364" i="3"/>
  <c r="F364" i="3"/>
  <c r="P363" i="3"/>
  <c r="H363" i="3"/>
  <c r="R362" i="3"/>
  <c r="J362" i="3"/>
  <c r="T361" i="3"/>
  <c r="L361" i="3"/>
  <c r="D361" i="3"/>
  <c r="N360" i="3"/>
  <c r="F360" i="3"/>
  <c r="P359" i="3"/>
  <c r="P395" i="3"/>
  <c r="F392" i="3"/>
  <c r="N388" i="3"/>
  <c r="D385" i="3"/>
  <c r="H382" i="3"/>
  <c r="N381" i="3"/>
  <c r="F381" i="3"/>
  <c r="H380" i="3"/>
  <c r="O379" i="3"/>
  <c r="G379" i="3"/>
  <c r="Q378" i="3"/>
  <c r="I378" i="3"/>
  <c r="S377" i="3"/>
  <c r="K377" i="3"/>
  <c r="M376" i="3"/>
  <c r="E376" i="3"/>
  <c r="O375" i="3"/>
  <c r="G375" i="3"/>
  <c r="Q374" i="3"/>
  <c r="I374" i="3"/>
  <c r="S373" i="3"/>
  <c r="K373" i="3"/>
  <c r="M372" i="3"/>
  <c r="E372" i="3"/>
  <c r="O371" i="3"/>
  <c r="G371" i="3"/>
  <c r="Q370" i="3"/>
  <c r="I370" i="3"/>
  <c r="S369" i="3"/>
  <c r="K369" i="3"/>
  <c r="M368" i="3"/>
  <c r="E368" i="3"/>
  <c r="O367" i="3"/>
  <c r="G367" i="3"/>
  <c r="Q366" i="3"/>
  <c r="I366" i="3"/>
  <c r="S365" i="3"/>
  <c r="K365" i="3"/>
  <c r="M364" i="3"/>
  <c r="E364" i="3"/>
  <c r="O363" i="3"/>
  <c r="G363" i="3"/>
  <c r="Q362" i="3"/>
  <c r="I362" i="3"/>
  <c r="S361" i="3"/>
  <c r="K361" i="3"/>
  <c r="M360" i="3"/>
  <c r="E360" i="3"/>
  <c r="O359" i="3"/>
  <c r="G359" i="3"/>
  <c r="Q358" i="3"/>
  <c r="H395" i="3"/>
  <c r="P391" i="3"/>
  <c r="F388" i="3"/>
  <c r="N384" i="3"/>
  <c r="F382" i="3"/>
  <c r="M381" i="3"/>
  <c r="E381" i="3"/>
  <c r="D380" i="3"/>
  <c r="N379" i="3"/>
  <c r="F379" i="3"/>
  <c r="P378" i="3"/>
  <c r="H378" i="3"/>
  <c r="R377" i="3"/>
  <c r="J377" i="3"/>
  <c r="T376" i="3"/>
  <c r="L376" i="3"/>
  <c r="D376" i="3"/>
  <c r="N375" i="3"/>
  <c r="F375" i="3"/>
  <c r="P374" i="3"/>
  <c r="H374" i="3"/>
  <c r="R373" i="3"/>
  <c r="J373" i="3"/>
  <c r="T372" i="3"/>
  <c r="L372" i="3"/>
  <c r="D372" i="3"/>
  <c r="N371" i="3"/>
  <c r="F371" i="3"/>
  <c r="P370" i="3"/>
  <c r="H370" i="3"/>
  <c r="R369" i="3"/>
  <c r="J369" i="3"/>
  <c r="T368" i="3"/>
  <c r="L368" i="3"/>
  <c r="D368" i="3"/>
  <c r="N367" i="3"/>
  <c r="F367" i="3"/>
  <c r="P366" i="3"/>
  <c r="H366" i="3"/>
  <c r="R365" i="3"/>
  <c r="J365" i="3"/>
  <c r="T364" i="3"/>
  <c r="L364" i="3"/>
  <c r="D364" i="3"/>
  <c r="N363" i="3"/>
  <c r="F363" i="3"/>
  <c r="P362" i="3"/>
  <c r="H362" i="3"/>
  <c r="R361" i="3"/>
  <c r="J361" i="3"/>
  <c r="T360" i="3"/>
  <c r="L360" i="3"/>
  <c r="D360" i="3"/>
  <c r="N359" i="3"/>
  <c r="F359" i="3"/>
  <c r="P358" i="3"/>
  <c r="R394" i="3"/>
  <c r="H391" i="3"/>
  <c r="P387" i="3"/>
  <c r="F384" i="3"/>
  <c r="D382" i="3"/>
  <c r="L381" i="3"/>
  <c r="D381" i="3"/>
  <c r="M379" i="3"/>
  <c r="E379" i="3"/>
  <c r="O378" i="3"/>
  <c r="G378" i="3"/>
  <c r="Q377" i="3"/>
  <c r="I377" i="3"/>
  <c r="S376" i="3"/>
  <c r="K376" i="3"/>
  <c r="M375" i="3"/>
  <c r="E375" i="3"/>
  <c r="O374" i="3"/>
  <c r="G374" i="3"/>
  <c r="Q373" i="3"/>
  <c r="I373" i="3"/>
  <c r="S372" i="3"/>
  <c r="K372" i="3"/>
  <c r="M371" i="3"/>
  <c r="E371" i="3"/>
  <c r="O370" i="3"/>
  <c r="G370" i="3"/>
  <c r="J394" i="3"/>
  <c r="L379" i="3"/>
  <c r="T375" i="3"/>
  <c r="J372" i="3"/>
  <c r="I369" i="3"/>
  <c r="M367" i="3"/>
  <c r="Q365" i="3"/>
  <c r="G362" i="3"/>
  <c r="K360" i="3"/>
  <c r="D359" i="3"/>
  <c r="F358" i="3"/>
  <c r="J357" i="3"/>
  <c r="N356" i="3"/>
  <c r="G355" i="3"/>
  <c r="N354" i="3"/>
  <c r="R353" i="3"/>
  <c r="G353" i="3"/>
  <c r="M352" i="3"/>
  <c r="K351" i="3"/>
  <c r="Q350" i="3"/>
  <c r="G350" i="3"/>
  <c r="O349" i="3"/>
  <c r="K348" i="3"/>
  <c r="S347" i="3"/>
  <c r="G347" i="3"/>
  <c r="P346" i="3"/>
  <c r="H346" i="3"/>
  <c r="R345" i="3"/>
  <c r="J345" i="3"/>
  <c r="T344" i="3"/>
  <c r="L344" i="3"/>
  <c r="D344" i="3"/>
  <c r="N343" i="3"/>
  <c r="F343" i="3"/>
  <c r="P342" i="3"/>
  <c r="H342" i="3"/>
  <c r="R341" i="3"/>
  <c r="J341" i="3"/>
  <c r="T340" i="3"/>
  <c r="L340" i="3"/>
  <c r="D340" i="3"/>
  <c r="N339" i="3"/>
  <c r="F339" i="3"/>
  <c r="P338" i="3"/>
  <c r="H338" i="3"/>
  <c r="R337" i="3"/>
  <c r="J337" i="3"/>
  <c r="T336" i="3"/>
  <c r="L336" i="3"/>
  <c r="D336" i="3"/>
  <c r="N335" i="3"/>
  <c r="F335" i="3"/>
  <c r="P334" i="3"/>
  <c r="H334" i="3"/>
  <c r="R333" i="3"/>
  <c r="J333" i="3"/>
  <c r="T332" i="3"/>
  <c r="L332" i="3"/>
  <c r="D332" i="3"/>
  <c r="N331" i="3"/>
  <c r="F331" i="3"/>
  <c r="P330" i="3"/>
  <c r="H330" i="3"/>
  <c r="R329" i="3"/>
  <c r="J329" i="3"/>
  <c r="T328" i="3"/>
  <c r="L328" i="3"/>
  <c r="D328" i="3"/>
  <c r="M326" i="3"/>
  <c r="E326" i="3"/>
  <c r="O325" i="3"/>
  <c r="G325" i="3"/>
  <c r="Q324" i="3"/>
  <c r="I324" i="3"/>
  <c r="S323" i="3"/>
  <c r="K323" i="3"/>
  <c r="M322" i="3"/>
  <c r="E322" i="3"/>
  <c r="O321" i="3"/>
  <c r="R390" i="3"/>
  <c r="D379" i="3"/>
  <c r="L375" i="3"/>
  <c r="T371" i="3"/>
  <c r="H369" i="3"/>
  <c r="L367" i="3"/>
  <c r="P365" i="3"/>
  <c r="T363" i="3"/>
  <c r="F362" i="3"/>
  <c r="J360" i="3"/>
  <c r="R358" i="3"/>
  <c r="T357" i="3"/>
  <c r="I357" i="3"/>
  <c r="M356" i="3"/>
  <c r="T355" i="3"/>
  <c r="F355" i="3"/>
  <c r="J354" i="3"/>
  <c r="Q353" i="3"/>
  <c r="D353" i="3"/>
  <c r="L352" i="3"/>
  <c r="T351" i="3"/>
  <c r="H351" i="3"/>
  <c r="P350" i="3"/>
  <c r="F350" i="3"/>
  <c r="L349" i="3"/>
  <c r="T348" i="3"/>
  <c r="J348" i="3"/>
  <c r="P347" i="3"/>
  <c r="F347" i="3"/>
  <c r="O346" i="3"/>
  <c r="G346" i="3"/>
  <c r="Q345" i="3"/>
  <c r="I345" i="3"/>
  <c r="S344" i="3"/>
  <c r="K344" i="3"/>
  <c r="H387" i="3"/>
  <c r="N378" i="3"/>
  <c r="D375" i="3"/>
  <c r="L371" i="3"/>
  <c r="S368" i="3"/>
  <c r="E367" i="3"/>
  <c r="I365" i="3"/>
  <c r="M363" i="3"/>
  <c r="Q361" i="3"/>
  <c r="O358" i="3"/>
  <c r="S357" i="3"/>
  <c r="H357" i="3"/>
  <c r="L356" i="3"/>
  <c r="P355" i="3"/>
  <c r="E355" i="3"/>
  <c r="I354" i="3"/>
  <c r="P353" i="3"/>
  <c r="K352" i="3"/>
  <c r="S351" i="3"/>
  <c r="G351" i="3"/>
  <c r="O350" i="3"/>
  <c r="E350" i="3"/>
  <c r="K349" i="3"/>
  <c r="S348" i="3"/>
  <c r="I348" i="3"/>
  <c r="O347" i="3"/>
  <c r="E347" i="3"/>
  <c r="N346" i="3"/>
  <c r="F346" i="3"/>
  <c r="P345" i="3"/>
  <c r="H345" i="3"/>
  <c r="R344" i="3"/>
  <c r="J344" i="3"/>
  <c r="T343" i="3"/>
  <c r="L343" i="3"/>
  <c r="D343" i="3"/>
  <c r="N342" i="3"/>
  <c r="F342" i="3"/>
  <c r="P341" i="3"/>
  <c r="H341" i="3"/>
  <c r="R340" i="3"/>
  <c r="J340" i="3"/>
  <c r="T339" i="3"/>
  <c r="L339" i="3"/>
  <c r="D339" i="3"/>
  <c r="N338" i="3"/>
  <c r="F338" i="3"/>
  <c r="P337" i="3"/>
  <c r="H337" i="3"/>
  <c r="R336" i="3"/>
  <c r="J336" i="3"/>
  <c r="T335" i="3"/>
  <c r="L335" i="3"/>
  <c r="D335" i="3"/>
  <c r="N334" i="3"/>
  <c r="F334" i="3"/>
  <c r="P333" i="3"/>
  <c r="H333" i="3"/>
  <c r="R332" i="3"/>
  <c r="J332" i="3"/>
  <c r="T331" i="3"/>
  <c r="L331" i="3"/>
  <c r="D331" i="3"/>
  <c r="N330" i="3"/>
  <c r="F330" i="3"/>
  <c r="P329" i="3"/>
  <c r="H329" i="3"/>
  <c r="R328" i="3"/>
  <c r="J328" i="3"/>
  <c r="T327" i="3"/>
  <c r="S326" i="3"/>
  <c r="K326" i="3"/>
  <c r="M325" i="3"/>
  <c r="E325" i="3"/>
  <c r="O324" i="3"/>
  <c r="G324" i="3"/>
  <c r="Q323" i="3"/>
  <c r="I323" i="3"/>
  <c r="S322" i="3"/>
  <c r="K322" i="3"/>
  <c r="M321" i="3"/>
  <c r="P383" i="3"/>
  <c r="F378" i="3"/>
  <c r="N374" i="3"/>
  <c r="D371" i="3"/>
  <c r="R368" i="3"/>
  <c r="D367" i="3"/>
  <c r="H365" i="3"/>
  <c r="L363" i="3"/>
  <c r="P361" i="3"/>
  <c r="T359" i="3"/>
  <c r="N358" i="3"/>
  <c r="R357" i="3"/>
  <c r="D357" i="3"/>
  <c r="K356" i="3"/>
  <c r="O355" i="3"/>
  <c r="D355" i="3"/>
  <c r="H354" i="3"/>
  <c r="L353" i="3"/>
  <c r="T352" i="3"/>
  <c r="J352" i="3"/>
  <c r="P351" i="3"/>
  <c r="F351" i="3"/>
  <c r="N350" i="3"/>
  <c r="T349" i="3"/>
  <c r="J349" i="3"/>
  <c r="R348" i="3"/>
  <c r="F348" i="3"/>
  <c r="N347" i="3"/>
  <c r="D347" i="3"/>
  <c r="M346" i="3"/>
  <c r="E346" i="3"/>
  <c r="O345" i="3"/>
  <c r="G345" i="3"/>
  <c r="Q344" i="3"/>
  <c r="I344" i="3"/>
  <c r="S343" i="3"/>
  <c r="K343" i="3"/>
  <c r="M342" i="3"/>
  <c r="E342" i="3"/>
  <c r="O341" i="3"/>
  <c r="G341" i="3"/>
  <c r="Q340" i="3"/>
  <c r="I340" i="3"/>
  <c r="S339" i="3"/>
  <c r="K339" i="3"/>
  <c r="M338" i="3"/>
  <c r="E338" i="3"/>
  <c r="O337" i="3"/>
  <c r="G337" i="3"/>
  <c r="Q336" i="3"/>
  <c r="I336" i="3"/>
  <c r="S335" i="3"/>
  <c r="K335" i="3"/>
  <c r="M334" i="3"/>
  <c r="E334" i="3"/>
  <c r="O333" i="3"/>
  <c r="G333" i="3"/>
  <c r="Q332" i="3"/>
  <c r="I332" i="3"/>
  <c r="S331" i="3"/>
  <c r="K331" i="3"/>
  <c r="M330" i="3"/>
  <c r="E330" i="3"/>
  <c r="O329" i="3"/>
  <c r="G329" i="3"/>
  <c r="Q328" i="3"/>
  <c r="I328" i="3"/>
  <c r="Q327" i="3"/>
  <c r="R326" i="3"/>
  <c r="J326" i="3"/>
  <c r="T325" i="3"/>
  <c r="L325" i="3"/>
  <c r="D325" i="3"/>
  <c r="T381" i="3"/>
  <c r="P377" i="3"/>
  <c r="F374" i="3"/>
  <c r="N370" i="3"/>
  <c r="K368" i="3"/>
  <c r="O366" i="3"/>
  <c r="S364" i="3"/>
  <c r="E363" i="3"/>
  <c r="I361" i="3"/>
  <c r="M359" i="3"/>
  <c r="J358" i="3"/>
  <c r="Q357" i="3"/>
  <c r="J356" i="3"/>
  <c r="N355" i="3"/>
  <c r="R354" i="3"/>
  <c r="G354" i="3"/>
  <c r="K353" i="3"/>
  <c r="S352" i="3"/>
  <c r="I352" i="3"/>
  <c r="O351" i="3"/>
  <c r="E351" i="3"/>
  <c r="M350" i="3"/>
  <c r="S349" i="3"/>
  <c r="I349" i="3"/>
  <c r="Q348" i="3"/>
  <c r="E348" i="3"/>
  <c r="M347" i="3"/>
  <c r="L346" i="3"/>
  <c r="D346" i="3"/>
  <c r="N345" i="3"/>
  <c r="F345" i="3"/>
  <c r="P344" i="3"/>
  <c r="H344" i="3"/>
  <c r="R343" i="3"/>
  <c r="J343" i="3"/>
  <c r="T342" i="3"/>
  <c r="L342" i="3"/>
  <c r="D342" i="3"/>
  <c r="N341" i="3"/>
  <c r="F341" i="3"/>
  <c r="P340" i="3"/>
  <c r="H340" i="3"/>
  <c r="R339" i="3"/>
  <c r="J339" i="3"/>
  <c r="T338" i="3"/>
  <c r="L338" i="3"/>
  <c r="D338" i="3"/>
  <c r="N337" i="3"/>
  <c r="F337" i="3"/>
  <c r="P336" i="3"/>
  <c r="H336" i="3"/>
  <c r="R335" i="3"/>
  <c r="J335" i="3"/>
  <c r="T334" i="3"/>
  <c r="L334" i="3"/>
  <c r="D334" i="3"/>
  <c r="N333" i="3"/>
  <c r="F333" i="3"/>
  <c r="P332" i="3"/>
  <c r="H332" i="3"/>
  <c r="R331" i="3"/>
  <c r="J331" i="3"/>
  <c r="T330" i="3"/>
  <c r="L330" i="3"/>
  <c r="D330" i="3"/>
  <c r="N329" i="3"/>
  <c r="F329" i="3"/>
  <c r="P328" i="3"/>
  <c r="H328" i="3"/>
  <c r="N327" i="3"/>
  <c r="K381" i="3"/>
  <c r="H377" i="3"/>
  <c r="P373" i="3"/>
  <c r="F370" i="3"/>
  <c r="J368" i="3"/>
  <c r="N366" i="3"/>
  <c r="R364" i="3"/>
  <c r="D363" i="3"/>
  <c r="H361" i="3"/>
  <c r="L359" i="3"/>
  <c r="I358" i="3"/>
  <c r="P357" i="3"/>
  <c r="T356" i="3"/>
  <c r="F356" i="3"/>
  <c r="M355" i="3"/>
  <c r="Q354" i="3"/>
  <c r="F354" i="3"/>
  <c r="J353" i="3"/>
  <c r="R352" i="3"/>
  <c r="F352" i="3"/>
  <c r="N351" i="3"/>
  <c r="D351" i="3"/>
  <c r="J350" i="3"/>
  <c r="R349" i="3"/>
  <c r="H349" i="3"/>
  <c r="N348" i="3"/>
  <c r="D348" i="3"/>
  <c r="L347" i="3"/>
  <c r="T346" i="3"/>
  <c r="K346" i="3"/>
  <c r="M345" i="3"/>
  <c r="E345" i="3"/>
  <c r="O344" i="3"/>
  <c r="G344" i="3"/>
  <c r="Q343" i="3"/>
  <c r="I343" i="3"/>
  <c r="S342" i="3"/>
  <c r="K342" i="3"/>
  <c r="M341" i="3"/>
  <c r="E341" i="3"/>
  <c r="O340" i="3"/>
  <c r="G340" i="3"/>
  <c r="Q339" i="3"/>
  <c r="I339" i="3"/>
  <c r="S338" i="3"/>
  <c r="K338" i="3"/>
  <c r="M337" i="3"/>
  <c r="E337" i="3"/>
  <c r="O336" i="3"/>
  <c r="G336" i="3"/>
  <c r="Q335" i="3"/>
  <c r="I335" i="3"/>
  <c r="S334" i="3"/>
  <c r="K334" i="3"/>
  <c r="M333" i="3"/>
  <c r="E333" i="3"/>
  <c r="O332" i="3"/>
  <c r="G332" i="3"/>
  <c r="Q331" i="3"/>
  <c r="I331" i="3"/>
  <c r="S330" i="3"/>
  <c r="K330" i="3"/>
  <c r="M329" i="3"/>
  <c r="E329" i="3"/>
  <c r="O328" i="3"/>
  <c r="G328" i="3"/>
  <c r="K327" i="3"/>
  <c r="P326" i="3"/>
  <c r="H326" i="3"/>
  <c r="R376" i="3"/>
  <c r="H373" i="3"/>
  <c r="Q369" i="3"/>
  <c r="G366" i="3"/>
  <c r="K364" i="3"/>
  <c r="O362" i="3"/>
  <c r="S360" i="3"/>
  <c r="H359" i="3"/>
  <c r="H358" i="3"/>
  <c r="L357" i="3"/>
  <c r="S356" i="3"/>
  <c r="E356" i="3"/>
  <c r="L355" i="3"/>
  <c r="P354" i="3"/>
  <c r="T353" i="3"/>
  <c r="I353" i="3"/>
  <c r="Q352" i="3"/>
  <c r="E352" i="3"/>
  <c r="M351" i="3"/>
  <c r="I350" i="3"/>
  <c r="Q349" i="3"/>
  <c r="G349" i="3"/>
  <c r="M348" i="3"/>
  <c r="K347" i="3"/>
  <c r="R346" i="3"/>
  <c r="J346" i="3"/>
  <c r="T345" i="3"/>
  <c r="L345" i="3"/>
  <c r="D345" i="3"/>
  <c r="N344" i="3"/>
  <c r="F344" i="3"/>
  <c r="P343" i="3"/>
  <c r="H343" i="3"/>
  <c r="R342" i="3"/>
  <c r="J342" i="3"/>
  <c r="T341" i="3"/>
  <c r="L341" i="3"/>
  <c r="D341" i="3"/>
  <c r="N340" i="3"/>
  <c r="F340" i="3"/>
  <c r="P339" i="3"/>
  <c r="H339" i="3"/>
  <c r="R338" i="3"/>
  <c r="J338" i="3"/>
  <c r="T337" i="3"/>
  <c r="L337" i="3"/>
  <c r="D337" i="3"/>
  <c r="N336" i="3"/>
  <c r="F336" i="3"/>
  <c r="P335" i="3"/>
  <c r="H335" i="3"/>
  <c r="R334" i="3"/>
  <c r="J334" i="3"/>
  <c r="T333" i="3"/>
  <c r="L333" i="3"/>
  <c r="D333" i="3"/>
  <c r="N332" i="3"/>
  <c r="F332" i="3"/>
  <c r="P331" i="3"/>
  <c r="H331" i="3"/>
  <c r="R330" i="3"/>
  <c r="J330" i="3"/>
  <c r="T329" i="3"/>
  <c r="L329" i="3"/>
  <c r="D329" i="3"/>
  <c r="N328" i="3"/>
  <c r="F328" i="3"/>
  <c r="H327" i="3"/>
  <c r="O326" i="3"/>
  <c r="G326" i="3"/>
  <c r="Q325" i="3"/>
  <c r="T379" i="3"/>
  <c r="R360" i="3"/>
  <c r="S353" i="3"/>
  <c r="D349" i="3"/>
  <c r="Q342" i="3"/>
  <c r="G339" i="3"/>
  <c r="K337" i="3"/>
  <c r="O335" i="3"/>
  <c r="S333" i="3"/>
  <c r="E332" i="3"/>
  <c r="I330" i="3"/>
  <c r="M328" i="3"/>
  <c r="L326" i="3"/>
  <c r="K325" i="3"/>
  <c r="R324" i="3"/>
  <c r="F324" i="3"/>
  <c r="N323" i="3"/>
  <c r="D323" i="3"/>
  <c r="J322" i="3"/>
  <c r="R321" i="3"/>
  <c r="H321" i="3"/>
  <c r="R320" i="3"/>
  <c r="J320" i="3"/>
  <c r="T319" i="3"/>
  <c r="L319" i="3"/>
  <c r="D319" i="3"/>
  <c r="N318" i="3"/>
  <c r="F318" i="3"/>
  <c r="P317" i="3"/>
  <c r="H317" i="3"/>
  <c r="R316" i="3"/>
  <c r="J316" i="3"/>
  <c r="T315" i="3"/>
  <c r="L315" i="3"/>
  <c r="D315" i="3"/>
  <c r="N314" i="3"/>
  <c r="F314" i="3"/>
  <c r="P313" i="3"/>
  <c r="H313" i="3"/>
  <c r="R312" i="3"/>
  <c r="J312" i="3"/>
  <c r="T311" i="3"/>
  <c r="L311" i="3"/>
  <c r="D311" i="3"/>
  <c r="N310" i="3"/>
  <c r="F310" i="3"/>
  <c r="P309" i="3"/>
  <c r="H309" i="3"/>
  <c r="R308" i="3"/>
  <c r="J308" i="3"/>
  <c r="T307" i="3"/>
  <c r="L307" i="3"/>
  <c r="D307" i="3"/>
  <c r="N306" i="3"/>
  <c r="F306" i="3"/>
  <c r="P305" i="3"/>
  <c r="H305" i="3"/>
  <c r="R304" i="3"/>
  <c r="J304" i="3"/>
  <c r="T303" i="3"/>
  <c r="L303" i="3"/>
  <c r="D303" i="3"/>
  <c r="N302" i="3"/>
  <c r="F302" i="3"/>
  <c r="P301" i="3"/>
  <c r="H301" i="3"/>
  <c r="R300" i="3"/>
  <c r="J300" i="3"/>
  <c r="T299" i="3"/>
  <c r="L299" i="3"/>
  <c r="D299" i="3"/>
  <c r="N298" i="3"/>
  <c r="F298" i="3"/>
  <c r="P297" i="3"/>
  <c r="H297" i="3"/>
  <c r="R296" i="3"/>
  <c r="J376" i="3"/>
  <c r="E359" i="3"/>
  <c r="H353" i="3"/>
  <c r="L348" i="3"/>
  <c r="M344" i="3"/>
  <c r="O342" i="3"/>
  <c r="S340" i="3"/>
  <c r="E339" i="3"/>
  <c r="I337" i="3"/>
  <c r="M335" i="3"/>
  <c r="Q333" i="3"/>
  <c r="G330" i="3"/>
  <c r="K328" i="3"/>
  <c r="I326" i="3"/>
  <c r="J325" i="3"/>
  <c r="P324" i="3"/>
  <c r="E324" i="3"/>
  <c r="M323" i="3"/>
  <c r="T322" i="3"/>
  <c r="I322" i="3"/>
  <c r="Q321" i="3"/>
  <c r="G321" i="3"/>
  <c r="Q320" i="3"/>
  <c r="I320" i="3"/>
  <c r="S319" i="3"/>
  <c r="K319" i="3"/>
  <c r="M318" i="3"/>
  <c r="E318" i="3"/>
  <c r="O317" i="3"/>
  <c r="G317" i="3"/>
  <c r="Q316" i="3"/>
  <c r="I316" i="3"/>
  <c r="S315" i="3"/>
  <c r="K315" i="3"/>
  <c r="M314" i="3"/>
  <c r="E314" i="3"/>
  <c r="O313" i="3"/>
  <c r="G313" i="3"/>
  <c r="Q312" i="3"/>
  <c r="I312" i="3"/>
  <c r="S311" i="3"/>
  <c r="K311" i="3"/>
  <c r="M310" i="3"/>
  <c r="E310" i="3"/>
  <c r="O309" i="3"/>
  <c r="G309" i="3"/>
  <c r="Q308" i="3"/>
  <c r="I308" i="3"/>
  <c r="S307" i="3"/>
  <c r="K307" i="3"/>
  <c r="M306" i="3"/>
  <c r="E306" i="3"/>
  <c r="O305" i="3"/>
  <c r="G305" i="3"/>
  <c r="Q304" i="3"/>
  <c r="I304" i="3"/>
  <c r="S303" i="3"/>
  <c r="K303" i="3"/>
  <c r="M302" i="3"/>
  <c r="E302" i="3"/>
  <c r="O301" i="3"/>
  <c r="G301" i="3"/>
  <c r="Q300" i="3"/>
  <c r="I300" i="3"/>
  <c r="S299" i="3"/>
  <c r="K299" i="3"/>
  <c r="M298" i="3"/>
  <c r="E298" i="3"/>
  <c r="O297" i="3"/>
  <c r="G297" i="3"/>
  <c r="Q296" i="3"/>
  <c r="I296" i="3"/>
  <c r="S295" i="3"/>
  <c r="K295" i="3"/>
  <c r="M294" i="3"/>
  <c r="E294" i="3"/>
  <c r="O293" i="3"/>
  <c r="R372" i="3"/>
  <c r="G358" i="3"/>
  <c r="N352" i="3"/>
  <c r="T347" i="3"/>
  <c r="E344" i="3"/>
  <c r="I342" i="3"/>
  <c r="M340" i="3"/>
  <c r="Q338" i="3"/>
  <c r="G335" i="3"/>
  <c r="K333" i="3"/>
  <c r="O331" i="3"/>
  <c r="S329" i="3"/>
  <c r="E328" i="3"/>
  <c r="F326" i="3"/>
  <c r="I325" i="3"/>
  <c r="N324" i="3"/>
  <c r="D324" i="3"/>
  <c r="L323" i="3"/>
  <c r="R322" i="3"/>
  <c r="H322" i="3"/>
  <c r="P321" i="3"/>
  <c r="F321" i="3"/>
  <c r="P320" i="3"/>
  <c r="H320" i="3"/>
  <c r="R319" i="3"/>
  <c r="J319" i="3"/>
  <c r="T318" i="3"/>
  <c r="L318" i="3"/>
  <c r="D318" i="3"/>
  <c r="N317" i="3"/>
  <c r="F317" i="3"/>
  <c r="P316" i="3"/>
  <c r="H316" i="3"/>
  <c r="R315" i="3"/>
  <c r="J315" i="3"/>
  <c r="T314" i="3"/>
  <c r="L314" i="3"/>
  <c r="D314" i="3"/>
  <c r="N313" i="3"/>
  <c r="F313" i="3"/>
  <c r="P312" i="3"/>
  <c r="H312" i="3"/>
  <c r="R311" i="3"/>
  <c r="J311" i="3"/>
  <c r="T310" i="3"/>
  <c r="L310" i="3"/>
  <c r="D310" i="3"/>
  <c r="N309" i="3"/>
  <c r="F309" i="3"/>
  <c r="P308" i="3"/>
  <c r="H308" i="3"/>
  <c r="R307" i="3"/>
  <c r="J307" i="3"/>
  <c r="T306" i="3"/>
  <c r="L306" i="3"/>
  <c r="D306" i="3"/>
  <c r="N305" i="3"/>
  <c r="F305" i="3"/>
  <c r="P304" i="3"/>
  <c r="H304" i="3"/>
  <c r="R303" i="3"/>
  <c r="J303" i="3"/>
  <c r="T302" i="3"/>
  <c r="L302" i="3"/>
  <c r="D302" i="3"/>
  <c r="N301" i="3"/>
  <c r="F301" i="3"/>
  <c r="P300" i="3"/>
  <c r="H300" i="3"/>
  <c r="R299" i="3"/>
  <c r="J299" i="3"/>
  <c r="T298" i="3"/>
  <c r="L298" i="3"/>
  <c r="D298" i="3"/>
  <c r="N297" i="3"/>
  <c r="F297" i="3"/>
  <c r="P296" i="3"/>
  <c r="H296" i="3"/>
  <c r="R295" i="3"/>
  <c r="J295" i="3"/>
  <c r="P369" i="3"/>
  <c r="K357" i="3"/>
  <c r="D352" i="3"/>
  <c r="H347" i="3"/>
  <c r="G342" i="3"/>
  <c r="K340" i="3"/>
  <c r="O338" i="3"/>
  <c r="S336" i="3"/>
  <c r="E335" i="3"/>
  <c r="I333" i="3"/>
  <c r="M331" i="3"/>
  <c r="Q329" i="3"/>
  <c r="D326" i="3"/>
  <c r="H325" i="3"/>
  <c r="M324" i="3"/>
  <c r="J323" i="3"/>
  <c r="Q322" i="3"/>
  <c r="G322" i="3"/>
  <c r="N321" i="3"/>
  <c r="E321" i="3"/>
  <c r="O320" i="3"/>
  <c r="G320" i="3"/>
  <c r="Q319" i="3"/>
  <c r="I319" i="3"/>
  <c r="S318" i="3"/>
  <c r="K318" i="3"/>
  <c r="M317" i="3"/>
  <c r="E317" i="3"/>
  <c r="O316" i="3"/>
  <c r="G316" i="3"/>
  <c r="Q315" i="3"/>
  <c r="I315" i="3"/>
  <c r="S314" i="3"/>
  <c r="K314" i="3"/>
  <c r="M313" i="3"/>
  <c r="E313" i="3"/>
  <c r="O312" i="3"/>
  <c r="G312" i="3"/>
  <c r="Q311" i="3"/>
  <c r="I311" i="3"/>
  <c r="S310" i="3"/>
  <c r="K310" i="3"/>
  <c r="M309" i="3"/>
  <c r="E309" i="3"/>
  <c r="O308" i="3"/>
  <c r="G308" i="3"/>
  <c r="Q307" i="3"/>
  <c r="I307" i="3"/>
  <c r="S306" i="3"/>
  <c r="K306" i="3"/>
  <c r="M305" i="3"/>
  <c r="E305" i="3"/>
  <c r="O304" i="3"/>
  <c r="G304" i="3"/>
  <c r="Q303" i="3"/>
  <c r="I303" i="3"/>
  <c r="S302" i="3"/>
  <c r="K302" i="3"/>
  <c r="M301" i="3"/>
  <c r="E301" i="3"/>
  <c r="O300" i="3"/>
  <c r="G300" i="3"/>
  <c r="Q299" i="3"/>
  <c r="I299" i="3"/>
  <c r="S298" i="3"/>
  <c r="K298" i="3"/>
  <c r="M297" i="3"/>
  <c r="E297" i="3"/>
  <c r="O296" i="3"/>
  <c r="G296" i="3"/>
  <c r="Q295" i="3"/>
  <c r="I295" i="3"/>
  <c r="S294" i="3"/>
  <c r="K294" i="3"/>
  <c r="M293" i="3"/>
  <c r="T367" i="3"/>
  <c r="R356" i="3"/>
  <c r="L351" i="3"/>
  <c r="Q346" i="3"/>
  <c r="O343" i="3"/>
  <c r="S341" i="3"/>
  <c r="E340" i="3"/>
  <c r="I338" i="3"/>
  <c r="M336" i="3"/>
  <c r="Q334" i="3"/>
  <c r="G331" i="3"/>
  <c r="K329" i="3"/>
  <c r="D327" i="3"/>
  <c r="S325" i="3"/>
  <c r="F325" i="3"/>
  <c r="L324" i="3"/>
  <c r="T323" i="3"/>
  <c r="H323" i="3"/>
  <c r="P322" i="3"/>
  <c r="F322" i="3"/>
  <c r="L321" i="3"/>
  <c r="D321" i="3"/>
  <c r="N320" i="3"/>
  <c r="F320" i="3"/>
  <c r="P319" i="3"/>
  <c r="H319" i="3"/>
  <c r="R318" i="3"/>
  <c r="J318" i="3"/>
  <c r="T317" i="3"/>
  <c r="L317" i="3"/>
  <c r="D317" i="3"/>
  <c r="N316" i="3"/>
  <c r="F316" i="3"/>
  <c r="P315" i="3"/>
  <c r="H315" i="3"/>
  <c r="R314" i="3"/>
  <c r="J314" i="3"/>
  <c r="T313" i="3"/>
  <c r="L313" i="3"/>
  <c r="D313" i="3"/>
  <c r="N312" i="3"/>
  <c r="F312" i="3"/>
  <c r="P311" i="3"/>
  <c r="H311" i="3"/>
  <c r="R310" i="3"/>
  <c r="J310" i="3"/>
  <c r="T309" i="3"/>
  <c r="L309" i="3"/>
  <c r="D309" i="3"/>
  <c r="N308" i="3"/>
  <c r="F308" i="3"/>
  <c r="P307" i="3"/>
  <c r="H307" i="3"/>
  <c r="R306" i="3"/>
  <c r="J306" i="3"/>
  <c r="T305" i="3"/>
  <c r="L305" i="3"/>
  <c r="D305" i="3"/>
  <c r="N304" i="3"/>
  <c r="F304" i="3"/>
  <c r="P303" i="3"/>
  <c r="H303" i="3"/>
  <c r="R302" i="3"/>
  <c r="J302" i="3"/>
  <c r="T301" i="3"/>
  <c r="L301" i="3"/>
  <c r="D301" i="3"/>
  <c r="N300" i="3"/>
  <c r="F300" i="3"/>
  <c r="P299" i="3"/>
  <c r="H299" i="3"/>
  <c r="R298" i="3"/>
  <c r="J298" i="3"/>
  <c r="T297" i="3"/>
  <c r="L297" i="3"/>
  <c r="D297" i="3"/>
  <c r="N296" i="3"/>
  <c r="F296" i="3"/>
  <c r="P295" i="3"/>
  <c r="H295" i="3"/>
  <c r="R294" i="3"/>
  <c r="J294" i="3"/>
  <c r="F366" i="3"/>
  <c r="D356" i="3"/>
  <c r="R350" i="3"/>
  <c r="I346" i="3"/>
  <c r="M343" i="3"/>
  <c r="Q341" i="3"/>
  <c r="G338" i="3"/>
  <c r="K336" i="3"/>
  <c r="O334" i="3"/>
  <c r="S332" i="3"/>
  <c r="E331" i="3"/>
  <c r="I329" i="3"/>
  <c r="T326" i="3"/>
  <c r="R325" i="3"/>
  <c r="K324" i="3"/>
  <c r="R323" i="3"/>
  <c r="G323" i="3"/>
  <c r="O322" i="3"/>
  <c r="D322" i="3"/>
  <c r="K321" i="3"/>
  <c r="M320" i="3"/>
  <c r="E320" i="3"/>
  <c r="O319" i="3"/>
  <c r="G319" i="3"/>
  <c r="Q318" i="3"/>
  <c r="I318" i="3"/>
  <c r="S317" i="3"/>
  <c r="K317" i="3"/>
  <c r="M316" i="3"/>
  <c r="E316" i="3"/>
  <c r="O315" i="3"/>
  <c r="G315" i="3"/>
  <c r="Q314" i="3"/>
  <c r="I314" i="3"/>
  <c r="S313" i="3"/>
  <c r="K313" i="3"/>
  <c r="M312" i="3"/>
  <c r="E312" i="3"/>
  <c r="O311" i="3"/>
  <c r="G311" i="3"/>
  <c r="Q310" i="3"/>
  <c r="I310" i="3"/>
  <c r="S309" i="3"/>
  <c r="K309" i="3"/>
  <c r="M308" i="3"/>
  <c r="E308" i="3"/>
  <c r="O307" i="3"/>
  <c r="G307" i="3"/>
  <c r="Q306" i="3"/>
  <c r="I306" i="3"/>
  <c r="S305" i="3"/>
  <c r="K305" i="3"/>
  <c r="M304" i="3"/>
  <c r="E304" i="3"/>
  <c r="O303" i="3"/>
  <c r="G303" i="3"/>
  <c r="Q302" i="3"/>
  <c r="I302" i="3"/>
  <c r="S301" i="3"/>
  <c r="K301" i="3"/>
  <c r="M300" i="3"/>
  <c r="E300" i="3"/>
  <c r="O299" i="3"/>
  <c r="G299" i="3"/>
  <c r="Q298" i="3"/>
  <c r="I298" i="3"/>
  <c r="S297" i="3"/>
  <c r="K297" i="3"/>
  <c r="M296" i="3"/>
  <c r="E296" i="3"/>
  <c r="O295" i="3"/>
  <c r="G295" i="3"/>
  <c r="Q294" i="3"/>
  <c r="I294" i="3"/>
  <c r="S293" i="3"/>
  <c r="J364" i="3"/>
  <c r="H355" i="3"/>
  <c r="H350" i="3"/>
  <c r="S345" i="3"/>
  <c r="G343" i="3"/>
  <c r="K341" i="3"/>
  <c r="O339" i="3"/>
  <c r="S337" i="3"/>
  <c r="E336" i="3"/>
  <c r="I334" i="3"/>
  <c r="M332" i="3"/>
  <c r="Q330" i="3"/>
  <c r="Q326" i="3"/>
  <c r="P325" i="3"/>
  <c r="T324" i="3"/>
  <c r="J324" i="3"/>
  <c r="P323" i="3"/>
  <c r="F323" i="3"/>
  <c r="N322" i="3"/>
  <c r="T321" i="3"/>
  <c r="J321" i="3"/>
  <c r="T320" i="3"/>
  <c r="L320" i="3"/>
  <c r="D320" i="3"/>
  <c r="N319" i="3"/>
  <c r="F319" i="3"/>
  <c r="P318" i="3"/>
  <c r="H318" i="3"/>
  <c r="R317" i="3"/>
  <c r="J317" i="3"/>
  <c r="T316" i="3"/>
  <c r="L316" i="3"/>
  <c r="D316" i="3"/>
  <c r="N315" i="3"/>
  <c r="F315" i="3"/>
  <c r="P314" i="3"/>
  <c r="H314" i="3"/>
  <c r="R313" i="3"/>
  <c r="J313" i="3"/>
  <c r="T312" i="3"/>
  <c r="L312" i="3"/>
  <c r="D312" i="3"/>
  <c r="N311" i="3"/>
  <c r="F311" i="3"/>
  <c r="P310" i="3"/>
  <c r="H310" i="3"/>
  <c r="R309" i="3"/>
  <c r="J309" i="3"/>
  <c r="T308" i="3"/>
  <c r="L308" i="3"/>
  <c r="D308" i="3"/>
  <c r="N307" i="3"/>
  <c r="F307" i="3"/>
  <c r="P306" i="3"/>
  <c r="H306" i="3"/>
  <c r="R305" i="3"/>
  <c r="J305" i="3"/>
  <c r="T304" i="3"/>
  <c r="L304" i="3"/>
  <c r="D304" i="3"/>
  <c r="N303" i="3"/>
  <c r="F303" i="3"/>
  <c r="P302" i="3"/>
  <c r="H302" i="3"/>
  <c r="R301" i="3"/>
  <c r="J301" i="3"/>
  <c r="T300" i="3"/>
  <c r="L300" i="3"/>
  <c r="D300" i="3"/>
  <c r="N299" i="3"/>
  <c r="F299" i="3"/>
  <c r="P298" i="3"/>
  <c r="H298" i="3"/>
  <c r="R297" i="3"/>
  <c r="J297" i="3"/>
  <c r="T296" i="3"/>
  <c r="N362" i="3"/>
  <c r="H324" i="3"/>
  <c r="K316" i="3"/>
  <c r="S312" i="3"/>
  <c r="I309" i="3"/>
  <c r="Q305" i="3"/>
  <c r="G302" i="3"/>
  <c r="O298" i="3"/>
  <c r="D296" i="3"/>
  <c r="D295" i="3"/>
  <c r="F294" i="3"/>
  <c r="K293" i="3"/>
  <c r="M292" i="3"/>
  <c r="E292" i="3"/>
  <c r="O291" i="3"/>
  <c r="G291" i="3"/>
  <c r="Q290" i="3"/>
  <c r="I290" i="3"/>
  <c r="S289" i="3"/>
  <c r="K289" i="3"/>
  <c r="M288" i="3"/>
  <c r="E288" i="3"/>
  <c r="O287" i="3"/>
  <c r="G287" i="3"/>
  <c r="Q286" i="3"/>
  <c r="I286" i="3"/>
  <c r="S285" i="3"/>
  <c r="K285" i="3"/>
  <c r="M284" i="3"/>
  <c r="E284" i="3"/>
  <c r="O283" i="3"/>
  <c r="G283" i="3"/>
  <c r="Q282" i="3"/>
  <c r="I282" i="3"/>
  <c r="S281" i="3"/>
  <c r="K281" i="3"/>
  <c r="M280" i="3"/>
  <c r="E280" i="3"/>
  <c r="O279" i="3"/>
  <c r="G279" i="3"/>
  <c r="Q278" i="3"/>
  <c r="I278" i="3"/>
  <c r="S277" i="3"/>
  <c r="K277" i="3"/>
  <c r="M276" i="3"/>
  <c r="E276" i="3"/>
  <c r="O275" i="3"/>
  <c r="G275" i="3"/>
  <c r="Q274" i="3"/>
  <c r="I274" i="3"/>
  <c r="S273" i="3"/>
  <c r="K273" i="3"/>
  <c r="M272" i="3"/>
  <c r="E272" i="3"/>
  <c r="O271" i="3"/>
  <c r="G271" i="3"/>
  <c r="Q270" i="3"/>
  <c r="I270" i="3"/>
  <c r="S269" i="3"/>
  <c r="K269" i="3"/>
  <c r="M268" i="3"/>
  <c r="E268" i="3"/>
  <c r="O267" i="3"/>
  <c r="G267" i="3"/>
  <c r="Q266" i="3"/>
  <c r="I266" i="3"/>
  <c r="S265" i="3"/>
  <c r="K265" i="3"/>
  <c r="M264" i="3"/>
  <c r="E264" i="3"/>
  <c r="O263" i="3"/>
  <c r="G263" i="3"/>
  <c r="Q262" i="3"/>
  <c r="I262" i="3"/>
  <c r="S261" i="3"/>
  <c r="K261" i="3"/>
  <c r="M260" i="3"/>
  <c r="E260" i="3"/>
  <c r="O259" i="3"/>
  <c r="G259" i="3"/>
  <c r="Q258" i="3"/>
  <c r="I258" i="3"/>
  <c r="S257" i="3"/>
  <c r="K257" i="3"/>
  <c r="M256" i="3"/>
  <c r="E256" i="3"/>
  <c r="O255" i="3"/>
  <c r="G255" i="3"/>
  <c r="Q254" i="3"/>
  <c r="I254" i="3"/>
  <c r="S253" i="3"/>
  <c r="K253" i="3"/>
  <c r="O354" i="3"/>
  <c r="G334" i="3"/>
  <c r="O323" i="3"/>
  <c r="M319" i="3"/>
  <c r="K312" i="3"/>
  <c r="S308" i="3"/>
  <c r="I305" i="3"/>
  <c r="Q301" i="3"/>
  <c r="G298" i="3"/>
  <c r="T294" i="3"/>
  <c r="D294" i="3"/>
  <c r="J293" i="3"/>
  <c r="T292" i="3"/>
  <c r="L292" i="3"/>
  <c r="D292" i="3"/>
  <c r="N291" i="3"/>
  <c r="F291" i="3"/>
  <c r="P290" i="3"/>
  <c r="H290" i="3"/>
  <c r="R289" i="3"/>
  <c r="J289" i="3"/>
  <c r="T288" i="3"/>
  <c r="L288" i="3"/>
  <c r="D288" i="3"/>
  <c r="N287" i="3"/>
  <c r="F287" i="3"/>
  <c r="P286" i="3"/>
  <c r="H286" i="3"/>
  <c r="R285" i="3"/>
  <c r="J285" i="3"/>
  <c r="T284" i="3"/>
  <c r="L284" i="3"/>
  <c r="D284" i="3"/>
  <c r="N283" i="3"/>
  <c r="F283" i="3"/>
  <c r="P282" i="3"/>
  <c r="H282" i="3"/>
  <c r="R281" i="3"/>
  <c r="J281" i="3"/>
  <c r="T280" i="3"/>
  <c r="L280" i="3"/>
  <c r="D280" i="3"/>
  <c r="N279" i="3"/>
  <c r="F279" i="3"/>
  <c r="P278" i="3"/>
  <c r="H278" i="3"/>
  <c r="R277" i="3"/>
  <c r="J277" i="3"/>
  <c r="T276" i="3"/>
  <c r="L276" i="3"/>
  <c r="D276" i="3"/>
  <c r="N275" i="3"/>
  <c r="F275" i="3"/>
  <c r="P274" i="3"/>
  <c r="H274" i="3"/>
  <c r="R273" i="3"/>
  <c r="J273" i="3"/>
  <c r="T272" i="3"/>
  <c r="L272" i="3"/>
  <c r="D272" i="3"/>
  <c r="N271" i="3"/>
  <c r="F271" i="3"/>
  <c r="P270" i="3"/>
  <c r="H270" i="3"/>
  <c r="R269" i="3"/>
  <c r="J269" i="3"/>
  <c r="T268" i="3"/>
  <c r="L268" i="3"/>
  <c r="D268" i="3"/>
  <c r="N267" i="3"/>
  <c r="F267" i="3"/>
  <c r="P266" i="3"/>
  <c r="H266" i="3"/>
  <c r="R265" i="3"/>
  <c r="J265" i="3"/>
  <c r="T264" i="3"/>
  <c r="L264" i="3"/>
  <c r="D264" i="3"/>
  <c r="N263" i="3"/>
  <c r="F263" i="3"/>
  <c r="P262" i="3"/>
  <c r="H262" i="3"/>
  <c r="R261" i="3"/>
  <c r="J261" i="3"/>
  <c r="T260" i="3"/>
  <c r="L260" i="3"/>
  <c r="D260" i="3"/>
  <c r="N259" i="3"/>
  <c r="F259" i="3"/>
  <c r="P258" i="3"/>
  <c r="H258" i="3"/>
  <c r="R257" i="3"/>
  <c r="J257" i="3"/>
  <c r="T256" i="3"/>
  <c r="L256" i="3"/>
  <c r="D256" i="3"/>
  <c r="N255" i="3"/>
  <c r="F255" i="3"/>
  <c r="P254" i="3"/>
  <c r="P349" i="3"/>
  <c r="K332" i="3"/>
  <c r="E323" i="3"/>
  <c r="E319" i="3"/>
  <c r="M315" i="3"/>
  <c r="K308" i="3"/>
  <c r="S304" i="3"/>
  <c r="I301" i="3"/>
  <c r="Q297" i="3"/>
  <c r="T295" i="3"/>
  <c r="P294" i="3"/>
  <c r="T293" i="3"/>
  <c r="I293" i="3"/>
  <c r="S292" i="3"/>
  <c r="K292" i="3"/>
  <c r="M291" i="3"/>
  <c r="E291" i="3"/>
  <c r="O290" i="3"/>
  <c r="G290" i="3"/>
  <c r="Q289" i="3"/>
  <c r="I289" i="3"/>
  <c r="S288" i="3"/>
  <c r="K288" i="3"/>
  <c r="M287" i="3"/>
  <c r="E287" i="3"/>
  <c r="O286" i="3"/>
  <c r="G286" i="3"/>
  <c r="Q285" i="3"/>
  <c r="I285" i="3"/>
  <c r="S284" i="3"/>
  <c r="K284" i="3"/>
  <c r="M283" i="3"/>
  <c r="E283" i="3"/>
  <c r="O282" i="3"/>
  <c r="G282" i="3"/>
  <c r="Q281" i="3"/>
  <c r="I281" i="3"/>
  <c r="S280" i="3"/>
  <c r="K280" i="3"/>
  <c r="M279" i="3"/>
  <c r="E279" i="3"/>
  <c r="O278" i="3"/>
  <c r="G278" i="3"/>
  <c r="Q277" i="3"/>
  <c r="I277" i="3"/>
  <c r="S276" i="3"/>
  <c r="K276" i="3"/>
  <c r="M275" i="3"/>
  <c r="E275" i="3"/>
  <c r="O274" i="3"/>
  <c r="G274" i="3"/>
  <c r="Q273" i="3"/>
  <c r="I273" i="3"/>
  <c r="S272" i="3"/>
  <c r="K272" i="3"/>
  <c r="M271" i="3"/>
  <c r="E271" i="3"/>
  <c r="O270" i="3"/>
  <c r="G270" i="3"/>
  <c r="Q269" i="3"/>
  <c r="I269" i="3"/>
  <c r="S268" i="3"/>
  <c r="K268" i="3"/>
  <c r="M267" i="3"/>
  <c r="E267" i="3"/>
  <c r="O266" i="3"/>
  <c r="G266" i="3"/>
  <c r="Q265" i="3"/>
  <c r="I265" i="3"/>
  <c r="S264" i="3"/>
  <c r="K264" i="3"/>
  <c r="M263" i="3"/>
  <c r="E263" i="3"/>
  <c r="O262" i="3"/>
  <c r="G262" i="3"/>
  <c r="Q261" i="3"/>
  <c r="I261" i="3"/>
  <c r="S260" i="3"/>
  <c r="K260" i="3"/>
  <c r="K345" i="3"/>
  <c r="O330" i="3"/>
  <c r="L322" i="3"/>
  <c r="O318" i="3"/>
  <c r="E315" i="3"/>
  <c r="M311" i="3"/>
  <c r="K304" i="3"/>
  <c r="S300" i="3"/>
  <c r="I297" i="3"/>
  <c r="N295" i="3"/>
  <c r="O294" i="3"/>
  <c r="R293" i="3"/>
  <c r="H293" i="3"/>
  <c r="R292" i="3"/>
  <c r="J292" i="3"/>
  <c r="T291" i="3"/>
  <c r="L291" i="3"/>
  <c r="D291" i="3"/>
  <c r="N290" i="3"/>
  <c r="F290" i="3"/>
  <c r="P289" i="3"/>
  <c r="H289" i="3"/>
  <c r="R288" i="3"/>
  <c r="J288" i="3"/>
  <c r="T287" i="3"/>
  <c r="L287" i="3"/>
  <c r="D287" i="3"/>
  <c r="N286" i="3"/>
  <c r="F286" i="3"/>
  <c r="P285" i="3"/>
  <c r="H285" i="3"/>
  <c r="R284" i="3"/>
  <c r="J284" i="3"/>
  <c r="T283" i="3"/>
  <c r="L283" i="3"/>
  <c r="D283" i="3"/>
  <c r="N282" i="3"/>
  <c r="F282" i="3"/>
  <c r="P281" i="3"/>
  <c r="H281" i="3"/>
  <c r="R280" i="3"/>
  <c r="J280" i="3"/>
  <c r="T279" i="3"/>
  <c r="L279" i="3"/>
  <c r="D279" i="3"/>
  <c r="N278" i="3"/>
  <c r="F278" i="3"/>
  <c r="P277" i="3"/>
  <c r="H277" i="3"/>
  <c r="R276" i="3"/>
  <c r="J276" i="3"/>
  <c r="T275" i="3"/>
  <c r="L275" i="3"/>
  <c r="D275" i="3"/>
  <c r="N274" i="3"/>
  <c r="F274" i="3"/>
  <c r="P273" i="3"/>
  <c r="H273" i="3"/>
  <c r="R272" i="3"/>
  <c r="J272" i="3"/>
  <c r="T271" i="3"/>
  <c r="L271" i="3"/>
  <c r="D271" i="3"/>
  <c r="N270" i="3"/>
  <c r="F270" i="3"/>
  <c r="P269" i="3"/>
  <c r="H269" i="3"/>
  <c r="R268" i="3"/>
  <c r="J268" i="3"/>
  <c r="T267" i="3"/>
  <c r="L267" i="3"/>
  <c r="D267" i="3"/>
  <c r="N266" i="3"/>
  <c r="F266" i="3"/>
  <c r="P265" i="3"/>
  <c r="H265" i="3"/>
  <c r="R264" i="3"/>
  <c r="J264" i="3"/>
  <c r="T263" i="3"/>
  <c r="L263" i="3"/>
  <c r="D263" i="3"/>
  <c r="N262" i="3"/>
  <c r="E343" i="3"/>
  <c r="S328" i="3"/>
  <c r="S321" i="3"/>
  <c r="G318" i="3"/>
  <c r="O314" i="3"/>
  <c r="E311" i="3"/>
  <c r="M307" i="3"/>
  <c r="K300" i="3"/>
  <c r="S296" i="3"/>
  <c r="M295" i="3"/>
  <c r="N294" i="3"/>
  <c r="Q293" i="3"/>
  <c r="G293" i="3"/>
  <c r="Q292" i="3"/>
  <c r="I292" i="3"/>
  <c r="S291" i="3"/>
  <c r="K291" i="3"/>
  <c r="M290" i="3"/>
  <c r="E290" i="3"/>
  <c r="O289" i="3"/>
  <c r="G289" i="3"/>
  <c r="Q288" i="3"/>
  <c r="I288" i="3"/>
  <c r="S287" i="3"/>
  <c r="K287" i="3"/>
  <c r="M286" i="3"/>
  <c r="E286" i="3"/>
  <c r="O285" i="3"/>
  <c r="G285" i="3"/>
  <c r="Q284" i="3"/>
  <c r="I284" i="3"/>
  <c r="S283" i="3"/>
  <c r="K283" i="3"/>
  <c r="M282" i="3"/>
  <c r="E282" i="3"/>
  <c r="O281" i="3"/>
  <c r="G281" i="3"/>
  <c r="Q280" i="3"/>
  <c r="I280" i="3"/>
  <c r="S279" i="3"/>
  <c r="K279" i="3"/>
  <c r="M278" i="3"/>
  <c r="E278" i="3"/>
  <c r="O277" i="3"/>
  <c r="G277" i="3"/>
  <c r="Q276" i="3"/>
  <c r="I276" i="3"/>
  <c r="S275" i="3"/>
  <c r="K275" i="3"/>
  <c r="M274" i="3"/>
  <c r="E274" i="3"/>
  <c r="O273" i="3"/>
  <c r="G273" i="3"/>
  <c r="Q272" i="3"/>
  <c r="I272" i="3"/>
  <c r="S271" i="3"/>
  <c r="K271" i="3"/>
  <c r="M270" i="3"/>
  <c r="E270" i="3"/>
  <c r="O269" i="3"/>
  <c r="G269" i="3"/>
  <c r="Q268" i="3"/>
  <c r="I268" i="3"/>
  <c r="S267" i="3"/>
  <c r="K267" i="3"/>
  <c r="M266" i="3"/>
  <c r="E266" i="3"/>
  <c r="O265" i="3"/>
  <c r="G265" i="3"/>
  <c r="Q264" i="3"/>
  <c r="I264" i="3"/>
  <c r="S263" i="3"/>
  <c r="K263" i="3"/>
  <c r="M262" i="3"/>
  <c r="E262" i="3"/>
  <c r="O261" i="3"/>
  <c r="I341" i="3"/>
  <c r="N326" i="3"/>
  <c r="I321" i="3"/>
  <c r="Q317" i="3"/>
  <c r="G314" i="3"/>
  <c r="O310" i="3"/>
  <c r="E307" i="3"/>
  <c r="M303" i="3"/>
  <c r="L296" i="3"/>
  <c r="L295" i="3"/>
  <c r="L294" i="3"/>
  <c r="P293" i="3"/>
  <c r="F293" i="3"/>
  <c r="P292" i="3"/>
  <c r="H292" i="3"/>
  <c r="R291" i="3"/>
  <c r="J291" i="3"/>
  <c r="T290" i="3"/>
  <c r="L290" i="3"/>
  <c r="D290" i="3"/>
  <c r="N289" i="3"/>
  <c r="F289" i="3"/>
  <c r="P288" i="3"/>
  <c r="H288" i="3"/>
  <c r="R287" i="3"/>
  <c r="J287" i="3"/>
  <c r="T286" i="3"/>
  <c r="L286" i="3"/>
  <c r="D286" i="3"/>
  <c r="N285" i="3"/>
  <c r="F285" i="3"/>
  <c r="P284" i="3"/>
  <c r="H284" i="3"/>
  <c r="R283" i="3"/>
  <c r="J283" i="3"/>
  <c r="T282" i="3"/>
  <c r="L282" i="3"/>
  <c r="D282" i="3"/>
  <c r="N281" i="3"/>
  <c r="F281" i="3"/>
  <c r="P280" i="3"/>
  <c r="H280" i="3"/>
  <c r="R279" i="3"/>
  <c r="J279" i="3"/>
  <c r="T278" i="3"/>
  <c r="L278" i="3"/>
  <c r="D278" i="3"/>
  <c r="N277" i="3"/>
  <c r="F277" i="3"/>
  <c r="P276" i="3"/>
  <c r="H276" i="3"/>
  <c r="R275" i="3"/>
  <c r="J275" i="3"/>
  <c r="T274" i="3"/>
  <c r="L274" i="3"/>
  <c r="D274" i="3"/>
  <c r="N273" i="3"/>
  <c r="F273" i="3"/>
  <c r="P272" i="3"/>
  <c r="H272" i="3"/>
  <c r="R271" i="3"/>
  <c r="J271" i="3"/>
  <c r="T270" i="3"/>
  <c r="L270" i="3"/>
  <c r="D270" i="3"/>
  <c r="N269" i="3"/>
  <c r="F269" i="3"/>
  <c r="P268" i="3"/>
  <c r="H268" i="3"/>
  <c r="R267" i="3"/>
  <c r="J267" i="3"/>
  <c r="T266" i="3"/>
  <c r="L266" i="3"/>
  <c r="D266" i="3"/>
  <c r="N265" i="3"/>
  <c r="F265" i="3"/>
  <c r="P264" i="3"/>
  <c r="H264" i="3"/>
  <c r="R263" i="3"/>
  <c r="J263" i="3"/>
  <c r="M339" i="3"/>
  <c r="N325" i="3"/>
  <c r="S320" i="3"/>
  <c r="I317" i="3"/>
  <c r="Q313" i="3"/>
  <c r="G310" i="3"/>
  <c r="O306" i="3"/>
  <c r="E303" i="3"/>
  <c r="M299" i="3"/>
  <c r="K296" i="3"/>
  <c r="F295" i="3"/>
  <c r="H294" i="3"/>
  <c r="N293" i="3"/>
  <c r="E293" i="3"/>
  <c r="O292" i="3"/>
  <c r="G292" i="3"/>
  <c r="Q291" i="3"/>
  <c r="I291" i="3"/>
  <c r="S290" i="3"/>
  <c r="K290" i="3"/>
  <c r="M289" i="3"/>
  <c r="E289" i="3"/>
  <c r="O288" i="3"/>
  <c r="G288" i="3"/>
  <c r="Q287" i="3"/>
  <c r="I287" i="3"/>
  <c r="S286" i="3"/>
  <c r="K286" i="3"/>
  <c r="M285" i="3"/>
  <c r="E285" i="3"/>
  <c r="O284" i="3"/>
  <c r="G284" i="3"/>
  <c r="Q283" i="3"/>
  <c r="I283" i="3"/>
  <c r="S282" i="3"/>
  <c r="K282" i="3"/>
  <c r="M281" i="3"/>
  <c r="E281" i="3"/>
  <c r="O280" i="3"/>
  <c r="G280" i="3"/>
  <c r="Q279" i="3"/>
  <c r="I279" i="3"/>
  <c r="S278" i="3"/>
  <c r="K278" i="3"/>
  <c r="M277" i="3"/>
  <c r="E277" i="3"/>
  <c r="O276" i="3"/>
  <c r="G276" i="3"/>
  <c r="Q275" i="3"/>
  <c r="I275" i="3"/>
  <c r="S274" i="3"/>
  <c r="K274" i="3"/>
  <c r="M273" i="3"/>
  <c r="E273" i="3"/>
  <c r="O272" i="3"/>
  <c r="G272" i="3"/>
  <c r="Q271" i="3"/>
  <c r="I271" i="3"/>
  <c r="S270" i="3"/>
  <c r="K270" i="3"/>
  <c r="M269" i="3"/>
  <c r="E269" i="3"/>
  <c r="O268" i="3"/>
  <c r="G268" i="3"/>
  <c r="Q267" i="3"/>
  <c r="I267" i="3"/>
  <c r="S266" i="3"/>
  <c r="K266" i="3"/>
  <c r="M265" i="3"/>
  <c r="E265" i="3"/>
  <c r="O264" i="3"/>
  <c r="G264" i="3"/>
  <c r="Q263" i="3"/>
  <c r="I263" i="3"/>
  <c r="S262" i="3"/>
  <c r="K262" i="3"/>
  <c r="M261" i="3"/>
  <c r="T397" i="3"/>
  <c r="Q337" i="3"/>
  <c r="S324" i="3"/>
  <c r="K320" i="3"/>
  <c r="S316" i="3"/>
  <c r="I313" i="3"/>
  <c r="Q309" i="3"/>
  <c r="G306" i="3"/>
  <c r="O302" i="3"/>
  <c r="E299" i="3"/>
  <c r="J296" i="3"/>
  <c r="E295" i="3"/>
  <c r="G294" i="3"/>
  <c r="L293" i="3"/>
  <c r="D293" i="3"/>
  <c r="N292" i="3"/>
  <c r="F292" i="3"/>
  <c r="P291" i="3"/>
  <c r="H291" i="3"/>
  <c r="R290" i="3"/>
  <c r="J290" i="3"/>
  <c r="T289" i="3"/>
  <c r="L289" i="3"/>
  <c r="D289" i="3"/>
  <c r="N288" i="3"/>
  <c r="F288" i="3"/>
  <c r="P287" i="3"/>
  <c r="H287" i="3"/>
  <c r="R286" i="3"/>
  <c r="J286" i="3"/>
  <c r="T285" i="3"/>
  <c r="L285" i="3"/>
  <c r="D285" i="3"/>
  <c r="N284" i="3"/>
  <c r="F284" i="3"/>
  <c r="P283" i="3"/>
  <c r="H283" i="3"/>
  <c r="R282" i="3"/>
  <c r="J282" i="3"/>
  <c r="T281" i="3"/>
  <c r="L281" i="3"/>
  <c r="D281" i="3"/>
  <c r="N280" i="3"/>
  <c r="F280" i="3"/>
  <c r="P279" i="3"/>
  <c r="H279" i="3"/>
  <c r="R278" i="3"/>
  <c r="J278" i="3"/>
  <c r="T277" i="3"/>
  <c r="L277" i="3"/>
  <c r="D277" i="3"/>
  <c r="N276" i="3"/>
  <c r="F276" i="3"/>
  <c r="P275" i="3"/>
  <c r="H275" i="3"/>
  <c r="R274" i="3"/>
  <c r="J274" i="3"/>
  <c r="T273" i="3"/>
  <c r="L273" i="3"/>
  <c r="D273" i="3"/>
  <c r="N272" i="3"/>
  <c r="F272" i="3"/>
  <c r="P271" i="3"/>
  <c r="H271" i="3"/>
  <c r="R270" i="3"/>
  <c r="J270" i="3"/>
  <c r="T269" i="3"/>
  <c r="L269" i="3"/>
  <c r="D269" i="3"/>
  <c r="F268" i="3"/>
  <c r="N264" i="3"/>
  <c r="F262" i="3"/>
  <c r="F261" i="3"/>
  <c r="J260" i="3"/>
  <c r="R259" i="3"/>
  <c r="H259" i="3"/>
  <c r="N258" i="3"/>
  <c r="D258" i="3"/>
  <c r="L257" i="3"/>
  <c r="R256" i="3"/>
  <c r="H256" i="3"/>
  <c r="P255" i="3"/>
  <c r="D255" i="3"/>
  <c r="L254" i="3"/>
  <c r="L253" i="3"/>
  <c r="M252" i="3"/>
  <c r="E252" i="3"/>
  <c r="O251" i="3"/>
  <c r="G251" i="3"/>
  <c r="Q250" i="3"/>
  <c r="I250" i="3"/>
  <c r="S249" i="3"/>
  <c r="K249" i="3"/>
  <c r="M248" i="3"/>
  <c r="E248" i="3"/>
  <c r="O247" i="3"/>
  <c r="G247" i="3"/>
  <c r="Q246" i="3"/>
  <c r="I246" i="3"/>
  <c r="S245" i="3"/>
  <c r="K245" i="3"/>
  <c r="M244" i="3"/>
  <c r="E244" i="3"/>
  <c r="O243" i="3"/>
  <c r="G243" i="3"/>
  <c r="Q242" i="3"/>
  <c r="I242" i="3"/>
  <c r="S241" i="3"/>
  <c r="K241" i="3"/>
  <c r="M240" i="3"/>
  <c r="E240" i="3"/>
  <c r="O239" i="3"/>
  <c r="G239" i="3"/>
  <c r="Q238" i="3"/>
  <c r="I238" i="3"/>
  <c r="S237" i="3"/>
  <c r="K237" i="3"/>
  <c r="M236" i="3"/>
  <c r="E236" i="3"/>
  <c r="O235" i="3"/>
  <c r="G235" i="3"/>
  <c r="Q234" i="3"/>
  <c r="I234" i="3"/>
  <c r="S233" i="3"/>
  <c r="K233" i="3"/>
  <c r="M232" i="3"/>
  <c r="E232" i="3"/>
  <c r="O231" i="3"/>
  <c r="G231" i="3"/>
  <c r="Q230" i="3"/>
  <c r="I230" i="3"/>
  <c r="S229" i="3"/>
  <c r="K229" i="3"/>
  <c r="M228" i="3"/>
  <c r="E228" i="3"/>
  <c r="O227" i="3"/>
  <c r="G227" i="3"/>
  <c r="Q226" i="3"/>
  <c r="I226" i="3"/>
  <c r="S225" i="3"/>
  <c r="K225" i="3"/>
  <c r="M224" i="3"/>
  <c r="E224" i="3"/>
  <c r="O223" i="3"/>
  <c r="G223" i="3"/>
  <c r="Q222" i="3"/>
  <c r="I222" i="3"/>
  <c r="S221" i="3"/>
  <c r="K221" i="3"/>
  <c r="M220" i="3"/>
  <c r="E220" i="3"/>
  <c r="O219" i="3"/>
  <c r="G219" i="3"/>
  <c r="Q218" i="3"/>
  <c r="I218" i="3"/>
  <c r="S217" i="3"/>
  <c r="K217" i="3"/>
  <c r="M216" i="3"/>
  <c r="E216" i="3"/>
  <c r="O215" i="3"/>
  <c r="G215" i="3"/>
  <c r="Q214" i="3"/>
  <c r="I214" i="3"/>
  <c r="S213" i="3"/>
  <c r="K213" i="3"/>
  <c r="M212" i="3"/>
  <c r="E212" i="3"/>
  <c r="O211" i="3"/>
  <c r="G211" i="3"/>
  <c r="Q210" i="3"/>
  <c r="I210" i="3"/>
  <c r="S209" i="3"/>
  <c r="K209" i="3"/>
  <c r="M208" i="3"/>
  <c r="E208" i="3"/>
  <c r="O207" i="3"/>
  <c r="P267" i="3"/>
  <c r="F264" i="3"/>
  <c r="D262" i="3"/>
  <c r="E261" i="3"/>
  <c r="I260" i="3"/>
  <c r="Q259" i="3"/>
  <c r="E259" i="3"/>
  <c r="M258" i="3"/>
  <c r="I257" i="3"/>
  <c r="Q256" i="3"/>
  <c r="G256" i="3"/>
  <c r="M255" i="3"/>
  <c r="K254" i="3"/>
  <c r="T253" i="3"/>
  <c r="J253" i="3"/>
  <c r="T252" i="3"/>
  <c r="L252" i="3"/>
  <c r="D252" i="3"/>
  <c r="N251" i="3"/>
  <c r="F251" i="3"/>
  <c r="P250" i="3"/>
  <c r="H250" i="3"/>
  <c r="R249" i="3"/>
  <c r="J249" i="3"/>
  <c r="T248" i="3"/>
  <c r="L248" i="3"/>
  <c r="D248" i="3"/>
  <c r="N247" i="3"/>
  <c r="F247" i="3"/>
  <c r="P246" i="3"/>
  <c r="H246" i="3"/>
  <c r="R245" i="3"/>
  <c r="J245" i="3"/>
  <c r="T244" i="3"/>
  <c r="L244" i="3"/>
  <c r="D244" i="3"/>
  <c r="N243" i="3"/>
  <c r="F243" i="3"/>
  <c r="P242" i="3"/>
  <c r="H242" i="3"/>
  <c r="R241" i="3"/>
  <c r="J241" i="3"/>
  <c r="T240" i="3"/>
  <c r="L240" i="3"/>
  <c r="D240" i="3"/>
  <c r="N239" i="3"/>
  <c r="F239" i="3"/>
  <c r="P238" i="3"/>
  <c r="H238" i="3"/>
  <c r="R237" i="3"/>
  <c r="J237" i="3"/>
  <c r="T236" i="3"/>
  <c r="L236" i="3"/>
  <c r="D236" i="3"/>
  <c r="N235" i="3"/>
  <c r="F235" i="3"/>
  <c r="P234" i="3"/>
  <c r="H234" i="3"/>
  <c r="R233" i="3"/>
  <c r="J233" i="3"/>
  <c r="T232" i="3"/>
  <c r="L232" i="3"/>
  <c r="D232" i="3"/>
  <c r="N231" i="3"/>
  <c r="F231" i="3"/>
  <c r="P230" i="3"/>
  <c r="H230" i="3"/>
  <c r="R229" i="3"/>
  <c r="J229" i="3"/>
  <c r="T228" i="3"/>
  <c r="L228" i="3"/>
  <c r="D228" i="3"/>
  <c r="N227" i="3"/>
  <c r="F227" i="3"/>
  <c r="P226" i="3"/>
  <c r="H226" i="3"/>
  <c r="R225" i="3"/>
  <c r="J225" i="3"/>
  <c r="T224" i="3"/>
  <c r="L224" i="3"/>
  <c r="D224" i="3"/>
  <c r="N223" i="3"/>
  <c r="F223" i="3"/>
  <c r="P222" i="3"/>
  <c r="H222" i="3"/>
  <c r="R221" i="3"/>
  <c r="J221" i="3"/>
  <c r="T220" i="3"/>
  <c r="L220" i="3"/>
  <c r="D220" i="3"/>
  <c r="N219" i="3"/>
  <c r="F219" i="3"/>
  <c r="P218" i="3"/>
  <c r="H218" i="3"/>
  <c r="R217" i="3"/>
  <c r="J217" i="3"/>
  <c r="T216" i="3"/>
  <c r="L216" i="3"/>
  <c r="D216" i="3"/>
  <c r="N215" i="3"/>
  <c r="F215" i="3"/>
  <c r="P214" i="3"/>
  <c r="H214" i="3"/>
  <c r="R213" i="3"/>
  <c r="J213" i="3"/>
  <c r="T212" i="3"/>
  <c r="L212" i="3"/>
  <c r="D212" i="3"/>
  <c r="N211" i="3"/>
  <c r="F211" i="3"/>
  <c r="P210" i="3"/>
  <c r="H210" i="3"/>
  <c r="R209" i="3"/>
  <c r="J209" i="3"/>
  <c r="T208" i="3"/>
  <c r="H267" i="3"/>
  <c r="P263" i="3"/>
  <c r="T261" i="3"/>
  <c r="D261" i="3"/>
  <c r="H260" i="3"/>
  <c r="P259" i="3"/>
  <c r="D259" i="3"/>
  <c r="L258" i="3"/>
  <c r="T257" i="3"/>
  <c r="H257" i="3"/>
  <c r="P256" i="3"/>
  <c r="F256" i="3"/>
  <c r="L255" i="3"/>
  <c r="T254" i="3"/>
  <c r="J254" i="3"/>
  <c r="R253" i="3"/>
  <c r="I253" i="3"/>
  <c r="S252" i="3"/>
  <c r="K252" i="3"/>
  <c r="M251" i="3"/>
  <c r="E251" i="3"/>
  <c r="O250" i="3"/>
  <c r="G250" i="3"/>
  <c r="Q249" i="3"/>
  <c r="I249" i="3"/>
  <c r="S248" i="3"/>
  <c r="K248" i="3"/>
  <c r="M247" i="3"/>
  <c r="E247" i="3"/>
  <c r="O246" i="3"/>
  <c r="G246" i="3"/>
  <c r="Q245" i="3"/>
  <c r="I245" i="3"/>
  <c r="S244" i="3"/>
  <c r="K244" i="3"/>
  <c r="M243" i="3"/>
  <c r="E243" i="3"/>
  <c r="O242" i="3"/>
  <c r="G242" i="3"/>
  <c r="Q241" i="3"/>
  <c r="I241" i="3"/>
  <c r="S240" i="3"/>
  <c r="K240" i="3"/>
  <c r="M239" i="3"/>
  <c r="E239" i="3"/>
  <c r="O238" i="3"/>
  <c r="G238" i="3"/>
  <c r="Q237" i="3"/>
  <c r="I237" i="3"/>
  <c r="S236" i="3"/>
  <c r="K236" i="3"/>
  <c r="M235" i="3"/>
  <c r="E235" i="3"/>
  <c r="O234" i="3"/>
  <c r="G234" i="3"/>
  <c r="Q233" i="3"/>
  <c r="I233" i="3"/>
  <c r="S232" i="3"/>
  <c r="K232" i="3"/>
  <c r="M231" i="3"/>
  <c r="E231" i="3"/>
  <c r="O230" i="3"/>
  <c r="G230" i="3"/>
  <c r="Q229" i="3"/>
  <c r="I229" i="3"/>
  <c r="S228" i="3"/>
  <c r="K228" i="3"/>
  <c r="M227" i="3"/>
  <c r="E227" i="3"/>
  <c r="O226" i="3"/>
  <c r="G226" i="3"/>
  <c r="Q225" i="3"/>
  <c r="I225" i="3"/>
  <c r="S224" i="3"/>
  <c r="K224" i="3"/>
  <c r="M223" i="3"/>
  <c r="E223" i="3"/>
  <c r="O222" i="3"/>
  <c r="G222" i="3"/>
  <c r="Q221" i="3"/>
  <c r="I221" i="3"/>
  <c r="S220" i="3"/>
  <c r="K220" i="3"/>
  <c r="M219" i="3"/>
  <c r="E219" i="3"/>
  <c r="O218" i="3"/>
  <c r="G218" i="3"/>
  <c r="Q217" i="3"/>
  <c r="I217" i="3"/>
  <c r="R266" i="3"/>
  <c r="H263" i="3"/>
  <c r="P261" i="3"/>
  <c r="R260" i="3"/>
  <c r="G260" i="3"/>
  <c r="M259" i="3"/>
  <c r="K258" i="3"/>
  <c r="Q257" i="3"/>
  <c r="G257" i="3"/>
  <c r="O256" i="3"/>
  <c r="K255" i="3"/>
  <c r="S254" i="3"/>
  <c r="H254" i="3"/>
  <c r="Q253" i="3"/>
  <c r="H253" i="3"/>
  <c r="R252" i="3"/>
  <c r="J252" i="3"/>
  <c r="T251" i="3"/>
  <c r="L251" i="3"/>
  <c r="D251" i="3"/>
  <c r="N250" i="3"/>
  <c r="F250" i="3"/>
  <c r="P249" i="3"/>
  <c r="H249" i="3"/>
  <c r="R248" i="3"/>
  <c r="J248" i="3"/>
  <c r="T247" i="3"/>
  <c r="L247" i="3"/>
  <c r="D247" i="3"/>
  <c r="N246" i="3"/>
  <c r="F246" i="3"/>
  <c r="P245" i="3"/>
  <c r="H245" i="3"/>
  <c r="R244" i="3"/>
  <c r="J244" i="3"/>
  <c r="T243" i="3"/>
  <c r="L243" i="3"/>
  <c r="D243" i="3"/>
  <c r="N242" i="3"/>
  <c r="F242" i="3"/>
  <c r="P241" i="3"/>
  <c r="H241" i="3"/>
  <c r="R240" i="3"/>
  <c r="J240" i="3"/>
  <c r="T239" i="3"/>
  <c r="L239" i="3"/>
  <c r="D239" i="3"/>
  <c r="N238" i="3"/>
  <c r="F238" i="3"/>
  <c r="P237" i="3"/>
  <c r="H237" i="3"/>
  <c r="R236" i="3"/>
  <c r="J236" i="3"/>
  <c r="T235" i="3"/>
  <c r="L235" i="3"/>
  <c r="D235" i="3"/>
  <c r="N234" i="3"/>
  <c r="F234" i="3"/>
  <c r="P233" i="3"/>
  <c r="H233" i="3"/>
  <c r="R232" i="3"/>
  <c r="J232" i="3"/>
  <c r="T231" i="3"/>
  <c r="L231" i="3"/>
  <c r="D231" i="3"/>
  <c r="N230" i="3"/>
  <c r="F230" i="3"/>
  <c r="P229" i="3"/>
  <c r="H229" i="3"/>
  <c r="R228" i="3"/>
  <c r="J228" i="3"/>
  <c r="T227" i="3"/>
  <c r="L227" i="3"/>
  <c r="D227" i="3"/>
  <c r="N226" i="3"/>
  <c r="F226" i="3"/>
  <c r="P225" i="3"/>
  <c r="H225" i="3"/>
  <c r="R224" i="3"/>
  <c r="J224" i="3"/>
  <c r="T223" i="3"/>
  <c r="L223" i="3"/>
  <c r="D223" i="3"/>
  <c r="N222" i="3"/>
  <c r="F222" i="3"/>
  <c r="P221" i="3"/>
  <c r="H221" i="3"/>
  <c r="R220" i="3"/>
  <c r="J220" i="3"/>
  <c r="T219" i="3"/>
  <c r="L219" i="3"/>
  <c r="D219" i="3"/>
  <c r="J266" i="3"/>
  <c r="T262" i="3"/>
  <c r="N261" i="3"/>
  <c r="Q260" i="3"/>
  <c r="F260" i="3"/>
  <c r="L259" i="3"/>
  <c r="T258" i="3"/>
  <c r="J258" i="3"/>
  <c r="P257" i="3"/>
  <c r="F257" i="3"/>
  <c r="N256" i="3"/>
  <c r="T255" i="3"/>
  <c r="J255" i="3"/>
  <c r="R254" i="3"/>
  <c r="G254" i="3"/>
  <c r="P253" i="3"/>
  <c r="G253" i="3"/>
  <c r="Q252" i="3"/>
  <c r="I252" i="3"/>
  <c r="S251" i="3"/>
  <c r="K251" i="3"/>
  <c r="M250" i="3"/>
  <c r="E250" i="3"/>
  <c r="O249" i="3"/>
  <c r="G249" i="3"/>
  <c r="Q248" i="3"/>
  <c r="I248" i="3"/>
  <c r="S247" i="3"/>
  <c r="K247" i="3"/>
  <c r="M246" i="3"/>
  <c r="E246" i="3"/>
  <c r="O245" i="3"/>
  <c r="G245" i="3"/>
  <c r="Q244" i="3"/>
  <c r="I244" i="3"/>
  <c r="S243" i="3"/>
  <c r="K243" i="3"/>
  <c r="M242" i="3"/>
  <c r="E242" i="3"/>
  <c r="O241" i="3"/>
  <c r="G241" i="3"/>
  <c r="Q240" i="3"/>
  <c r="I240" i="3"/>
  <c r="S239" i="3"/>
  <c r="K239" i="3"/>
  <c r="M238" i="3"/>
  <c r="E238" i="3"/>
  <c r="O237" i="3"/>
  <c r="G237" i="3"/>
  <c r="Q236" i="3"/>
  <c r="I236" i="3"/>
  <c r="S235" i="3"/>
  <c r="K235" i="3"/>
  <c r="M234" i="3"/>
  <c r="E234" i="3"/>
  <c r="O233" i="3"/>
  <c r="G233" i="3"/>
  <c r="Q232" i="3"/>
  <c r="I232" i="3"/>
  <c r="S231" i="3"/>
  <c r="K231" i="3"/>
  <c r="M230" i="3"/>
  <c r="E230" i="3"/>
  <c r="O229" i="3"/>
  <c r="G229" i="3"/>
  <c r="Q228" i="3"/>
  <c r="I228" i="3"/>
  <c r="S227" i="3"/>
  <c r="K227" i="3"/>
  <c r="M226" i="3"/>
  <c r="E226" i="3"/>
  <c r="O225" i="3"/>
  <c r="G225" i="3"/>
  <c r="Q224" i="3"/>
  <c r="I224" i="3"/>
  <c r="S223" i="3"/>
  <c r="K223" i="3"/>
  <c r="M222" i="3"/>
  <c r="E222" i="3"/>
  <c r="O221" i="3"/>
  <c r="G221" i="3"/>
  <c r="Q220" i="3"/>
  <c r="I220" i="3"/>
  <c r="T265" i="3"/>
  <c r="R262" i="3"/>
  <c r="L261" i="3"/>
  <c r="P260" i="3"/>
  <c r="K259" i="3"/>
  <c r="S258" i="3"/>
  <c r="G258" i="3"/>
  <c r="O257" i="3"/>
  <c r="E257" i="3"/>
  <c r="K256" i="3"/>
  <c r="S255" i="3"/>
  <c r="I255" i="3"/>
  <c r="O254" i="3"/>
  <c r="F254" i="3"/>
  <c r="O253" i="3"/>
  <c r="F253" i="3"/>
  <c r="P252" i="3"/>
  <c r="H252" i="3"/>
  <c r="R251" i="3"/>
  <c r="J251" i="3"/>
  <c r="T250" i="3"/>
  <c r="L250" i="3"/>
  <c r="D250" i="3"/>
  <c r="N249" i="3"/>
  <c r="F249" i="3"/>
  <c r="P248" i="3"/>
  <c r="H248" i="3"/>
  <c r="R247" i="3"/>
  <c r="J247" i="3"/>
  <c r="T246" i="3"/>
  <c r="L246" i="3"/>
  <c r="D246" i="3"/>
  <c r="N245" i="3"/>
  <c r="F245" i="3"/>
  <c r="P244" i="3"/>
  <c r="H244" i="3"/>
  <c r="R243" i="3"/>
  <c r="J243" i="3"/>
  <c r="T242" i="3"/>
  <c r="L242" i="3"/>
  <c r="D242" i="3"/>
  <c r="N241" i="3"/>
  <c r="F241" i="3"/>
  <c r="P240" i="3"/>
  <c r="H240" i="3"/>
  <c r="R239" i="3"/>
  <c r="J239" i="3"/>
  <c r="T238" i="3"/>
  <c r="L238" i="3"/>
  <c r="D238" i="3"/>
  <c r="N237" i="3"/>
  <c r="F237" i="3"/>
  <c r="P236" i="3"/>
  <c r="H236" i="3"/>
  <c r="R235" i="3"/>
  <c r="J235" i="3"/>
  <c r="T234" i="3"/>
  <c r="L234" i="3"/>
  <c r="D234" i="3"/>
  <c r="N233" i="3"/>
  <c r="F233" i="3"/>
  <c r="P232" i="3"/>
  <c r="H232" i="3"/>
  <c r="R231" i="3"/>
  <c r="J231" i="3"/>
  <c r="T230" i="3"/>
  <c r="L230" i="3"/>
  <c r="D230" i="3"/>
  <c r="N229" i="3"/>
  <c r="F229" i="3"/>
  <c r="P228" i="3"/>
  <c r="H228" i="3"/>
  <c r="R227" i="3"/>
  <c r="J227" i="3"/>
  <c r="T226" i="3"/>
  <c r="L226" i="3"/>
  <c r="D226" i="3"/>
  <c r="N225" i="3"/>
  <c r="F225" i="3"/>
  <c r="P224" i="3"/>
  <c r="H224" i="3"/>
  <c r="R223" i="3"/>
  <c r="J223" i="3"/>
  <c r="L265" i="3"/>
  <c r="L262" i="3"/>
  <c r="H261" i="3"/>
  <c r="O260" i="3"/>
  <c r="T259" i="3"/>
  <c r="J259" i="3"/>
  <c r="R258" i="3"/>
  <c r="F258" i="3"/>
  <c r="N257" i="3"/>
  <c r="D257" i="3"/>
  <c r="J256" i="3"/>
  <c r="R255" i="3"/>
  <c r="H255" i="3"/>
  <c r="N254" i="3"/>
  <c r="E254" i="3"/>
  <c r="N253" i="3"/>
  <c r="E253" i="3"/>
  <c r="O252" i="3"/>
  <c r="G252" i="3"/>
  <c r="Q251" i="3"/>
  <c r="I251" i="3"/>
  <c r="S250" i="3"/>
  <c r="K250" i="3"/>
  <c r="M249" i="3"/>
  <c r="E249" i="3"/>
  <c r="O248" i="3"/>
  <c r="G248" i="3"/>
  <c r="Q247" i="3"/>
  <c r="I247" i="3"/>
  <c r="S246" i="3"/>
  <c r="K246" i="3"/>
  <c r="M245" i="3"/>
  <c r="E245" i="3"/>
  <c r="O244" i="3"/>
  <c r="G244" i="3"/>
  <c r="Q243" i="3"/>
  <c r="I243" i="3"/>
  <c r="S242" i="3"/>
  <c r="K242" i="3"/>
  <c r="M241" i="3"/>
  <c r="E241" i="3"/>
  <c r="O240" i="3"/>
  <c r="G240" i="3"/>
  <c r="Q239" i="3"/>
  <c r="I239" i="3"/>
  <c r="S238" i="3"/>
  <c r="K238" i="3"/>
  <c r="M237" i="3"/>
  <c r="E237" i="3"/>
  <c r="O236" i="3"/>
  <c r="G236" i="3"/>
  <c r="Q235" i="3"/>
  <c r="I235" i="3"/>
  <c r="S234" i="3"/>
  <c r="K234" i="3"/>
  <c r="M233" i="3"/>
  <c r="E233" i="3"/>
  <c r="O232" i="3"/>
  <c r="G232" i="3"/>
  <c r="Q231" i="3"/>
  <c r="I231" i="3"/>
  <c r="S230" i="3"/>
  <c r="K230" i="3"/>
  <c r="M229" i="3"/>
  <c r="E229" i="3"/>
  <c r="O228" i="3"/>
  <c r="G228" i="3"/>
  <c r="Q227" i="3"/>
  <c r="I227" i="3"/>
  <c r="S226" i="3"/>
  <c r="K226" i="3"/>
  <c r="M225" i="3"/>
  <c r="E225" i="3"/>
  <c r="O224" i="3"/>
  <c r="G224" i="3"/>
  <c r="Q223" i="3"/>
  <c r="I223" i="3"/>
  <c r="S222" i="3"/>
  <c r="N268" i="3"/>
  <c r="D265" i="3"/>
  <c r="J262" i="3"/>
  <c r="G261" i="3"/>
  <c r="N260" i="3"/>
  <c r="S259" i="3"/>
  <c r="I259" i="3"/>
  <c r="O258" i="3"/>
  <c r="E258" i="3"/>
  <c r="M257" i="3"/>
  <c r="S256" i="3"/>
  <c r="I256" i="3"/>
  <c r="Q255" i="3"/>
  <c r="E255" i="3"/>
  <c r="M254" i="3"/>
  <c r="D254" i="3"/>
  <c r="M253" i="3"/>
  <c r="D253" i="3"/>
  <c r="N252" i="3"/>
  <c r="F252" i="3"/>
  <c r="P251" i="3"/>
  <c r="H251" i="3"/>
  <c r="R250" i="3"/>
  <c r="J250" i="3"/>
  <c r="T249" i="3"/>
  <c r="L249" i="3"/>
  <c r="D249" i="3"/>
  <c r="N248" i="3"/>
  <c r="F248" i="3"/>
  <c r="P247" i="3"/>
  <c r="H247" i="3"/>
  <c r="R246" i="3"/>
  <c r="J246" i="3"/>
  <c r="T245" i="3"/>
  <c r="L245" i="3"/>
  <c r="D245" i="3"/>
  <c r="N244" i="3"/>
  <c r="F244" i="3"/>
  <c r="P243" i="3"/>
  <c r="H243" i="3"/>
  <c r="R242" i="3"/>
  <c r="J242" i="3"/>
  <c r="T241" i="3"/>
  <c r="L241" i="3"/>
  <c r="D241" i="3"/>
  <c r="N240" i="3"/>
  <c r="F240" i="3"/>
  <c r="P239" i="3"/>
  <c r="H239" i="3"/>
  <c r="R238" i="3"/>
  <c r="J238" i="3"/>
  <c r="T237" i="3"/>
  <c r="L237" i="3"/>
  <c r="D237" i="3"/>
  <c r="N236" i="3"/>
  <c r="F236" i="3"/>
  <c r="P235" i="3"/>
  <c r="H235" i="3"/>
  <c r="R234" i="3"/>
  <c r="J234" i="3"/>
  <c r="T233" i="3"/>
  <c r="L233" i="3"/>
  <c r="D233" i="3"/>
  <c r="N232" i="3"/>
  <c r="F232" i="3"/>
  <c r="P231" i="3"/>
  <c r="H231" i="3"/>
  <c r="R230" i="3"/>
  <c r="J230" i="3"/>
  <c r="T229" i="3"/>
  <c r="L229" i="3"/>
  <c r="D229" i="3"/>
  <c r="N228" i="3"/>
  <c r="F228" i="3"/>
  <c r="P227" i="3"/>
  <c r="H227" i="3"/>
  <c r="R226" i="3"/>
  <c r="J226" i="3"/>
  <c r="T225" i="3"/>
  <c r="L225" i="3"/>
  <c r="D225" i="3"/>
  <c r="N224" i="3"/>
  <c r="F224" i="3"/>
  <c r="H223" i="3"/>
  <c r="T221" i="3"/>
  <c r="O220" i="3"/>
  <c r="P219" i="3"/>
  <c r="R218" i="3"/>
  <c r="D218" i="3"/>
  <c r="H217" i="3"/>
  <c r="P216" i="3"/>
  <c r="F216" i="3"/>
  <c r="L215" i="3"/>
  <c r="T214" i="3"/>
  <c r="J214" i="3"/>
  <c r="P213" i="3"/>
  <c r="F213" i="3"/>
  <c r="N212" i="3"/>
  <c r="T211" i="3"/>
  <c r="J211" i="3"/>
  <c r="R210" i="3"/>
  <c r="F210" i="3"/>
  <c r="N209" i="3"/>
  <c r="D209" i="3"/>
  <c r="K208" i="3"/>
  <c r="T207" i="3"/>
  <c r="K207" i="3"/>
  <c r="M206" i="3"/>
  <c r="E206" i="3"/>
  <c r="O205" i="3"/>
  <c r="G205" i="3"/>
  <c r="Q204" i="3"/>
  <c r="I204" i="3"/>
  <c r="S203" i="3"/>
  <c r="K203" i="3"/>
  <c r="M202" i="3"/>
  <c r="E202" i="3"/>
  <c r="O201" i="3"/>
  <c r="G201" i="3"/>
  <c r="Q200" i="3"/>
  <c r="I200" i="3"/>
  <c r="S199" i="3"/>
  <c r="K199" i="3"/>
  <c r="M198" i="3"/>
  <c r="E198" i="3"/>
  <c r="O197" i="3"/>
  <c r="G197" i="3"/>
  <c r="Q196" i="3"/>
  <c r="I196" i="3"/>
  <c r="S195" i="3"/>
  <c r="K195" i="3"/>
  <c r="M194" i="3"/>
  <c r="E194" i="3"/>
  <c r="O193" i="3"/>
  <c r="G193" i="3"/>
  <c r="Q192" i="3"/>
  <c r="I192" i="3"/>
  <c r="S191" i="3"/>
  <c r="K191" i="3"/>
  <c r="M190" i="3"/>
  <c r="E190" i="3"/>
  <c r="O189" i="3"/>
  <c r="G189" i="3"/>
  <c r="Q188" i="3"/>
  <c r="I188" i="3"/>
  <c r="S187" i="3"/>
  <c r="K187" i="3"/>
  <c r="M186" i="3"/>
  <c r="E186" i="3"/>
  <c r="O185" i="3"/>
  <c r="G185" i="3"/>
  <c r="Q184" i="3"/>
  <c r="I184" i="3"/>
  <c r="S183" i="3"/>
  <c r="K183" i="3"/>
  <c r="M182" i="3"/>
  <c r="E182" i="3"/>
  <c r="O181" i="3"/>
  <c r="G181" i="3"/>
  <c r="Q180" i="3"/>
  <c r="I180" i="3"/>
  <c r="S179" i="3"/>
  <c r="K179" i="3"/>
  <c r="M178" i="3"/>
  <c r="E178" i="3"/>
  <c r="O177" i="3"/>
  <c r="G177" i="3"/>
  <c r="Q176" i="3"/>
  <c r="I176" i="3"/>
  <c r="S175" i="3"/>
  <c r="K175" i="3"/>
  <c r="M174" i="3"/>
  <c r="E174" i="3"/>
  <c r="O173" i="3"/>
  <c r="G173" i="3"/>
  <c r="Q172" i="3"/>
  <c r="I172" i="3"/>
  <c r="S171" i="3"/>
  <c r="K171" i="3"/>
  <c r="M170" i="3"/>
  <c r="E170" i="3"/>
  <c r="O169" i="3"/>
  <c r="G169" i="3"/>
  <c r="Q168" i="3"/>
  <c r="I168" i="3"/>
  <c r="S167" i="3"/>
  <c r="K167" i="3"/>
  <c r="M166" i="3"/>
  <c r="E166" i="3"/>
  <c r="O165" i="3"/>
  <c r="G165" i="3"/>
  <c r="Q164" i="3"/>
  <c r="T222" i="3"/>
  <c r="N221" i="3"/>
  <c r="N220" i="3"/>
  <c r="K219" i="3"/>
  <c r="N218" i="3"/>
  <c r="G217" i="3"/>
  <c r="O216" i="3"/>
  <c r="K215" i="3"/>
  <c r="S214" i="3"/>
  <c r="G214" i="3"/>
  <c r="O213" i="3"/>
  <c r="E213" i="3"/>
  <c r="K212" i="3"/>
  <c r="S211" i="3"/>
  <c r="I211" i="3"/>
  <c r="O210" i="3"/>
  <c r="E210" i="3"/>
  <c r="M209" i="3"/>
  <c r="S208" i="3"/>
  <c r="J208" i="3"/>
  <c r="S207" i="3"/>
  <c r="J207" i="3"/>
  <c r="T206" i="3"/>
  <c r="L206" i="3"/>
  <c r="D206" i="3"/>
  <c r="N205" i="3"/>
  <c r="F205" i="3"/>
  <c r="P204" i="3"/>
  <c r="H204" i="3"/>
  <c r="R203" i="3"/>
  <c r="J203" i="3"/>
  <c r="T202" i="3"/>
  <c r="L202" i="3"/>
  <c r="D202" i="3"/>
  <c r="N201" i="3"/>
  <c r="F201" i="3"/>
  <c r="P200" i="3"/>
  <c r="H200" i="3"/>
  <c r="R199" i="3"/>
  <c r="J199" i="3"/>
  <c r="T198" i="3"/>
  <c r="L198" i="3"/>
  <c r="D198" i="3"/>
  <c r="N197" i="3"/>
  <c r="F197" i="3"/>
  <c r="P196" i="3"/>
  <c r="H196" i="3"/>
  <c r="R195" i="3"/>
  <c r="J195" i="3"/>
  <c r="T194" i="3"/>
  <c r="L194" i="3"/>
  <c r="D194" i="3"/>
  <c r="N193" i="3"/>
  <c r="F193" i="3"/>
  <c r="P192" i="3"/>
  <c r="H192" i="3"/>
  <c r="R191" i="3"/>
  <c r="J191" i="3"/>
  <c r="T190" i="3"/>
  <c r="L190" i="3"/>
  <c r="D190" i="3"/>
  <c r="N189" i="3"/>
  <c r="F189" i="3"/>
  <c r="P188" i="3"/>
  <c r="H188" i="3"/>
  <c r="R187" i="3"/>
  <c r="J187" i="3"/>
  <c r="T186" i="3"/>
  <c r="L186" i="3"/>
  <c r="D186" i="3"/>
  <c r="N185" i="3"/>
  <c r="F185" i="3"/>
  <c r="P184" i="3"/>
  <c r="H184" i="3"/>
  <c r="R183" i="3"/>
  <c r="J183" i="3"/>
  <c r="T182" i="3"/>
  <c r="L182" i="3"/>
  <c r="D182" i="3"/>
  <c r="N181" i="3"/>
  <c r="F181" i="3"/>
  <c r="P180" i="3"/>
  <c r="H180" i="3"/>
  <c r="R179" i="3"/>
  <c r="J179" i="3"/>
  <c r="T178" i="3"/>
  <c r="L178" i="3"/>
  <c r="D178" i="3"/>
  <c r="N177" i="3"/>
  <c r="F177" i="3"/>
  <c r="P176" i="3"/>
  <c r="H176" i="3"/>
  <c r="R175" i="3"/>
  <c r="J175" i="3"/>
  <c r="T174" i="3"/>
  <c r="L174" i="3"/>
  <c r="D174" i="3"/>
  <c r="N173" i="3"/>
  <c r="F173" i="3"/>
  <c r="P172" i="3"/>
  <c r="H172" i="3"/>
  <c r="R171" i="3"/>
  <c r="J171" i="3"/>
  <c r="T170" i="3"/>
  <c r="L170" i="3"/>
  <c r="D170" i="3"/>
  <c r="N169" i="3"/>
  <c r="F169" i="3"/>
  <c r="P168" i="3"/>
  <c r="H168" i="3"/>
  <c r="R167" i="3"/>
  <c r="J167" i="3"/>
  <c r="T166" i="3"/>
  <c r="L166" i="3"/>
  <c r="R222" i="3"/>
  <c r="M221" i="3"/>
  <c r="H220" i="3"/>
  <c r="J219" i="3"/>
  <c r="M218" i="3"/>
  <c r="T217" i="3"/>
  <c r="F217" i="3"/>
  <c r="N216" i="3"/>
  <c r="T215" i="3"/>
  <c r="J215" i="3"/>
  <c r="R214" i="3"/>
  <c r="F214" i="3"/>
  <c r="N213" i="3"/>
  <c r="D213" i="3"/>
  <c r="J212" i="3"/>
  <c r="R211" i="3"/>
  <c r="H211" i="3"/>
  <c r="N210" i="3"/>
  <c r="D210" i="3"/>
  <c r="L209" i="3"/>
  <c r="R208" i="3"/>
  <c r="I208" i="3"/>
  <c r="R207" i="3"/>
  <c r="I207" i="3"/>
  <c r="S206" i="3"/>
  <c r="K206" i="3"/>
  <c r="M205" i="3"/>
  <c r="E205" i="3"/>
  <c r="O204" i="3"/>
  <c r="G204" i="3"/>
  <c r="Q203" i="3"/>
  <c r="I203" i="3"/>
  <c r="S202" i="3"/>
  <c r="K202" i="3"/>
  <c r="M201" i="3"/>
  <c r="E201" i="3"/>
  <c r="O200" i="3"/>
  <c r="G200" i="3"/>
  <c r="Q199" i="3"/>
  <c r="I199" i="3"/>
  <c r="S198" i="3"/>
  <c r="K198" i="3"/>
  <c r="M197" i="3"/>
  <c r="E197" i="3"/>
  <c r="O196" i="3"/>
  <c r="G196" i="3"/>
  <c r="Q195" i="3"/>
  <c r="I195" i="3"/>
  <c r="S194" i="3"/>
  <c r="K194" i="3"/>
  <c r="M193" i="3"/>
  <c r="E193" i="3"/>
  <c r="O192" i="3"/>
  <c r="G192" i="3"/>
  <c r="Q191" i="3"/>
  <c r="I191" i="3"/>
  <c r="S190" i="3"/>
  <c r="K190" i="3"/>
  <c r="M189" i="3"/>
  <c r="E189" i="3"/>
  <c r="O188" i="3"/>
  <c r="G188" i="3"/>
  <c r="Q187" i="3"/>
  <c r="I187" i="3"/>
  <c r="S186" i="3"/>
  <c r="K186" i="3"/>
  <c r="M185" i="3"/>
  <c r="E185" i="3"/>
  <c r="O184" i="3"/>
  <c r="G184" i="3"/>
  <c r="Q183" i="3"/>
  <c r="I183" i="3"/>
  <c r="S182" i="3"/>
  <c r="K182" i="3"/>
  <c r="M181" i="3"/>
  <c r="E181" i="3"/>
  <c r="O180" i="3"/>
  <c r="G180" i="3"/>
  <c r="Q179" i="3"/>
  <c r="I179" i="3"/>
  <c r="S178" i="3"/>
  <c r="K178" i="3"/>
  <c r="M177" i="3"/>
  <c r="E177" i="3"/>
  <c r="O176" i="3"/>
  <c r="G176" i="3"/>
  <c r="Q175" i="3"/>
  <c r="I175" i="3"/>
  <c r="S174" i="3"/>
  <c r="L222" i="3"/>
  <c r="L221" i="3"/>
  <c r="G220" i="3"/>
  <c r="I219" i="3"/>
  <c r="L218" i="3"/>
  <c r="P217" i="3"/>
  <c r="E217" i="3"/>
  <c r="K216" i="3"/>
  <c r="S215" i="3"/>
  <c r="I215" i="3"/>
  <c r="O214" i="3"/>
  <c r="E214" i="3"/>
  <c r="M213" i="3"/>
  <c r="S212" i="3"/>
  <c r="I212" i="3"/>
  <c r="Q211" i="3"/>
  <c r="E211" i="3"/>
  <c r="M210" i="3"/>
  <c r="I209" i="3"/>
  <c r="Q208" i="3"/>
  <c r="H208" i="3"/>
  <c r="Q207" i="3"/>
  <c r="H207" i="3"/>
  <c r="R206" i="3"/>
  <c r="J206" i="3"/>
  <c r="T205" i="3"/>
  <c r="L205" i="3"/>
  <c r="D205" i="3"/>
  <c r="N204" i="3"/>
  <c r="F204" i="3"/>
  <c r="P203" i="3"/>
  <c r="H203" i="3"/>
  <c r="R202" i="3"/>
  <c r="J202" i="3"/>
  <c r="T201" i="3"/>
  <c r="L201" i="3"/>
  <c r="D201" i="3"/>
  <c r="N200" i="3"/>
  <c r="F200" i="3"/>
  <c r="P199" i="3"/>
  <c r="H199" i="3"/>
  <c r="R198" i="3"/>
  <c r="J198" i="3"/>
  <c r="T197" i="3"/>
  <c r="L197" i="3"/>
  <c r="D197" i="3"/>
  <c r="N196" i="3"/>
  <c r="F196" i="3"/>
  <c r="P195" i="3"/>
  <c r="H195" i="3"/>
  <c r="R194" i="3"/>
  <c r="J194" i="3"/>
  <c r="T193" i="3"/>
  <c r="L193" i="3"/>
  <c r="D193" i="3"/>
  <c r="N192" i="3"/>
  <c r="F192" i="3"/>
  <c r="P191" i="3"/>
  <c r="H191" i="3"/>
  <c r="R190" i="3"/>
  <c r="J190" i="3"/>
  <c r="T189" i="3"/>
  <c r="L189" i="3"/>
  <c r="D189" i="3"/>
  <c r="N188" i="3"/>
  <c r="F188" i="3"/>
  <c r="P187" i="3"/>
  <c r="H187" i="3"/>
  <c r="R186" i="3"/>
  <c r="J186" i="3"/>
  <c r="T185" i="3"/>
  <c r="L185" i="3"/>
  <c r="D185" i="3"/>
  <c r="N184" i="3"/>
  <c r="F184" i="3"/>
  <c r="P183" i="3"/>
  <c r="H183" i="3"/>
  <c r="R182" i="3"/>
  <c r="J182" i="3"/>
  <c r="T181" i="3"/>
  <c r="L181" i="3"/>
  <c r="D181" i="3"/>
  <c r="N180" i="3"/>
  <c r="F180" i="3"/>
  <c r="P179" i="3"/>
  <c r="H179" i="3"/>
  <c r="R178" i="3"/>
  <c r="J178" i="3"/>
  <c r="T177" i="3"/>
  <c r="L177" i="3"/>
  <c r="D177" i="3"/>
  <c r="N176" i="3"/>
  <c r="F176" i="3"/>
  <c r="K222" i="3"/>
  <c r="F221" i="3"/>
  <c r="F220" i="3"/>
  <c r="H219" i="3"/>
  <c r="K218" i="3"/>
  <c r="O217" i="3"/>
  <c r="D217" i="3"/>
  <c r="J216" i="3"/>
  <c r="R215" i="3"/>
  <c r="H215" i="3"/>
  <c r="N214" i="3"/>
  <c r="D214" i="3"/>
  <c r="L213" i="3"/>
  <c r="R212" i="3"/>
  <c r="H212" i="3"/>
  <c r="P211" i="3"/>
  <c r="D211" i="3"/>
  <c r="L210" i="3"/>
  <c r="T209" i="3"/>
  <c r="H209" i="3"/>
  <c r="P208" i="3"/>
  <c r="G208" i="3"/>
  <c r="P207" i="3"/>
  <c r="G207" i="3"/>
  <c r="Q206" i="3"/>
  <c r="I206" i="3"/>
  <c r="S205" i="3"/>
  <c r="K205" i="3"/>
  <c r="M204" i="3"/>
  <c r="E204" i="3"/>
  <c r="O203" i="3"/>
  <c r="G203" i="3"/>
  <c r="Q202" i="3"/>
  <c r="I202" i="3"/>
  <c r="S201" i="3"/>
  <c r="K201" i="3"/>
  <c r="M200" i="3"/>
  <c r="E200" i="3"/>
  <c r="O199" i="3"/>
  <c r="G199" i="3"/>
  <c r="Q198" i="3"/>
  <c r="I198" i="3"/>
  <c r="S197" i="3"/>
  <c r="K197" i="3"/>
  <c r="M196" i="3"/>
  <c r="E196" i="3"/>
  <c r="O195" i="3"/>
  <c r="G195" i="3"/>
  <c r="Q194" i="3"/>
  <c r="I194" i="3"/>
  <c r="S193" i="3"/>
  <c r="K193" i="3"/>
  <c r="M192" i="3"/>
  <c r="E192" i="3"/>
  <c r="O191" i="3"/>
  <c r="G191" i="3"/>
  <c r="Q190" i="3"/>
  <c r="I190" i="3"/>
  <c r="S189" i="3"/>
  <c r="K189" i="3"/>
  <c r="M188" i="3"/>
  <c r="E188" i="3"/>
  <c r="O187" i="3"/>
  <c r="G187" i="3"/>
  <c r="Q186" i="3"/>
  <c r="I186" i="3"/>
  <c r="S185" i="3"/>
  <c r="K185" i="3"/>
  <c r="M184" i="3"/>
  <c r="E184" i="3"/>
  <c r="O183" i="3"/>
  <c r="G183" i="3"/>
  <c r="Q182" i="3"/>
  <c r="I182" i="3"/>
  <c r="S181" i="3"/>
  <c r="K181" i="3"/>
  <c r="M180" i="3"/>
  <c r="E180" i="3"/>
  <c r="O179" i="3"/>
  <c r="G179" i="3"/>
  <c r="Q178" i="3"/>
  <c r="J222" i="3"/>
  <c r="E221" i="3"/>
  <c r="S219" i="3"/>
  <c r="J218" i="3"/>
  <c r="N217" i="3"/>
  <c r="S216" i="3"/>
  <c r="I216" i="3"/>
  <c r="Q215" i="3"/>
  <c r="E215" i="3"/>
  <c r="M214" i="3"/>
  <c r="I213" i="3"/>
  <c r="Q212" i="3"/>
  <c r="G212" i="3"/>
  <c r="M211" i="3"/>
  <c r="K210" i="3"/>
  <c r="Q209" i="3"/>
  <c r="G209" i="3"/>
  <c r="O208" i="3"/>
  <c r="F208" i="3"/>
  <c r="N207" i="3"/>
  <c r="F207" i="3"/>
  <c r="P206" i="3"/>
  <c r="H206" i="3"/>
  <c r="R205" i="3"/>
  <c r="J205" i="3"/>
  <c r="T204" i="3"/>
  <c r="L204" i="3"/>
  <c r="D204" i="3"/>
  <c r="N203" i="3"/>
  <c r="F203" i="3"/>
  <c r="P202" i="3"/>
  <c r="H202" i="3"/>
  <c r="R201" i="3"/>
  <c r="J201" i="3"/>
  <c r="T200" i="3"/>
  <c r="L200" i="3"/>
  <c r="D200" i="3"/>
  <c r="N199" i="3"/>
  <c r="F199" i="3"/>
  <c r="P198" i="3"/>
  <c r="H198" i="3"/>
  <c r="R197" i="3"/>
  <c r="J197" i="3"/>
  <c r="T196" i="3"/>
  <c r="L196" i="3"/>
  <c r="D196" i="3"/>
  <c r="N195" i="3"/>
  <c r="F195" i="3"/>
  <c r="P194" i="3"/>
  <c r="H194" i="3"/>
  <c r="R193" i="3"/>
  <c r="J193" i="3"/>
  <c r="T192" i="3"/>
  <c r="L192" i="3"/>
  <c r="D192" i="3"/>
  <c r="N191" i="3"/>
  <c r="F191" i="3"/>
  <c r="P190" i="3"/>
  <c r="H190" i="3"/>
  <c r="R189" i="3"/>
  <c r="J189" i="3"/>
  <c r="T188" i="3"/>
  <c r="L188" i="3"/>
  <c r="D188" i="3"/>
  <c r="N187" i="3"/>
  <c r="F187" i="3"/>
  <c r="P186" i="3"/>
  <c r="H186" i="3"/>
  <c r="R185" i="3"/>
  <c r="J185" i="3"/>
  <c r="T184" i="3"/>
  <c r="L184" i="3"/>
  <c r="D184" i="3"/>
  <c r="N183" i="3"/>
  <c r="F183" i="3"/>
  <c r="P182" i="3"/>
  <c r="H182" i="3"/>
  <c r="R181" i="3"/>
  <c r="J181" i="3"/>
  <c r="T180" i="3"/>
  <c r="L180" i="3"/>
  <c r="D180" i="3"/>
  <c r="D222" i="3"/>
  <c r="D221" i="3"/>
  <c r="R219" i="3"/>
  <c r="T218" i="3"/>
  <c r="F218" i="3"/>
  <c r="M217" i="3"/>
  <c r="R216" i="3"/>
  <c r="H216" i="3"/>
  <c r="P215" i="3"/>
  <c r="D215" i="3"/>
  <c r="L214" i="3"/>
  <c r="T213" i="3"/>
  <c r="H213" i="3"/>
  <c r="P212" i="3"/>
  <c r="F212" i="3"/>
  <c r="L211" i="3"/>
  <c r="T210" i="3"/>
  <c r="J210" i="3"/>
  <c r="P209" i="3"/>
  <c r="F209" i="3"/>
  <c r="N208" i="3"/>
  <c r="D208" i="3"/>
  <c r="M207" i="3"/>
  <c r="E207" i="3"/>
  <c r="O206" i="3"/>
  <c r="G206" i="3"/>
  <c r="Q205" i="3"/>
  <c r="I205" i="3"/>
  <c r="S204" i="3"/>
  <c r="K204" i="3"/>
  <c r="M203" i="3"/>
  <c r="E203" i="3"/>
  <c r="O202" i="3"/>
  <c r="G202" i="3"/>
  <c r="Q201" i="3"/>
  <c r="I201" i="3"/>
  <c r="S200" i="3"/>
  <c r="K200" i="3"/>
  <c r="M199" i="3"/>
  <c r="E199" i="3"/>
  <c r="O198" i="3"/>
  <c r="G198" i="3"/>
  <c r="Q197" i="3"/>
  <c r="I197" i="3"/>
  <c r="S196" i="3"/>
  <c r="K196" i="3"/>
  <c r="M195" i="3"/>
  <c r="E195" i="3"/>
  <c r="O194" i="3"/>
  <c r="G194" i="3"/>
  <c r="Q193" i="3"/>
  <c r="I193" i="3"/>
  <c r="S192" i="3"/>
  <c r="K192" i="3"/>
  <c r="M191" i="3"/>
  <c r="E191" i="3"/>
  <c r="O190" i="3"/>
  <c r="G190" i="3"/>
  <c r="Q189" i="3"/>
  <c r="I189" i="3"/>
  <c r="S188" i="3"/>
  <c r="K188" i="3"/>
  <c r="M187" i="3"/>
  <c r="E187" i="3"/>
  <c r="O186" i="3"/>
  <c r="G186" i="3"/>
  <c r="Q185" i="3"/>
  <c r="I185" i="3"/>
  <c r="S184" i="3"/>
  <c r="K184" i="3"/>
  <c r="M183" i="3"/>
  <c r="E183" i="3"/>
  <c r="O182" i="3"/>
  <c r="G182" i="3"/>
  <c r="Q181" i="3"/>
  <c r="I181" i="3"/>
  <c r="S180" i="3"/>
  <c r="K180" i="3"/>
  <c r="M179" i="3"/>
  <c r="E179" i="3"/>
  <c r="O178" i="3"/>
  <c r="P223" i="3"/>
  <c r="P220" i="3"/>
  <c r="Q219" i="3"/>
  <c r="S218" i="3"/>
  <c r="E218" i="3"/>
  <c r="L217" i="3"/>
  <c r="Q216" i="3"/>
  <c r="G216" i="3"/>
  <c r="M215" i="3"/>
  <c r="K214" i="3"/>
  <c r="Q213" i="3"/>
  <c r="G213" i="3"/>
  <c r="O212" i="3"/>
  <c r="K211" i="3"/>
  <c r="S210" i="3"/>
  <c r="G210" i="3"/>
  <c r="O209" i="3"/>
  <c r="E209" i="3"/>
  <c r="L208" i="3"/>
  <c r="L207" i="3"/>
  <c r="D207" i="3"/>
  <c r="N206" i="3"/>
  <c r="F206" i="3"/>
  <c r="P205" i="3"/>
  <c r="H205" i="3"/>
  <c r="R204" i="3"/>
  <c r="J204" i="3"/>
  <c r="T203" i="3"/>
  <c r="L203" i="3"/>
  <c r="D203" i="3"/>
  <c r="N202" i="3"/>
  <c r="F202" i="3"/>
  <c r="P201" i="3"/>
  <c r="H201" i="3"/>
  <c r="R200" i="3"/>
  <c r="J200" i="3"/>
  <c r="T199" i="3"/>
  <c r="L199" i="3"/>
  <c r="D199" i="3"/>
  <c r="N198" i="3"/>
  <c r="F198" i="3"/>
  <c r="P197" i="3"/>
  <c r="H197" i="3"/>
  <c r="R196" i="3"/>
  <c r="J196" i="3"/>
  <c r="T195" i="3"/>
  <c r="L195" i="3"/>
  <c r="D195" i="3"/>
  <c r="N194" i="3"/>
  <c r="F194" i="3"/>
  <c r="P193" i="3"/>
  <c r="H193" i="3"/>
  <c r="R192" i="3"/>
  <c r="J192" i="3"/>
  <c r="T191" i="3"/>
  <c r="L191" i="3"/>
  <c r="D191" i="3"/>
  <c r="N190" i="3"/>
  <c r="F190" i="3"/>
  <c r="P189" i="3"/>
  <c r="H189" i="3"/>
  <c r="R188" i="3"/>
  <c r="J188" i="3"/>
  <c r="T187" i="3"/>
  <c r="L187" i="3"/>
  <c r="D187" i="3"/>
  <c r="N186" i="3"/>
  <c r="F186" i="3"/>
  <c r="P185" i="3"/>
  <c r="H185" i="3"/>
  <c r="R184" i="3"/>
  <c r="J184" i="3"/>
  <c r="T183" i="3"/>
  <c r="L183" i="3"/>
  <c r="D183" i="3"/>
  <c r="N182" i="3"/>
  <c r="F182" i="3"/>
  <c r="P181" i="3"/>
  <c r="H181" i="3"/>
  <c r="J180" i="3"/>
  <c r="I178" i="3"/>
  <c r="K177" i="3"/>
  <c r="M176" i="3"/>
  <c r="P175" i="3"/>
  <c r="E175" i="3"/>
  <c r="J174" i="3"/>
  <c r="R173" i="3"/>
  <c r="H173" i="3"/>
  <c r="N172" i="3"/>
  <c r="D172" i="3"/>
  <c r="L171" i="3"/>
  <c r="R170" i="3"/>
  <c r="H170" i="3"/>
  <c r="P169" i="3"/>
  <c r="D169" i="3"/>
  <c r="L168" i="3"/>
  <c r="T167" i="3"/>
  <c r="H167" i="3"/>
  <c r="P166" i="3"/>
  <c r="F166" i="3"/>
  <c r="N165" i="3"/>
  <c r="E165" i="3"/>
  <c r="N164" i="3"/>
  <c r="F164" i="3"/>
  <c r="P163" i="3"/>
  <c r="H163" i="3"/>
  <c r="R162" i="3"/>
  <c r="J162" i="3"/>
  <c r="T161" i="3"/>
  <c r="L161" i="3"/>
  <c r="D161" i="3"/>
  <c r="N160" i="3"/>
  <c r="F160" i="3"/>
  <c r="P159" i="3"/>
  <c r="H159" i="3"/>
  <c r="R158" i="3"/>
  <c r="J158" i="3"/>
  <c r="T157" i="3"/>
  <c r="L157" i="3"/>
  <c r="D157" i="3"/>
  <c r="N156" i="3"/>
  <c r="F156" i="3"/>
  <c r="P155" i="3"/>
  <c r="H155" i="3"/>
  <c r="R154" i="3"/>
  <c r="J154" i="3"/>
  <c r="T153" i="3"/>
  <c r="L153" i="3"/>
  <c r="D153" i="3"/>
  <c r="N152" i="3"/>
  <c r="F152" i="3"/>
  <c r="P151" i="3"/>
  <c r="H151" i="3"/>
  <c r="R150" i="3"/>
  <c r="J150" i="3"/>
  <c r="T149" i="3"/>
  <c r="L149" i="3"/>
  <c r="D149" i="3"/>
  <c r="N148" i="3"/>
  <c r="F148" i="3"/>
  <c r="P147" i="3"/>
  <c r="H147" i="3"/>
  <c r="R146" i="3"/>
  <c r="J146" i="3"/>
  <c r="T145" i="3"/>
  <c r="L145" i="3"/>
  <c r="D145" i="3"/>
  <c r="N144" i="3"/>
  <c r="F144" i="3"/>
  <c r="P143" i="3"/>
  <c r="H143" i="3"/>
  <c r="R142" i="3"/>
  <c r="J142" i="3"/>
  <c r="T141" i="3"/>
  <c r="L141" i="3"/>
  <c r="D141" i="3"/>
  <c r="N140" i="3"/>
  <c r="F140" i="3"/>
  <c r="P139" i="3"/>
  <c r="H139" i="3"/>
  <c r="R138" i="3"/>
  <c r="J138" i="3"/>
  <c r="T137" i="3"/>
  <c r="L137" i="3"/>
  <c r="D137" i="3"/>
  <c r="N136" i="3"/>
  <c r="F136" i="3"/>
  <c r="P135" i="3"/>
  <c r="H135" i="3"/>
  <c r="R134" i="3"/>
  <c r="J134" i="3"/>
  <c r="T133" i="3"/>
  <c r="L133" i="3"/>
  <c r="D133" i="3"/>
  <c r="N132" i="3"/>
  <c r="F132" i="3"/>
  <c r="P131" i="3"/>
  <c r="H131" i="3"/>
  <c r="R130" i="3"/>
  <c r="J130" i="3"/>
  <c r="T129" i="3"/>
  <c r="L129" i="3"/>
  <c r="D129" i="3"/>
  <c r="N128" i="3"/>
  <c r="F128" i="3"/>
  <c r="P127" i="3"/>
  <c r="H127" i="3"/>
  <c r="R126" i="3"/>
  <c r="J126" i="3"/>
  <c r="T125" i="3"/>
  <c r="L125" i="3"/>
  <c r="D125" i="3"/>
  <c r="N124" i="3"/>
  <c r="T179" i="3"/>
  <c r="H178" i="3"/>
  <c r="J177" i="3"/>
  <c r="L176" i="3"/>
  <c r="O175" i="3"/>
  <c r="D175" i="3"/>
  <c r="I174" i="3"/>
  <c r="Q173" i="3"/>
  <c r="E173" i="3"/>
  <c r="M172" i="3"/>
  <c r="I171" i="3"/>
  <c r="Q170" i="3"/>
  <c r="G170" i="3"/>
  <c r="M169" i="3"/>
  <c r="K168" i="3"/>
  <c r="Q167" i="3"/>
  <c r="G167" i="3"/>
  <c r="O166" i="3"/>
  <c r="D166" i="3"/>
  <c r="M165" i="3"/>
  <c r="D165" i="3"/>
  <c r="M164" i="3"/>
  <c r="E164" i="3"/>
  <c r="O163" i="3"/>
  <c r="G163" i="3"/>
  <c r="Q162" i="3"/>
  <c r="I162" i="3"/>
  <c r="S161" i="3"/>
  <c r="K161" i="3"/>
  <c r="M160" i="3"/>
  <c r="E160" i="3"/>
  <c r="O159" i="3"/>
  <c r="G159" i="3"/>
  <c r="Q158" i="3"/>
  <c r="I158" i="3"/>
  <c r="S157" i="3"/>
  <c r="K157" i="3"/>
  <c r="M156" i="3"/>
  <c r="E156" i="3"/>
  <c r="O155" i="3"/>
  <c r="G155" i="3"/>
  <c r="Q154" i="3"/>
  <c r="I154" i="3"/>
  <c r="S153" i="3"/>
  <c r="K153" i="3"/>
  <c r="M152" i="3"/>
  <c r="E152" i="3"/>
  <c r="O151" i="3"/>
  <c r="G151" i="3"/>
  <c r="Q150" i="3"/>
  <c r="I150" i="3"/>
  <c r="S149" i="3"/>
  <c r="K149" i="3"/>
  <c r="M148" i="3"/>
  <c r="E148" i="3"/>
  <c r="O147" i="3"/>
  <c r="G147" i="3"/>
  <c r="Q146" i="3"/>
  <c r="I146" i="3"/>
  <c r="S145" i="3"/>
  <c r="K145" i="3"/>
  <c r="M144" i="3"/>
  <c r="E144" i="3"/>
  <c r="O143" i="3"/>
  <c r="G143" i="3"/>
  <c r="Q142" i="3"/>
  <c r="I142" i="3"/>
  <c r="S141" i="3"/>
  <c r="K141" i="3"/>
  <c r="M140" i="3"/>
  <c r="E140" i="3"/>
  <c r="O139" i="3"/>
  <c r="G139" i="3"/>
  <c r="Q138" i="3"/>
  <c r="I138" i="3"/>
  <c r="S137" i="3"/>
  <c r="K137" i="3"/>
  <c r="M136" i="3"/>
  <c r="E136" i="3"/>
  <c r="O135" i="3"/>
  <c r="G135" i="3"/>
  <c r="Q134" i="3"/>
  <c r="I134" i="3"/>
  <c r="S133" i="3"/>
  <c r="K133" i="3"/>
  <c r="M132" i="3"/>
  <c r="E132" i="3"/>
  <c r="O131" i="3"/>
  <c r="G131" i="3"/>
  <c r="Q130" i="3"/>
  <c r="I130" i="3"/>
  <c r="S129" i="3"/>
  <c r="K129" i="3"/>
  <c r="M128" i="3"/>
  <c r="E128" i="3"/>
  <c r="O127" i="3"/>
  <c r="G127" i="3"/>
  <c r="Q126" i="3"/>
  <c r="I126" i="3"/>
  <c r="S125" i="3"/>
  <c r="K125" i="3"/>
  <c r="M124" i="3"/>
  <c r="E124" i="3"/>
  <c r="N179" i="3"/>
  <c r="G178" i="3"/>
  <c r="I177" i="3"/>
  <c r="K176" i="3"/>
  <c r="N175" i="3"/>
  <c r="R174" i="3"/>
  <c r="H174" i="3"/>
  <c r="P173" i="3"/>
  <c r="D173" i="3"/>
  <c r="L172" i="3"/>
  <c r="T171" i="3"/>
  <c r="H171" i="3"/>
  <c r="P170" i="3"/>
  <c r="F170" i="3"/>
  <c r="L169" i="3"/>
  <c r="T168" i="3"/>
  <c r="J168" i="3"/>
  <c r="P167" i="3"/>
  <c r="F167" i="3"/>
  <c r="N166" i="3"/>
  <c r="L165" i="3"/>
  <c r="L164" i="3"/>
  <c r="D164" i="3"/>
  <c r="N163" i="3"/>
  <c r="F163" i="3"/>
  <c r="P162" i="3"/>
  <c r="H162" i="3"/>
  <c r="R161" i="3"/>
  <c r="J161" i="3"/>
  <c r="T160" i="3"/>
  <c r="L160" i="3"/>
  <c r="D160" i="3"/>
  <c r="N159" i="3"/>
  <c r="F159" i="3"/>
  <c r="P158" i="3"/>
  <c r="H158" i="3"/>
  <c r="R157" i="3"/>
  <c r="J157" i="3"/>
  <c r="T156" i="3"/>
  <c r="L156" i="3"/>
  <c r="D156" i="3"/>
  <c r="N155" i="3"/>
  <c r="F155" i="3"/>
  <c r="P154" i="3"/>
  <c r="H154" i="3"/>
  <c r="R153" i="3"/>
  <c r="J153" i="3"/>
  <c r="T152" i="3"/>
  <c r="L152" i="3"/>
  <c r="D152" i="3"/>
  <c r="N151" i="3"/>
  <c r="F151" i="3"/>
  <c r="P150" i="3"/>
  <c r="H150" i="3"/>
  <c r="R149" i="3"/>
  <c r="J149" i="3"/>
  <c r="T148" i="3"/>
  <c r="L148" i="3"/>
  <c r="D148" i="3"/>
  <c r="N147" i="3"/>
  <c r="F147" i="3"/>
  <c r="P146" i="3"/>
  <c r="H146" i="3"/>
  <c r="R145" i="3"/>
  <c r="J145" i="3"/>
  <c r="T144" i="3"/>
  <c r="L144" i="3"/>
  <c r="D144" i="3"/>
  <c r="N143" i="3"/>
  <c r="F143" i="3"/>
  <c r="P142" i="3"/>
  <c r="H142" i="3"/>
  <c r="R141" i="3"/>
  <c r="J141" i="3"/>
  <c r="T140" i="3"/>
  <c r="L140" i="3"/>
  <c r="D140" i="3"/>
  <c r="N139" i="3"/>
  <c r="F139" i="3"/>
  <c r="P138" i="3"/>
  <c r="H138" i="3"/>
  <c r="R137" i="3"/>
  <c r="J137" i="3"/>
  <c r="T136" i="3"/>
  <c r="L136" i="3"/>
  <c r="D136" i="3"/>
  <c r="N135" i="3"/>
  <c r="L179" i="3"/>
  <c r="F178" i="3"/>
  <c r="H177" i="3"/>
  <c r="J176" i="3"/>
  <c r="M175" i="3"/>
  <c r="Q174" i="3"/>
  <c r="G174" i="3"/>
  <c r="M173" i="3"/>
  <c r="K172" i="3"/>
  <c r="Q171" i="3"/>
  <c r="G171" i="3"/>
  <c r="O170" i="3"/>
  <c r="K169" i="3"/>
  <c r="S168" i="3"/>
  <c r="G168" i="3"/>
  <c r="O167" i="3"/>
  <c r="E167" i="3"/>
  <c r="K166" i="3"/>
  <c r="T165" i="3"/>
  <c r="K165" i="3"/>
  <c r="T164" i="3"/>
  <c r="K164" i="3"/>
  <c r="M163" i="3"/>
  <c r="E163" i="3"/>
  <c r="O162" i="3"/>
  <c r="G162" i="3"/>
  <c r="Q161" i="3"/>
  <c r="I161" i="3"/>
  <c r="S160" i="3"/>
  <c r="K160" i="3"/>
  <c r="M159" i="3"/>
  <c r="E159" i="3"/>
  <c r="O158" i="3"/>
  <c r="G158" i="3"/>
  <c r="Q157" i="3"/>
  <c r="I157" i="3"/>
  <c r="S156" i="3"/>
  <c r="K156" i="3"/>
  <c r="M155" i="3"/>
  <c r="E155" i="3"/>
  <c r="O154" i="3"/>
  <c r="G154" i="3"/>
  <c r="Q153" i="3"/>
  <c r="I153" i="3"/>
  <c r="S152" i="3"/>
  <c r="K152" i="3"/>
  <c r="M151" i="3"/>
  <c r="E151" i="3"/>
  <c r="O150" i="3"/>
  <c r="G150" i="3"/>
  <c r="Q149" i="3"/>
  <c r="I149" i="3"/>
  <c r="S148" i="3"/>
  <c r="K148" i="3"/>
  <c r="M147" i="3"/>
  <c r="E147" i="3"/>
  <c r="O146" i="3"/>
  <c r="G146" i="3"/>
  <c r="Q145" i="3"/>
  <c r="I145" i="3"/>
  <c r="S144" i="3"/>
  <c r="K144" i="3"/>
  <c r="M143" i="3"/>
  <c r="E143" i="3"/>
  <c r="O142" i="3"/>
  <c r="G142" i="3"/>
  <c r="Q141" i="3"/>
  <c r="I141" i="3"/>
  <c r="S140" i="3"/>
  <c r="K140" i="3"/>
  <c r="M139" i="3"/>
  <c r="E139" i="3"/>
  <c r="O138" i="3"/>
  <c r="G138" i="3"/>
  <c r="Q137" i="3"/>
  <c r="I137" i="3"/>
  <c r="S136" i="3"/>
  <c r="K136" i="3"/>
  <c r="M135" i="3"/>
  <c r="E135" i="3"/>
  <c r="O134" i="3"/>
  <c r="G134" i="3"/>
  <c r="Q133" i="3"/>
  <c r="I133" i="3"/>
  <c r="F179" i="3"/>
  <c r="S177" i="3"/>
  <c r="E176" i="3"/>
  <c r="L175" i="3"/>
  <c r="P174" i="3"/>
  <c r="F174" i="3"/>
  <c r="L173" i="3"/>
  <c r="T172" i="3"/>
  <c r="J172" i="3"/>
  <c r="P171" i="3"/>
  <c r="F171" i="3"/>
  <c r="N170" i="3"/>
  <c r="T169" i="3"/>
  <c r="J169" i="3"/>
  <c r="R168" i="3"/>
  <c r="F168" i="3"/>
  <c r="N167" i="3"/>
  <c r="D167" i="3"/>
  <c r="J166" i="3"/>
  <c r="S165" i="3"/>
  <c r="J165" i="3"/>
  <c r="S164" i="3"/>
  <c r="J164" i="3"/>
  <c r="T163" i="3"/>
  <c r="L163" i="3"/>
  <c r="D163" i="3"/>
  <c r="N162" i="3"/>
  <c r="F162" i="3"/>
  <c r="P161" i="3"/>
  <c r="H161" i="3"/>
  <c r="R160" i="3"/>
  <c r="J160" i="3"/>
  <c r="T159" i="3"/>
  <c r="L159" i="3"/>
  <c r="D159" i="3"/>
  <c r="N158" i="3"/>
  <c r="F158" i="3"/>
  <c r="P157" i="3"/>
  <c r="H157" i="3"/>
  <c r="R156" i="3"/>
  <c r="J156" i="3"/>
  <c r="T155" i="3"/>
  <c r="L155" i="3"/>
  <c r="D155" i="3"/>
  <c r="N154" i="3"/>
  <c r="F154" i="3"/>
  <c r="P153" i="3"/>
  <c r="H153" i="3"/>
  <c r="R152" i="3"/>
  <c r="J152" i="3"/>
  <c r="T151" i="3"/>
  <c r="L151" i="3"/>
  <c r="D151" i="3"/>
  <c r="N150" i="3"/>
  <c r="F150" i="3"/>
  <c r="P149" i="3"/>
  <c r="H149" i="3"/>
  <c r="R148" i="3"/>
  <c r="J148" i="3"/>
  <c r="T147" i="3"/>
  <c r="L147" i="3"/>
  <c r="D147" i="3"/>
  <c r="N146" i="3"/>
  <c r="F146" i="3"/>
  <c r="P145" i="3"/>
  <c r="H145" i="3"/>
  <c r="R144" i="3"/>
  <c r="J144" i="3"/>
  <c r="T143" i="3"/>
  <c r="L143" i="3"/>
  <c r="D143" i="3"/>
  <c r="N142" i="3"/>
  <c r="F142" i="3"/>
  <c r="P141" i="3"/>
  <c r="H141" i="3"/>
  <c r="R140" i="3"/>
  <c r="J140" i="3"/>
  <c r="T139" i="3"/>
  <c r="D179" i="3"/>
  <c r="R177" i="3"/>
  <c r="T176" i="3"/>
  <c r="D176" i="3"/>
  <c r="H175" i="3"/>
  <c r="O174" i="3"/>
  <c r="K173" i="3"/>
  <c r="S172" i="3"/>
  <c r="G172" i="3"/>
  <c r="O171" i="3"/>
  <c r="E171" i="3"/>
  <c r="K170" i="3"/>
  <c r="S169" i="3"/>
  <c r="I169" i="3"/>
  <c r="O168" i="3"/>
  <c r="E168" i="3"/>
  <c r="M167" i="3"/>
  <c r="S166" i="3"/>
  <c r="I166" i="3"/>
  <c r="R165" i="3"/>
  <c r="I165" i="3"/>
  <c r="R164" i="3"/>
  <c r="I164" i="3"/>
  <c r="S163" i="3"/>
  <c r="K163" i="3"/>
  <c r="M162" i="3"/>
  <c r="E162" i="3"/>
  <c r="O161" i="3"/>
  <c r="G161" i="3"/>
  <c r="Q160" i="3"/>
  <c r="I160" i="3"/>
  <c r="S159" i="3"/>
  <c r="K159" i="3"/>
  <c r="M158" i="3"/>
  <c r="E158" i="3"/>
  <c r="O157" i="3"/>
  <c r="G157" i="3"/>
  <c r="Q156" i="3"/>
  <c r="I156" i="3"/>
  <c r="S155" i="3"/>
  <c r="K155" i="3"/>
  <c r="M154" i="3"/>
  <c r="E154" i="3"/>
  <c r="O153" i="3"/>
  <c r="G153" i="3"/>
  <c r="Q152" i="3"/>
  <c r="I152" i="3"/>
  <c r="S151" i="3"/>
  <c r="K151" i="3"/>
  <c r="M150" i="3"/>
  <c r="E150" i="3"/>
  <c r="O149" i="3"/>
  <c r="G149" i="3"/>
  <c r="Q148" i="3"/>
  <c r="I148" i="3"/>
  <c r="S147" i="3"/>
  <c r="K147" i="3"/>
  <c r="M146" i="3"/>
  <c r="E146" i="3"/>
  <c r="O145" i="3"/>
  <c r="G145" i="3"/>
  <c r="Q144" i="3"/>
  <c r="I144" i="3"/>
  <c r="S143" i="3"/>
  <c r="K143" i="3"/>
  <c r="M142" i="3"/>
  <c r="E142" i="3"/>
  <c r="O141" i="3"/>
  <c r="G141" i="3"/>
  <c r="Q140" i="3"/>
  <c r="I140" i="3"/>
  <c r="S139" i="3"/>
  <c r="K139" i="3"/>
  <c r="M138" i="3"/>
  <c r="E138" i="3"/>
  <c r="O137" i="3"/>
  <c r="G137" i="3"/>
  <c r="Q136" i="3"/>
  <c r="P178" i="3"/>
  <c r="Q177" i="3"/>
  <c r="S176" i="3"/>
  <c r="G175" i="3"/>
  <c r="N174" i="3"/>
  <c r="T173" i="3"/>
  <c r="J173" i="3"/>
  <c r="R172" i="3"/>
  <c r="F172" i="3"/>
  <c r="N171" i="3"/>
  <c r="D171" i="3"/>
  <c r="J170" i="3"/>
  <c r="R169" i="3"/>
  <c r="H169" i="3"/>
  <c r="N168" i="3"/>
  <c r="D168" i="3"/>
  <c r="L167" i="3"/>
  <c r="R166" i="3"/>
  <c r="H166" i="3"/>
  <c r="Q165" i="3"/>
  <c r="H165" i="3"/>
  <c r="P164" i="3"/>
  <c r="H164" i="3"/>
  <c r="R163" i="3"/>
  <c r="J163" i="3"/>
  <c r="T162" i="3"/>
  <c r="L162" i="3"/>
  <c r="D162" i="3"/>
  <c r="N161" i="3"/>
  <c r="F161" i="3"/>
  <c r="P160" i="3"/>
  <c r="H160" i="3"/>
  <c r="R159" i="3"/>
  <c r="J159" i="3"/>
  <c r="T158" i="3"/>
  <c r="L158" i="3"/>
  <c r="D158" i="3"/>
  <c r="N157" i="3"/>
  <c r="F157" i="3"/>
  <c r="P156" i="3"/>
  <c r="H156" i="3"/>
  <c r="R155" i="3"/>
  <c r="J155" i="3"/>
  <c r="T154" i="3"/>
  <c r="L154" i="3"/>
  <c r="D154" i="3"/>
  <c r="N153" i="3"/>
  <c r="F153" i="3"/>
  <c r="P152" i="3"/>
  <c r="H152" i="3"/>
  <c r="R151" i="3"/>
  <c r="J151" i="3"/>
  <c r="T150" i="3"/>
  <c r="L150" i="3"/>
  <c r="D150" i="3"/>
  <c r="N149" i="3"/>
  <c r="F149" i="3"/>
  <c r="P148" i="3"/>
  <c r="H148" i="3"/>
  <c r="R147" i="3"/>
  <c r="J147" i="3"/>
  <c r="T146" i="3"/>
  <c r="L146" i="3"/>
  <c r="D146" i="3"/>
  <c r="N145" i="3"/>
  <c r="F145" i="3"/>
  <c r="P144" i="3"/>
  <c r="H144" i="3"/>
  <c r="R143" i="3"/>
  <c r="J143" i="3"/>
  <c r="T142" i="3"/>
  <c r="L142" i="3"/>
  <c r="D142" i="3"/>
  <c r="N141" i="3"/>
  <c r="F141" i="3"/>
  <c r="P140" i="3"/>
  <c r="H140" i="3"/>
  <c r="R139" i="3"/>
  <c r="R180" i="3"/>
  <c r="N178" i="3"/>
  <c r="P177" i="3"/>
  <c r="R176" i="3"/>
  <c r="T175" i="3"/>
  <c r="F175" i="3"/>
  <c r="K174" i="3"/>
  <c r="S173" i="3"/>
  <c r="I173" i="3"/>
  <c r="O172" i="3"/>
  <c r="E172" i="3"/>
  <c r="M171" i="3"/>
  <c r="S170" i="3"/>
  <c r="I170" i="3"/>
  <c r="Q169" i="3"/>
  <c r="E169" i="3"/>
  <c r="M168" i="3"/>
  <c r="I167" i="3"/>
  <c r="Q166" i="3"/>
  <c r="G166" i="3"/>
  <c r="P165" i="3"/>
  <c r="F165" i="3"/>
  <c r="O164" i="3"/>
  <c r="G164" i="3"/>
  <c r="Q163" i="3"/>
  <c r="I163" i="3"/>
  <c r="S162" i="3"/>
  <c r="K162" i="3"/>
  <c r="M161" i="3"/>
  <c r="E161" i="3"/>
  <c r="O160" i="3"/>
  <c r="G160" i="3"/>
  <c r="Q159" i="3"/>
  <c r="I159" i="3"/>
  <c r="S158" i="3"/>
  <c r="K158" i="3"/>
  <c r="M157" i="3"/>
  <c r="E157" i="3"/>
  <c r="O156" i="3"/>
  <c r="G156" i="3"/>
  <c r="Q155" i="3"/>
  <c r="I155" i="3"/>
  <c r="S154" i="3"/>
  <c r="K154" i="3"/>
  <c r="M153" i="3"/>
  <c r="E153" i="3"/>
  <c r="O152" i="3"/>
  <c r="G152" i="3"/>
  <c r="Q151" i="3"/>
  <c r="I151" i="3"/>
  <c r="S150" i="3"/>
  <c r="K150" i="3"/>
  <c r="M149" i="3"/>
  <c r="E149" i="3"/>
  <c r="O148" i="3"/>
  <c r="G148" i="3"/>
  <c r="Q147" i="3"/>
  <c r="I147" i="3"/>
  <c r="S146" i="3"/>
  <c r="K146" i="3"/>
  <c r="M145" i="3"/>
  <c r="E145" i="3"/>
  <c r="O144" i="3"/>
  <c r="G144" i="3"/>
  <c r="Q143" i="3"/>
  <c r="I143" i="3"/>
  <c r="S142" i="3"/>
  <c r="K142" i="3"/>
  <c r="M141" i="3"/>
  <c r="E141" i="3"/>
  <c r="O140" i="3"/>
  <c r="G140" i="3"/>
  <c r="Q139" i="3"/>
  <c r="I139" i="3"/>
  <c r="S138" i="3"/>
  <c r="K138" i="3"/>
  <c r="M137" i="3"/>
  <c r="J139" i="3"/>
  <c r="N137" i="3"/>
  <c r="I136" i="3"/>
  <c r="K135" i="3"/>
  <c r="P134" i="3"/>
  <c r="D134" i="3"/>
  <c r="H133" i="3"/>
  <c r="P132" i="3"/>
  <c r="D132" i="3"/>
  <c r="L131" i="3"/>
  <c r="T130" i="3"/>
  <c r="H130" i="3"/>
  <c r="P129" i="3"/>
  <c r="F129" i="3"/>
  <c r="L128" i="3"/>
  <c r="T127" i="3"/>
  <c r="J127" i="3"/>
  <c r="P126" i="3"/>
  <c r="F126" i="3"/>
  <c r="N125" i="3"/>
  <c r="T124" i="3"/>
  <c r="J124" i="3"/>
  <c r="S123" i="3"/>
  <c r="K123" i="3"/>
  <c r="M122" i="3"/>
  <c r="E122" i="3"/>
  <c r="O121" i="3"/>
  <c r="G121" i="3"/>
  <c r="Q120" i="3"/>
  <c r="I120" i="3"/>
  <c r="S119" i="3"/>
  <c r="K119" i="3"/>
  <c r="M118" i="3"/>
  <c r="E118" i="3"/>
  <c r="O117" i="3"/>
  <c r="G117" i="3"/>
  <c r="Q116" i="3"/>
  <c r="I116" i="3"/>
  <c r="S115" i="3"/>
  <c r="K115" i="3"/>
  <c r="M114" i="3"/>
  <c r="E114" i="3"/>
  <c r="O113" i="3"/>
  <c r="G113" i="3"/>
  <c r="Q112" i="3"/>
  <c r="I112" i="3"/>
  <c r="S111" i="3"/>
  <c r="K111" i="3"/>
  <c r="M110" i="3"/>
  <c r="E110" i="3"/>
  <c r="O109" i="3"/>
  <c r="G109" i="3"/>
  <c r="Q108" i="3"/>
  <c r="I108" i="3"/>
  <c r="S107" i="3"/>
  <c r="K107" i="3"/>
  <c r="M106" i="3"/>
  <c r="E106" i="3"/>
  <c r="O105" i="3"/>
  <c r="G105" i="3"/>
  <c r="Q104" i="3"/>
  <c r="I104" i="3"/>
  <c r="S103" i="3"/>
  <c r="K103" i="3"/>
  <c r="M102" i="3"/>
  <c r="E102" i="3"/>
  <c r="O101" i="3"/>
  <c r="G101" i="3"/>
  <c r="Q100" i="3"/>
  <c r="I100" i="3"/>
  <c r="S99" i="3"/>
  <c r="K99" i="3"/>
  <c r="M98" i="3"/>
  <c r="E98" i="3"/>
  <c r="O97" i="3"/>
  <c r="G97" i="3"/>
  <c r="Q96" i="3"/>
  <c r="I96" i="3"/>
  <c r="S95" i="3"/>
  <c r="K95" i="3"/>
  <c r="M94" i="3"/>
  <c r="E94" i="3"/>
  <c r="O93" i="3"/>
  <c r="G93" i="3"/>
  <c r="Q92" i="3"/>
  <c r="I92" i="3"/>
  <c r="S91" i="3"/>
  <c r="K91" i="3"/>
  <c r="M90" i="3"/>
  <c r="E90" i="3"/>
  <c r="O89" i="3"/>
  <c r="G89" i="3"/>
  <c r="Q88" i="3"/>
  <c r="I88" i="3"/>
  <c r="S87" i="3"/>
  <c r="K87" i="3"/>
  <c r="M86" i="3"/>
  <c r="E86" i="3"/>
  <c r="O85" i="3"/>
  <c r="G85" i="3"/>
  <c r="Q84" i="3"/>
  <c r="I84" i="3"/>
  <c r="S83" i="3"/>
  <c r="K83" i="3"/>
  <c r="M82" i="3"/>
  <c r="E82" i="3"/>
  <c r="O81" i="3"/>
  <c r="G81" i="3"/>
  <c r="Q80" i="3"/>
  <c r="I80" i="3"/>
  <c r="S79" i="3"/>
  <c r="K79" i="3"/>
  <c r="M78" i="3"/>
  <c r="E78" i="3"/>
  <c r="O77" i="3"/>
  <c r="G77" i="3"/>
  <c r="Q76" i="3"/>
  <c r="I76" i="3"/>
  <c r="S75" i="3"/>
  <c r="K75" i="3"/>
  <c r="M74" i="3"/>
  <c r="E74" i="3"/>
  <c r="O73" i="3"/>
  <c r="G73" i="3"/>
  <c r="Q72" i="3"/>
  <c r="I72" i="3"/>
  <c r="S71" i="3"/>
  <c r="K71" i="3"/>
  <c r="M70" i="3"/>
  <c r="E70" i="3"/>
  <c r="O69" i="3"/>
  <c r="G69" i="3"/>
  <c r="Q68" i="3"/>
  <c r="I68" i="3"/>
  <c r="S67" i="3"/>
  <c r="K67" i="3"/>
  <c r="M66" i="3"/>
  <c r="E66" i="3"/>
  <c r="O65" i="3"/>
  <c r="G65" i="3"/>
  <c r="D139" i="3"/>
  <c r="H137" i="3"/>
  <c r="H136" i="3"/>
  <c r="J135" i="3"/>
  <c r="N134" i="3"/>
  <c r="G133" i="3"/>
  <c r="O132" i="3"/>
  <c r="K131" i="3"/>
  <c r="S130" i="3"/>
  <c r="G130" i="3"/>
  <c r="O129" i="3"/>
  <c r="E129" i="3"/>
  <c r="K128" i="3"/>
  <c r="S127" i="3"/>
  <c r="I127" i="3"/>
  <c r="O126" i="3"/>
  <c r="E126" i="3"/>
  <c r="M125" i="3"/>
  <c r="S124" i="3"/>
  <c r="I124" i="3"/>
  <c r="R123" i="3"/>
  <c r="J123" i="3"/>
  <c r="T122" i="3"/>
  <c r="L122" i="3"/>
  <c r="D122" i="3"/>
  <c r="N121" i="3"/>
  <c r="F121" i="3"/>
  <c r="P120" i="3"/>
  <c r="H120" i="3"/>
  <c r="R119" i="3"/>
  <c r="J119" i="3"/>
  <c r="T118" i="3"/>
  <c r="L118" i="3"/>
  <c r="D118" i="3"/>
  <c r="N117" i="3"/>
  <c r="F117" i="3"/>
  <c r="P116" i="3"/>
  <c r="H116" i="3"/>
  <c r="R115" i="3"/>
  <c r="J115" i="3"/>
  <c r="T114" i="3"/>
  <c r="L114" i="3"/>
  <c r="D114" i="3"/>
  <c r="N113" i="3"/>
  <c r="F113" i="3"/>
  <c r="P112" i="3"/>
  <c r="H112" i="3"/>
  <c r="R111" i="3"/>
  <c r="J111" i="3"/>
  <c r="T110" i="3"/>
  <c r="L110" i="3"/>
  <c r="D110" i="3"/>
  <c r="N109" i="3"/>
  <c r="F109" i="3"/>
  <c r="P108" i="3"/>
  <c r="H108" i="3"/>
  <c r="R107" i="3"/>
  <c r="J107" i="3"/>
  <c r="T106" i="3"/>
  <c r="L106" i="3"/>
  <c r="D106" i="3"/>
  <c r="N105" i="3"/>
  <c r="F105" i="3"/>
  <c r="P104" i="3"/>
  <c r="H104" i="3"/>
  <c r="R103" i="3"/>
  <c r="J103" i="3"/>
  <c r="T102" i="3"/>
  <c r="L102" i="3"/>
  <c r="D102" i="3"/>
  <c r="N101" i="3"/>
  <c r="F101" i="3"/>
  <c r="P100" i="3"/>
  <c r="H100" i="3"/>
  <c r="R99" i="3"/>
  <c r="J99" i="3"/>
  <c r="T98" i="3"/>
  <c r="L98" i="3"/>
  <c r="D98" i="3"/>
  <c r="N97" i="3"/>
  <c r="F97" i="3"/>
  <c r="P96" i="3"/>
  <c r="H96" i="3"/>
  <c r="R95" i="3"/>
  <c r="J95" i="3"/>
  <c r="T94" i="3"/>
  <c r="L94" i="3"/>
  <c r="D94" i="3"/>
  <c r="N93" i="3"/>
  <c r="F93" i="3"/>
  <c r="P92" i="3"/>
  <c r="H92" i="3"/>
  <c r="R91" i="3"/>
  <c r="J91" i="3"/>
  <c r="T90" i="3"/>
  <c r="L90" i="3"/>
  <c r="D90" i="3"/>
  <c r="N89" i="3"/>
  <c r="F89" i="3"/>
  <c r="P88" i="3"/>
  <c r="H88" i="3"/>
  <c r="R87" i="3"/>
  <c r="J87" i="3"/>
  <c r="T86" i="3"/>
  <c r="L86" i="3"/>
  <c r="D86" i="3"/>
  <c r="N85" i="3"/>
  <c r="F85" i="3"/>
  <c r="P84" i="3"/>
  <c r="H84" i="3"/>
  <c r="R83" i="3"/>
  <c r="J83" i="3"/>
  <c r="T82" i="3"/>
  <c r="L82" i="3"/>
  <c r="D82" i="3"/>
  <c r="N81" i="3"/>
  <c r="F81" i="3"/>
  <c r="P80" i="3"/>
  <c r="H80" i="3"/>
  <c r="R79" i="3"/>
  <c r="J79" i="3"/>
  <c r="T78" i="3"/>
  <c r="L78" i="3"/>
  <c r="D78" i="3"/>
  <c r="N77" i="3"/>
  <c r="F77" i="3"/>
  <c r="P76" i="3"/>
  <c r="H76" i="3"/>
  <c r="R75" i="3"/>
  <c r="J75" i="3"/>
  <c r="T74" i="3"/>
  <c r="L74" i="3"/>
  <c r="D74" i="3"/>
  <c r="N73" i="3"/>
  <c r="F73" i="3"/>
  <c r="P72" i="3"/>
  <c r="H72" i="3"/>
  <c r="R71" i="3"/>
  <c r="J71" i="3"/>
  <c r="T70" i="3"/>
  <c r="L70" i="3"/>
  <c r="D70" i="3"/>
  <c r="N69" i="3"/>
  <c r="F69" i="3"/>
  <c r="P68" i="3"/>
  <c r="H68" i="3"/>
  <c r="R67" i="3"/>
  <c r="J67" i="3"/>
  <c r="T66" i="3"/>
  <c r="L66" i="3"/>
  <c r="D66" i="3"/>
  <c r="N65" i="3"/>
  <c r="F65" i="3"/>
  <c r="P64" i="3"/>
  <c r="H64" i="3"/>
  <c r="R63" i="3"/>
  <c r="J63" i="3"/>
  <c r="T62" i="3"/>
  <c r="L62" i="3"/>
  <c r="T138" i="3"/>
  <c r="F137" i="3"/>
  <c r="G136" i="3"/>
  <c r="I135" i="3"/>
  <c r="M134" i="3"/>
  <c r="R133" i="3"/>
  <c r="F133" i="3"/>
  <c r="L132" i="3"/>
  <c r="T131" i="3"/>
  <c r="J131" i="3"/>
  <c r="P130" i="3"/>
  <c r="F130" i="3"/>
  <c r="N129" i="3"/>
  <c r="T128" i="3"/>
  <c r="J128" i="3"/>
  <c r="R127" i="3"/>
  <c r="F127" i="3"/>
  <c r="N126" i="3"/>
  <c r="D126" i="3"/>
  <c r="J125" i="3"/>
  <c r="R124" i="3"/>
  <c r="H124" i="3"/>
  <c r="Q123" i="3"/>
  <c r="I123" i="3"/>
  <c r="S122" i="3"/>
  <c r="K122" i="3"/>
  <c r="M121" i="3"/>
  <c r="E121" i="3"/>
  <c r="O120" i="3"/>
  <c r="G120" i="3"/>
  <c r="Q119" i="3"/>
  <c r="I119" i="3"/>
  <c r="S118" i="3"/>
  <c r="K118" i="3"/>
  <c r="M117" i="3"/>
  <c r="E117" i="3"/>
  <c r="O116" i="3"/>
  <c r="G116" i="3"/>
  <c r="Q115" i="3"/>
  <c r="I115" i="3"/>
  <c r="S114" i="3"/>
  <c r="K114" i="3"/>
  <c r="M113" i="3"/>
  <c r="E113" i="3"/>
  <c r="O112" i="3"/>
  <c r="G112" i="3"/>
  <c r="Q111" i="3"/>
  <c r="I111" i="3"/>
  <c r="S110" i="3"/>
  <c r="K110" i="3"/>
  <c r="M109" i="3"/>
  <c r="E109" i="3"/>
  <c r="O108" i="3"/>
  <c r="G108" i="3"/>
  <c r="Q107" i="3"/>
  <c r="I107" i="3"/>
  <c r="S106" i="3"/>
  <c r="K106" i="3"/>
  <c r="M105" i="3"/>
  <c r="E105" i="3"/>
  <c r="O104" i="3"/>
  <c r="G104" i="3"/>
  <c r="Q103" i="3"/>
  <c r="I103" i="3"/>
  <c r="S102" i="3"/>
  <c r="K102" i="3"/>
  <c r="M101" i="3"/>
  <c r="E101" i="3"/>
  <c r="O100" i="3"/>
  <c r="G100" i="3"/>
  <c r="Q99" i="3"/>
  <c r="I99" i="3"/>
  <c r="S98" i="3"/>
  <c r="K98" i="3"/>
  <c r="M97" i="3"/>
  <c r="E97" i="3"/>
  <c r="O96" i="3"/>
  <c r="G96" i="3"/>
  <c r="Q95" i="3"/>
  <c r="I95" i="3"/>
  <c r="S94" i="3"/>
  <c r="K94" i="3"/>
  <c r="M93" i="3"/>
  <c r="E93" i="3"/>
  <c r="O92" i="3"/>
  <c r="G92" i="3"/>
  <c r="Q91" i="3"/>
  <c r="I91" i="3"/>
  <c r="S90" i="3"/>
  <c r="K90" i="3"/>
  <c r="M89" i="3"/>
  <c r="E89" i="3"/>
  <c r="O88" i="3"/>
  <c r="G88" i="3"/>
  <c r="Q87" i="3"/>
  <c r="I87" i="3"/>
  <c r="S86" i="3"/>
  <c r="K86" i="3"/>
  <c r="M85" i="3"/>
  <c r="E85" i="3"/>
  <c r="O84" i="3"/>
  <c r="G84" i="3"/>
  <c r="Q83" i="3"/>
  <c r="I83" i="3"/>
  <c r="S82" i="3"/>
  <c r="K82" i="3"/>
  <c r="M81" i="3"/>
  <c r="E81" i="3"/>
  <c r="O80" i="3"/>
  <c r="G80" i="3"/>
  <c r="Q79" i="3"/>
  <c r="I79" i="3"/>
  <c r="S78" i="3"/>
  <c r="K78" i="3"/>
  <c r="M77" i="3"/>
  <c r="E77" i="3"/>
  <c r="O76" i="3"/>
  <c r="G76" i="3"/>
  <c r="Q75" i="3"/>
  <c r="I75" i="3"/>
  <c r="S74" i="3"/>
  <c r="K74" i="3"/>
  <c r="M73" i="3"/>
  <c r="E73" i="3"/>
  <c r="O72" i="3"/>
  <c r="G72" i="3"/>
  <c r="Q71" i="3"/>
  <c r="I71" i="3"/>
  <c r="S70" i="3"/>
  <c r="K70" i="3"/>
  <c r="M69" i="3"/>
  <c r="E69" i="3"/>
  <c r="O68" i="3"/>
  <c r="G68" i="3"/>
  <c r="Q67" i="3"/>
  <c r="I67" i="3"/>
  <c r="S66" i="3"/>
  <c r="K66" i="3"/>
  <c r="M65" i="3"/>
  <c r="E65" i="3"/>
  <c r="O64" i="3"/>
  <c r="G64" i="3"/>
  <c r="Q63" i="3"/>
  <c r="I63" i="3"/>
  <c r="S62" i="3"/>
  <c r="K62" i="3"/>
  <c r="M61" i="3"/>
  <c r="E61" i="3"/>
  <c r="O60" i="3"/>
  <c r="N138" i="3"/>
  <c r="E137" i="3"/>
  <c r="T135" i="3"/>
  <c r="F135" i="3"/>
  <c r="L134" i="3"/>
  <c r="P133" i="3"/>
  <c r="E133" i="3"/>
  <c r="K132" i="3"/>
  <c r="S131" i="3"/>
  <c r="I131" i="3"/>
  <c r="O130" i="3"/>
  <c r="E130" i="3"/>
  <c r="M129" i="3"/>
  <c r="S128" i="3"/>
  <c r="I128" i="3"/>
  <c r="Q127" i="3"/>
  <c r="E127" i="3"/>
  <c r="M126" i="3"/>
  <c r="I125" i="3"/>
  <c r="Q124" i="3"/>
  <c r="G124" i="3"/>
  <c r="P123" i="3"/>
  <c r="H123" i="3"/>
  <c r="R122" i="3"/>
  <c r="J122" i="3"/>
  <c r="T121" i="3"/>
  <c r="L121" i="3"/>
  <c r="D121" i="3"/>
  <c r="N120" i="3"/>
  <c r="F120" i="3"/>
  <c r="P119" i="3"/>
  <c r="H119" i="3"/>
  <c r="R118" i="3"/>
  <c r="J118" i="3"/>
  <c r="T117" i="3"/>
  <c r="L117" i="3"/>
  <c r="D117" i="3"/>
  <c r="N116" i="3"/>
  <c r="F116" i="3"/>
  <c r="P115" i="3"/>
  <c r="H115" i="3"/>
  <c r="R114" i="3"/>
  <c r="J114" i="3"/>
  <c r="T113" i="3"/>
  <c r="L113" i="3"/>
  <c r="D113" i="3"/>
  <c r="N112" i="3"/>
  <c r="F112" i="3"/>
  <c r="P111" i="3"/>
  <c r="H111" i="3"/>
  <c r="R110" i="3"/>
  <c r="J110" i="3"/>
  <c r="T109" i="3"/>
  <c r="L109" i="3"/>
  <c r="D109" i="3"/>
  <c r="N108" i="3"/>
  <c r="F108" i="3"/>
  <c r="P107" i="3"/>
  <c r="H107" i="3"/>
  <c r="R106" i="3"/>
  <c r="J106" i="3"/>
  <c r="T105" i="3"/>
  <c r="L105" i="3"/>
  <c r="D105" i="3"/>
  <c r="N104" i="3"/>
  <c r="F104" i="3"/>
  <c r="P103" i="3"/>
  <c r="H103" i="3"/>
  <c r="R102" i="3"/>
  <c r="J102" i="3"/>
  <c r="T101" i="3"/>
  <c r="L101" i="3"/>
  <c r="D101" i="3"/>
  <c r="N100" i="3"/>
  <c r="F100" i="3"/>
  <c r="P99" i="3"/>
  <c r="H99" i="3"/>
  <c r="R98" i="3"/>
  <c r="J98" i="3"/>
  <c r="T97" i="3"/>
  <c r="L97" i="3"/>
  <c r="D97" i="3"/>
  <c r="N96" i="3"/>
  <c r="F96" i="3"/>
  <c r="P95" i="3"/>
  <c r="H95" i="3"/>
  <c r="R94" i="3"/>
  <c r="J94" i="3"/>
  <c r="T93" i="3"/>
  <c r="L93" i="3"/>
  <c r="D93" i="3"/>
  <c r="N92" i="3"/>
  <c r="F92" i="3"/>
  <c r="P91" i="3"/>
  <c r="H91" i="3"/>
  <c r="R90" i="3"/>
  <c r="J90" i="3"/>
  <c r="T89" i="3"/>
  <c r="L89" i="3"/>
  <c r="D89" i="3"/>
  <c r="N88" i="3"/>
  <c r="F88" i="3"/>
  <c r="P87" i="3"/>
  <c r="H87" i="3"/>
  <c r="R86" i="3"/>
  <c r="J86" i="3"/>
  <c r="T85" i="3"/>
  <c r="L85" i="3"/>
  <c r="D85" i="3"/>
  <c r="N84" i="3"/>
  <c r="F84" i="3"/>
  <c r="P83" i="3"/>
  <c r="H83" i="3"/>
  <c r="R82" i="3"/>
  <c r="J82" i="3"/>
  <c r="T81" i="3"/>
  <c r="L81" i="3"/>
  <c r="D81" i="3"/>
  <c r="N80" i="3"/>
  <c r="F80" i="3"/>
  <c r="P79" i="3"/>
  <c r="H79" i="3"/>
  <c r="R78" i="3"/>
  <c r="J78" i="3"/>
  <c r="T77" i="3"/>
  <c r="L77" i="3"/>
  <c r="D77" i="3"/>
  <c r="N76" i="3"/>
  <c r="F76" i="3"/>
  <c r="P75" i="3"/>
  <c r="H75" i="3"/>
  <c r="R74" i="3"/>
  <c r="J74" i="3"/>
  <c r="T73" i="3"/>
  <c r="L73" i="3"/>
  <c r="D73" i="3"/>
  <c r="N72" i="3"/>
  <c r="F72" i="3"/>
  <c r="P71" i="3"/>
  <c r="H71" i="3"/>
  <c r="R70" i="3"/>
  <c r="J70" i="3"/>
  <c r="T69" i="3"/>
  <c r="L138" i="3"/>
  <c r="R136" i="3"/>
  <c r="S135" i="3"/>
  <c r="D135" i="3"/>
  <c r="K134" i="3"/>
  <c r="O133" i="3"/>
  <c r="T132" i="3"/>
  <c r="J132" i="3"/>
  <c r="R131" i="3"/>
  <c r="F131" i="3"/>
  <c r="N130" i="3"/>
  <c r="D130" i="3"/>
  <c r="J129" i="3"/>
  <c r="R128" i="3"/>
  <c r="H128" i="3"/>
  <c r="N127" i="3"/>
  <c r="D127" i="3"/>
  <c r="L126" i="3"/>
  <c r="R125" i="3"/>
  <c r="H125" i="3"/>
  <c r="P124" i="3"/>
  <c r="F124" i="3"/>
  <c r="O123" i="3"/>
  <c r="G123" i="3"/>
  <c r="Q122" i="3"/>
  <c r="I122" i="3"/>
  <c r="S121" i="3"/>
  <c r="K121" i="3"/>
  <c r="M120" i="3"/>
  <c r="E120" i="3"/>
  <c r="O119" i="3"/>
  <c r="G119" i="3"/>
  <c r="Q118" i="3"/>
  <c r="I118" i="3"/>
  <c r="S117" i="3"/>
  <c r="K117" i="3"/>
  <c r="M116" i="3"/>
  <c r="E116" i="3"/>
  <c r="O115" i="3"/>
  <c r="G115" i="3"/>
  <c r="Q114" i="3"/>
  <c r="I114" i="3"/>
  <c r="S113" i="3"/>
  <c r="K113" i="3"/>
  <c r="M112" i="3"/>
  <c r="E112" i="3"/>
  <c r="O111" i="3"/>
  <c r="G111" i="3"/>
  <c r="Q110" i="3"/>
  <c r="I110" i="3"/>
  <c r="S109" i="3"/>
  <c r="K109" i="3"/>
  <c r="M108" i="3"/>
  <c r="E108" i="3"/>
  <c r="O107" i="3"/>
  <c r="G107" i="3"/>
  <c r="Q106" i="3"/>
  <c r="I106" i="3"/>
  <c r="S105" i="3"/>
  <c r="K105" i="3"/>
  <c r="M104" i="3"/>
  <c r="E104" i="3"/>
  <c r="O103" i="3"/>
  <c r="G103" i="3"/>
  <c r="Q102" i="3"/>
  <c r="I102" i="3"/>
  <c r="S101" i="3"/>
  <c r="K101" i="3"/>
  <c r="M100" i="3"/>
  <c r="E100" i="3"/>
  <c r="O99" i="3"/>
  <c r="G99" i="3"/>
  <c r="Q98" i="3"/>
  <c r="I98" i="3"/>
  <c r="S97" i="3"/>
  <c r="K97" i="3"/>
  <c r="M96" i="3"/>
  <c r="E96" i="3"/>
  <c r="O95" i="3"/>
  <c r="G95" i="3"/>
  <c r="Q94" i="3"/>
  <c r="I94" i="3"/>
  <c r="S93" i="3"/>
  <c r="K93" i="3"/>
  <c r="M92" i="3"/>
  <c r="E92" i="3"/>
  <c r="O91" i="3"/>
  <c r="G91" i="3"/>
  <c r="Q90" i="3"/>
  <c r="I90" i="3"/>
  <c r="S89" i="3"/>
  <c r="K89" i="3"/>
  <c r="M88" i="3"/>
  <c r="E88" i="3"/>
  <c r="O87" i="3"/>
  <c r="G87" i="3"/>
  <c r="Q86" i="3"/>
  <c r="I86" i="3"/>
  <c r="S85" i="3"/>
  <c r="K85" i="3"/>
  <c r="M84" i="3"/>
  <c r="E84" i="3"/>
  <c r="O83" i="3"/>
  <c r="G83" i="3"/>
  <c r="Q82" i="3"/>
  <c r="I82" i="3"/>
  <c r="S81" i="3"/>
  <c r="K81" i="3"/>
  <c r="M80" i="3"/>
  <c r="E80" i="3"/>
  <c r="O79" i="3"/>
  <c r="G79" i="3"/>
  <c r="Q78" i="3"/>
  <c r="I78" i="3"/>
  <c r="S77" i="3"/>
  <c r="K77" i="3"/>
  <c r="M76" i="3"/>
  <c r="E76" i="3"/>
  <c r="O75" i="3"/>
  <c r="G75" i="3"/>
  <c r="Q74" i="3"/>
  <c r="I74" i="3"/>
  <c r="S73" i="3"/>
  <c r="K73" i="3"/>
  <c r="M72" i="3"/>
  <c r="E72" i="3"/>
  <c r="O71" i="3"/>
  <c r="G71" i="3"/>
  <c r="Q70" i="3"/>
  <c r="I70" i="3"/>
  <c r="S69" i="3"/>
  <c r="K69" i="3"/>
  <c r="M68" i="3"/>
  <c r="E68" i="3"/>
  <c r="O67" i="3"/>
  <c r="G67" i="3"/>
  <c r="Q66" i="3"/>
  <c r="I66" i="3"/>
  <c r="S65" i="3"/>
  <c r="K65" i="3"/>
  <c r="M64" i="3"/>
  <c r="E64" i="3"/>
  <c r="O63" i="3"/>
  <c r="G63" i="3"/>
  <c r="Q62" i="3"/>
  <c r="I62" i="3"/>
  <c r="S61" i="3"/>
  <c r="K61" i="3"/>
  <c r="M60" i="3"/>
  <c r="E60" i="3"/>
  <c r="O59" i="3"/>
  <c r="G59" i="3"/>
  <c r="Q58" i="3"/>
  <c r="I58" i="3"/>
  <c r="F138" i="3"/>
  <c r="P136" i="3"/>
  <c r="R135" i="3"/>
  <c r="H134" i="3"/>
  <c r="N133" i="3"/>
  <c r="S132" i="3"/>
  <c r="I132" i="3"/>
  <c r="Q131" i="3"/>
  <c r="E131" i="3"/>
  <c r="M130" i="3"/>
  <c r="I129" i="3"/>
  <c r="Q128" i="3"/>
  <c r="G128" i="3"/>
  <c r="M127" i="3"/>
  <c r="K126" i="3"/>
  <c r="Q125" i="3"/>
  <c r="G125" i="3"/>
  <c r="O124" i="3"/>
  <c r="D124" i="3"/>
  <c r="N123" i="3"/>
  <c r="F123" i="3"/>
  <c r="P122" i="3"/>
  <c r="H122" i="3"/>
  <c r="R121" i="3"/>
  <c r="J121" i="3"/>
  <c r="T120" i="3"/>
  <c r="L120" i="3"/>
  <c r="D120" i="3"/>
  <c r="N119" i="3"/>
  <c r="F119" i="3"/>
  <c r="P118" i="3"/>
  <c r="H118" i="3"/>
  <c r="R117" i="3"/>
  <c r="J117" i="3"/>
  <c r="T116" i="3"/>
  <c r="L116" i="3"/>
  <c r="D116" i="3"/>
  <c r="N115" i="3"/>
  <c r="F115" i="3"/>
  <c r="P114" i="3"/>
  <c r="H114" i="3"/>
  <c r="R113" i="3"/>
  <c r="J113" i="3"/>
  <c r="T112" i="3"/>
  <c r="L112" i="3"/>
  <c r="D112" i="3"/>
  <c r="N111" i="3"/>
  <c r="F111" i="3"/>
  <c r="P110" i="3"/>
  <c r="H110" i="3"/>
  <c r="R109" i="3"/>
  <c r="J109" i="3"/>
  <c r="T108" i="3"/>
  <c r="L108" i="3"/>
  <c r="D108" i="3"/>
  <c r="N107" i="3"/>
  <c r="F107" i="3"/>
  <c r="P106" i="3"/>
  <c r="H106" i="3"/>
  <c r="R105" i="3"/>
  <c r="J105" i="3"/>
  <c r="T104" i="3"/>
  <c r="L104" i="3"/>
  <c r="D104" i="3"/>
  <c r="N103" i="3"/>
  <c r="F103" i="3"/>
  <c r="P102" i="3"/>
  <c r="H102" i="3"/>
  <c r="R101" i="3"/>
  <c r="J101" i="3"/>
  <c r="T100" i="3"/>
  <c r="L100" i="3"/>
  <c r="D100" i="3"/>
  <c r="N99" i="3"/>
  <c r="F99" i="3"/>
  <c r="P98" i="3"/>
  <c r="H98" i="3"/>
  <c r="R97" i="3"/>
  <c r="J97" i="3"/>
  <c r="T96" i="3"/>
  <c r="L96" i="3"/>
  <c r="D96" i="3"/>
  <c r="N95" i="3"/>
  <c r="F95" i="3"/>
  <c r="P94" i="3"/>
  <c r="H94" i="3"/>
  <c r="R93" i="3"/>
  <c r="J93" i="3"/>
  <c r="T92" i="3"/>
  <c r="L92" i="3"/>
  <c r="D92" i="3"/>
  <c r="N91" i="3"/>
  <c r="F91" i="3"/>
  <c r="P90" i="3"/>
  <c r="H90" i="3"/>
  <c r="R89" i="3"/>
  <c r="J89" i="3"/>
  <c r="T88" i="3"/>
  <c r="L88" i="3"/>
  <c r="D88" i="3"/>
  <c r="N87" i="3"/>
  <c r="F87" i="3"/>
  <c r="P86" i="3"/>
  <c r="H86" i="3"/>
  <c r="R85" i="3"/>
  <c r="J85" i="3"/>
  <c r="T84" i="3"/>
  <c r="L84" i="3"/>
  <c r="D84" i="3"/>
  <c r="N83" i="3"/>
  <c r="F83" i="3"/>
  <c r="P82" i="3"/>
  <c r="H82" i="3"/>
  <c r="R81" i="3"/>
  <c r="J81" i="3"/>
  <c r="T80" i="3"/>
  <c r="L80" i="3"/>
  <c r="D80" i="3"/>
  <c r="N79" i="3"/>
  <c r="F79" i="3"/>
  <c r="P78" i="3"/>
  <c r="H78" i="3"/>
  <c r="R77" i="3"/>
  <c r="J77" i="3"/>
  <c r="T76" i="3"/>
  <c r="L76" i="3"/>
  <c r="D76" i="3"/>
  <c r="N75" i="3"/>
  <c r="F75" i="3"/>
  <c r="P74" i="3"/>
  <c r="H74" i="3"/>
  <c r="R73" i="3"/>
  <c r="J73" i="3"/>
  <c r="T72" i="3"/>
  <c r="L72" i="3"/>
  <c r="D72" i="3"/>
  <c r="N71" i="3"/>
  <c r="F71" i="3"/>
  <c r="P70" i="3"/>
  <c r="H70" i="3"/>
  <c r="R69" i="3"/>
  <c r="J69" i="3"/>
  <c r="T68" i="3"/>
  <c r="L68" i="3"/>
  <c r="D68" i="3"/>
  <c r="N67" i="3"/>
  <c r="F67" i="3"/>
  <c r="P66" i="3"/>
  <c r="H66" i="3"/>
  <c r="R65" i="3"/>
  <c r="J65" i="3"/>
  <c r="T64" i="3"/>
  <c r="D138" i="3"/>
  <c r="O136" i="3"/>
  <c r="Q135" i="3"/>
  <c r="T134" i="3"/>
  <c r="F134" i="3"/>
  <c r="M133" i="3"/>
  <c r="R132" i="3"/>
  <c r="H132" i="3"/>
  <c r="N131" i="3"/>
  <c r="D131" i="3"/>
  <c r="L130" i="3"/>
  <c r="R129" i="3"/>
  <c r="H129" i="3"/>
  <c r="P128" i="3"/>
  <c r="D128" i="3"/>
  <c r="L127" i="3"/>
  <c r="T126" i="3"/>
  <c r="H126" i="3"/>
  <c r="P125" i="3"/>
  <c r="F125" i="3"/>
  <c r="L124" i="3"/>
  <c r="M123" i="3"/>
  <c r="E123" i="3"/>
  <c r="O122" i="3"/>
  <c r="G122" i="3"/>
  <c r="Q121" i="3"/>
  <c r="I121" i="3"/>
  <c r="S120" i="3"/>
  <c r="K120" i="3"/>
  <c r="M119" i="3"/>
  <c r="E119" i="3"/>
  <c r="O118" i="3"/>
  <c r="G118" i="3"/>
  <c r="Q117" i="3"/>
  <c r="I117" i="3"/>
  <c r="S116" i="3"/>
  <c r="K116" i="3"/>
  <c r="M115" i="3"/>
  <c r="E115" i="3"/>
  <c r="O114" i="3"/>
  <c r="G114" i="3"/>
  <c r="Q113" i="3"/>
  <c r="I113" i="3"/>
  <c r="S112" i="3"/>
  <c r="K112" i="3"/>
  <c r="M111" i="3"/>
  <c r="E111" i="3"/>
  <c r="O110" i="3"/>
  <c r="G110" i="3"/>
  <c r="Q109" i="3"/>
  <c r="I109" i="3"/>
  <c r="S108" i="3"/>
  <c r="K108" i="3"/>
  <c r="M107" i="3"/>
  <c r="E107" i="3"/>
  <c r="O106" i="3"/>
  <c r="G106" i="3"/>
  <c r="Q105" i="3"/>
  <c r="I105" i="3"/>
  <c r="S104" i="3"/>
  <c r="K104" i="3"/>
  <c r="M103" i="3"/>
  <c r="E103" i="3"/>
  <c r="O102" i="3"/>
  <c r="G102" i="3"/>
  <c r="Q101" i="3"/>
  <c r="I101" i="3"/>
  <c r="S100" i="3"/>
  <c r="K100" i="3"/>
  <c r="M99" i="3"/>
  <c r="E99" i="3"/>
  <c r="O98" i="3"/>
  <c r="G98" i="3"/>
  <c r="Q97" i="3"/>
  <c r="I97" i="3"/>
  <c r="S96" i="3"/>
  <c r="K96" i="3"/>
  <c r="M95" i="3"/>
  <c r="E95" i="3"/>
  <c r="O94" i="3"/>
  <c r="G94" i="3"/>
  <c r="Q93" i="3"/>
  <c r="I93" i="3"/>
  <c r="S92" i="3"/>
  <c r="K92" i="3"/>
  <c r="M91" i="3"/>
  <c r="E91" i="3"/>
  <c r="O90" i="3"/>
  <c r="G90" i="3"/>
  <c r="Q89" i="3"/>
  <c r="I89" i="3"/>
  <c r="S88" i="3"/>
  <c r="K88" i="3"/>
  <c r="M87" i="3"/>
  <c r="E87" i="3"/>
  <c r="O86" i="3"/>
  <c r="G86" i="3"/>
  <c r="Q85" i="3"/>
  <c r="I85" i="3"/>
  <c r="S84" i="3"/>
  <c r="K84" i="3"/>
  <c r="M83" i="3"/>
  <c r="E83" i="3"/>
  <c r="O82" i="3"/>
  <c r="G82" i="3"/>
  <c r="Q81" i="3"/>
  <c r="I81" i="3"/>
  <c r="S80" i="3"/>
  <c r="K80" i="3"/>
  <c r="M79" i="3"/>
  <c r="E79" i="3"/>
  <c r="O78" i="3"/>
  <c r="G78" i="3"/>
  <c r="Q77" i="3"/>
  <c r="I77" i="3"/>
  <c r="S76" i="3"/>
  <c r="K76" i="3"/>
  <c r="M75" i="3"/>
  <c r="E75" i="3"/>
  <c r="O74" i="3"/>
  <c r="G74" i="3"/>
  <c r="Q73" i="3"/>
  <c r="I73" i="3"/>
  <c r="S72" i="3"/>
  <c r="K72" i="3"/>
  <c r="M71" i="3"/>
  <c r="E71" i="3"/>
  <c r="O70" i="3"/>
  <c r="G70" i="3"/>
  <c r="Q69" i="3"/>
  <c r="I69" i="3"/>
  <c r="S68" i="3"/>
  <c r="K68" i="3"/>
  <c r="M67" i="3"/>
  <c r="E67" i="3"/>
  <c r="O66" i="3"/>
  <c r="G66" i="3"/>
  <c r="Q65" i="3"/>
  <c r="I65" i="3"/>
  <c r="S64" i="3"/>
  <c r="K64" i="3"/>
  <c r="M63" i="3"/>
  <c r="E63" i="3"/>
  <c r="O62" i="3"/>
  <c r="L139" i="3"/>
  <c r="P137" i="3"/>
  <c r="J136" i="3"/>
  <c r="L135" i="3"/>
  <c r="S134" i="3"/>
  <c r="E134" i="3"/>
  <c r="J133" i="3"/>
  <c r="Q132" i="3"/>
  <c r="G132" i="3"/>
  <c r="M131" i="3"/>
  <c r="K130" i="3"/>
  <c r="Q129" i="3"/>
  <c r="G129" i="3"/>
  <c r="O128" i="3"/>
  <c r="K127" i="3"/>
  <c r="S126" i="3"/>
  <c r="G126" i="3"/>
  <c r="O125" i="3"/>
  <c r="E125" i="3"/>
  <c r="K124" i="3"/>
  <c r="T123" i="3"/>
  <c r="L123" i="3"/>
  <c r="D123" i="3"/>
  <c r="N122" i="3"/>
  <c r="F122" i="3"/>
  <c r="P121" i="3"/>
  <c r="H121" i="3"/>
  <c r="R120" i="3"/>
  <c r="J120" i="3"/>
  <c r="T119" i="3"/>
  <c r="L119" i="3"/>
  <c r="D119" i="3"/>
  <c r="N118" i="3"/>
  <c r="F118" i="3"/>
  <c r="P117" i="3"/>
  <c r="H117" i="3"/>
  <c r="R116" i="3"/>
  <c r="J116" i="3"/>
  <c r="T115" i="3"/>
  <c r="L115" i="3"/>
  <c r="D115" i="3"/>
  <c r="N114" i="3"/>
  <c r="F114" i="3"/>
  <c r="P113" i="3"/>
  <c r="H113" i="3"/>
  <c r="R112" i="3"/>
  <c r="J112" i="3"/>
  <c r="T111" i="3"/>
  <c r="L111" i="3"/>
  <c r="D111" i="3"/>
  <c r="N110" i="3"/>
  <c r="F110" i="3"/>
  <c r="P109" i="3"/>
  <c r="H109" i="3"/>
  <c r="R108" i="3"/>
  <c r="J108" i="3"/>
  <c r="T107" i="3"/>
  <c r="L107" i="3"/>
  <c r="D107" i="3"/>
  <c r="N106" i="3"/>
  <c r="F106" i="3"/>
  <c r="P105" i="3"/>
  <c r="H105" i="3"/>
  <c r="R104" i="3"/>
  <c r="J104" i="3"/>
  <c r="T103" i="3"/>
  <c r="L103" i="3"/>
  <c r="D103" i="3"/>
  <c r="N102" i="3"/>
  <c r="F102" i="3"/>
  <c r="P101" i="3"/>
  <c r="H101" i="3"/>
  <c r="R100" i="3"/>
  <c r="J100" i="3"/>
  <c r="T99" i="3"/>
  <c r="L99" i="3"/>
  <c r="D99" i="3"/>
  <c r="N98" i="3"/>
  <c r="F98" i="3"/>
  <c r="P97" i="3"/>
  <c r="H97" i="3"/>
  <c r="R96" i="3"/>
  <c r="J96" i="3"/>
  <c r="T95" i="3"/>
  <c r="L95" i="3"/>
  <c r="D95" i="3"/>
  <c r="N94" i="3"/>
  <c r="F94" i="3"/>
  <c r="P93" i="3"/>
  <c r="H93" i="3"/>
  <c r="R92" i="3"/>
  <c r="J92" i="3"/>
  <c r="T91" i="3"/>
  <c r="L91" i="3"/>
  <c r="D91" i="3"/>
  <c r="N90" i="3"/>
  <c r="F90" i="3"/>
  <c r="P89" i="3"/>
  <c r="H89" i="3"/>
  <c r="R88" i="3"/>
  <c r="J88" i="3"/>
  <c r="T87" i="3"/>
  <c r="L87" i="3"/>
  <c r="D87" i="3"/>
  <c r="N86" i="3"/>
  <c r="F86" i="3"/>
  <c r="P85" i="3"/>
  <c r="H85" i="3"/>
  <c r="R84" i="3"/>
  <c r="J84" i="3"/>
  <c r="T83" i="3"/>
  <c r="L83" i="3"/>
  <c r="D83" i="3"/>
  <c r="N82" i="3"/>
  <c r="F82" i="3"/>
  <c r="P81" i="3"/>
  <c r="H81" i="3"/>
  <c r="R80" i="3"/>
  <c r="J80" i="3"/>
  <c r="T79" i="3"/>
  <c r="L79" i="3"/>
  <c r="D79" i="3"/>
  <c r="N78" i="3"/>
  <c r="F78" i="3"/>
  <c r="P77" i="3"/>
  <c r="H77" i="3"/>
  <c r="R76" i="3"/>
  <c r="T75" i="3"/>
  <c r="J72" i="3"/>
  <c r="H69" i="3"/>
  <c r="L67" i="3"/>
  <c r="P65" i="3"/>
  <c r="J64" i="3"/>
  <c r="L63" i="3"/>
  <c r="N62" i="3"/>
  <c r="T61" i="3"/>
  <c r="I61" i="3"/>
  <c r="Q60" i="3"/>
  <c r="G60" i="3"/>
  <c r="P59" i="3"/>
  <c r="F59" i="3"/>
  <c r="O58" i="3"/>
  <c r="F58" i="3"/>
  <c r="P57" i="3"/>
  <c r="H57" i="3"/>
  <c r="R56" i="3"/>
  <c r="J56" i="3"/>
  <c r="T55" i="3"/>
  <c r="L55" i="3"/>
  <c r="D55" i="3"/>
  <c r="N54" i="3"/>
  <c r="F54" i="3"/>
  <c r="P53" i="3"/>
  <c r="H53" i="3"/>
  <c r="R52" i="3"/>
  <c r="J52" i="3"/>
  <c r="T51" i="3"/>
  <c r="L51" i="3"/>
  <c r="D51" i="3"/>
  <c r="N50" i="3"/>
  <c r="F50" i="3"/>
  <c r="P49" i="3"/>
  <c r="H49" i="3"/>
  <c r="R48" i="3"/>
  <c r="J48" i="3"/>
  <c r="T47" i="3"/>
  <c r="L47" i="3"/>
  <c r="D47" i="3"/>
  <c r="N46" i="3"/>
  <c r="F46" i="3"/>
  <c r="P45" i="3"/>
  <c r="H45" i="3"/>
  <c r="R44" i="3"/>
  <c r="J44" i="3"/>
  <c r="T43" i="3"/>
  <c r="L43" i="3"/>
  <c r="D43" i="3"/>
  <c r="N42" i="3"/>
  <c r="F42" i="3"/>
  <c r="P41" i="3"/>
  <c r="H41" i="3"/>
  <c r="R40" i="3"/>
  <c r="J40" i="3"/>
  <c r="T39" i="3"/>
  <c r="L39" i="3"/>
  <c r="D39" i="3"/>
  <c r="N38" i="3"/>
  <c r="F38" i="3"/>
  <c r="P37" i="3"/>
  <c r="H37" i="3"/>
  <c r="R36" i="3"/>
  <c r="J36" i="3"/>
  <c r="T35" i="3"/>
  <c r="L35" i="3"/>
  <c r="D35" i="3"/>
  <c r="N34" i="3"/>
  <c r="F34" i="3"/>
  <c r="P33" i="3"/>
  <c r="H33" i="3"/>
  <c r="R32" i="3"/>
  <c r="J32" i="3"/>
  <c r="T31" i="3"/>
  <c r="L31" i="3"/>
  <c r="D31" i="3"/>
  <c r="N30" i="3"/>
  <c r="F30" i="3"/>
  <c r="P29" i="3"/>
  <c r="H29" i="3"/>
  <c r="R28" i="3"/>
  <c r="J28" i="3"/>
  <c r="T27" i="3"/>
  <c r="L27" i="3"/>
  <c r="D27" i="3"/>
  <c r="N26" i="3"/>
  <c r="F26" i="3"/>
  <c r="P25" i="3"/>
  <c r="H25" i="3"/>
  <c r="R24" i="3"/>
  <c r="J24" i="3"/>
  <c r="T23" i="3"/>
  <c r="L23" i="3"/>
  <c r="D23" i="3"/>
  <c r="N22" i="3"/>
  <c r="F22" i="3"/>
  <c r="P21" i="3"/>
  <c r="H21" i="3"/>
  <c r="R20" i="3"/>
  <c r="J20" i="3"/>
  <c r="T19" i="3"/>
  <c r="L19" i="3"/>
  <c r="D19" i="3"/>
  <c r="N18" i="3"/>
  <c r="F18" i="3"/>
  <c r="P17" i="3"/>
  <c r="H17" i="3"/>
  <c r="R16" i="3"/>
  <c r="J16" i="3"/>
  <c r="T15" i="3"/>
  <c r="L15" i="3"/>
  <c r="D15" i="3"/>
  <c r="N14" i="3"/>
  <c r="F14" i="3"/>
  <c r="P13" i="3"/>
  <c r="H13" i="3"/>
  <c r="R12" i="3"/>
  <c r="J12" i="3"/>
  <c r="T11" i="3"/>
  <c r="L11" i="3"/>
  <c r="D11" i="3"/>
  <c r="N10" i="3"/>
  <c r="F10" i="3"/>
  <c r="P9" i="3"/>
  <c r="H9" i="3"/>
  <c r="R8" i="3"/>
  <c r="J8" i="3"/>
  <c r="T7" i="3"/>
  <c r="L7" i="3"/>
  <c r="D7" i="3"/>
  <c r="N6" i="3"/>
  <c r="F6" i="3"/>
  <c r="P5" i="3"/>
  <c r="H5" i="3"/>
  <c r="R4" i="3"/>
  <c r="J4" i="3"/>
  <c r="T3" i="3"/>
  <c r="L3" i="3"/>
  <c r="D3" i="3"/>
  <c r="N2" i="3"/>
  <c r="F2" i="3"/>
  <c r="I397" i="2"/>
  <c r="E396" i="2"/>
  <c r="P395" i="2"/>
  <c r="H395" i="2"/>
  <c r="S394" i="2"/>
  <c r="K394" i="2"/>
  <c r="N393" i="2"/>
  <c r="F393" i="2"/>
  <c r="Q392" i="2"/>
  <c r="I392" i="2"/>
  <c r="T391" i="2"/>
  <c r="L391" i="2"/>
  <c r="O390" i="2"/>
  <c r="G390" i="2"/>
  <c r="R389" i="2"/>
  <c r="J389" i="2"/>
  <c r="U388" i="2"/>
  <c r="M388" i="2"/>
  <c r="E388" i="2"/>
  <c r="Z388" i="2" s="1"/>
  <c r="P387" i="2"/>
  <c r="H387" i="2"/>
  <c r="S386" i="2"/>
  <c r="K386" i="2"/>
  <c r="N385" i="2"/>
  <c r="F385" i="2"/>
  <c r="L75" i="3"/>
  <c r="T71" i="3"/>
  <c r="D69" i="3"/>
  <c r="H67" i="3"/>
  <c r="L65" i="3"/>
  <c r="I64" i="3"/>
  <c r="K63" i="3"/>
  <c r="M62" i="3"/>
  <c r="R61" i="3"/>
  <c r="H61" i="3"/>
  <c r="P60" i="3"/>
  <c r="F60" i="3"/>
  <c r="N59" i="3"/>
  <c r="E59" i="3"/>
  <c r="N58" i="3"/>
  <c r="E58" i="3"/>
  <c r="O57" i="3"/>
  <c r="G57" i="3"/>
  <c r="Q56" i="3"/>
  <c r="I56" i="3"/>
  <c r="S55" i="3"/>
  <c r="K55" i="3"/>
  <c r="M54" i="3"/>
  <c r="E54" i="3"/>
  <c r="O53" i="3"/>
  <c r="G53" i="3"/>
  <c r="Q52" i="3"/>
  <c r="I52" i="3"/>
  <c r="S51" i="3"/>
  <c r="K51" i="3"/>
  <c r="M50" i="3"/>
  <c r="E50" i="3"/>
  <c r="O49" i="3"/>
  <c r="G49" i="3"/>
  <c r="Q48" i="3"/>
  <c r="I48" i="3"/>
  <c r="S47" i="3"/>
  <c r="K47" i="3"/>
  <c r="M46" i="3"/>
  <c r="E46" i="3"/>
  <c r="O45" i="3"/>
  <c r="G45" i="3"/>
  <c r="Q44" i="3"/>
  <c r="I44" i="3"/>
  <c r="S43" i="3"/>
  <c r="K43" i="3"/>
  <c r="M42" i="3"/>
  <c r="E42" i="3"/>
  <c r="O41" i="3"/>
  <c r="G41" i="3"/>
  <c r="Q40" i="3"/>
  <c r="I40" i="3"/>
  <c r="S39" i="3"/>
  <c r="K39" i="3"/>
  <c r="M38" i="3"/>
  <c r="E38" i="3"/>
  <c r="O37" i="3"/>
  <c r="G37" i="3"/>
  <c r="Q36" i="3"/>
  <c r="I36" i="3"/>
  <c r="S35" i="3"/>
  <c r="K35" i="3"/>
  <c r="M34" i="3"/>
  <c r="E34" i="3"/>
  <c r="O33" i="3"/>
  <c r="G33" i="3"/>
  <c r="Q32" i="3"/>
  <c r="I32" i="3"/>
  <c r="S31" i="3"/>
  <c r="K31" i="3"/>
  <c r="M30" i="3"/>
  <c r="E30" i="3"/>
  <c r="O29" i="3"/>
  <c r="G29" i="3"/>
  <c r="Q28" i="3"/>
  <c r="I28" i="3"/>
  <c r="S27" i="3"/>
  <c r="K27" i="3"/>
  <c r="M26" i="3"/>
  <c r="E26" i="3"/>
  <c r="O25" i="3"/>
  <c r="G25" i="3"/>
  <c r="Q24" i="3"/>
  <c r="I24" i="3"/>
  <c r="S23" i="3"/>
  <c r="K23" i="3"/>
  <c r="M22" i="3"/>
  <c r="E22" i="3"/>
  <c r="O21" i="3"/>
  <c r="G21" i="3"/>
  <c r="Q20" i="3"/>
  <c r="I20" i="3"/>
  <c r="S19" i="3"/>
  <c r="K19" i="3"/>
  <c r="M18" i="3"/>
  <c r="E18" i="3"/>
  <c r="O17" i="3"/>
  <c r="G17" i="3"/>
  <c r="Q16" i="3"/>
  <c r="I16" i="3"/>
  <c r="S15" i="3"/>
  <c r="K15" i="3"/>
  <c r="M14" i="3"/>
  <c r="E14" i="3"/>
  <c r="O13" i="3"/>
  <c r="G13" i="3"/>
  <c r="Q12" i="3"/>
  <c r="I12" i="3"/>
  <c r="S11" i="3"/>
  <c r="K11" i="3"/>
  <c r="M10" i="3"/>
  <c r="E10" i="3"/>
  <c r="O9" i="3"/>
  <c r="G9" i="3"/>
  <c r="Q8" i="3"/>
  <c r="I8" i="3"/>
  <c r="S7" i="3"/>
  <c r="K7" i="3"/>
  <c r="M6" i="3"/>
  <c r="E6" i="3"/>
  <c r="O5" i="3"/>
  <c r="G5" i="3"/>
  <c r="Q4" i="3"/>
  <c r="I4" i="3"/>
  <c r="S3" i="3"/>
  <c r="K3" i="3"/>
  <c r="M2" i="3"/>
  <c r="E2" i="3"/>
  <c r="E397" i="2"/>
  <c r="O395" i="2"/>
  <c r="G395" i="2"/>
  <c r="R394" i="2"/>
  <c r="J394" i="2"/>
  <c r="U393" i="2"/>
  <c r="M393" i="2"/>
  <c r="E393" i="2"/>
  <c r="Z393" i="2" s="1"/>
  <c r="P392" i="2"/>
  <c r="H392" i="2"/>
  <c r="S391" i="2"/>
  <c r="K391" i="2"/>
  <c r="N390" i="2"/>
  <c r="F390" i="2"/>
  <c r="Q389" i="2"/>
  <c r="I389" i="2"/>
  <c r="T388" i="2"/>
  <c r="L388" i="2"/>
  <c r="O387" i="2"/>
  <c r="G387" i="2"/>
  <c r="R386" i="2"/>
  <c r="J386" i="2"/>
  <c r="U385" i="2"/>
  <c r="M385" i="2"/>
  <c r="D75" i="3"/>
  <c r="L71" i="3"/>
  <c r="R68" i="3"/>
  <c r="D67" i="3"/>
  <c r="H65" i="3"/>
  <c r="F64" i="3"/>
  <c r="H63" i="3"/>
  <c r="J62" i="3"/>
  <c r="Q61" i="3"/>
  <c r="G61" i="3"/>
  <c r="N60" i="3"/>
  <c r="D60" i="3"/>
  <c r="M59" i="3"/>
  <c r="D59" i="3"/>
  <c r="M58" i="3"/>
  <c r="D58" i="3"/>
  <c r="N57" i="3"/>
  <c r="F57" i="3"/>
  <c r="P56" i="3"/>
  <c r="H56" i="3"/>
  <c r="R55" i="3"/>
  <c r="J55" i="3"/>
  <c r="T54" i="3"/>
  <c r="L54" i="3"/>
  <c r="D54" i="3"/>
  <c r="N53" i="3"/>
  <c r="F53" i="3"/>
  <c r="P52" i="3"/>
  <c r="H52" i="3"/>
  <c r="R51" i="3"/>
  <c r="J51" i="3"/>
  <c r="T50" i="3"/>
  <c r="L50" i="3"/>
  <c r="D50" i="3"/>
  <c r="N49" i="3"/>
  <c r="F49" i="3"/>
  <c r="P48" i="3"/>
  <c r="H48" i="3"/>
  <c r="R47" i="3"/>
  <c r="J47" i="3"/>
  <c r="T46" i="3"/>
  <c r="L46" i="3"/>
  <c r="D46" i="3"/>
  <c r="N45" i="3"/>
  <c r="F45" i="3"/>
  <c r="P44" i="3"/>
  <c r="H44" i="3"/>
  <c r="R43" i="3"/>
  <c r="J43" i="3"/>
  <c r="T42" i="3"/>
  <c r="L42" i="3"/>
  <c r="D42" i="3"/>
  <c r="N41" i="3"/>
  <c r="F41" i="3"/>
  <c r="P40" i="3"/>
  <c r="H40" i="3"/>
  <c r="R39" i="3"/>
  <c r="J39" i="3"/>
  <c r="T38" i="3"/>
  <c r="L38" i="3"/>
  <c r="D38" i="3"/>
  <c r="N37" i="3"/>
  <c r="F37" i="3"/>
  <c r="P36" i="3"/>
  <c r="H36" i="3"/>
  <c r="R35" i="3"/>
  <c r="J35" i="3"/>
  <c r="T34" i="3"/>
  <c r="L34" i="3"/>
  <c r="D34" i="3"/>
  <c r="N33" i="3"/>
  <c r="F33" i="3"/>
  <c r="P32" i="3"/>
  <c r="H32" i="3"/>
  <c r="R31" i="3"/>
  <c r="J31" i="3"/>
  <c r="T30" i="3"/>
  <c r="L30" i="3"/>
  <c r="D30" i="3"/>
  <c r="N29" i="3"/>
  <c r="F29" i="3"/>
  <c r="P28" i="3"/>
  <c r="H28" i="3"/>
  <c r="R27" i="3"/>
  <c r="J27" i="3"/>
  <c r="T26" i="3"/>
  <c r="L26" i="3"/>
  <c r="D26" i="3"/>
  <c r="N25" i="3"/>
  <c r="F25" i="3"/>
  <c r="P24" i="3"/>
  <c r="H24" i="3"/>
  <c r="R23" i="3"/>
  <c r="J23" i="3"/>
  <c r="T22" i="3"/>
  <c r="L22" i="3"/>
  <c r="D22" i="3"/>
  <c r="N21" i="3"/>
  <c r="F21" i="3"/>
  <c r="P20" i="3"/>
  <c r="H20" i="3"/>
  <c r="R19" i="3"/>
  <c r="J19" i="3"/>
  <c r="T18" i="3"/>
  <c r="L18" i="3"/>
  <c r="D18" i="3"/>
  <c r="N17" i="3"/>
  <c r="F17" i="3"/>
  <c r="P16" i="3"/>
  <c r="H16" i="3"/>
  <c r="R15" i="3"/>
  <c r="J15" i="3"/>
  <c r="T14" i="3"/>
  <c r="L14" i="3"/>
  <c r="D14" i="3"/>
  <c r="N13" i="3"/>
  <c r="F13" i="3"/>
  <c r="P12" i="3"/>
  <c r="H12" i="3"/>
  <c r="R11" i="3"/>
  <c r="J11" i="3"/>
  <c r="T10" i="3"/>
  <c r="L10" i="3"/>
  <c r="D10" i="3"/>
  <c r="N9" i="3"/>
  <c r="F9" i="3"/>
  <c r="P8" i="3"/>
  <c r="H8" i="3"/>
  <c r="R7" i="3"/>
  <c r="J7" i="3"/>
  <c r="T6" i="3"/>
  <c r="L6" i="3"/>
  <c r="D6" i="3"/>
  <c r="N5" i="3"/>
  <c r="F5" i="3"/>
  <c r="P4" i="3"/>
  <c r="H4" i="3"/>
  <c r="R3" i="3"/>
  <c r="J3" i="3"/>
  <c r="T2" i="3"/>
  <c r="L2" i="3"/>
  <c r="D2" i="3"/>
  <c r="N395" i="2"/>
  <c r="F395" i="2"/>
  <c r="Q394" i="2"/>
  <c r="I394" i="2"/>
  <c r="T393" i="2"/>
  <c r="N74" i="3"/>
  <c r="D71" i="3"/>
  <c r="N68" i="3"/>
  <c r="R66" i="3"/>
  <c r="D65" i="3"/>
  <c r="D64" i="3"/>
  <c r="F63" i="3"/>
  <c r="H62" i="3"/>
  <c r="P61" i="3"/>
  <c r="F61" i="3"/>
  <c r="L60" i="3"/>
  <c r="L59" i="3"/>
  <c r="L58" i="3"/>
  <c r="M57" i="3"/>
  <c r="E57" i="3"/>
  <c r="O56" i="3"/>
  <c r="G56" i="3"/>
  <c r="Q55" i="3"/>
  <c r="I55" i="3"/>
  <c r="S54" i="3"/>
  <c r="K54" i="3"/>
  <c r="M53" i="3"/>
  <c r="E53" i="3"/>
  <c r="O52" i="3"/>
  <c r="G52" i="3"/>
  <c r="Q51" i="3"/>
  <c r="I51" i="3"/>
  <c r="S50" i="3"/>
  <c r="K50" i="3"/>
  <c r="M49" i="3"/>
  <c r="E49" i="3"/>
  <c r="O48" i="3"/>
  <c r="G48" i="3"/>
  <c r="Q47" i="3"/>
  <c r="I47" i="3"/>
  <c r="S46" i="3"/>
  <c r="K46" i="3"/>
  <c r="M45" i="3"/>
  <c r="E45" i="3"/>
  <c r="O44" i="3"/>
  <c r="G44" i="3"/>
  <c r="Q43" i="3"/>
  <c r="I43" i="3"/>
  <c r="S42" i="3"/>
  <c r="K42" i="3"/>
  <c r="M41" i="3"/>
  <c r="E41" i="3"/>
  <c r="O40" i="3"/>
  <c r="G40" i="3"/>
  <c r="Q39" i="3"/>
  <c r="I39" i="3"/>
  <c r="S38" i="3"/>
  <c r="K38" i="3"/>
  <c r="M37" i="3"/>
  <c r="E37" i="3"/>
  <c r="O36" i="3"/>
  <c r="G36" i="3"/>
  <c r="Q35" i="3"/>
  <c r="I35" i="3"/>
  <c r="S34" i="3"/>
  <c r="K34" i="3"/>
  <c r="M33" i="3"/>
  <c r="E33" i="3"/>
  <c r="O32" i="3"/>
  <c r="G32" i="3"/>
  <c r="Q31" i="3"/>
  <c r="I31" i="3"/>
  <c r="S30" i="3"/>
  <c r="K30" i="3"/>
  <c r="M29" i="3"/>
  <c r="E29" i="3"/>
  <c r="O28" i="3"/>
  <c r="G28" i="3"/>
  <c r="Q27" i="3"/>
  <c r="I27" i="3"/>
  <c r="S26" i="3"/>
  <c r="K26" i="3"/>
  <c r="M25" i="3"/>
  <c r="E25" i="3"/>
  <c r="O24" i="3"/>
  <c r="G24" i="3"/>
  <c r="Q23" i="3"/>
  <c r="I23" i="3"/>
  <c r="S22" i="3"/>
  <c r="K22" i="3"/>
  <c r="M21" i="3"/>
  <c r="E21" i="3"/>
  <c r="O20" i="3"/>
  <c r="G20" i="3"/>
  <c r="Q19" i="3"/>
  <c r="I19" i="3"/>
  <c r="S18" i="3"/>
  <c r="K18" i="3"/>
  <c r="M17" i="3"/>
  <c r="E17" i="3"/>
  <c r="O16" i="3"/>
  <c r="G16" i="3"/>
  <c r="Q15" i="3"/>
  <c r="I15" i="3"/>
  <c r="S14" i="3"/>
  <c r="K14" i="3"/>
  <c r="M13" i="3"/>
  <c r="E13" i="3"/>
  <c r="O12" i="3"/>
  <c r="G12" i="3"/>
  <c r="Q11" i="3"/>
  <c r="I11" i="3"/>
  <c r="S10" i="3"/>
  <c r="K10" i="3"/>
  <c r="M9" i="3"/>
  <c r="E9" i="3"/>
  <c r="O8" i="3"/>
  <c r="G8" i="3"/>
  <c r="Q7" i="3"/>
  <c r="I7" i="3"/>
  <c r="S6" i="3"/>
  <c r="K6" i="3"/>
  <c r="M5" i="3"/>
  <c r="E5" i="3"/>
  <c r="O4" i="3"/>
  <c r="G4" i="3"/>
  <c r="Q3" i="3"/>
  <c r="I3" i="3"/>
  <c r="S2" i="3"/>
  <c r="K2" i="3"/>
  <c r="U396" i="2"/>
  <c r="U395" i="2"/>
  <c r="M395" i="2"/>
  <c r="E395" i="2"/>
  <c r="Z395" i="2" s="1"/>
  <c r="P394" i="2"/>
  <c r="H394" i="2"/>
  <c r="S393" i="2"/>
  <c r="K393" i="2"/>
  <c r="N392" i="2"/>
  <c r="F392" i="2"/>
  <c r="Q391" i="2"/>
  <c r="I391" i="2"/>
  <c r="T390" i="2"/>
  <c r="L390" i="2"/>
  <c r="O389" i="2"/>
  <c r="G389" i="2"/>
  <c r="F74" i="3"/>
  <c r="N70" i="3"/>
  <c r="J68" i="3"/>
  <c r="N66" i="3"/>
  <c r="R64" i="3"/>
  <c r="T63" i="3"/>
  <c r="D63" i="3"/>
  <c r="G62" i="3"/>
  <c r="O61" i="3"/>
  <c r="D61" i="3"/>
  <c r="K60" i="3"/>
  <c r="T59" i="3"/>
  <c r="K59" i="3"/>
  <c r="T58" i="3"/>
  <c r="K58" i="3"/>
  <c r="T57" i="3"/>
  <c r="L57" i="3"/>
  <c r="D57" i="3"/>
  <c r="N56" i="3"/>
  <c r="F56" i="3"/>
  <c r="P55" i="3"/>
  <c r="H55" i="3"/>
  <c r="R54" i="3"/>
  <c r="J54" i="3"/>
  <c r="T53" i="3"/>
  <c r="L53" i="3"/>
  <c r="D53" i="3"/>
  <c r="N52" i="3"/>
  <c r="F52" i="3"/>
  <c r="P51" i="3"/>
  <c r="H51" i="3"/>
  <c r="R50" i="3"/>
  <c r="J50" i="3"/>
  <c r="T49" i="3"/>
  <c r="L49" i="3"/>
  <c r="D49" i="3"/>
  <c r="N48" i="3"/>
  <c r="F48" i="3"/>
  <c r="P47" i="3"/>
  <c r="H47" i="3"/>
  <c r="R46" i="3"/>
  <c r="J46" i="3"/>
  <c r="T45" i="3"/>
  <c r="L45" i="3"/>
  <c r="D45" i="3"/>
  <c r="N44" i="3"/>
  <c r="F44" i="3"/>
  <c r="P43" i="3"/>
  <c r="H43" i="3"/>
  <c r="R42" i="3"/>
  <c r="J42" i="3"/>
  <c r="T41" i="3"/>
  <c r="L41" i="3"/>
  <c r="D41" i="3"/>
  <c r="N40" i="3"/>
  <c r="F40" i="3"/>
  <c r="P39" i="3"/>
  <c r="H39" i="3"/>
  <c r="R38" i="3"/>
  <c r="J38" i="3"/>
  <c r="T37" i="3"/>
  <c r="L37" i="3"/>
  <c r="D37" i="3"/>
  <c r="N36" i="3"/>
  <c r="F36" i="3"/>
  <c r="P35" i="3"/>
  <c r="H35" i="3"/>
  <c r="R34" i="3"/>
  <c r="J34" i="3"/>
  <c r="T33" i="3"/>
  <c r="L33" i="3"/>
  <c r="D33" i="3"/>
  <c r="N32" i="3"/>
  <c r="F32" i="3"/>
  <c r="P31" i="3"/>
  <c r="H31" i="3"/>
  <c r="R30" i="3"/>
  <c r="J30" i="3"/>
  <c r="T29" i="3"/>
  <c r="L29" i="3"/>
  <c r="D29" i="3"/>
  <c r="N28" i="3"/>
  <c r="F28" i="3"/>
  <c r="P27" i="3"/>
  <c r="H27" i="3"/>
  <c r="R26" i="3"/>
  <c r="J26" i="3"/>
  <c r="T25" i="3"/>
  <c r="L25" i="3"/>
  <c r="D25" i="3"/>
  <c r="N24" i="3"/>
  <c r="F24" i="3"/>
  <c r="P23" i="3"/>
  <c r="H23" i="3"/>
  <c r="R22" i="3"/>
  <c r="J22" i="3"/>
  <c r="T21" i="3"/>
  <c r="L21" i="3"/>
  <c r="D21" i="3"/>
  <c r="N20" i="3"/>
  <c r="F20" i="3"/>
  <c r="P19" i="3"/>
  <c r="H19" i="3"/>
  <c r="R18" i="3"/>
  <c r="J18" i="3"/>
  <c r="T17" i="3"/>
  <c r="L17" i="3"/>
  <c r="D17" i="3"/>
  <c r="N16" i="3"/>
  <c r="F16" i="3"/>
  <c r="P15" i="3"/>
  <c r="H15" i="3"/>
  <c r="R14" i="3"/>
  <c r="J14" i="3"/>
  <c r="T13" i="3"/>
  <c r="L13" i="3"/>
  <c r="D13" i="3"/>
  <c r="N12" i="3"/>
  <c r="F12" i="3"/>
  <c r="P11" i="3"/>
  <c r="H11" i="3"/>
  <c r="R10" i="3"/>
  <c r="J10" i="3"/>
  <c r="T9" i="3"/>
  <c r="L9" i="3"/>
  <c r="D9" i="3"/>
  <c r="N8" i="3"/>
  <c r="F8" i="3"/>
  <c r="P7" i="3"/>
  <c r="H7" i="3"/>
  <c r="R6" i="3"/>
  <c r="J6" i="3"/>
  <c r="T5" i="3"/>
  <c r="L5" i="3"/>
  <c r="D5" i="3"/>
  <c r="P73" i="3"/>
  <c r="F70" i="3"/>
  <c r="F68" i="3"/>
  <c r="J66" i="3"/>
  <c r="Q64" i="3"/>
  <c r="S63" i="3"/>
  <c r="F62" i="3"/>
  <c r="N61" i="3"/>
  <c r="T60" i="3"/>
  <c r="J60" i="3"/>
  <c r="S59" i="3"/>
  <c r="J59" i="3"/>
  <c r="S58" i="3"/>
  <c r="J58" i="3"/>
  <c r="S57" i="3"/>
  <c r="K57" i="3"/>
  <c r="M56" i="3"/>
  <c r="E56" i="3"/>
  <c r="O55" i="3"/>
  <c r="G55" i="3"/>
  <c r="Q54" i="3"/>
  <c r="I54" i="3"/>
  <c r="S53" i="3"/>
  <c r="K53" i="3"/>
  <c r="M52" i="3"/>
  <c r="E52" i="3"/>
  <c r="O51" i="3"/>
  <c r="G51" i="3"/>
  <c r="Q50" i="3"/>
  <c r="I50" i="3"/>
  <c r="S49" i="3"/>
  <c r="K49" i="3"/>
  <c r="M48" i="3"/>
  <c r="E48" i="3"/>
  <c r="O47" i="3"/>
  <c r="G47" i="3"/>
  <c r="Q46" i="3"/>
  <c r="I46" i="3"/>
  <c r="S45" i="3"/>
  <c r="K45" i="3"/>
  <c r="M44" i="3"/>
  <c r="E44" i="3"/>
  <c r="O43" i="3"/>
  <c r="G43" i="3"/>
  <c r="Q42" i="3"/>
  <c r="I42" i="3"/>
  <c r="S41" i="3"/>
  <c r="K41" i="3"/>
  <c r="M40" i="3"/>
  <c r="E40" i="3"/>
  <c r="O39" i="3"/>
  <c r="G39" i="3"/>
  <c r="Q38" i="3"/>
  <c r="I38" i="3"/>
  <c r="S37" i="3"/>
  <c r="K37" i="3"/>
  <c r="M36" i="3"/>
  <c r="E36" i="3"/>
  <c r="O35" i="3"/>
  <c r="G35" i="3"/>
  <c r="Q34" i="3"/>
  <c r="I34" i="3"/>
  <c r="S33" i="3"/>
  <c r="K33" i="3"/>
  <c r="M32" i="3"/>
  <c r="E32" i="3"/>
  <c r="O31" i="3"/>
  <c r="G31" i="3"/>
  <c r="Q30" i="3"/>
  <c r="I30" i="3"/>
  <c r="S29" i="3"/>
  <c r="K29" i="3"/>
  <c r="M28" i="3"/>
  <c r="E28" i="3"/>
  <c r="O27" i="3"/>
  <c r="G27" i="3"/>
  <c r="Q26" i="3"/>
  <c r="I26" i="3"/>
  <c r="S25" i="3"/>
  <c r="K25" i="3"/>
  <c r="M24" i="3"/>
  <c r="E24" i="3"/>
  <c r="O23" i="3"/>
  <c r="G23" i="3"/>
  <c r="Q22" i="3"/>
  <c r="I22" i="3"/>
  <c r="S21" i="3"/>
  <c r="K21" i="3"/>
  <c r="M20" i="3"/>
  <c r="E20" i="3"/>
  <c r="O19" i="3"/>
  <c r="G19" i="3"/>
  <c r="Q18" i="3"/>
  <c r="I18" i="3"/>
  <c r="S17" i="3"/>
  <c r="K17" i="3"/>
  <c r="M16" i="3"/>
  <c r="E16" i="3"/>
  <c r="O15" i="3"/>
  <c r="G15" i="3"/>
  <c r="Q14" i="3"/>
  <c r="I14" i="3"/>
  <c r="S13" i="3"/>
  <c r="K13" i="3"/>
  <c r="M12" i="3"/>
  <c r="E12" i="3"/>
  <c r="O11" i="3"/>
  <c r="G11" i="3"/>
  <c r="Q10" i="3"/>
  <c r="I10" i="3"/>
  <c r="S9" i="3"/>
  <c r="K9" i="3"/>
  <c r="M8" i="3"/>
  <c r="E8" i="3"/>
  <c r="O7" i="3"/>
  <c r="G7" i="3"/>
  <c r="Q6" i="3"/>
  <c r="I6" i="3"/>
  <c r="S5" i="3"/>
  <c r="K5" i="3"/>
  <c r="M4" i="3"/>
  <c r="E4" i="3"/>
  <c r="O3" i="3"/>
  <c r="G3" i="3"/>
  <c r="Q2" i="3"/>
  <c r="I2" i="3"/>
  <c r="R397" i="2"/>
  <c r="O396" i="2"/>
  <c r="S395" i="2"/>
  <c r="K395" i="2"/>
  <c r="N394" i="2"/>
  <c r="F394" i="2"/>
  <c r="Q393" i="2"/>
  <c r="H73" i="3"/>
  <c r="P69" i="3"/>
  <c r="T67" i="3"/>
  <c r="F66" i="3"/>
  <c r="N64" i="3"/>
  <c r="P63" i="3"/>
  <c r="R62" i="3"/>
  <c r="E62" i="3"/>
  <c r="L61" i="3"/>
  <c r="S60" i="3"/>
  <c r="I60" i="3"/>
  <c r="R59" i="3"/>
  <c r="I59" i="3"/>
  <c r="R58" i="3"/>
  <c r="H58" i="3"/>
  <c r="R57" i="3"/>
  <c r="J57" i="3"/>
  <c r="T56" i="3"/>
  <c r="L56" i="3"/>
  <c r="D56" i="3"/>
  <c r="N55" i="3"/>
  <c r="F55" i="3"/>
  <c r="P54" i="3"/>
  <c r="H54" i="3"/>
  <c r="R53" i="3"/>
  <c r="J53" i="3"/>
  <c r="T52" i="3"/>
  <c r="L52" i="3"/>
  <c r="D52" i="3"/>
  <c r="N51" i="3"/>
  <c r="F51" i="3"/>
  <c r="P50" i="3"/>
  <c r="H50" i="3"/>
  <c r="R49" i="3"/>
  <c r="J49" i="3"/>
  <c r="T48" i="3"/>
  <c r="L48" i="3"/>
  <c r="D48" i="3"/>
  <c r="N47" i="3"/>
  <c r="F47" i="3"/>
  <c r="P46" i="3"/>
  <c r="H46" i="3"/>
  <c r="R45" i="3"/>
  <c r="J45" i="3"/>
  <c r="T44" i="3"/>
  <c r="L44" i="3"/>
  <c r="D44" i="3"/>
  <c r="N43" i="3"/>
  <c r="F43" i="3"/>
  <c r="P42" i="3"/>
  <c r="H42" i="3"/>
  <c r="R41" i="3"/>
  <c r="J41" i="3"/>
  <c r="T40" i="3"/>
  <c r="L40" i="3"/>
  <c r="D40" i="3"/>
  <c r="N39" i="3"/>
  <c r="F39" i="3"/>
  <c r="P38" i="3"/>
  <c r="H38" i="3"/>
  <c r="R37" i="3"/>
  <c r="J37" i="3"/>
  <c r="T36" i="3"/>
  <c r="L36" i="3"/>
  <c r="D36" i="3"/>
  <c r="N35" i="3"/>
  <c r="F35" i="3"/>
  <c r="P34" i="3"/>
  <c r="H34" i="3"/>
  <c r="R33" i="3"/>
  <c r="J33" i="3"/>
  <c r="T32" i="3"/>
  <c r="L32" i="3"/>
  <c r="D32" i="3"/>
  <c r="N31" i="3"/>
  <c r="F31" i="3"/>
  <c r="P30" i="3"/>
  <c r="H30" i="3"/>
  <c r="R29" i="3"/>
  <c r="J29" i="3"/>
  <c r="T28" i="3"/>
  <c r="L28" i="3"/>
  <c r="D28" i="3"/>
  <c r="N27" i="3"/>
  <c r="F27" i="3"/>
  <c r="P26" i="3"/>
  <c r="H26" i="3"/>
  <c r="R25" i="3"/>
  <c r="J25" i="3"/>
  <c r="T24" i="3"/>
  <c r="L24" i="3"/>
  <c r="D24" i="3"/>
  <c r="N23" i="3"/>
  <c r="F23" i="3"/>
  <c r="P22" i="3"/>
  <c r="H22" i="3"/>
  <c r="R21" i="3"/>
  <c r="J21" i="3"/>
  <c r="T20" i="3"/>
  <c r="L20" i="3"/>
  <c r="D20" i="3"/>
  <c r="N19" i="3"/>
  <c r="F19" i="3"/>
  <c r="P18" i="3"/>
  <c r="H18" i="3"/>
  <c r="R17" i="3"/>
  <c r="J17" i="3"/>
  <c r="T16" i="3"/>
  <c r="L16" i="3"/>
  <c r="D16" i="3"/>
  <c r="N15" i="3"/>
  <c r="F15" i="3"/>
  <c r="P14" i="3"/>
  <c r="H14" i="3"/>
  <c r="R13" i="3"/>
  <c r="J13" i="3"/>
  <c r="T12" i="3"/>
  <c r="L12" i="3"/>
  <c r="D12" i="3"/>
  <c r="N11" i="3"/>
  <c r="F11" i="3"/>
  <c r="P10" i="3"/>
  <c r="H10" i="3"/>
  <c r="R9" i="3"/>
  <c r="J9" i="3"/>
  <c r="T8" i="3"/>
  <c r="L8" i="3"/>
  <c r="D8" i="3"/>
  <c r="N7" i="3"/>
  <c r="F7" i="3"/>
  <c r="P6" i="3"/>
  <c r="H6" i="3"/>
  <c r="R5" i="3"/>
  <c r="J5" i="3"/>
  <c r="T4" i="3"/>
  <c r="J76" i="3"/>
  <c r="R72" i="3"/>
  <c r="L69" i="3"/>
  <c r="P67" i="3"/>
  <c r="T65" i="3"/>
  <c r="L64" i="3"/>
  <c r="N63" i="3"/>
  <c r="P62" i="3"/>
  <c r="D62" i="3"/>
  <c r="J61" i="3"/>
  <c r="R60" i="3"/>
  <c r="H60" i="3"/>
  <c r="Q59" i="3"/>
  <c r="H59" i="3"/>
  <c r="P58" i="3"/>
  <c r="G58" i="3"/>
  <c r="Q57" i="3"/>
  <c r="I57" i="3"/>
  <c r="S56" i="3"/>
  <c r="K56" i="3"/>
  <c r="M55" i="3"/>
  <c r="E55" i="3"/>
  <c r="O54" i="3"/>
  <c r="G54" i="3"/>
  <c r="Q53" i="3"/>
  <c r="I53" i="3"/>
  <c r="S52" i="3"/>
  <c r="K52" i="3"/>
  <c r="M51" i="3"/>
  <c r="E51" i="3"/>
  <c r="O50" i="3"/>
  <c r="G50" i="3"/>
  <c r="Q49" i="3"/>
  <c r="I49" i="3"/>
  <c r="S48" i="3"/>
  <c r="K48" i="3"/>
  <c r="M47" i="3"/>
  <c r="E47" i="3"/>
  <c r="O46" i="3"/>
  <c r="G46" i="3"/>
  <c r="Q45" i="3"/>
  <c r="I45" i="3"/>
  <c r="S44" i="3"/>
  <c r="K44" i="3"/>
  <c r="M43" i="3"/>
  <c r="E43" i="3"/>
  <c r="O42" i="3"/>
  <c r="G42" i="3"/>
  <c r="Q41" i="3"/>
  <c r="I41" i="3"/>
  <c r="S40" i="3"/>
  <c r="K40" i="3"/>
  <c r="M39" i="3"/>
  <c r="E39" i="3"/>
  <c r="O38" i="3"/>
  <c r="G38" i="3"/>
  <c r="Q37" i="3"/>
  <c r="I37" i="3"/>
  <c r="S36" i="3"/>
  <c r="K36" i="3"/>
  <c r="M35" i="3"/>
  <c r="E35" i="3"/>
  <c r="O34" i="3"/>
  <c r="G34" i="3"/>
  <c r="Q33" i="3"/>
  <c r="I33" i="3"/>
  <c r="S32" i="3"/>
  <c r="K32" i="3"/>
  <c r="M31" i="3"/>
  <c r="E31" i="3"/>
  <c r="O30" i="3"/>
  <c r="G30" i="3"/>
  <c r="Q29" i="3"/>
  <c r="I29" i="3"/>
  <c r="S28" i="3"/>
  <c r="K28" i="3"/>
  <c r="M27" i="3"/>
  <c r="E27" i="3"/>
  <c r="O26" i="3"/>
  <c r="G26" i="3"/>
  <c r="Q25" i="3"/>
  <c r="I25" i="3"/>
  <c r="S24" i="3"/>
  <c r="K24" i="3"/>
  <c r="M23" i="3"/>
  <c r="E23" i="3"/>
  <c r="O22" i="3"/>
  <c r="G22" i="3"/>
  <c r="Q21" i="3"/>
  <c r="I21" i="3"/>
  <c r="S20" i="3"/>
  <c r="K20" i="3"/>
  <c r="M19" i="3"/>
  <c r="E19" i="3"/>
  <c r="O18" i="3"/>
  <c r="G18" i="3"/>
  <c r="Q17" i="3"/>
  <c r="I17" i="3"/>
  <c r="S16" i="3"/>
  <c r="K16" i="3"/>
  <c r="M15" i="3"/>
  <c r="E15" i="3"/>
  <c r="O14" i="3"/>
  <c r="G14" i="3"/>
  <c r="Q13" i="3"/>
  <c r="I13" i="3"/>
  <c r="S12" i="3"/>
  <c r="K12" i="3"/>
  <c r="M11" i="3"/>
  <c r="E11" i="3"/>
  <c r="O10" i="3"/>
  <c r="G10" i="3"/>
  <c r="Q9" i="3"/>
  <c r="I9" i="3"/>
  <c r="S8" i="3"/>
  <c r="K8" i="3"/>
  <c r="M7" i="3"/>
  <c r="E7" i="3"/>
  <c r="O6" i="3"/>
  <c r="G6" i="3"/>
  <c r="Q5" i="3"/>
  <c r="I5" i="3"/>
  <c r="S4" i="3"/>
  <c r="K4" i="3"/>
  <c r="M3" i="3"/>
  <c r="E3" i="3"/>
  <c r="O2" i="3"/>
  <c r="G2" i="3"/>
  <c r="L397" i="2"/>
  <c r="I396" i="2"/>
  <c r="Q395" i="2"/>
  <c r="L4" i="3"/>
  <c r="P2" i="3"/>
  <c r="R395" i="2"/>
  <c r="M394" i="2"/>
  <c r="L393" i="2"/>
  <c r="S392" i="2"/>
  <c r="E392" i="2"/>
  <c r="Z392" i="2" s="1"/>
  <c r="M391" i="2"/>
  <c r="R390" i="2"/>
  <c r="E390" i="2"/>
  <c r="Z390" i="2" s="1"/>
  <c r="L389" i="2"/>
  <c r="R388" i="2"/>
  <c r="H388" i="2"/>
  <c r="Q387" i="2"/>
  <c r="E387" i="2"/>
  <c r="Z387" i="2" s="1"/>
  <c r="N386" i="2"/>
  <c r="K385" i="2"/>
  <c r="U384" i="2"/>
  <c r="M384" i="2"/>
  <c r="E384" i="2"/>
  <c r="Z384" i="2" s="1"/>
  <c r="P383" i="2"/>
  <c r="H383" i="2"/>
  <c r="S382" i="2"/>
  <c r="K382" i="2"/>
  <c r="N381" i="2"/>
  <c r="F381" i="2"/>
  <c r="Q380" i="2"/>
  <c r="I380" i="2"/>
  <c r="T379" i="2"/>
  <c r="L379" i="2"/>
  <c r="O378" i="2"/>
  <c r="G378" i="2"/>
  <c r="R377" i="2"/>
  <c r="J377" i="2"/>
  <c r="U376" i="2"/>
  <c r="M376" i="2"/>
  <c r="E376" i="2"/>
  <c r="Z376" i="2" s="1"/>
  <c r="P375" i="2"/>
  <c r="H375" i="2"/>
  <c r="S374" i="2"/>
  <c r="K374" i="2"/>
  <c r="N373" i="2"/>
  <c r="F373" i="2"/>
  <c r="Q372" i="2"/>
  <c r="I372" i="2"/>
  <c r="T371" i="2"/>
  <c r="L371" i="2"/>
  <c r="O370" i="2"/>
  <c r="G370" i="2"/>
  <c r="R369" i="2"/>
  <c r="J369" i="2"/>
  <c r="U368" i="2"/>
  <c r="M368" i="2"/>
  <c r="E368" i="2"/>
  <c r="Z368" i="2" s="1"/>
  <c r="P367" i="2"/>
  <c r="H367" i="2"/>
  <c r="S366" i="2"/>
  <c r="K366" i="2"/>
  <c r="N365" i="2"/>
  <c r="F365" i="2"/>
  <c r="Q364" i="2"/>
  <c r="I364" i="2"/>
  <c r="T363" i="2"/>
  <c r="L363" i="2"/>
  <c r="O362" i="2"/>
  <c r="G362" i="2"/>
  <c r="R361" i="2"/>
  <c r="J361" i="2"/>
  <c r="U360" i="2"/>
  <c r="M360" i="2"/>
  <c r="E360" i="2"/>
  <c r="Z360" i="2" s="1"/>
  <c r="P359" i="2"/>
  <c r="H359" i="2"/>
  <c r="S358" i="2"/>
  <c r="K358" i="2"/>
  <c r="N357" i="2"/>
  <c r="F357" i="2"/>
  <c r="Q356" i="2"/>
  <c r="I356" i="2"/>
  <c r="T355" i="2"/>
  <c r="L355" i="2"/>
  <c r="O354" i="2"/>
  <c r="G354" i="2"/>
  <c r="R353" i="2"/>
  <c r="J353" i="2"/>
  <c r="U352" i="2"/>
  <c r="M352" i="2"/>
  <c r="E352" i="2"/>
  <c r="Z352" i="2" s="1"/>
  <c r="P351" i="2"/>
  <c r="H351" i="2"/>
  <c r="S350" i="2"/>
  <c r="K350" i="2"/>
  <c r="N349" i="2"/>
  <c r="F349" i="2"/>
  <c r="Q348" i="2"/>
  <c r="I348" i="2"/>
  <c r="T347" i="2"/>
  <c r="L347" i="2"/>
  <c r="O346" i="2"/>
  <c r="G346" i="2"/>
  <c r="R345" i="2"/>
  <c r="J345" i="2"/>
  <c r="N344" i="2"/>
  <c r="F344" i="2"/>
  <c r="Q343" i="2"/>
  <c r="I343" i="2"/>
  <c r="T342" i="2"/>
  <c r="L342" i="2"/>
  <c r="O341" i="2"/>
  <c r="G341" i="2"/>
  <c r="R340" i="2"/>
  <c r="J340" i="2"/>
  <c r="U339" i="2"/>
  <c r="M339" i="2"/>
  <c r="E339" i="2"/>
  <c r="Z339" i="2" s="1"/>
  <c r="P338" i="2"/>
  <c r="H338" i="2"/>
  <c r="S337" i="2"/>
  <c r="K337" i="2"/>
  <c r="N336" i="2"/>
  <c r="F336" i="2"/>
  <c r="Q335" i="2"/>
  <c r="I335" i="2"/>
  <c r="U334" i="2"/>
  <c r="M334" i="2"/>
  <c r="E334" i="2"/>
  <c r="Z334" i="2" s="1"/>
  <c r="P333" i="2"/>
  <c r="H333" i="2"/>
  <c r="S332" i="2"/>
  <c r="K332" i="2"/>
  <c r="N331" i="2"/>
  <c r="F331" i="2"/>
  <c r="Q330" i="2"/>
  <c r="I330" i="2"/>
  <c r="T329" i="2"/>
  <c r="L329" i="2"/>
  <c r="O328" i="2"/>
  <c r="G328" i="2"/>
  <c r="R327" i="2"/>
  <c r="J327" i="2"/>
  <c r="U326" i="2"/>
  <c r="M326" i="2"/>
  <c r="E326" i="2"/>
  <c r="Z326" i="2" s="1"/>
  <c r="P325" i="2"/>
  <c r="H325" i="2"/>
  <c r="S324" i="2"/>
  <c r="K324" i="2"/>
  <c r="N323" i="2"/>
  <c r="F323" i="2"/>
  <c r="Q322" i="2"/>
  <c r="I322" i="2"/>
  <c r="T321" i="2"/>
  <c r="L321" i="2"/>
  <c r="F4" i="3"/>
  <c r="J2" i="3"/>
  <c r="L395" i="2"/>
  <c r="L394" i="2"/>
  <c r="J393" i="2"/>
  <c r="R392" i="2"/>
  <c r="J391" i="2"/>
  <c r="Q390" i="2"/>
  <c r="K389" i="2"/>
  <c r="Q388" i="2"/>
  <c r="G388" i="2"/>
  <c r="N387" i="2"/>
  <c r="M386" i="2"/>
  <c r="T385" i="2"/>
  <c r="J385" i="2"/>
  <c r="T384" i="2"/>
  <c r="L384" i="2"/>
  <c r="O383" i="2"/>
  <c r="G383" i="2"/>
  <c r="R382" i="2"/>
  <c r="J382" i="2"/>
  <c r="U381" i="2"/>
  <c r="M381" i="2"/>
  <c r="E381" i="2"/>
  <c r="Z381" i="2" s="1"/>
  <c r="P380" i="2"/>
  <c r="H380" i="2"/>
  <c r="S379" i="2"/>
  <c r="K379" i="2"/>
  <c r="N378" i="2"/>
  <c r="F378" i="2"/>
  <c r="Q377" i="2"/>
  <c r="I377" i="2"/>
  <c r="T376" i="2"/>
  <c r="L376" i="2"/>
  <c r="O375" i="2"/>
  <c r="G375" i="2"/>
  <c r="R374" i="2"/>
  <c r="J374" i="2"/>
  <c r="U373" i="2"/>
  <c r="M373" i="2"/>
  <c r="E373" i="2"/>
  <c r="Z373" i="2" s="1"/>
  <c r="P372" i="2"/>
  <c r="H372" i="2"/>
  <c r="S371" i="2"/>
  <c r="K371" i="2"/>
  <c r="N370" i="2"/>
  <c r="F370" i="2"/>
  <c r="Q369" i="2"/>
  <c r="I369" i="2"/>
  <c r="T368" i="2"/>
  <c r="L368" i="2"/>
  <c r="O367" i="2"/>
  <c r="G367" i="2"/>
  <c r="R366" i="2"/>
  <c r="J366" i="2"/>
  <c r="U365" i="2"/>
  <c r="M365" i="2"/>
  <c r="E365" i="2"/>
  <c r="Z365" i="2" s="1"/>
  <c r="P364" i="2"/>
  <c r="H364" i="2"/>
  <c r="S363" i="2"/>
  <c r="K363" i="2"/>
  <c r="N362" i="2"/>
  <c r="F362" i="2"/>
  <c r="Q361" i="2"/>
  <c r="I361" i="2"/>
  <c r="T360" i="2"/>
  <c r="L360" i="2"/>
  <c r="O359" i="2"/>
  <c r="G359" i="2"/>
  <c r="R358" i="2"/>
  <c r="J358" i="2"/>
  <c r="U357" i="2"/>
  <c r="M357" i="2"/>
  <c r="E357" i="2"/>
  <c r="Z357" i="2" s="1"/>
  <c r="P356" i="2"/>
  <c r="H356" i="2"/>
  <c r="S355" i="2"/>
  <c r="K355" i="2"/>
  <c r="N354" i="2"/>
  <c r="F354" i="2"/>
  <c r="Q353" i="2"/>
  <c r="I353" i="2"/>
  <c r="T352" i="2"/>
  <c r="L352" i="2"/>
  <c r="O351" i="2"/>
  <c r="G351" i="2"/>
  <c r="R350" i="2"/>
  <c r="J350" i="2"/>
  <c r="U349" i="2"/>
  <c r="M349" i="2"/>
  <c r="E349" i="2"/>
  <c r="Z349" i="2" s="1"/>
  <c r="P348" i="2"/>
  <c r="H348" i="2"/>
  <c r="S347" i="2"/>
  <c r="K347" i="2"/>
  <c r="N346" i="2"/>
  <c r="F346" i="2"/>
  <c r="Q345" i="2"/>
  <c r="I345" i="2"/>
  <c r="U344" i="2"/>
  <c r="M344" i="2"/>
  <c r="E344" i="2"/>
  <c r="Z344" i="2" s="1"/>
  <c r="P343" i="2"/>
  <c r="H343" i="2"/>
  <c r="S342" i="2"/>
  <c r="K342" i="2"/>
  <c r="N341" i="2"/>
  <c r="F341" i="2"/>
  <c r="Q340" i="2"/>
  <c r="I340" i="2"/>
  <c r="T339" i="2"/>
  <c r="L339" i="2"/>
  <c r="O338" i="2"/>
  <c r="G338" i="2"/>
  <c r="R337" i="2"/>
  <c r="J337" i="2"/>
  <c r="U336" i="2"/>
  <c r="M336" i="2"/>
  <c r="E336" i="2"/>
  <c r="Z336" i="2" s="1"/>
  <c r="P335" i="2"/>
  <c r="H335" i="2"/>
  <c r="T334" i="2"/>
  <c r="L334" i="2"/>
  <c r="O333" i="2"/>
  <c r="G333" i="2"/>
  <c r="R332" i="2"/>
  <c r="J332" i="2"/>
  <c r="U331" i="2"/>
  <c r="M331" i="2"/>
  <c r="E331" i="2"/>
  <c r="Z331" i="2" s="1"/>
  <c r="P330" i="2"/>
  <c r="H330" i="2"/>
  <c r="S329" i="2"/>
  <c r="K329" i="2"/>
  <c r="N328" i="2"/>
  <c r="F328" i="2"/>
  <c r="Q327" i="2"/>
  <c r="I327" i="2"/>
  <c r="T326" i="2"/>
  <c r="L326" i="2"/>
  <c r="O325" i="2"/>
  <c r="G325" i="2"/>
  <c r="R324" i="2"/>
  <c r="J324" i="2"/>
  <c r="U323" i="2"/>
  <c r="M323" i="2"/>
  <c r="E323" i="2"/>
  <c r="Z323" i="2" s="1"/>
  <c r="P322" i="2"/>
  <c r="H322" i="2"/>
  <c r="S321" i="2"/>
  <c r="K321" i="2"/>
  <c r="D4" i="3"/>
  <c r="H2" i="3"/>
  <c r="J395" i="2"/>
  <c r="G394" i="2"/>
  <c r="I393" i="2"/>
  <c r="O392" i="2"/>
  <c r="H391" i="2"/>
  <c r="P390" i="2"/>
  <c r="U389" i="2"/>
  <c r="H389" i="2"/>
  <c r="P388" i="2"/>
  <c r="F388" i="2"/>
  <c r="M387" i="2"/>
  <c r="L386" i="2"/>
  <c r="S385" i="2"/>
  <c r="I385" i="2"/>
  <c r="S384" i="2"/>
  <c r="K384" i="2"/>
  <c r="N383" i="2"/>
  <c r="F383" i="2"/>
  <c r="Q382" i="2"/>
  <c r="I382" i="2"/>
  <c r="T381" i="2"/>
  <c r="L381" i="2"/>
  <c r="O380" i="2"/>
  <c r="G380" i="2"/>
  <c r="R379" i="2"/>
  <c r="J379" i="2"/>
  <c r="U378" i="2"/>
  <c r="M378" i="2"/>
  <c r="E378" i="2"/>
  <c r="Z378" i="2" s="1"/>
  <c r="P377" i="2"/>
  <c r="H377" i="2"/>
  <c r="S376" i="2"/>
  <c r="K376" i="2"/>
  <c r="N375" i="2"/>
  <c r="F375" i="2"/>
  <c r="Q374" i="2"/>
  <c r="I374" i="2"/>
  <c r="T373" i="2"/>
  <c r="L373" i="2"/>
  <c r="O372" i="2"/>
  <c r="G372" i="2"/>
  <c r="R371" i="2"/>
  <c r="J371" i="2"/>
  <c r="U370" i="2"/>
  <c r="M370" i="2"/>
  <c r="E370" i="2"/>
  <c r="Z370" i="2" s="1"/>
  <c r="P369" i="2"/>
  <c r="H369" i="2"/>
  <c r="S368" i="2"/>
  <c r="K368" i="2"/>
  <c r="N367" i="2"/>
  <c r="F367" i="2"/>
  <c r="Q366" i="2"/>
  <c r="I366" i="2"/>
  <c r="T365" i="2"/>
  <c r="L365" i="2"/>
  <c r="O364" i="2"/>
  <c r="G364" i="2"/>
  <c r="R363" i="2"/>
  <c r="J363" i="2"/>
  <c r="U362" i="2"/>
  <c r="M362" i="2"/>
  <c r="E362" i="2"/>
  <c r="Z362" i="2" s="1"/>
  <c r="P361" i="2"/>
  <c r="H361" i="2"/>
  <c r="S360" i="2"/>
  <c r="K360" i="2"/>
  <c r="N359" i="2"/>
  <c r="F359" i="2"/>
  <c r="Q358" i="2"/>
  <c r="I358" i="2"/>
  <c r="T357" i="2"/>
  <c r="L357" i="2"/>
  <c r="O356" i="2"/>
  <c r="G356" i="2"/>
  <c r="R355" i="2"/>
  <c r="J355" i="2"/>
  <c r="U354" i="2"/>
  <c r="M354" i="2"/>
  <c r="E354" i="2"/>
  <c r="Z354" i="2" s="1"/>
  <c r="P353" i="2"/>
  <c r="H353" i="2"/>
  <c r="S352" i="2"/>
  <c r="K352" i="2"/>
  <c r="N351" i="2"/>
  <c r="F351" i="2"/>
  <c r="Q350" i="2"/>
  <c r="I350" i="2"/>
  <c r="T349" i="2"/>
  <c r="L349" i="2"/>
  <c r="O348" i="2"/>
  <c r="G348" i="2"/>
  <c r="R347" i="2"/>
  <c r="J347" i="2"/>
  <c r="U346" i="2"/>
  <c r="M346" i="2"/>
  <c r="E346" i="2"/>
  <c r="Z346" i="2" s="1"/>
  <c r="P345" i="2"/>
  <c r="H345" i="2"/>
  <c r="T344" i="2"/>
  <c r="L344" i="2"/>
  <c r="O343" i="2"/>
  <c r="G343" i="2"/>
  <c r="R342" i="2"/>
  <c r="J342" i="2"/>
  <c r="U341" i="2"/>
  <c r="M341" i="2"/>
  <c r="E341" i="2"/>
  <c r="Z341" i="2" s="1"/>
  <c r="P340" i="2"/>
  <c r="H340" i="2"/>
  <c r="S339" i="2"/>
  <c r="K339" i="2"/>
  <c r="N338" i="2"/>
  <c r="F338" i="2"/>
  <c r="Q337" i="2"/>
  <c r="I337" i="2"/>
  <c r="T336" i="2"/>
  <c r="L336" i="2"/>
  <c r="O335" i="2"/>
  <c r="G335" i="2"/>
  <c r="S334" i="2"/>
  <c r="K334" i="2"/>
  <c r="N333" i="2"/>
  <c r="F333" i="2"/>
  <c r="Q332" i="2"/>
  <c r="I332" i="2"/>
  <c r="T331" i="2"/>
  <c r="L331" i="2"/>
  <c r="O330" i="2"/>
  <c r="G330" i="2"/>
  <c r="R329" i="2"/>
  <c r="J329" i="2"/>
  <c r="U328" i="2"/>
  <c r="M328" i="2"/>
  <c r="P3" i="3"/>
  <c r="U397" i="2"/>
  <c r="I395" i="2"/>
  <c r="E394" i="2"/>
  <c r="Z394" i="2" s="1"/>
  <c r="H393" i="2"/>
  <c r="M392" i="2"/>
  <c r="U391" i="2"/>
  <c r="G391" i="2"/>
  <c r="M390" i="2"/>
  <c r="T389" i="2"/>
  <c r="F389" i="2"/>
  <c r="O388" i="2"/>
  <c r="L387" i="2"/>
  <c r="U386" i="2"/>
  <c r="I386" i="2"/>
  <c r="R385" i="2"/>
  <c r="H385" i="2"/>
  <c r="R384" i="2"/>
  <c r="J384" i="2"/>
  <c r="U383" i="2"/>
  <c r="M383" i="2"/>
  <c r="E383" i="2"/>
  <c r="Z383" i="2" s="1"/>
  <c r="P382" i="2"/>
  <c r="H382" i="2"/>
  <c r="S381" i="2"/>
  <c r="K381" i="2"/>
  <c r="N380" i="2"/>
  <c r="F380" i="2"/>
  <c r="Q379" i="2"/>
  <c r="I379" i="2"/>
  <c r="T378" i="2"/>
  <c r="L378" i="2"/>
  <c r="O377" i="2"/>
  <c r="G377" i="2"/>
  <c r="R376" i="2"/>
  <c r="J376" i="2"/>
  <c r="U375" i="2"/>
  <c r="M375" i="2"/>
  <c r="E375" i="2"/>
  <c r="Z375" i="2" s="1"/>
  <c r="P374" i="2"/>
  <c r="H374" i="2"/>
  <c r="S373" i="2"/>
  <c r="K373" i="2"/>
  <c r="N372" i="2"/>
  <c r="F372" i="2"/>
  <c r="Q371" i="2"/>
  <c r="I371" i="2"/>
  <c r="T370" i="2"/>
  <c r="L370" i="2"/>
  <c r="O369" i="2"/>
  <c r="G369" i="2"/>
  <c r="R368" i="2"/>
  <c r="J368" i="2"/>
  <c r="U367" i="2"/>
  <c r="M367" i="2"/>
  <c r="E367" i="2"/>
  <c r="Z367" i="2" s="1"/>
  <c r="P366" i="2"/>
  <c r="H366" i="2"/>
  <c r="S365" i="2"/>
  <c r="K365" i="2"/>
  <c r="N364" i="2"/>
  <c r="F364" i="2"/>
  <c r="Q363" i="2"/>
  <c r="I363" i="2"/>
  <c r="T362" i="2"/>
  <c r="L362" i="2"/>
  <c r="O361" i="2"/>
  <c r="G361" i="2"/>
  <c r="R360" i="2"/>
  <c r="J360" i="2"/>
  <c r="U359" i="2"/>
  <c r="M359" i="2"/>
  <c r="E359" i="2"/>
  <c r="Z359" i="2" s="1"/>
  <c r="P358" i="2"/>
  <c r="H358" i="2"/>
  <c r="S357" i="2"/>
  <c r="K357" i="2"/>
  <c r="N356" i="2"/>
  <c r="F356" i="2"/>
  <c r="Q355" i="2"/>
  <c r="I355" i="2"/>
  <c r="T354" i="2"/>
  <c r="L354" i="2"/>
  <c r="O353" i="2"/>
  <c r="G353" i="2"/>
  <c r="R352" i="2"/>
  <c r="J352" i="2"/>
  <c r="U351" i="2"/>
  <c r="M351" i="2"/>
  <c r="E351" i="2"/>
  <c r="Z351" i="2" s="1"/>
  <c r="P350" i="2"/>
  <c r="H350" i="2"/>
  <c r="S349" i="2"/>
  <c r="K349" i="2"/>
  <c r="N348" i="2"/>
  <c r="F348" i="2"/>
  <c r="Q347" i="2"/>
  <c r="I347" i="2"/>
  <c r="T346" i="2"/>
  <c r="L346" i="2"/>
  <c r="O345" i="2"/>
  <c r="G345" i="2"/>
  <c r="S344" i="2"/>
  <c r="K344" i="2"/>
  <c r="N343" i="2"/>
  <c r="F343" i="2"/>
  <c r="Q342" i="2"/>
  <c r="I342" i="2"/>
  <c r="T341" i="2"/>
  <c r="L341" i="2"/>
  <c r="O340" i="2"/>
  <c r="G340" i="2"/>
  <c r="R339" i="2"/>
  <c r="J339" i="2"/>
  <c r="U338" i="2"/>
  <c r="M338" i="2"/>
  <c r="E338" i="2"/>
  <c r="Z338" i="2" s="1"/>
  <c r="P337" i="2"/>
  <c r="H337" i="2"/>
  <c r="S336" i="2"/>
  <c r="K336" i="2"/>
  <c r="N335" i="2"/>
  <c r="F335" i="2"/>
  <c r="R334" i="2"/>
  <c r="J334" i="2"/>
  <c r="U333" i="2"/>
  <c r="M333" i="2"/>
  <c r="E333" i="2"/>
  <c r="Z333" i="2" s="1"/>
  <c r="P332" i="2"/>
  <c r="H332" i="2"/>
  <c r="S331" i="2"/>
  <c r="K331" i="2"/>
  <c r="N330" i="2"/>
  <c r="F330" i="2"/>
  <c r="Q329" i="2"/>
  <c r="I329" i="2"/>
  <c r="T328" i="2"/>
  <c r="N3" i="3"/>
  <c r="O397" i="2"/>
  <c r="G393" i="2"/>
  <c r="L392" i="2"/>
  <c r="R391" i="2"/>
  <c r="F391" i="2"/>
  <c r="K390" i="2"/>
  <c r="S389" i="2"/>
  <c r="E389" i="2"/>
  <c r="Z389" i="2" s="1"/>
  <c r="N388" i="2"/>
  <c r="U387" i="2"/>
  <c r="K387" i="2"/>
  <c r="T386" i="2"/>
  <c r="H386" i="2"/>
  <c r="Q385" i="2"/>
  <c r="G385" i="2"/>
  <c r="Q384" i="2"/>
  <c r="I384" i="2"/>
  <c r="T383" i="2"/>
  <c r="L383" i="2"/>
  <c r="O382" i="2"/>
  <c r="G382" i="2"/>
  <c r="R381" i="2"/>
  <c r="J381" i="2"/>
  <c r="U380" i="2"/>
  <c r="M380" i="2"/>
  <c r="E380" i="2"/>
  <c r="Z380" i="2" s="1"/>
  <c r="P379" i="2"/>
  <c r="H379" i="2"/>
  <c r="S378" i="2"/>
  <c r="K378" i="2"/>
  <c r="N377" i="2"/>
  <c r="F377" i="2"/>
  <c r="Q376" i="2"/>
  <c r="I376" i="2"/>
  <c r="T375" i="2"/>
  <c r="L375" i="2"/>
  <c r="O374" i="2"/>
  <c r="G374" i="2"/>
  <c r="R373" i="2"/>
  <c r="J373" i="2"/>
  <c r="U372" i="2"/>
  <c r="M372" i="2"/>
  <c r="E372" i="2"/>
  <c r="Z372" i="2" s="1"/>
  <c r="P371" i="2"/>
  <c r="H371" i="2"/>
  <c r="S370" i="2"/>
  <c r="K370" i="2"/>
  <c r="N369" i="2"/>
  <c r="F369" i="2"/>
  <c r="Q368" i="2"/>
  <c r="I368" i="2"/>
  <c r="T367" i="2"/>
  <c r="L367" i="2"/>
  <c r="O366" i="2"/>
  <c r="G366" i="2"/>
  <c r="R365" i="2"/>
  <c r="J365" i="2"/>
  <c r="U364" i="2"/>
  <c r="M364" i="2"/>
  <c r="E364" i="2"/>
  <c r="Z364" i="2" s="1"/>
  <c r="P363" i="2"/>
  <c r="H363" i="2"/>
  <c r="S362" i="2"/>
  <c r="K362" i="2"/>
  <c r="N361" i="2"/>
  <c r="F361" i="2"/>
  <c r="Q360" i="2"/>
  <c r="I360" i="2"/>
  <c r="T359" i="2"/>
  <c r="L359" i="2"/>
  <c r="O358" i="2"/>
  <c r="G358" i="2"/>
  <c r="R357" i="2"/>
  <c r="J357" i="2"/>
  <c r="U356" i="2"/>
  <c r="M356" i="2"/>
  <c r="E356" i="2"/>
  <c r="Z356" i="2" s="1"/>
  <c r="P355" i="2"/>
  <c r="H355" i="2"/>
  <c r="S354" i="2"/>
  <c r="K354" i="2"/>
  <c r="N353" i="2"/>
  <c r="F353" i="2"/>
  <c r="Q352" i="2"/>
  <c r="I352" i="2"/>
  <c r="T351" i="2"/>
  <c r="L351" i="2"/>
  <c r="O350" i="2"/>
  <c r="G350" i="2"/>
  <c r="R349" i="2"/>
  <c r="J349" i="2"/>
  <c r="U348" i="2"/>
  <c r="M348" i="2"/>
  <c r="E348" i="2"/>
  <c r="Z348" i="2" s="1"/>
  <c r="P347" i="2"/>
  <c r="H347" i="2"/>
  <c r="S346" i="2"/>
  <c r="K346" i="2"/>
  <c r="N345" i="2"/>
  <c r="F345" i="2"/>
  <c r="R344" i="2"/>
  <c r="J344" i="2"/>
  <c r="U343" i="2"/>
  <c r="M343" i="2"/>
  <c r="E343" i="2"/>
  <c r="Z343" i="2" s="1"/>
  <c r="P342" i="2"/>
  <c r="H342" i="2"/>
  <c r="S341" i="2"/>
  <c r="K341" i="2"/>
  <c r="N340" i="2"/>
  <c r="F340" i="2"/>
  <c r="Q339" i="2"/>
  <c r="I339" i="2"/>
  <c r="T338" i="2"/>
  <c r="L338" i="2"/>
  <c r="O337" i="2"/>
  <c r="G337" i="2"/>
  <c r="R336" i="2"/>
  <c r="J336" i="2"/>
  <c r="U335" i="2"/>
  <c r="M335" i="2"/>
  <c r="E335" i="2"/>
  <c r="Z335" i="2" s="1"/>
  <c r="Q334" i="2"/>
  <c r="I334" i="2"/>
  <c r="T333" i="2"/>
  <c r="H3" i="3"/>
  <c r="R396" i="2"/>
  <c r="U394" i="2"/>
  <c r="R393" i="2"/>
  <c r="K392" i="2"/>
  <c r="P391" i="2"/>
  <c r="E391" i="2"/>
  <c r="Z391" i="2" s="1"/>
  <c r="J390" i="2"/>
  <c r="P389" i="2"/>
  <c r="K388" i="2"/>
  <c r="T387" i="2"/>
  <c r="J387" i="2"/>
  <c r="Q386" i="2"/>
  <c r="G386" i="2"/>
  <c r="P385" i="2"/>
  <c r="E385" i="2"/>
  <c r="Z385" i="2" s="1"/>
  <c r="P384" i="2"/>
  <c r="H384" i="2"/>
  <c r="S383" i="2"/>
  <c r="K383" i="2"/>
  <c r="N382" i="2"/>
  <c r="F382" i="2"/>
  <c r="Q381" i="2"/>
  <c r="I381" i="2"/>
  <c r="T380" i="2"/>
  <c r="L380" i="2"/>
  <c r="O379" i="2"/>
  <c r="G379" i="2"/>
  <c r="R378" i="2"/>
  <c r="J378" i="2"/>
  <c r="U377" i="2"/>
  <c r="M377" i="2"/>
  <c r="E377" i="2"/>
  <c r="Z377" i="2" s="1"/>
  <c r="P376" i="2"/>
  <c r="H376" i="2"/>
  <c r="S375" i="2"/>
  <c r="K375" i="2"/>
  <c r="N374" i="2"/>
  <c r="F374" i="2"/>
  <c r="Q373" i="2"/>
  <c r="I373" i="2"/>
  <c r="T372" i="2"/>
  <c r="L372" i="2"/>
  <c r="O371" i="2"/>
  <c r="G371" i="2"/>
  <c r="R370" i="2"/>
  <c r="J370" i="2"/>
  <c r="U369" i="2"/>
  <c r="M369" i="2"/>
  <c r="E369" i="2"/>
  <c r="Z369" i="2" s="1"/>
  <c r="P368" i="2"/>
  <c r="H368" i="2"/>
  <c r="S367" i="2"/>
  <c r="K367" i="2"/>
  <c r="N366" i="2"/>
  <c r="F366" i="2"/>
  <c r="Q365" i="2"/>
  <c r="I365" i="2"/>
  <c r="T364" i="2"/>
  <c r="L364" i="2"/>
  <c r="O363" i="2"/>
  <c r="G363" i="2"/>
  <c r="R362" i="2"/>
  <c r="J362" i="2"/>
  <c r="U361" i="2"/>
  <c r="M361" i="2"/>
  <c r="E361" i="2"/>
  <c r="Z361" i="2" s="1"/>
  <c r="P360" i="2"/>
  <c r="H360" i="2"/>
  <c r="S359" i="2"/>
  <c r="K359" i="2"/>
  <c r="N358" i="2"/>
  <c r="F358" i="2"/>
  <c r="Q357" i="2"/>
  <c r="I357" i="2"/>
  <c r="T356" i="2"/>
  <c r="L356" i="2"/>
  <c r="O355" i="2"/>
  <c r="G355" i="2"/>
  <c r="R354" i="2"/>
  <c r="J354" i="2"/>
  <c r="U353" i="2"/>
  <c r="M353" i="2"/>
  <c r="E353" i="2"/>
  <c r="Z353" i="2" s="1"/>
  <c r="P352" i="2"/>
  <c r="H352" i="2"/>
  <c r="S351" i="2"/>
  <c r="K351" i="2"/>
  <c r="N350" i="2"/>
  <c r="F350" i="2"/>
  <c r="Q349" i="2"/>
  <c r="I349" i="2"/>
  <c r="T348" i="2"/>
  <c r="L348" i="2"/>
  <c r="O347" i="2"/>
  <c r="G347" i="2"/>
  <c r="R346" i="2"/>
  <c r="J346" i="2"/>
  <c r="U345" i="2"/>
  <c r="M345" i="2"/>
  <c r="E345" i="2"/>
  <c r="Z345" i="2" s="1"/>
  <c r="Q344" i="2"/>
  <c r="I344" i="2"/>
  <c r="T343" i="2"/>
  <c r="L343" i="2"/>
  <c r="O342" i="2"/>
  <c r="G342" i="2"/>
  <c r="R341" i="2"/>
  <c r="J341" i="2"/>
  <c r="U340" i="2"/>
  <c r="M340" i="2"/>
  <c r="E340" i="2"/>
  <c r="Z340" i="2" s="1"/>
  <c r="P339" i="2"/>
  <c r="H339" i="2"/>
  <c r="S338" i="2"/>
  <c r="K338" i="2"/>
  <c r="N337" i="2"/>
  <c r="F337" i="2"/>
  <c r="Q336" i="2"/>
  <c r="I336" i="2"/>
  <c r="T335" i="2"/>
  <c r="L335" i="2"/>
  <c r="P334" i="2"/>
  <c r="H334" i="2"/>
  <c r="S333" i="2"/>
  <c r="K333" i="2"/>
  <c r="F3" i="3"/>
  <c r="L396" i="2"/>
  <c r="T394" i="2"/>
  <c r="P393" i="2"/>
  <c r="U392" i="2"/>
  <c r="J392" i="2"/>
  <c r="O391" i="2"/>
  <c r="U390" i="2"/>
  <c r="I390" i="2"/>
  <c r="N389" i="2"/>
  <c r="J388" i="2"/>
  <c r="S387" i="2"/>
  <c r="I387" i="2"/>
  <c r="P386" i="2"/>
  <c r="F386" i="2"/>
  <c r="O385" i="2"/>
  <c r="O384" i="2"/>
  <c r="G384" i="2"/>
  <c r="R383" i="2"/>
  <c r="J383" i="2"/>
  <c r="U382" i="2"/>
  <c r="M382" i="2"/>
  <c r="E382" i="2"/>
  <c r="Z382" i="2" s="1"/>
  <c r="P381" i="2"/>
  <c r="H381" i="2"/>
  <c r="S380" i="2"/>
  <c r="K380" i="2"/>
  <c r="N379" i="2"/>
  <c r="F379" i="2"/>
  <c r="Q378" i="2"/>
  <c r="I378" i="2"/>
  <c r="T377" i="2"/>
  <c r="L377" i="2"/>
  <c r="O376" i="2"/>
  <c r="G376" i="2"/>
  <c r="R375" i="2"/>
  <c r="J375" i="2"/>
  <c r="U374" i="2"/>
  <c r="M374" i="2"/>
  <c r="E374" i="2"/>
  <c r="Z374" i="2" s="1"/>
  <c r="P373" i="2"/>
  <c r="H373" i="2"/>
  <c r="S372" i="2"/>
  <c r="K372" i="2"/>
  <c r="N371" i="2"/>
  <c r="F371" i="2"/>
  <c r="Q370" i="2"/>
  <c r="I370" i="2"/>
  <c r="T369" i="2"/>
  <c r="L369" i="2"/>
  <c r="O368" i="2"/>
  <c r="G368" i="2"/>
  <c r="R367" i="2"/>
  <c r="J367" i="2"/>
  <c r="U366" i="2"/>
  <c r="M366" i="2"/>
  <c r="E366" i="2"/>
  <c r="Z366" i="2" s="1"/>
  <c r="P365" i="2"/>
  <c r="H365" i="2"/>
  <c r="S364" i="2"/>
  <c r="K364" i="2"/>
  <c r="N363" i="2"/>
  <c r="F363" i="2"/>
  <c r="Q362" i="2"/>
  <c r="I362" i="2"/>
  <c r="T361" i="2"/>
  <c r="L361" i="2"/>
  <c r="O360" i="2"/>
  <c r="G360" i="2"/>
  <c r="R359" i="2"/>
  <c r="J359" i="2"/>
  <c r="U358" i="2"/>
  <c r="M358" i="2"/>
  <c r="E358" i="2"/>
  <c r="Z358" i="2" s="1"/>
  <c r="P357" i="2"/>
  <c r="H357" i="2"/>
  <c r="S356" i="2"/>
  <c r="K356" i="2"/>
  <c r="N355" i="2"/>
  <c r="F355" i="2"/>
  <c r="Q354" i="2"/>
  <c r="I354" i="2"/>
  <c r="T353" i="2"/>
  <c r="L353" i="2"/>
  <c r="O352" i="2"/>
  <c r="G352" i="2"/>
  <c r="R351" i="2"/>
  <c r="J351" i="2"/>
  <c r="U350" i="2"/>
  <c r="M350" i="2"/>
  <c r="E350" i="2"/>
  <c r="Z350" i="2" s="1"/>
  <c r="P349" i="2"/>
  <c r="H349" i="2"/>
  <c r="S348" i="2"/>
  <c r="K348" i="2"/>
  <c r="N347" i="2"/>
  <c r="F347" i="2"/>
  <c r="Q346" i="2"/>
  <c r="I346" i="2"/>
  <c r="T345" i="2"/>
  <c r="L345" i="2"/>
  <c r="P344" i="2"/>
  <c r="H344" i="2"/>
  <c r="S343" i="2"/>
  <c r="K343" i="2"/>
  <c r="N342" i="2"/>
  <c r="F342" i="2"/>
  <c r="Q341" i="2"/>
  <c r="I341" i="2"/>
  <c r="T340" i="2"/>
  <c r="L340" i="2"/>
  <c r="O339" i="2"/>
  <c r="G339" i="2"/>
  <c r="R338" i="2"/>
  <c r="J338" i="2"/>
  <c r="U337" i="2"/>
  <c r="M337" i="2"/>
  <c r="E337" i="2"/>
  <c r="Z337" i="2" s="1"/>
  <c r="P336" i="2"/>
  <c r="H336" i="2"/>
  <c r="S335" i="2"/>
  <c r="K335" i="2"/>
  <c r="O334" i="2"/>
  <c r="G334" i="2"/>
  <c r="R333" i="2"/>
  <c r="J333" i="2"/>
  <c r="N4" i="3"/>
  <c r="R2" i="3"/>
  <c r="T395" i="2"/>
  <c r="O394" i="2"/>
  <c r="O393" i="2"/>
  <c r="T392" i="2"/>
  <c r="G392" i="2"/>
  <c r="N391" i="2"/>
  <c r="S390" i="2"/>
  <c r="H390" i="2"/>
  <c r="M389" i="2"/>
  <c r="S388" i="2"/>
  <c r="I388" i="2"/>
  <c r="R387" i="2"/>
  <c r="F387" i="2"/>
  <c r="O386" i="2"/>
  <c r="E386" i="2"/>
  <c r="Z386" i="2" s="1"/>
  <c r="L385" i="2"/>
  <c r="N384" i="2"/>
  <c r="F384" i="2"/>
  <c r="Q383" i="2"/>
  <c r="I383" i="2"/>
  <c r="T382" i="2"/>
  <c r="L382" i="2"/>
  <c r="O381" i="2"/>
  <c r="G381" i="2"/>
  <c r="R380" i="2"/>
  <c r="J380" i="2"/>
  <c r="U379" i="2"/>
  <c r="M379" i="2"/>
  <c r="E379" i="2"/>
  <c r="Z379" i="2" s="1"/>
  <c r="P378" i="2"/>
  <c r="H378" i="2"/>
  <c r="S377" i="2"/>
  <c r="K377" i="2"/>
  <c r="N376" i="2"/>
  <c r="F376" i="2"/>
  <c r="Q375" i="2"/>
  <c r="I375" i="2"/>
  <c r="T374" i="2"/>
  <c r="L374" i="2"/>
  <c r="O373" i="2"/>
  <c r="G373" i="2"/>
  <c r="R372" i="2"/>
  <c r="J372" i="2"/>
  <c r="U371" i="2"/>
  <c r="M371" i="2"/>
  <c r="E371" i="2"/>
  <c r="Z371" i="2" s="1"/>
  <c r="P370" i="2"/>
  <c r="H370" i="2"/>
  <c r="S369" i="2"/>
  <c r="K369" i="2"/>
  <c r="N368" i="2"/>
  <c r="F368" i="2"/>
  <c r="Q367" i="2"/>
  <c r="I367" i="2"/>
  <c r="T366" i="2"/>
  <c r="L366" i="2"/>
  <c r="O365" i="2"/>
  <c r="G365" i="2"/>
  <c r="R364" i="2"/>
  <c r="J364" i="2"/>
  <c r="U363" i="2"/>
  <c r="M363" i="2"/>
  <c r="E363" i="2"/>
  <c r="Z363" i="2" s="1"/>
  <c r="P362" i="2"/>
  <c r="H362" i="2"/>
  <c r="S361" i="2"/>
  <c r="K361" i="2"/>
  <c r="N360" i="2"/>
  <c r="F360" i="2"/>
  <c r="Q359" i="2"/>
  <c r="I359" i="2"/>
  <c r="T358" i="2"/>
  <c r="L358" i="2"/>
  <c r="O357" i="2"/>
  <c r="G357" i="2"/>
  <c r="R356" i="2"/>
  <c r="J356" i="2"/>
  <c r="U355" i="2"/>
  <c r="M355" i="2"/>
  <c r="E355" i="2"/>
  <c r="Z355" i="2" s="1"/>
  <c r="P354" i="2"/>
  <c r="H354" i="2"/>
  <c r="S353" i="2"/>
  <c r="K353" i="2"/>
  <c r="N352" i="2"/>
  <c r="F352" i="2"/>
  <c r="Q351" i="2"/>
  <c r="I351" i="2"/>
  <c r="T350" i="2"/>
  <c r="L350" i="2"/>
  <c r="O349" i="2"/>
  <c r="G349" i="2"/>
  <c r="R348" i="2"/>
  <c r="J348" i="2"/>
  <c r="U347" i="2"/>
  <c r="M347" i="2"/>
  <c r="E347" i="2"/>
  <c r="Z347" i="2" s="1"/>
  <c r="P346" i="2"/>
  <c r="H346" i="2"/>
  <c r="S345" i="2"/>
  <c r="K345" i="2"/>
  <c r="O344" i="2"/>
  <c r="G344" i="2"/>
  <c r="R343" i="2"/>
  <c r="J343" i="2"/>
  <c r="U342" i="2"/>
  <c r="M342" i="2"/>
  <c r="E342" i="2"/>
  <c r="Z342" i="2" s="1"/>
  <c r="P341" i="2"/>
  <c r="H341" i="2"/>
  <c r="S340" i="2"/>
  <c r="K340" i="2"/>
  <c r="N339" i="2"/>
  <c r="F339" i="2"/>
  <c r="Q338" i="2"/>
  <c r="I338" i="2"/>
  <c r="T337" i="2"/>
  <c r="L337" i="2"/>
  <c r="O336" i="2"/>
  <c r="G336" i="2"/>
  <c r="R335" i="2"/>
  <c r="J335" i="2"/>
  <c r="N334" i="2"/>
  <c r="T332" i="2"/>
  <c r="G331" i="2"/>
  <c r="J330" i="2"/>
  <c r="M329" i="2"/>
  <c r="P328" i="2"/>
  <c r="L327" i="2"/>
  <c r="S326" i="2"/>
  <c r="I326" i="2"/>
  <c r="R325" i="2"/>
  <c r="F325" i="2"/>
  <c r="O324" i="2"/>
  <c r="E324" i="2"/>
  <c r="Z324" i="2" s="1"/>
  <c r="L323" i="2"/>
  <c r="U322" i="2"/>
  <c r="K322" i="2"/>
  <c r="R321" i="2"/>
  <c r="H321" i="2"/>
  <c r="R320" i="2"/>
  <c r="J320" i="2"/>
  <c r="U319" i="2"/>
  <c r="M319" i="2"/>
  <c r="E319" i="2"/>
  <c r="Z319" i="2" s="1"/>
  <c r="P318" i="2"/>
  <c r="H318" i="2"/>
  <c r="S317" i="2"/>
  <c r="K317" i="2"/>
  <c r="N316" i="2"/>
  <c r="F316" i="2"/>
  <c r="Q315" i="2"/>
  <c r="I315" i="2"/>
  <c r="T314" i="2"/>
  <c r="L314" i="2"/>
  <c r="O313" i="2"/>
  <c r="G313" i="2"/>
  <c r="R312" i="2"/>
  <c r="J312" i="2"/>
  <c r="U311" i="2"/>
  <c r="M311" i="2"/>
  <c r="E311" i="2"/>
  <c r="Z311" i="2" s="1"/>
  <c r="P310" i="2"/>
  <c r="H310" i="2"/>
  <c r="S309" i="2"/>
  <c r="K309" i="2"/>
  <c r="N308" i="2"/>
  <c r="F308" i="2"/>
  <c r="Q307" i="2"/>
  <c r="I307" i="2"/>
  <c r="T306" i="2"/>
  <c r="L306" i="2"/>
  <c r="O305" i="2"/>
  <c r="G305" i="2"/>
  <c r="R304" i="2"/>
  <c r="J304" i="2"/>
  <c r="U303" i="2"/>
  <c r="M303" i="2"/>
  <c r="E303" i="2"/>
  <c r="Z303" i="2" s="1"/>
  <c r="P302" i="2"/>
  <c r="H302" i="2"/>
  <c r="S301" i="2"/>
  <c r="K301" i="2"/>
  <c r="N300" i="2"/>
  <c r="F300" i="2"/>
  <c r="Q299" i="2"/>
  <c r="I299" i="2"/>
  <c r="T298" i="2"/>
  <c r="L298" i="2"/>
  <c r="O297" i="2"/>
  <c r="G297" i="2"/>
  <c r="R296" i="2"/>
  <c r="J296" i="2"/>
  <c r="U295" i="2"/>
  <c r="M295" i="2"/>
  <c r="E295" i="2"/>
  <c r="Z295" i="2" s="1"/>
  <c r="P294" i="2"/>
  <c r="H294" i="2"/>
  <c r="S293" i="2"/>
  <c r="K293" i="2"/>
  <c r="N292" i="2"/>
  <c r="F292" i="2"/>
  <c r="Q291" i="2"/>
  <c r="I291" i="2"/>
  <c r="T290" i="2"/>
  <c r="L290" i="2"/>
  <c r="O289" i="2"/>
  <c r="G289" i="2"/>
  <c r="R288" i="2"/>
  <c r="J288" i="2"/>
  <c r="U287" i="2"/>
  <c r="M287" i="2"/>
  <c r="E287" i="2"/>
  <c r="Z287" i="2" s="1"/>
  <c r="P286" i="2"/>
  <c r="H286" i="2"/>
  <c r="S285" i="2"/>
  <c r="K285" i="2"/>
  <c r="N284" i="2"/>
  <c r="F284" i="2"/>
  <c r="Q283" i="2"/>
  <c r="I283" i="2"/>
  <c r="T282" i="2"/>
  <c r="L282" i="2"/>
  <c r="O281" i="2"/>
  <c r="G281" i="2"/>
  <c r="R280" i="2"/>
  <c r="J280" i="2"/>
  <c r="U279" i="2"/>
  <c r="M279" i="2"/>
  <c r="E279" i="2"/>
  <c r="Z279" i="2" s="1"/>
  <c r="P278" i="2"/>
  <c r="H278" i="2"/>
  <c r="S277" i="2"/>
  <c r="K277" i="2"/>
  <c r="N276" i="2"/>
  <c r="F276" i="2"/>
  <c r="Q275" i="2"/>
  <c r="I275" i="2"/>
  <c r="T274" i="2"/>
  <c r="L274" i="2"/>
  <c r="O273" i="2"/>
  <c r="G273" i="2"/>
  <c r="R272" i="2"/>
  <c r="J272" i="2"/>
  <c r="U271" i="2"/>
  <c r="M271" i="2"/>
  <c r="E271" i="2"/>
  <c r="Z271" i="2" s="1"/>
  <c r="P270" i="2"/>
  <c r="H270" i="2"/>
  <c r="S269" i="2"/>
  <c r="K269" i="2"/>
  <c r="N268" i="2"/>
  <c r="F268" i="2"/>
  <c r="Q267" i="2"/>
  <c r="I267" i="2"/>
  <c r="T266" i="2"/>
  <c r="L266" i="2"/>
  <c r="O265" i="2"/>
  <c r="G265" i="2"/>
  <c r="R264" i="2"/>
  <c r="J264" i="2"/>
  <c r="U263" i="2"/>
  <c r="M263" i="2"/>
  <c r="E263" i="2"/>
  <c r="Z263" i="2" s="1"/>
  <c r="P262" i="2"/>
  <c r="H262" i="2"/>
  <c r="S261" i="2"/>
  <c r="K261" i="2"/>
  <c r="N260" i="2"/>
  <c r="F260" i="2"/>
  <c r="Q259" i="2"/>
  <c r="I259" i="2"/>
  <c r="T258" i="2"/>
  <c r="L258" i="2"/>
  <c r="O257" i="2"/>
  <c r="G257" i="2"/>
  <c r="R256" i="2"/>
  <c r="J256" i="2"/>
  <c r="U255" i="2"/>
  <c r="M255" i="2"/>
  <c r="E255" i="2"/>
  <c r="Z255" i="2" s="1"/>
  <c r="P254" i="2"/>
  <c r="H254" i="2"/>
  <c r="S253" i="2"/>
  <c r="K253" i="2"/>
  <c r="N252" i="2"/>
  <c r="F252" i="2"/>
  <c r="Q251" i="2"/>
  <c r="I251" i="2"/>
  <c r="T250" i="2"/>
  <c r="L250" i="2"/>
  <c r="O249" i="2"/>
  <c r="F334" i="2"/>
  <c r="O332" i="2"/>
  <c r="R331" i="2"/>
  <c r="U330" i="2"/>
  <c r="E330" i="2"/>
  <c r="Z330" i="2" s="1"/>
  <c r="H329" i="2"/>
  <c r="L328" i="2"/>
  <c r="U327" i="2"/>
  <c r="K327" i="2"/>
  <c r="R326" i="2"/>
  <c r="H326" i="2"/>
  <c r="Q325" i="2"/>
  <c r="E325" i="2"/>
  <c r="Z325" i="2" s="1"/>
  <c r="N324" i="2"/>
  <c r="K323" i="2"/>
  <c r="T322" i="2"/>
  <c r="J322" i="2"/>
  <c r="Q321" i="2"/>
  <c r="G321" i="2"/>
  <c r="Q320" i="2"/>
  <c r="I320" i="2"/>
  <c r="T319" i="2"/>
  <c r="L319" i="2"/>
  <c r="O318" i="2"/>
  <c r="G318" i="2"/>
  <c r="R317" i="2"/>
  <c r="J317" i="2"/>
  <c r="U316" i="2"/>
  <c r="M316" i="2"/>
  <c r="E316" i="2"/>
  <c r="Z316" i="2" s="1"/>
  <c r="P315" i="2"/>
  <c r="H315" i="2"/>
  <c r="S314" i="2"/>
  <c r="K314" i="2"/>
  <c r="N313" i="2"/>
  <c r="F313" i="2"/>
  <c r="Q312" i="2"/>
  <c r="I312" i="2"/>
  <c r="T311" i="2"/>
  <c r="L311" i="2"/>
  <c r="O310" i="2"/>
  <c r="G310" i="2"/>
  <c r="R309" i="2"/>
  <c r="J309" i="2"/>
  <c r="U308" i="2"/>
  <c r="M308" i="2"/>
  <c r="E308" i="2"/>
  <c r="Z308" i="2" s="1"/>
  <c r="P307" i="2"/>
  <c r="H307" i="2"/>
  <c r="S306" i="2"/>
  <c r="K306" i="2"/>
  <c r="N305" i="2"/>
  <c r="F305" i="2"/>
  <c r="Q304" i="2"/>
  <c r="I304" i="2"/>
  <c r="T303" i="2"/>
  <c r="L303" i="2"/>
  <c r="O302" i="2"/>
  <c r="G302" i="2"/>
  <c r="R301" i="2"/>
  <c r="J301" i="2"/>
  <c r="U300" i="2"/>
  <c r="M300" i="2"/>
  <c r="E300" i="2"/>
  <c r="Z300" i="2" s="1"/>
  <c r="P299" i="2"/>
  <c r="H299" i="2"/>
  <c r="S298" i="2"/>
  <c r="K298" i="2"/>
  <c r="N297" i="2"/>
  <c r="F297" i="2"/>
  <c r="Q296" i="2"/>
  <c r="I296" i="2"/>
  <c r="T295" i="2"/>
  <c r="L295" i="2"/>
  <c r="O294" i="2"/>
  <c r="G294" i="2"/>
  <c r="R293" i="2"/>
  <c r="J293" i="2"/>
  <c r="U292" i="2"/>
  <c r="M292" i="2"/>
  <c r="E292" i="2"/>
  <c r="Z292" i="2" s="1"/>
  <c r="P291" i="2"/>
  <c r="H291" i="2"/>
  <c r="S290" i="2"/>
  <c r="K290" i="2"/>
  <c r="N289" i="2"/>
  <c r="F289" i="2"/>
  <c r="Q288" i="2"/>
  <c r="I288" i="2"/>
  <c r="T287" i="2"/>
  <c r="L287" i="2"/>
  <c r="O286" i="2"/>
  <c r="G286" i="2"/>
  <c r="R285" i="2"/>
  <c r="J285" i="2"/>
  <c r="U284" i="2"/>
  <c r="M284" i="2"/>
  <c r="E284" i="2"/>
  <c r="Z284" i="2" s="1"/>
  <c r="P283" i="2"/>
  <c r="H283" i="2"/>
  <c r="S282" i="2"/>
  <c r="K282" i="2"/>
  <c r="N281" i="2"/>
  <c r="F281" i="2"/>
  <c r="Q280" i="2"/>
  <c r="I280" i="2"/>
  <c r="T279" i="2"/>
  <c r="L279" i="2"/>
  <c r="O278" i="2"/>
  <c r="G278" i="2"/>
  <c r="R277" i="2"/>
  <c r="J277" i="2"/>
  <c r="U276" i="2"/>
  <c r="M276" i="2"/>
  <c r="E276" i="2"/>
  <c r="Z276" i="2" s="1"/>
  <c r="P275" i="2"/>
  <c r="H275" i="2"/>
  <c r="S274" i="2"/>
  <c r="K274" i="2"/>
  <c r="N273" i="2"/>
  <c r="F273" i="2"/>
  <c r="Q272" i="2"/>
  <c r="I272" i="2"/>
  <c r="T271" i="2"/>
  <c r="L271" i="2"/>
  <c r="O270" i="2"/>
  <c r="G270" i="2"/>
  <c r="R269" i="2"/>
  <c r="J269" i="2"/>
  <c r="U268" i="2"/>
  <c r="M268" i="2"/>
  <c r="E268" i="2"/>
  <c r="Z268" i="2" s="1"/>
  <c r="P267" i="2"/>
  <c r="H267" i="2"/>
  <c r="S266" i="2"/>
  <c r="K266" i="2"/>
  <c r="N265" i="2"/>
  <c r="F265" i="2"/>
  <c r="Q264" i="2"/>
  <c r="I264" i="2"/>
  <c r="T263" i="2"/>
  <c r="L263" i="2"/>
  <c r="O262" i="2"/>
  <c r="G262" i="2"/>
  <c r="R261" i="2"/>
  <c r="J261" i="2"/>
  <c r="U260" i="2"/>
  <c r="M260" i="2"/>
  <c r="E260" i="2"/>
  <c r="Z260" i="2" s="1"/>
  <c r="P259" i="2"/>
  <c r="H259" i="2"/>
  <c r="S258" i="2"/>
  <c r="K258" i="2"/>
  <c r="N257" i="2"/>
  <c r="F257" i="2"/>
  <c r="Q256" i="2"/>
  <c r="I256" i="2"/>
  <c r="T255" i="2"/>
  <c r="L255" i="2"/>
  <c r="O254" i="2"/>
  <c r="G254" i="2"/>
  <c r="R253" i="2"/>
  <c r="J253" i="2"/>
  <c r="U252" i="2"/>
  <c r="M252" i="2"/>
  <c r="E252" i="2"/>
  <c r="Z252" i="2" s="1"/>
  <c r="P251" i="2"/>
  <c r="H251" i="2"/>
  <c r="S250" i="2"/>
  <c r="K250" i="2"/>
  <c r="N249" i="2"/>
  <c r="Q333" i="2"/>
  <c r="N332" i="2"/>
  <c r="Q331" i="2"/>
  <c r="T330" i="2"/>
  <c r="G329" i="2"/>
  <c r="K328" i="2"/>
  <c r="T327" i="2"/>
  <c r="H327" i="2"/>
  <c r="Q326" i="2"/>
  <c r="G326" i="2"/>
  <c r="N325" i="2"/>
  <c r="M324" i="2"/>
  <c r="T323" i="2"/>
  <c r="J323" i="2"/>
  <c r="S322" i="2"/>
  <c r="G322" i="2"/>
  <c r="P321" i="2"/>
  <c r="F321" i="2"/>
  <c r="P320" i="2"/>
  <c r="H320" i="2"/>
  <c r="S319" i="2"/>
  <c r="K319" i="2"/>
  <c r="N318" i="2"/>
  <c r="F318" i="2"/>
  <c r="Q317" i="2"/>
  <c r="I317" i="2"/>
  <c r="T316" i="2"/>
  <c r="L316" i="2"/>
  <c r="O315" i="2"/>
  <c r="G315" i="2"/>
  <c r="R314" i="2"/>
  <c r="J314" i="2"/>
  <c r="U313" i="2"/>
  <c r="M313" i="2"/>
  <c r="E313" i="2"/>
  <c r="Z313" i="2" s="1"/>
  <c r="P312" i="2"/>
  <c r="H312" i="2"/>
  <c r="S311" i="2"/>
  <c r="K311" i="2"/>
  <c r="N310" i="2"/>
  <c r="F310" i="2"/>
  <c r="Q309" i="2"/>
  <c r="I309" i="2"/>
  <c r="T308" i="2"/>
  <c r="L308" i="2"/>
  <c r="O307" i="2"/>
  <c r="G307" i="2"/>
  <c r="R306" i="2"/>
  <c r="J306" i="2"/>
  <c r="U305" i="2"/>
  <c r="M305" i="2"/>
  <c r="E305" i="2"/>
  <c r="Z305" i="2" s="1"/>
  <c r="P304" i="2"/>
  <c r="H304" i="2"/>
  <c r="S303" i="2"/>
  <c r="K303" i="2"/>
  <c r="N302" i="2"/>
  <c r="F302" i="2"/>
  <c r="Q301" i="2"/>
  <c r="I301" i="2"/>
  <c r="T300" i="2"/>
  <c r="L300" i="2"/>
  <c r="O299" i="2"/>
  <c r="G299" i="2"/>
  <c r="R298" i="2"/>
  <c r="J298" i="2"/>
  <c r="U297" i="2"/>
  <c r="M297" i="2"/>
  <c r="E297" i="2"/>
  <c r="Z297" i="2" s="1"/>
  <c r="P296" i="2"/>
  <c r="H296" i="2"/>
  <c r="S295" i="2"/>
  <c r="K295" i="2"/>
  <c r="N294" i="2"/>
  <c r="F294" i="2"/>
  <c r="Q293" i="2"/>
  <c r="I293" i="2"/>
  <c r="T292" i="2"/>
  <c r="L292" i="2"/>
  <c r="O291" i="2"/>
  <c r="G291" i="2"/>
  <c r="R290" i="2"/>
  <c r="J290" i="2"/>
  <c r="U289" i="2"/>
  <c r="M289" i="2"/>
  <c r="E289" i="2"/>
  <c r="Z289" i="2" s="1"/>
  <c r="P288" i="2"/>
  <c r="H288" i="2"/>
  <c r="S287" i="2"/>
  <c r="K287" i="2"/>
  <c r="N286" i="2"/>
  <c r="F286" i="2"/>
  <c r="Q285" i="2"/>
  <c r="I285" i="2"/>
  <c r="T284" i="2"/>
  <c r="L284" i="2"/>
  <c r="O283" i="2"/>
  <c r="G283" i="2"/>
  <c r="R282" i="2"/>
  <c r="J282" i="2"/>
  <c r="U281" i="2"/>
  <c r="M281" i="2"/>
  <c r="E281" i="2"/>
  <c r="Z281" i="2" s="1"/>
  <c r="P280" i="2"/>
  <c r="H280" i="2"/>
  <c r="S279" i="2"/>
  <c r="K279" i="2"/>
  <c r="N278" i="2"/>
  <c r="F278" i="2"/>
  <c r="Q277" i="2"/>
  <c r="I277" i="2"/>
  <c r="T276" i="2"/>
  <c r="L276" i="2"/>
  <c r="O275" i="2"/>
  <c r="G275" i="2"/>
  <c r="R274" i="2"/>
  <c r="J274" i="2"/>
  <c r="U273" i="2"/>
  <c r="M273" i="2"/>
  <c r="E273" i="2"/>
  <c r="Z273" i="2" s="1"/>
  <c r="P272" i="2"/>
  <c r="H272" i="2"/>
  <c r="S271" i="2"/>
  <c r="K271" i="2"/>
  <c r="N270" i="2"/>
  <c r="F270" i="2"/>
  <c r="Q269" i="2"/>
  <c r="I269" i="2"/>
  <c r="T268" i="2"/>
  <c r="L268" i="2"/>
  <c r="O267" i="2"/>
  <c r="G267" i="2"/>
  <c r="R266" i="2"/>
  <c r="J266" i="2"/>
  <c r="U265" i="2"/>
  <c r="M265" i="2"/>
  <c r="E265" i="2"/>
  <c r="Z265" i="2" s="1"/>
  <c r="P264" i="2"/>
  <c r="H264" i="2"/>
  <c r="S263" i="2"/>
  <c r="K263" i="2"/>
  <c r="N262" i="2"/>
  <c r="F262" i="2"/>
  <c r="Q261" i="2"/>
  <c r="I261" i="2"/>
  <c r="T260" i="2"/>
  <c r="L260" i="2"/>
  <c r="O259" i="2"/>
  <c r="G259" i="2"/>
  <c r="R258" i="2"/>
  <c r="J258" i="2"/>
  <c r="U257" i="2"/>
  <c r="L333" i="2"/>
  <c r="M332" i="2"/>
  <c r="P331" i="2"/>
  <c r="S330" i="2"/>
  <c r="F329" i="2"/>
  <c r="J328" i="2"/>
  <c r="S327" i="2"/>
  <c r="G327" i="2"/>
  <c r="P326" i="2"/>
  <c r="F326" i="2"/>
  <c r="M325" i="2"/>
  <c r="L324" i="2"/>
  <c r="S323" i="2"/>
  <c r="I323" i="2"/>
  <c r="R322" i="2"/>
  <c r="F322" i="2"/>
  <c r="O321" i="2"/>
  <c r="E321" i="2"/>
  <c r="Z321" i="2" s="1"/>
  <c r="O320" i="2"/>
  <c r="G320" i="2"/>
  <c r="R319" i="2"/>
  <c r="J319" i="2"/>
  <c r="U318" i="2"/>
  <c r="M318" i="2"/>
  <c r="E318" i="2"/>
  <c r="Z318" i="2" s="1"/>
  <c r="P317" i="2"/>
  <c r="H317" i="2"/>
  <c r="S316" i="2"/>
  <c r="K316" i="2"/>
  <c r="N315" i="2"/>
  <c r="F315" i="2"/>
  <c r="Q314" i="2"/>
  <c r="I314" i="2"/>
  <c r="T313" i="2"/>
  <c r="L313" i="2"/>
  <c r="O312" i="2"/>
  <c r="G312" i="2"/>
  <c r="R311" i="2"/>
  <c r="J311" i="2"/>
  <c r="U310" i="2"/>
  <c r="M310" i="2"/>
  <c r="E310" i="2"/>
  <c r="Z310" i="2" s="1"/>
  <c r="P309" i="2"/>
  <c r="H309" i="2"/>
  <c r="S308" i="2"/>
  <c r="K308" i="2"/>
  <c r="N307" i="2"/>
  <c r="F307" i="2"/>
  <c r="Q306" i="2"/>
  <c r="I306" i="2"/>
  <c r="T305" i="2"/>
  <c r="L305" i="2"/>
  <c r="O304" i="2"/>
  <c r="G304" i="2"/>
  <c r="R303" i="2"/>
  <c r="J303" i="2"/>
  <c r="U302" i="2"/>
  <c r="M302" i="2"/>
  <c r="E302" i="2"/>
  <c r="Z302" i="2" s="1"/>
  <c r="P301" i="2"/>
  <c r="H301" i="2"/>
  <c r="S300" i="2"/>
  <c r="K300" i="2"/>
  <c r="N299" i="2"/>
  <c r="F299" i="2"/>
  <c r="Q298" i="2"/>
  <c r="I298" i="2"/>
  <c r="T297" i="2"/>
  <c r="L297" i="2"/>
  <c r="O296" i="2"/>
  <c r="G296" i="2"/>
  <c r="R295" i="2"/>
  <c r="J295" i="2"/>
  <c r="U294" i="2"/>
  <c r="M294" i="2"/>
  <c r="E294" i="2"/>
  <c r="Z294" i="2" s="1"/>
  <c r="P293" i="2"/>
  <c r="H293" i="2"/>
  <c r="S292" i="2"/>
  <c r="K292" i="2"/>
  <c r="N291" i="2"/>
  <c r="F291" i="2"/>
  <c r="Q290" i="2"/>
  <c r="I290" i="2"/>
  <c r="T289" i="2"/>
  <c r="L289" i="2"/>
  <c r="O288" i="2"/>
  <c r="G288" i="2"/>
  <c r="R287" i="2"/>
  <c r="J287" i="2"/>
  <c r="U286" i="2"/>
  <c r="M286" i="2"/>
  <c r="E286" i="2"/>
  <c r="Z286" i="2" s="1"/>
  <c r="P285" i="2"/>
  <c r="H285" i="2"/>
  <c r="S284" i="2"/>
  <c r="K284" i="2"/>
  <c r="N283" i="2"/>
  <c r="F283" i="2"/>
  <c r="Q282" i="2"/>
  <c r="I282" i="2"/>
  <c r="T281" i="2"/>
  <c r="L281" i="2"/>
  <c r="O280" i="2"/>
  <c r="G280" i="2"/>
  <c r="R279" i="2"/>
  <c r="J279" i="2"/>
  <c r="U278" i="2"/>
  <c r="M278" i="2"/>
  <c r="E278" i="2"/>
  <c r="Z278" i="2" s="1"/>
  <c r="P277" i="2"/>
  <c r="H277" i="2"/>
  <c r="S276" i="2"/>
  <c r="K276" i="2"/>
  <c r="N275" i="2"/>
  <c r="F275" i="2"/>
  <c r="Q274" i="2"/>
  <c r="I274" i="2"/>
  <c r="T273" i="2"/>
  <c r="L273" i="2"/>
  <c r="O272" i="2"/>
  <c r="G272" i="2"/>
  <c r="R271" i="2"/>
  <c r="J271" i="2"/>
  <c r="U270" i="2"/>
  <c r="M270" i="2"/>
  <c r="E270" i="2"/>
  <c r="Z270" i="2" s="1"/>
  <c r="P269" i="2"/>
  <c r="H269" i="2"/>
  <c r="S268" i="2"/>
  <c r="K268" i="2"/>
  <c r="N267" i="2"/>
  <c r="F267" i="2"/>
  <c r="Q266" i="2"/>
  <c r="I266" i="2"/>
  <c r="T265" i="2"/>
  <c r="L265" i="2"/>
  <c r="O264" i="2"/>
  <c r="G264" i="2"/>
  <c r="R263" i="2"/>
  <c r="J263" i="2"/>
  <c r="U262" i="2"/>
  <c r="M262" i="2"/>
  <c r="E262" i="2"/>
  <c r="Z262" i="2" s="1"/>
  <c r="P261" i="2"/>
  <c r="H261" i="2"/>
  <c r="S260" i="2"/>
  <c r="K260" i="2"/>
  <c r="N259" i="2"/>
  <c r="F259" i="2"/>
  <c r="Q258" i="2"/>
  <c r="I258" i="2"/>
  <c r="T257" i="2"/>
  <c r="I333" i="2"/>
  <c r="L332" i="2"/>
  <c r="O331" i="2"/>
  <c r="R330" i="2"/>
  <c r="U329" i="2"/>
  <c r="E329" i="2"/>
  <c r="Z329" i="2" s="1"/>
  <c r="I328" i="2"/>
  <c r="P327" i="2"/>
  <c r="F327" i="2"/>
  <c r="O326" i="2"/>
  <c r="L325" i="2"/>
  <c r="U324" i="2"/>
  <c r="I324" i="2"/>
  <c r="R323" i="2"/>
  <c r="H323" i="2"/>
  <c r="O322" i="2"/>
  <c r="E322" i="2"/>
  <c r="Z322" i="2" s="1"/>
  <c r="N321" i="2"/>
  <c r="N320" i="2"/>
  <c r="F320" i="2"/>
  <c r="Q319" i="2"/>
  <c r="I319" i="2"/>
  <c r="T318" i="2"/>
  <c r="L318" i="2"/>
  <c r="O317" i="2"/>
  <c r="G317" i="2"/>
  <c r="R316" i="2"/>
  <c r="J316" i="2"/>
  <c r="U315" i="2"/>
  <c r="M315" i="2"/>
  <c r="E315" i="2"/>
  <c r="Z315" i="2" s="1"/>
  <c r="P314" i="2"/>
  <c r="H314" i="2"/>
  <c r="S313" i="2"/>
  <c r="K313" i="2"/>
  <c r="N312" i="2"/>
  <c r="F312" i="2"/>
  <c r="Q311" i="2"/>
  <c r="I311" i="2"/>
  <c r="T310" i="2"/>
  <c r="L310" i="2"/>
  <c r="O309" i="2"/>
  <c r="G309" i="2"/>
  <c r="R308" i="2"/>
  <c r="J308" i="2"/>
  <c r="U307" i="2"/>
  <c r="M307" i="2"/>
  <c r="E307" i="2"/>
  <c r="Z307" i="2" s="1"/>
  <c r="P306" i="2"/>
  <c r="H306" i="2"/>
  <c r="S305" i="2"/>
  <c r="K305" i="2"/>
  <c r="N304" i="2"/>
  <c r="F304" i="2"/>
  <c r="Q303" i="2"/>
  <c r="I303" i="2"/>
  <c r="T302" i="2"/>
  <c r="L302" i="2"/>
  <c r="O301" i="2"/>
  <c r="G301" i="2"/>
  <c r="R300" i="2"/>
  <c r="J300" i="2"/>
  <c r="U299" i="2"/>
  <c r="M299" i="2"/>
  <c r="E299" i="2"/>
  <c r="Z299" i="2" s="1"/>
  <c r="P298" i="2"/>
  <c r="H298" i="2"/>
  <c r="S297" i="2"/>
  <c r="K297" i="2"/>
  <c r="N296" i="2"/>
  <c r="F296" i="2"/>
  <c r="Q295" i="2"/>
  <c r="I295" i="2"/>
  <c r="T294" i="2"/>
  <c r="L294" i="2"/>
  <c r="O293" i="2"/>
  <c r="G293" i="2"/>
  <c r="R292" i="2"/>
  <c r="J292" i="2"/>
  <c r="U291" i="2"/>
  <c r="M291" i="2"/>
  <c r="E291" i="2"/>
  <c r="Z291" i="2" s="1"/>
  <c r="P290" i="2"/>
  <c r="H290" i="2"/>
  <c r="S289" i="2"/>
  <c r="K289" i="2"/>
  <c r="N288" i="2"/>
  <c r="F288" i="2"/>
  <c r="Q287" i="2"/>
  <c r="I287" i="2"/>
  <c r="T286" i="2"/>
  <c r="L286" i="2"/>
  <c r="O285" i="2"/>
  <c r="G285" i="2"/>
  <c r="R284" i="2"/>
  <c r="J284" i="2"/>
  <c r="U283" i="2"/>
  <c r="M283" i="2"/>
  <c r="E283" i="2"/>
  <c r="Z283" i="2" s="1"/>
  <c r="P282" i="2"/>
  <c r="H282" i="2"/>
  <c r="S281" i="2"/>
  <c r="K281" i="2"/>
  <c r="N280" i="2"/>
  <c r="F280" i="2"/>
  <c r="Q279" i="2"/>
  <c r="I279" i="2"/>
  <c r="T278" i="2"/>
  <c r="L278" i="2"/>
  <c r="O277" i="2"/>
  <c r="G277" i="2"/>
  <c r="R276" i="2"/>
  <c r="J276" i="2"/>
  <c r="U275" i="2"/>
  <c r="M275" i="2"/>
  <c r="E275" i="2"/>
  <c r="Z275" i="2" s="1"/>
  <c r="P274" i="2"/>
  <c r="H274" i="2"/>
  <c r="S273" i="2"/>
  <c r="K273" i="2"/>
  <c r="N272" i="2"/>
  <c r="F272" i="2"/>
  <c r="Q271" i="2"/>
  <c r="I271" i="2"/>
  <c r="T270" i="2"/>
  <c r="L270" i="2"/>
  <c r="O269" i="2"/>
  <c r="G269" i="2"/>
  <c r="R268" i="2"/>
  <c r="J268" i="2"/>
  <c r="U267" i="2"/>
  <c r="M267" i="2"/>
  <c r="E267" i="2"/>
  <c r="Z267" i="2" s="1"/>
  <c r="P266" i="2"/>
  <c r="H266" i="2"/>
  <c r="S265" i="2"/>
  <c r="K265" i="2"/>
  <c r="N264" i="2"/>
  <c r="F264" i="2"/>
  <c r="Q263" i="2"/>
  <c r="I263" i="2"/>
  <c r="T262" i="2"/>
  <c r="L262" i="2"/>
  <c r="O261" i="2"/>
  <c r="G261" i="2"/>
  <c r="G332" i="2"/>
  <c r="J331" i="2"/>
  <c r="M330" i="2"/>
  <c r="P329" i="2"/>
  <c r="S328" i="2"/>
  <c r="H328" i="2"/>
  <c r="O327" i="2"/>
  <c r="E327" i="2"/>
  <c r="Z327" i="2" s="1"/>
  <c r="N326" i="2"/>
  <c r="U325" i="2"/>
  <c r="K325" i="2"/>
  <c r="T324" i="2"/>
  <c r="H324" i="2"/>
  <c r="Q323" i="2"/>
  <c r="G323" i="2"/>
  <c r="N322" i="2"/>
  <c r="M321" i="2"/>
  <c r="U320" i="2"/>
  <c r="M320" i="2"/>
  <c r="E320" i="2"/>
  <c r="Z320" i="2" s="1"/>
  <c r="P319" i="2"/>
  <c r="H319" i="2"/>
  <c r="S318" i="2"/>
  <c r="K318" i="2"/>
  <c r="N317" i="2"/>
  <c r="F317" i="2"/>
  <c r="Q316" i="2"/>
  <c r="I316" i="2"/>
  <c r="T315" i="2"/>
  <c r="L315" i="2"/>
  <c r="O314" i="2"/>
  <c r="G314" i="2"/>
  <c r="R313" i="2"/>
  <c r="J313" i="2"/>
  <c r="U312" i="2"/>
  <c r="M312" i="2"/>
  <c r="E312" i="2"/>
  <c r="Z312" i="2" s="1"/>
  <c r="P311" i="2"/>
  <c r="H311" i="2"/>
  <c r="S310" i="2"/>
  <c r="K310" i="2"/>
  <c r="N309" i="2"/>
  <c r="F309" i="2"/>
  <c r="Q308" i="2"/>
  <c r="I308" i="2"/>
  <c r="T307" i="2"/>
  <c r="L307" i="2"/>
  <c r="O306" i="2"/>
  <c r="G306" i="2"/>
  <c r="R305" i="2"/>
  <c r="J305" i="2"/>
  <c r="U304" i="2"/>
  <c r="M304" i="2"/>
  <c r="E304" i="2"/>
  <c r="Z304" i="2" s="1"/>
  <c r="P303" i="2"/>
  <c r="H303" i="2"/>
  <c r="S302" i="2"/>
  <c r="K302" i="2"/>
  <c r="N301" i="2"/>
  <c r="F301" i="2"/>
  <c r="Q300" i="2"/>
  <c r="I300" i="2"/>
  <c r="T299" i="2"/>
  <c r="L299" i="2"/>
  <c r="O298" i="2"/>
  <c r="G298" i="2"/>
  <c r="R297" i="2"/>
  <c r="J297" i="2"/>
  <c r="U296" i="2"/>
  <c r="M296" i="2"/>
  <c r="E296" i="2"/>
  <c r="Z296" i="2" s="1"/>
  <c r="P295" i="2"/>
  <c r="H295" i="2"/>
  <c r="S294" i="2"/>
  <c r="K294" i="2"/>
  <c r="N293" i="2"/>
  <c r="F293" i="2"/>
  <c r="Q292" i="2"/>
  <c r="I292" i="2"/>
  <c r="T291" i="2"/>
  <c r="L291" i="2"/>
  <c r="O290" i="2"/>
  <c r="G290" i="2"/>
  <c r="R289" i="2"/>
  <c r="J289" i="2"/>
  <c r="U288" i="2"/>
  <c r="M288" i="2"/>
  <c r="E288" i="2"/>
  <c r="Z288" i="2" s="1"/>
  <c r="P287" i="2"/>
  <c r="H287" i="2"/>
  <c r="S286" i="2"/>
  <c r="K286" i="2"/>
  <c r="N285" i="2"/>
  <c r="F285" i="2"/>
  <c r="Q284" i="2"/>
  <c r="I284" i="2"/>
  <c r="T283" i="2"/>
  <c r="L283" i="2"/>
  <c r="O282" i="2"/>
  <c r="G282" i="2"/>
  <c r="R281" i="2"/>
  <c r="J281" i="2"/>
  <c r="U280" i="2"/>
  <c r="M280" i="2"/>
  <c r="E280" i="2"/>
  <c r="Z280" i="2" s="1"/>
  <c r="P279" i="2"/>
  <c r="H279" i="2"/>
  <c r="S278" i="2"/>
  <c r="K278" i="2"/>
  <c r="N277" i="2"/>
  <c r="F277" i="2"/>
  <c r="Q276" i="2"/>
  <c r="I276" i="2"/>
  <c r="T275" i="2"/>
  <c r="L275" i="2"/>
  <c r="O274" i="2"/>
  <c r="G274" i="2"/>
  <c r="R273" i="2"/>
  <c r="J273" i="2"/>
  <c r="U272" i="2"/>
  <c r="M272" i="2"/>
  <c r="E272" i="2"/>
  <c r="Z272" i="2" s="1"/>
  <c r="P271" i="2"/>
  <c r="H271" i="2"/>
  <c r="S270" i="2"/>
  <c r="K270" i="2"/>
  <c r="N269" i="2"/>
  <c r="F269" i="2"/>
  <c r="Q268" i="2"/>
  <c r="I268" i="2"/>
  <c r="T267" i="2"/>
  <c r="L267" i="2"/>
  <c r="O266" i="2"/>
  <c r="G266" i="2"/>
  <c r="R265" i="2"/>
  <c r="J265" i="2"/>
  <c r="U264" i="2"/>
  <c r="M264" i="2"/>
  <c r="E264" i="2"/>
  <c r="Z264" i="2" s="1"/>
  <c r="P263" i="2"/>
  <c r="H263" i="2"/>
  <c r="S262" i="2"/>
  <c r="K262" i="2"/>
  <c r="N261" i="2"/>
  <c r="F332" i="2"/>
  <c r="I331" i="2"/>
  <c r="L330" i="2"/>
  <c r="O329" i="2"/>
  <c r="R328" i="2"/>
  <c r="E328" i="2"/>
  <c r="Z328" i="2" s="1"/>
  <c r="N327" i="2"/>
  <c r="K326" i="2"/>
  <c r="T325" i="2"/>
  <c r="J325" i="2"/>
  <c r="Q324" i="2"/>
  <c r="G324" i="2"/>
  <c r="P323" i="2"/>
  <c r="M322" i="2"/>
  <c r="J321" i="2"/>
  <c r="T320" i="2"/>
  <c r="L320" i="2"/>
  <c r="O319" i="2"/>
  <c r="G319" i="2"/>
  <c r="R318" i="2"/>
  <c r="J318" i="2"/>
  <c r="U317" i="2"/>
  <c r="M317" i="2"/>
  <c r="E317" i="2"/>
  <c r="Z317" i="2" s="1"/>
  <c r="P316" i="2"/>
  <c r="H316" i="2"/>
  <c r="S315" i="2"/>
  <c r="K315" i="2"/>
  <c r="N314" i="2"/>
  <c r="F314" i="2"/>
  <c r="Q313" i="2"/>
  <c r="I313" i="2"/>
  <c r="T312" i="2"/>
  <c r="L312" i="2"/>
  <c r="O311" i="2"/>
  <c r="G311" i="2"/>
  <c r="R310" i="2"/>
  <c r="J310" i="2"/>
  <c r="U309" i="2"/>
  <c r="M309" i="2"/>
  <c r="E309" i="2"/>
  <c r="Z309" i="2" s="1"/>
  <c r="P308" i="2"/>
  <c r="H308" i="2"/>
  <c r="S307" i="2"/>
  <c r="K307" i="2"/>
  <c r="N306" i="2"/>
  <c r="F306" i="2"/>
  <c r="Q305" i="2"/>
  <c r="I305" i="2"/>
  <c r="T304" i="2"/>
  <c r="L304" i="2"/>
  <c r="O303" i="2"/>
  <c r="G303" i="2"/>
  <c r="R302" i="2"/>
  <c r="J302" i="2"/>
  <c r="U301" i="2"/>
  <c r="M301" i="2"/>
  <c r="E301" i="2"/>
  <c r="Z301" i="2" s="1"/>
  <c r="P300" i="2"/>
  <c r="H300" i="2"/>
  <c r="S299" i="2"/>
  <c r="K299" i="2"/>
  <c r="N298" i="2"/>
  <c r="F298" i="2"/>
  <c r="Q297" i="2"/>
  <c r="I297" i="2"/>
  <c r="T296" i="2"/>
  <c r="L296" i="2"/>
  <c r="O295" i="2"/>
  <c r="G295" i="2"/>
  <c r="R294" i="2"/>
  <c r="J294" i="2"/>
  <c r="U293" i="2"/>
  <c r="M293" i="2"/>
  <c r="E293" i="2"/>
  <c r="Z293" i="2" s="1"/>
  <c r="P292" i="2"/>
  <c r="H292" i="2"/>
  <c r="S291" i="2"/>
  <c r="K291" i="2"/>
  <c r="N290" i="2"/>
  <c r="F290" i="2"/>
  <c r="Q289" i="2"/>
  <c r="I289" i="2"/>
  <c r="T288" i="2"/>
  <c r="L288" i="2"/>
  <c r="O287" i="2"/>
  <c r="G287" i="2"/>
  <c r="R286" i="2"/>
  <c r="J286" i="2"/>
  <c r="U285" i="2"/>
  <c r="M285" i="2"/>
  <c r="E285" i="2"/>
  <c r="Z285" i="2" s="1"/>
  <c r="P284" i="2"/>
  <c r="H284" i="2"/>
  <c r="S283" i="2"/>
  <c r="K283" i="2"/>
  <c r="N282" i="2"/>
  <c r="F282" i="2"/>
  <c r="Q281" i="2"/>
  <c r="I281" i="2"/>
  <c r="T280" i="2"/>
  <c r="L280" i="2"/>
  <c r="O279" i="2"/>
  <c r="G279" i="2"/>
  <c r="R278" i="2"/>
  <c r="J278" i="2"/>
  <c r="U277" i="2"/>
  <c r="M277" i="2"/>
  <c r="E277" i="2"/>
  <c r="Z277" i="2" s="1"/>
  <c r="P276" i="2"/>
  <c r="H276" i="2"/>
  <c r="S275" i="2"/>
  <c r="K275" i="2"/>
  <c r="N274" i="2"/>
  <c r="F274" i="2"/>
  <c r="Q273" i="2"/>
  <c r="I273" i="2"/>
  <c r="T272" i="2"/>
  <c r="L272" i="2"/>
  <c r="O271" i="2"/>
  <c r="G271" i="2"/>
  <c r="R270" i="2"/>
  <c r="J270" i="2"/>
  <c r="U269" i="2"/>
  <c r="M269" i="2"/>
  <c r="E269" i="2"/>
  <c r="Z269" i="2" s="1"/>
  <c r="P268" i="2"/>
  <c r="H268" i="2"/>
  <c r="S267" i="2"/>
  <c r="K267" i="2"/>
  <c r="N266" i="2"/>
  <c r="F266" i="2"/>
  <c r="Q265" i="2"/>
  <c r="I265" i="2"/>
  <c r="T264" i="2"/>
  <c r="L264" i="2"/>
  <c r="O263" i="2"/>
  <c r="G263" i="2"/>
  <c r="R262" i="2"/>
  <c r="J262" i="2"/>
  <c r="U261" i="2"/>
  <c r="M261" i="2"/>
  <c r="U332" i="2"/>
  <c r="E332" i="2"/>
  <c r="Z332" i="2" s="1"/>
  <c r="H331" i="2"/>
  <c r="K330" i="2"/>
  <c r="N329" i="2"/>
  <c r="Q328" i="2"/>
  <c r="M327" i="2"/>
  <c r="J326" i="2"/>
  <c r="S325" i="2"/>
  <c r="I325" i="2"/>
  <c r="P324" i="2"/>
  <c r="F324" i="2"/>
  <c r="O323" i="2"/>
  <c r="L322" i="2"/>
  <c r="U321" i="2"/>
  <c r="I321" i="2"/>
  <c r="S320" i="2"/>
  <c r="K320" i="2"/>
  <c r="N319" i="2"/>
  <c r="F319" i="2"/>
  <c r="Q318" i="2"/>
  <c r="I318" i="2"/>
  <c r="T317" i="2"/>
  <c r="L317" i="2"/>
  <c r="O316" i="2"/>
  <c r="G316" i="2"/>
  <c r="R315" i="2"/>
  <c r="J315" i="2"/>
  <c r="U314" i="2"/>
  <c r="M314" i="2"/>
  <c r="E314" i="2"/>
  <c r="Z314" i="2" s="1"/>
  <c r="P313" i="2"/>
  <c r="H313" i="2"/>
  <c r="S312" i="2"/>
  <c r="K312" i="2"/>
  <c r="N311" i="2"/>
  <c r="F311" i="2"/>
  <c r="Q310" i="2"/>
  <c r="I310" i="2"/>
  <c r="T309" i="2"/>
  <c r="L309" i="2"/>
  <c r="O308" i="2"/>
  <c r="G308" i="2"/>
  <c r="R307" i="2"/>
  <c r="J307" i="2"/>
  <c r="U306" i="2"/>
  <c r="M306" i="2"/>
  <c r="E306" i="2"/>
  <c r="Z306" i="2" s="1"/>
  <c r="P305" i="2"/>
  <c r="H305" i="2"/>
  <c r="S304" i="2"/>
  <c r="K304" i="2"/>
  <c r="N303" i="2"/>
  <c r="F303" i="2"/>
  <c r="Q302" i="2"/>
  <c r="I302" i="2"/>
  <c r="T301" i="2"/>
  <c r="L301" i="2"/>
  <c r="O300" i="2"/>
  <c r="G300" i="2"/>
  <c r="R299" i="2"/>
  <c r="J299" i="2"/>
  <c r="U298" i="2"/>
  <c r="M298" i="2"/>
  <c r="E298" i="2"/>
  <c r="Z298" i="2" s="1"/>
  <c r="P297" i="2"/>
  <c r="H297" i="2"/>
  <c r="S296" i="2"/>
  <c r="K296" i="2"/>
  <c r="N295" i="2"/>
  <c r="F295" i="2"/>
  <c r="Q294" i="2"/>
  <c r="I294" i="2"/>
  <c r="T293" i="2"/>
  <c r="L293" i="2"/>
  <c r="O292" i="2"/>
  <c r="G292" i="2"/>
  <c r="R291" i="2"/>
  <c r="J291" i="2"/>
  <c r="U290" i="2"/>
  <c r="M290" i="2"/>
  <c r="E290" i="2"/>
  <c r="Z290" i="2" s="1"/>
  <c r="P289" i="2"/>
  <c r="H289" i="2"/>
  <c r="S288" i="2"/>
  <c r="K288" i="2"/>
  <c r="N287" i="2"/>
  <c r="F287" i="2"/>
  <c r="Q286" i="2"/>
  <c r="I286" i="2"/>
  <c r="T285" i="2"/>
  <c r="L285" i="2"/>
  <c r="O284" i="2"/>
  <c r="G284" i="2"/>
  <c r="R283" i="2"/>
  <c r="J283" i="2"/>
  <c r="U282" i="2"/>
  <c r="M282" i="2"/>
  <c r="E282" i="2"/>
  <c r="Z282" i="2" s="1"/>
  <c r="P281" i="2"/>
  <c r="H281" i="2"/>
  <c r="S280" i="2"/>
  <c r="K280" i="2"/>
  <c r="N279" i="2"/>
  <c r="F279" i="2"/>
  <c r="Q278" i="2"/>
  <c r="I278" i="2"/>
  <c r="T277" i="2"/>
  <c r="L277" i="2"/>
  <c r="O276" i="2"/>
  <c r="G276" i="2"/>
  <c r="R275" i="2"/>
  <c r="J275" i="2"/>
  <c r="U274" i="2"/>
  <c r="M274" i="2"/>
  <c r="E274" i="2"/>
  <c r="Z274" i="2" s="1"/>
  <c r="P273" i="2"/>
  <c r="H273" i="2"/>
  <c r="S272" i="2"/>
  <c r="K272" i="2"/>
  <c r="N271" i="2"/>
  <c r="F271" i="2"/>
  <c r="Q270" i="2"/>
  <c r="I270" i="2"/>
  <c r="T269" i="2"/>
  <c r="L269" i="2"/>
  <c r="O268" i="2"/>
  <c r="G268" i="2"/>
  <c r="R267" i="2"/>
  <c r="J267" i="2"/>
  <c r="U266" i="2"/>
  <c r="M266" i="2"/>
  <c r="E266" i="2"/>
  <c r="Z266" i="2" s="1"/>
  <c r="P265" i="2"/>
  <c r="H265" i="2"/>
  <c r="S264" i="2"/>
  <c r="K264" i="2"/>
  <c r="N263" i="2"/>
  <c r="F263" i="2"/>
  <c r="Q262" i="2"/>
  <c r="I262" i="2"/>
  <c r="T261" i="2"/>
  <c r="O260" i="2"/>
  <c r="R259" i="2"/>
  <c r="U258" i="2"/>
  <c r="E258" i="2"/>
  <c r="Z258" i="2" s="1"/>
  <c r="J257" i="2"/>
  <c r="S256" i="2"/>
  <c r="G256" i="2"/>
  <c r="P255" i="2"/>
  <c r="F255" i="2"/>
  <c r="M254" i="2"/>
  <c r="L253" i="2"/>
  <c r="S252" i="2"/>
  <c r="I252" i="2"/>
  <c r="R251" i="2"/>
  <c r="F251" i="2"/>
  <c r="O250" i="2"/>
  <c r="E250" i="2"/>
  <c r="Z250" i="2" s="1"/>
  <c r="L249" i="2"/>
  <c r="O248" i="2"/>
  <c r="G248" i="2"/>
  <c r="R247" i="2"/>
  <c r="J247" i="2"/>
  <c r="U246" i="2"/>
  <c r="M246" i="2"/>
  <c r="E246" i="2"/>
  <c r="Z246" i="2" s="1"/>
  <c r="P245" i="2"/>
  <c r="H245" i="2"/>
  <c r="S244" i="2"/>
  <c r="K244" i="2"/>
  <c r="N243" i="2"/>
  <c r="F243" i="2"/>
  <c r="Q242" i="2"/>
  <c r="I242" i="2"/>
  <c r="T241" i="2"/>
  <c r="L241" i="2"/>
  <c r="O240" i="2"/>
  <c r="G240" i="2"/>
  <c r="R239" i="2"/>
  <c r="J239" i="2"/>
  <c r="U238" i="2"/>
  <c r="M238" i="2"/>
  <c r="E238" i="2"/>
  <c r="Z238" i="2" s="1"/>
  <c r="P237" i="2"/>
  <c r="H237" i="2"/>
  <c r="S236" i="2"/>
  <c r="K236" i="2"/>
  <c r="N235" i="2"/>
  <c r="F235" i="2"/>
  <c r="Q234" i="2"/>
  <c r="I234" i="2"/>
  <c r="T233" i="2"/>
  <c r="L233" i="2"/>
  <c r="O232" i="2"/>
  <c r="G232" i="2"/>
  <c r="R231" i="2"/>
  <c r="J231" i="2"/>
  <c r="U230" i="2"/>
  <c r="M230" i="2"/>
  <c r="E230" i="2"/>
  <c r="Z230" i="2" s="1"/>
  <c r="P229" i="2"/>
  <c r="H229" i="2"/>
  <c r="S228" i="2"/>
  <c r="K228" i="2"/>
  <c r="N227" i="2"/>
  <c r="F227" i="2"/>
  <c r="Q226" i="2"/>
  <c r="I226" i="2"/>
  <c r="T225" i="2"/>
  <c r="L225" i="2"/>
  <c r="O224" i="2"/>
  <c r="G224" i="2"/>
  <c r="R223" i="2"/>
  <c r="J223" i="2"/>
  <c r="U222" i="2"/>
  <c r="M222" i="2"/>
  <c r="E222" i="2"/>
  <c r="Z222" i="2" s="1"/>
  <c r="P221" i="2"/>
  <c r="H221" i="2"/>
  <c r="S220" i="2"/>
  <c r="K220" i="2"/>
  <c r="N219" i="2"/>
  <c r="F219" i="2"/>
  <c r="Q218" i="2"/>
  <c r="I218" i="2"/>
  <c r="T217" i="2"/>
  <c r="L217" i="2"/>
  <c r="O216" i="2"/>
  <c r="G216" i="2"/>
  <c r="R215" i="2"/>
  <c r="J215" i="2"/>
  <c r="U214" i="2"/>
  <c r="M214" i="2"/>
  <c r="E214" i="2"/>
  <c r="Z214" i="2" s="1"/>
  <c r="P213" i="2"/>
  <c r="H213" i="2"/>
  <c r="S212" i="2"/>
  <c r="K212" i="2"/>
  <c r="N211" i="2"/>
  <c r="F211" i="2"/>
  <c r="Q210" i="2"/>
  <c r="I210" i="2"/>
  <c r="T209" i="2"/>
  <c r="L209" i="2"/>
  <c r="O208" i="2"/>
  <c r="G208" i="2"/>
  <c r="R207" i="2"/>
  <c r="J207" i="2"/>
  <c r="U206" i="2"/>
  <c r="M206" i="2"/>
  <c r="E206" i="2"/>
  <c r="Z206" i="2" s="1"/>
  <c r="P205" i="2"/>
  <c r="H205" i="2"/>
  <c r="S204" i="2"/>
  <c r="K204" i="2"/>
  <c r="N203" i="2"/>
  <c r="F203" i="2"/>
  <c r="Q202" i="2"/>
  <c r="I202" i="2"/>
  <c r="T201" i="2"/>
  <c r="L201" i="2"/>
  <c r="O200" i="2"/>
  <c r="G200" i="2"/>
  <c r="R199" i="2"/>
  <c r="J199" i="2"/>
  <c r="U198" i="2"/>
  <c r="M198" i="2"/>
  <c r="E198" i="2"/>
  <c r="Z198" i="2" s="1"/>
  <c r="P197" i="2"/>
  <c r="H197" i="2"/>
  <c r="S196" i="2"/>
  <c r="K196" i="2"/>
  <c r="N195" i="2"/>
  <c r="F195" i="2"/>
  <c r="Q194" i="2"/>
  <c r="I194" i="2"/>
  <c r="T193" i="2"/>
  <c r="L193" i="2"/>
  <c r="O192" i="2"/>
  <c r="G192" i="2"/>
  <c r="R191" i="2"/>
  <c r="J191" i="2"/>
  <c r="U190" i="2"/>
  <c r="M190" i="2"/>
  <c r="E190" i="2"/>
  <c r="Z190" i="2" s="1"/>
  <c r="P189" i="2"/>
  <c r="H189" i="2"/>
  <c r="S188" i="2"/>
  <c r="K188" i="2"/>
  <c r="N187" i="2"/>
  <c r="F187" i="2"/>
  <c r="Q186" i="2"/>
  <c r="I186" i="2"/>
  <c r="T185" i="2"/>
  <c r="L185" i="2"/>
  <c r="O184" i="2"/>
  <c r="G184" i="2"/>
  <c r="R183" i="2"/>
  <c r="J183" i="2"/>
  <c r="U182" i="2"/>
  <c r="M182" i="2"/>
  <c r="L261" i="2"/>
  <c r="J260" i="2"/>
  <c r="M259" i="2"/>
  <c r="P258" i="2"/>
  <c r="S257" i="2"/>
  <c r="I257" i="2"/>
  <c r="P256" i="2"/>
  <c r="F256" i="2"/>
  <c r="O255" i="2"/>
  <c r="L254" i="2"/>
  <c r="U253" i="2"/>
  <c r="I253" i="2"/>
  <c r="R252" i="2"/>
  <c r="H252" i="2"/>
  <c r="O251" i="2"/>
  <c r="E251" i="2"/>
  <c r="Z251" i="2" s="1"/>
  <c r="N250" i="2"/>
  <c r="U249" i="2"/>
  <c r="K249" i="2"/>
  <c r="N248" i="2"/>
  <c r="F248" i="2"/>
  <c r="Q247" i="2"/>
  <c r="I247" i="2"/>
  <c r="T246" i="2"/>
  <c r="L246" i="2"/>
  <c r="O245" i="2"/>
  <c r="G245" i="2"/>
  <c r="R244" i="2"/>
  <c r="J244" i="2"/>
  <c r="U243" i="2"/>
  <c r="M243" i="2"/>
  <c r="E243" i="2"/>
  <c r="Z243" i="2" s="1"/>
  <c r="P242" i="2"/>
  <c r="H242" i="2"/>
  <c r="S241" i="2"/>
  <c r="K241" i="2"/>
  <c r="N240" i="2"/>
  <c r="F240" i="2"/>
  <c r="Q239" i="2"/>
  <c r="I239" i="2"/>
  <c r="T238" i="2"/>
  <c r="L238" i="2"/>
  <c r="O237" i="2"/>
  <c r="G237" i="2"/>
  <c r="R236" i="2"/>
  <c r="J236" i="2"/>
  <c r="U235" i="2"/>
  <c r="M235" i="2"/>
  <c r="E235" i="2"/>
  <c r="Z235" i="2" s="1"/>
  <c r="P234" i="2"/>
  <c r="H234" i="2"/>
  <c r="S233" i="2"/>
  <c r="K233" i="2"/>
  <c r="N232" i="2"/>
  <c r="F232" i="2"/>
  <c r="Q231" i="2"/>
  <c r="I231" i="2"/>
  <c r="T230" i="2"/>
  <c r="L230" i="2"/>
  <c r="O229" i="2"/>
  <c r="G229" i="2"/>
  <c r="R228" i="2"/>
  <c r="J228" i="2"/>
  <c r="U227" i="2"/>
  <c r="M227" i="2"/>
  <c r="E227" i="2"/>
  <c r="Z227" i="2" s="1"/>
  <c r="P226" i="2"/>
  <c r="H226" i="2"/>
  <c r="S225" i="2"/>
  <c r="K225" i="2"/>
  <c r="N224" i="2"/>
  <c r="F224" i="2"/>
  <c r="Q223" i="2"/>
  <c r="I223" i="2"/>
  <c r="T222" i="2"/>
  <c r="L222" i="2"/>
  <c r="O221" i="2"/>
  <c r="G221" i="2"/>
  <c r="R220" i="2"/>
  <c r="J220" i="2"/>
  <c r="U219" i="2"/>
  <c r="M219" i="2"/>
  <c r="E219" i="2"/>
  <c r="Z219" i="2" s="1"/>
  <c r="P218" i="2"/>
  <c r="H218" i="2"/>
  <c r="S217" i="2"/>
  <c r="K217" i="2"/>
  <c r="N216" i="2"/>
  <c r="F216" i="2"/>
  <c r="Q215" i="2"/>
  <c r="I215" i="2"/>
  <c r="T214" i="2"/>
  <c r="L214" i="2"/>
  <c r="O213" i="2"/>
  <c r="G213" i="2"/>
  <c r="R212" i="2"/>
  <c r="J212" i="2"/>
  <c r="U211" i="2"/>
  <c r="M211" i="2"/>
  <c r="E211" i="2"/>
  <c r="Z211" i="2" s="1"/>
  <c r="P210" i="2"/>
  <c r="H210" i="2"/>
  <c r="S209" i="2"/>
  <c r="K209" i="2"/>
  <c r="N208" i="2"/>
  <c r="F208" i="2"/>
  <c r="Q207" i="2"/>
  <c r="I207" i="2"/>
  <c r="T206" i="2"/>
  <c r="L206" i="2"/>
  <c r="O205" i="2"/>
  <c r="G205" i="2"/>
  <c r="R204" i="2"/>
  <c r="J204" i="2"/>
  <c r="U203" i="2"/>
  <c r="M203" i="2"/>
  <c r="E203" i="2"/>
  <c r="Z203" i="2" s="1"/>
  <c r="P202" i="2"/>
  <c r="H202" i="2"/>
  <c r="S201" i="2"/>
  <c r="K201" i="2"/>
  <c r="N200" i="2"/>
  <c r="F200" i="2"/>
  <c r="Q199" i="2"/>
  <c r="I199" i="2"/>
  <c r="T198" i="2"/>
  <c r="L198" i="2"/>
  <c r="O197" i="2"/>
  <c r="G197" i="2"/>
  <c r="R196" i="2"/>
  <c r="J196" i="2"/>
  <c r="U195" i="2"/>
  <c r="M195" i="2"/>
  <c r="E195" i="2"/>
  <c r="Z195" i="2" s="1"/>
  <c r="P194" i="2"/>
  <c r="H194" i="2"/>
  <c r="S193" i="2"/>
  <c r="K193" i="2"/>
  <c r="N192" i="2"/>
  <c r="F192" i="2"/>
  <c r="Q191" i="2"/>
  <c r="I191" i="2"/>
  <c r="T190" i="2"/>
  <c r="L190" i="2"/>
  <c r="O189" i="2"/>
  <c r="G189" i="2"/>
  <c r="R188" i="2"/>
  <c r="J188" i="2"/>
  <c r="U187" i="2"/>
  <c r="M187" i="2"/>
  <c r="E187" i="2"/>
  <c r="Z187" i="2" s="1"/>
  <c r="P186" i="2"/>
  <c r="H186" i="2"/>
  <c r="S185" i="2"/>
  <c r="K185" i="2"/>
  <c r="N184" i="2"/>
  <c r="F184" i="2"/>
  <c r="Q183" i="2"/>
  <c r="I183" i="2"/>
  <c r="T182" i="2"/>
  <c r="L182" i="2"/>
  <c r="F261" i="2"/>
  <c r="I260" i="2"/>
  <c r="L259" i="2"/>
  <c r="O258" i="2"/>
  <c r="R257" i="2"/>
  <c r="H257" i="2"/>
  <c r="O256" i="2"/>
  <c r="E256" i="2"/>
  <c r="Z256" i="2" s="1"/>
  <c r="N255" i="2"/>
  <c r="U254" i="2"/>
  <c r="K254" i="2"/>
  <c r="T253" i="2"/>
  <c r="H253" i="2"/>
  <c r="Q252" i="2"/>
  <c r="G252" i="2"/>
  <c r="N251" i="2"/>
  <c r="M250" i="2"/>
  <c r="T249" i="2"/>
  <c r="J249" i="2"/>
  <c r="U248" i="2"/>
  <c r="M248" i="2"/>
  <c r="E248" i="2"/>
  <c r="Z248" i="2" s="1"/>
  <c r="P247" i="2"/>
  <c r="H247" i="2"/>
  <c r="S246" i="2"/>
  <c r="K246" i="2"/>
  <c r="N245" i="2"/>
  <c r="F245" i="2"/>
  <c r="Q244" i="2"/>
  <c r="I244" i="2"/>
  <c r="T243" i="2"/>
  <c r="L243" i="2"/>
  <c r="O242" i="2"/>
  <c r="G242" i="2"/>
  <c r="R241" i="2"/>
  <c r="J241" i="2"/>
  <c r="U240" i="2"/>
  <c r="M240" i="2"/>
  <c r="E240" i="2"/>
  <c r="Z240" i="2" s="1"/>
  <c r="P239" i="2"/>
  <c r="H239" i="2"/>
  <c r="S238" i="2"/>
  <c r="K238" i="2"/>
  <c r="N237" i="2"/>
  <c r="F237" i="2"/>
  <c r="Q236" i="2"/>
  <c r="I236" i="2"/>
  <c r="T235" i="2"/>
  <c r="L235" i="2"/>
  <c r="O234" i="2"/>
  <c r="G234" i="2"/>
  <c r="R233" i="2"/>
  <c r="J233" i="2"/>
  <c r="U232" i="2"/>
  <c r="M232" i="2"/>
  <c r="E232" i="2"/>
  <c r="Z232" i="2" s="1"/>
  <c r="P231" i="2"/>
  <c r="H231" i="2"/>
  <c r="S230" i="2"/>
  <c r="K230" i="2"/>
  <c r="N229" i="2"/>
  <c r="F229" i="2"/>
  <c r="Q228" i="2"/>
  <c r="I228" i="2"/>
  <c r="T227" i="2"/>
  <c r="L227" i="2"/>
  <c r="O226" i="2"/>
  <c r="G226" i="2"/>
  <c r="R225" i="2"/>
  <c r="J225" i="2"/>
  <c r="U224" i="2"/>
  <c r="M224" i="2"/>
  <c r="E224" i="2"/>
  <c r="Z224" i="2" s="1"/>
  <c r="P223" i="2"/>
  <c r="H223" i="2"/>
  <c r="S222" i="2"/>
  <c r="K222" i="2"/>
  <c r="N221" i="2"/>
  <c r="F221" i="2"/>
  <c r="Q220" i="2"/>
  <c r="I220" i="2"/>
  <c r="T219" i="2"/>
  <c r="L219" i="2"/>
  <c r="O218" i="2"/>
  <c r="G218" i="2"/>
  <c r="R217" i="2"/>
  <c r="J217" i="2"/>
  <c r="U216" i="2"/>
  <c r="M216" i="2"/>
  <c r="E216" i="2"/>
  <c r="Z216" i="2" s="1"/>
  <c r="P215" i="2"/>
  <c r="H215" i="2"/>
  <c r="S214" i="2"/>
  <c r="K214" i="2"/>
  <c r="N213" i="2"/>
  <c r="F213" i="2"/>
  <c r="Q212" i="2"/>
  <c r="I212" i="2"/>
  <c r="T211" i="2"/>
  <c r="L211" i="2"/>
  <c r="O210" i="2"/>
  <c r="G210" i="2"/>
  <c r="R209" i="2"/>
  <c r="J209" i="2"/>
  <c r="U208" i="2"/>
  <c r="M208" i="2"/>
  <c r="E208" i="2"/>
  <c r="Z208" i="2" s="1"/>
  <c r="P207" i="2"/>
  <c r="H207" i="2"/>
  <c r="S206" i="2"/>
  <c r="K206" i="2"/>
  <c r="N205" i="2"/>
  <c r="F205" i="2"/>
  <c r="Q204" i="2"/>
  <c r="I204" i="2"/>
  <c r="T203" i="2"/>
  <c r="L203" i="2"/>
  <c r="O202" i="2"/>
  <c r="G202" i="2"/>
  <c r="R201" i="2"/>
  <c r="J201" i="2"/>
  <c r="U200" i="2"/>
  <c r="M200" i="2"/>
  <c r="E200" i="2"/>
  <c r="Z200" i="2" s="1"/>
  <c r="P199" i="2"/>
  <c r="H199" i="2"/>
  <c r="S198" i="2"/>
  <c r="K198" i="2"/>
  <c r="N197" i="2"/>
  <c r="F197" i="2"/>
  <c r="Q196" i="2"/>
  <c r="I196" i="2"/>
  <c r="T195" i="2"/>
  <c r="L195" i="2"/>
  <c r="O194" i="2"/>
  <c r="G194" i="2"/>
  <c r="R193" i="2"/>
  <c r="J193" i="2"/>
  <c r="U192" i="2"/>
  <c r="M192" i="2"/>
  <c r="E192" i="2"/>
  <c r="Z192" i="2" s="1"/>
  <c r="P191" i="2"/>
  <c r="H191" i="2"/>
  <c r="S190" i="2"/>
  <c r="K190" i="2"/>
  <c r="N189" i="2"/>
  <c r="F189" i="2"/>
  <c r="Q188" i="2"/>
  <c r="I188" i="2"/>
  <c r="T187" i="2"/>
  <c r="L187" i="2"/>
  <c r="O186" i="2"/>
  <c r="G186" i="2"/>
  <c r="R185" i="2"/>
  <c r="E261" i="2"/>
  <c r="Z261" i="2" s="1"/>
  <c r="H260" i="2"/>
  <c r="K259" i="2"/>
  <c r="N258" i="2"/>
  <c r="Q257" i="2"/>
  <c r="E257" i="2"/>
  <c r="Z257" i="2" s="1"/>
  <c r="N256" i="2"/>
  <c r="K255" i="2"/>
  <c r="T254" i="2"/>
  <c r="J254" i="2"/>
  <c r="Q253" i="2"/>
  <c r="G253" i="2"/>
  <c r="P252" i="2"/>
  <c r="M251" i="2"/>
  <c r="J250" i="2"/>
  <c r="S249" i="2"/>
  <c r="I249" i="2"/>
  <c r="T248" i="2"/>
  <c r="L248" i="2"/>
  <c r="O247" i="2"/>
  <c r="G247" i="2"/>
  <c r="R246" i="2"/>
  <c r="J246" i="2"/>
  <c r="U245" i="2"/>
  <c r="M245" i="2"/>
  <c r="E245" i="2"/>
  <c r="Z245" i="2" s="1"/>
  <c r="P244" i="2"/>
  <c r="H244" i="2"/>
  <c r="S243" i="2"/>
  <c r="K243" i="2"/>
  <c r="N242" i="2"/>
  <c r="F242" i="2"/>
  <c r="Q241" i="2"/>
  <c r="I241" i="2"/>
  <c r="T240" i="2"/>
  <c r="L240" i="2"/>
  <c r="O239" i="2"/>
  <c r="G239" i="2"/>
  <c r="R238" i="2"/>
  <c r="J238" i="2"/>
  <c r="U237" i="2"/>
  <c r="M237" i="2"/>
  <c r="E237" i="2"/>
  <c r="Z237" i="2" s="1"/>
  <c r="P236" i="2"/>
  <c r="H236" i="2"/>
  <c r="S235" i="2"/>
  <c r="K235" i="2"/>
  <c r="N234" i="2"/>
  <c r="F234" i="2"/>
  <c r="Q233" i="2"/>
  <c r="I233" i="2"/>
  <c r="T232" i="2"/>
  <c r="L232" i="2"/>
  <c r="O231" i="2"/>
  <c r="G231" i="2"/>
  <c r="R230" i="2"/>
  <c r="J230" i="2"/>
  <c r="U229" i="2"/>
  <c r="M229" i="2"/>
  <c r="E229" i="2"/>
  <c r="Z229" i="2" s="1"/>
  <c r="P228" i="2"/>
  <c r="H228" i="2"/>
  <c r="S227" i="2"/>
  <c r="K227" i="2"/>
  <c r="N226" i="2"/>
  <c r="F226" i="2"/>
  <c r="Q225" i="2"/>
  <c r="I225" i="2"/>
  <c r="T224" i="2"/>
  <c r="L224" i="2"/>
  <c r="O223" i="2"/>
  <c r="G223" i="2"/>
  <c r="R222" i="2"/>
  <c r="J222" i="2"/>
  <c r="U221" i="2"/>
  <c r="M221" i="2"/>
  <c r="E221" i="2"/>
  <c r="Z221" i="2" s="1"/>
  <c r="P220" i="2"/>
  <c r="H220" i="2"/>
  <c r="S219" i="2"/>
  <c r="K219" i="2"/>
  <c r="N218" i="2"/>
  <c r="F218" i="2"/>
  <c r="Q217" i="2"/>
  <c r="I217" i="2"/>
  <c r="T216" i="2"/>
  <c r="L216" i="2"/>
  <c r="O215" i="2"/>
  <c r="G215" i="2"/>
  <c r="R214" i="2"/>
  <c r="J214" i="2"/>
  <c r="U213" i="2"/>
  <c r="M213" i="2"/>
  <c r="E213" i="2"/>
  <c r="Z213" i="2" s="1"/>
  <c r="P212" i="2"/>
  <c r="H212" i="2"/>
  <c r="S211" i="2"/>
  <c r="K211" i="2"/>
  <c r="N210" i="2"/>
  <c r="F210" i="2"/>
  <c r="Q209" i="2"/>
  <c r="I209" i="2"/>
  <c r="T208" i="2"/>
  <c r="L208" i="2"/>
  <c r="O207" i="2"/>
  <c r="G207" i="2"/>
  <c r="R206" i="2"/>
  <c r="J206" i="2"/>
  <c r="U205" i="2"/>
  <c r="M205" i="2"/>
  <c r="E205" i="2"/>
  <c r="Z205" i="2" s="1"/>
  <c r="P204" i="2"/>
  <c r="H204" i="2"/>
  <c r="S203" i="2"/>
  <c r="K203" i="2"/>
  <c r="N202" i="2"/>
  <c r="F202" i="2"/>
  <c r="Q201" i="2"/>
  <c r="I201" i="2"/>
  <c r="T200" i="2"/>
  <c r="L200" i="2"/>
  <c r="O199" i="2"/>
  <c r="G199" i="2"/>
  <c r="R198" i="2"/>
  <c r="J198" i="2"/>
  <c r="U197" i="2"/>
  <c r="M197" i="2"/>
  <c r="E197" i="2"/>
  <c r="Z197" i="2" s="1"/>
  <c r="P196" i="2"/>
  <c r="H196" i="2"/>
  <c r="S195" i="2"/>
  <c r="K195" i="2"/>
  <c r="N194" i="2"/>
  <c r="F194" i="2"/>
  <c r="Q193" i="2"/>
  <c r="I193" i="2"/>
  <c r="T192" i="2"/>
  <c r="L192" i="2"/>
  <c r="O191" i="2"/>
  <c r="G191" i="2"/>
  <c r="R190" i="2"/>
  <c r="J190" i="2"/>
  <c r="U189" i="2"/>
  <c r="M189" i="2"/>
  <c r="E189" i="2"/>
  <c r="Z189" i="2" s="1"/>
  <c r="P188" i="2"/>
  <c r="H188" i="2"/>
  <c r="S187" i="2"/>
  <c r="K187" i="2"/>
  <c r="N186" i="2"/>
  <c r="F186" i="2"/>
  <c r="G260" i="2"/>
  <c r="J259" i="2"/>
  <c r="M258" i="2"/>
  <c r="P257" i="2"/>
  <c r="M256" i="2"/>
  <c r="J255" i="2"/>
  <c r="S254" i="2"/>
  <c r="I254" i="2"/>
  <c r="P253" i="2"/>
  <c r="F253" i="2"/>
  <c r="O252" i="2"/>
  <c r="L251" i="2"/>
  <c r="U250" i="2"/>
  <c r="I250" i="2"/>
  <c r="R249" i="2"/>
  <c r="H249" i="2"/>
  <c r="S248" i="2"/>
  <c r="K248" i="2"/>
  <c r="N247" i="2"/>
  <c r="F247" i="2"/>
  <c r="Q246" i="2"/>
  <c r="I246" i="2"/>
  <c r="T245" i="2"/>
  <c r="L245" i="2"/>
  <c r="O244" i="2"/>
  <c r="G244" i="2"/>
  <c r="R243" i="2"/>
  <c r="J243" i="2"/>
  <c r="U242" i="2"/>
  <c r="M242" i="2"/>
  <c r="E242" i="2"/>
  <c r="Z242" i="2" s="1"/>
  <c r="P241" i="2"/>
  <c r="H241" i="2"/>
  <c r="S240" i="2"/>
  <c r="K240" i="2"/>
  <c r="N239" i="2"/>
  <c r="F239" i="2"/>
  <c r="Q238" i="2"/>
  <c r="I238" i="2"/>
  <c r="T237" i="2"/>
  <c r="L237" i="2"/>
  <c r="O236" i="2"/>
  <c r="G236" i="2"/>
  <c r="R235" i="2"/>
  <c r="J235" i="2"/>
  <c r="U234" i="2"/>
  <c r="M234" i="2"/>
  <c r="E234" i="2"/>
  <c r="Z234" i="2" s="1"/>
  <c r="P233" i="2"/>
  <c r="H233" i="2"/>
  <c r="S232" i="2"/>
  <c r="K232" i="2"/>
  <c r="N231" i="2"/>
  <c r="F231" i="2"/>
  <c r="Q230" i="2"/>
  <c r="I230" i="2"/>
  <c r="T229" i="2"/>
  <c r="L229" i="2"/>
  <c r="O228" i="2"/>
  <c r="G228" i="2"/>
  <c r="R227" i="2"/>
  <c r="J227" i="2"/>
  <c r="U226" i="2"/>
  <c r="M226" i="2"/>
  <c r="E226" i="2"/>
  <c r="Z226" i="2" s="1"/>
  <c r="P225" i="2"/>
  <c r="H225" i="2"/>
  <c r="S224" i="2"/>
  <c r="K224" i="2"/>
  <c r="N223" i="2"/>
  <c r="F223" i="2"/>
  <c r="Q222" i="2"/>
  <c r="I222" i="2"/>
  <c r="T221" i="2"/>
  <c r="L221" i="2"/>
  <c r="O220" i="2"/>
  <c r="G220" i="2"/>
  <c r="R219" i="2"/>
  <c r="J219" i="2"/>
  <c r="U218" i="2"/>
  <c r="M218" i="2"/>
  <c r="E218" i="2"/>
  <c r="Z218" i="2" s="1"/>
  <c r="P217" i="2"/>
  <c r="H217" i="2"/>
  <c r="S216" i="2"/>
  <c r="K216" i="2"/>
  <c r="N215" i="2"/>
  <c r="F215" i="2"/>
  <c r="Q214" i="2"/>
  <c r="I214" i="2"/>
  <c r="T213" i="2"/>
  <c r="L213" i="2"/>
  <c r="O212" i="2"/>
  <c r="G212" i="2"/>
  <c r="R211" i="2"/>
  <c r="J211" i="2"/>
  <c r="U210" i="2"/>
  <c r="M210" i="2"/>
  <c r="E210" i="2"/>
  <c r="Z210" i="2" s="1"/>
  <c r="P209" i="2"/>
  <c r="H209" i="2"/>
  <c r="S208" i="2"/>
  <c r="K208" i="2"/>
  <c r="N207" i="2"/>
  <c r="F207" i="2"/>
  <c r="Q206" i="2"/>
  <c r="I206" i="2"/>
  <c r="T205" i="2"/>
  <c r="L205" i="2"/>
  <c r="O204" i="2"/>
  <c r="G204" i="2"/>
  <c r="R203" i="2"/>
  <c r="J203" i="2"/>
  <c r="U202" i="2"/>
  <c r="M202" i="2"/>
  <c r="E202" i="2"/>
  <c r="Z202" i="2" s="1"/>
  <c r="P201" i="2"/>
  <c r="H201" i="2"/>
  <c r="S200" i="2"/>
  <c r="K200" i="2"/>
  <c r="N199" i="2"/>
  <c r="F199" i="2"/>
  <c r="Q198" i="2"/>
  <c r="I198" i="2"/>
  <c r="T197" i="2"/>
  <c r="L197" i="2"/>
  <c r="O196" i="2"/>
  <c r="G196" i="2"/>
  <c r="R195" i="2"/>
  <c r="J195" i="2"/>
  <c r="U194" i="2"/>
  <c r="M194" i="2"/>
  <c r="E194" i="2"/>
  <c r="Z194" i="2" s="1"/>
  <c r="P193" i="2"/>
  <c r="H193" i="2"/>
  <c r="S192" i="2"/>
  <c r="K192" i="2"/>
  <c r="N191" i="2"/>
  <c r="F191" i="2"/>
  <c r="Q190" i="2"/>
  <c r="I190" i="2"/>
  <c r="T189" i="2"/>
  <c r="L189" i="2"/>
  <c r="O188" i="2"/>
  <c r="G188" i="2"/>
  <c r="R187" i="2"/>
  <c r="J187" i="2"/>
  <c r="U186" i="2"/>
  <c r="M186" i="2"/>
  <c r="R260" i="2"/>
  <c r="U259" i="2"/>
  <c r="E259" i="2"/>
  <c r="Z259" i="2" s="1"/>
  <c r="H258" i="2"/>
  <c r="M257" i="2"/>
  <c r="L256" i="2"/>
  <c r="S255" i="2"/>
  <c r="I255" i="2"/>
  <c r="R254" i="2"/>
  <c r="F254" i="2"/>
  <c r="O253" i="2"/>
  <c r="E253" i="2"/>
  <c r="Z253" i="2" s="1"/>
  <c r="L252" i="2"/>
  <c r="U251" i="2"/>
  <c r="K251" i="2"/>
  <c r="R250" i="2"/>
  <c r="H250" i="2"/>
  <c r="Q249" i="2"/>
  <c r="G249" i="2"/>
  <c r="R248" i="2"/>
  <c r="J248" i="2"/>
  <c r="U247" i="2"/>
  <c r="M247" i="2"/>
  <c r="E247" i="2"/>
  <c r="Z247" i="2" s="1"/>
  <c r="P246" i="2"/>
  <c r="H246" i="2"/>
  <c r="S245" i="2"/>
  <c r="K245" i="2"/>
  <c r="N244" i="2"/>
  <c r="F244" i="2"/>
  <c r="Q243" i="2"/>
  <c r="I243" i="2"/>
  <c r="T242" i="2"/>
  <c r="L242" i="2"/>
  <c r="O241" i="2"/>
  <c r="G241" i="2"/>
  <c r="R240" i="2"/>
  <c r="J240" i="2"/>
  <c r="U239" i="2"/>
  <c r="M239" i="2"/>
  <c r="E239" i="2"/>
  <c r="Z239" i="2" s="1"/>
  <c r="P238" i="2"/>
  <c r="H238" i="2"/>
  <c r="S237" i="2"/>
  <c r="K237" i="2"/>
  <c r="N236" i="2"/>
  <c r="F236" i="2"/>
  <c r="Q235" i="2"/>
  <c r="I235" i="2"/>
  <c r="T234" i="2"/>
  <c r="L234" i="2"/>
  <c r="O233" i="2"/>
  <c r="G233" i="2"/>
  <c r="R232" i="2"/>
  <c r="J232" i="2"/>
  <c r="U231" i="2"/>
  <c r="M231" i="2"/>
  <c r="E231" i="2"/>
  <c r="Z231" i="2" s="1"/>
  <c r="P230" i="2"/>
  <c r="H230" i="2"/>
  <c r="S229" i="2"/>
  <c r="K229" i="2"/>
  <c r="N228" i="2"/>
  <c r="F228" i="2"/>
  <c r="Q227" i="2"/>
  <c r="I227" i="2"/>
  <c r="T226" i="2"/>
  <c r="L226" i="2"/>
  <c r="O225" i="2"/>
  <c r="G225" i="2"/>
  <c r="R224" i="2"/>
  <c r="J224" i="2"/>
  <c r="U223" i="2"/>
  <c r="M223" i="2"/>
  <c r="E223" i="2"/>
  <c r="Z223" i="2" s="1"/>
  <c r="P222" i="2"/>
  <c r="H222" i="2"/>
  <c r="S221" i="2"/>
  <c r="K221" i="2"/>
  <c r="N220" i="2"/>
  <c r="F220" i="2"/>
  <c r="Q219" i="2"/>
  <c r="I219" i="2"/>
  <c r="T218" i="2"/>
  <c r="L218" i="2"/>
  <c r="O217" i="2"/>
  <c r="G217" i="2"/>
  <c r="R216" i="2"/>
  <c r="J216" i="2"/>
  <c r="U215" i="2"/>
  <c r="M215" i="2"/>
  <c r="E215" i="2"/>
  <c r="Z215" i="2" s="1"/>
  <c r="P214" i="2"/>
  <c r="H214" i="2"/>
  <c r="S213" i="2"/>
  <c r="K213" i="2"/>
  <c r="N212" i="2"/>
  <c r="F212" i="2"/>
  <c r="Q211" i="2"/>
  <c r="I211" i="2"/>
  <c r="T210" i="2"/>
  <c r="L210" i="2"/>
  <c r="O209" i="2"/>
  <c r="G209" i="2"/>
  <c r="R208" i="2"/>
  <c r="J208" i="2"/>
  <c r="U207" i="2"/>
  <c r="M207" i="2"/>
  <c r="E207" i="2"/>
  <c r="Z207" i="2" s="1"/>
  <c r="P206" i="2"/>
  <c r="H206" i="2"/>
  <c r="S205" i="2"/>
  <c r="K205" i="2"/>
  <c r="N204" i="2"/>
  <c r="F204" i="2"/>
  <c r="Q203" i="2"/>
  <c r="I203" i="2"/>
  <c r="T202" i="2"/>
  <c r="L202" i="2"/>
  <c r="O201" i="2"/>
  <c r="G201" i="2"/>
  <c r="R200" i="2"/>
  <c r="J200" i="2"/>
  <c r="U199" i="2"/>
  <c r="M199" i="2"/>
  <c r="E199" i="2"/>
  <c r="Z199" i="2" s="1"/>
  <c r="P198" i="2"/>
  <c r="H198" i="2"/>
  <c r="S197" i="2"/>
  <c r="K197" i="2"/>
  <c r="N196" i="2"/>
  <c r="F196" i="2"/>
  <c r="Q195" i="2"/>
  <c r="I195" i="2"/>
  <c r="T194" i="2"/>
  <c r="L194" i="2"/>
  <c r="O193" i="2"/>
  <c r="G193" i="2"/>
  <c r="R192" i="2"/>
  <c r="J192" i="2"/>
  <c r="U191" i="2"/>
  <c r="M191" i="2"/>
  <c r="E191" i="2"/>
  <c r="Z191" i="2" s="1"/>
  <c r="P190" i="2"/>
  <c r="H190" i="2"/>
  <c r="S189" i="2"/>
  <c r="K189" i="2"/>
  <c r="N188" i="2"/>
  <c r="F188" i="2"/>
  <c r="Q187" i="2"/>
  <c r="Q260" i="2"/>
  <c r="T259" i="2"/>
  <c r="G258" i="2"/>
  <c r="L257" i="2"/>
  <c r="U256" i="2"/>
  <c r="K256" i="2"/>
  <c r="R255" i="2"/>
  <c r="H255" i="2"/>
  <c r="Q254" i="2"/>
  <c r="E254" i="2"/>
  <c r="Z254" i="2" s="1"/>
  <c r="N253" i="2"/>
  <c r="K252" i="2"/>
  <c r="T251" i="2"/>
  <c r="J251" i="2"/>
  <c r="Q250" i="2"/>
  <c r="G250" i="2"/>
  <c r="P249" i="2"/>
  <c r="F249" i="2"/>
  <c r="Q248" i="2"/>
  <c r="I248" i="2"/>
  <c r="T247" i="2"/>
  <c r="L247" i="2"/>
  <c r="O246" i="2"/>
  <c r="G246" i="2"/>
  <c r="R245" i="2"/>
  <c r="J245" i="2"/>
  <c r="U244" i="2"/>
  <c r="M244" i="2"/>
  <c r="E244" i="2"/>
  <c r="Z244" i="2" s="1"/>
  <c r="P243" i="2"/>
  <c r="H243" i="2"/>
  <c r="S242" i="2"/>
  <c r="K242" i="2"/>
  <c r="N241" i="2"/>
  <c r="F241" i="2"/>
  <c r="Q240" i="2"/>
  <c r="I240" i="2"/>
  <c r="T239" i="2"/>
  <c r="L239" i="2"/>
  <c r="O238" i="2"/>
  <c r="G238" i="2"/>
  <c r="R237" i="2"/>
  <c r="J237" i="2"/>
  <c r="U236" i="2"/>
  <c r="M236" i="2"/>
  <c r="E236" i="2"/>
  <c r="Z236" i="2" s="1"/>
  <c r="P235" i="2"/>
  <c r="H235" i="2"/>
  <c r="S234" i="2"/>
  <c r="K234" i="2"/>
  <c r="N233" i="2"/>
  <c r="F233" i="2"/>
  <c r="Q232" i="2"/>
  <c r="I232" i="2"/>
  <c r="T231" i="2"/>
  <c r="L231" i="2"/>
  <c r="O230" i="2"/>
  <c r="G230" i="2"/>
  <c r="R229" i="2"/>
  <c r="J229" i="2"/>
  <c r="U228" i="2"/>
  <c r="M228" i="2"/>
  <c r="E228" i="2"/>
  <c r="Z228" i="2" s="1"/>
  <c r="P227" i="2"/>
  <c r="H227" i="2"/>
  <c r="S226" i="2"/>
  <c r="K226" i="2"/>
  <c r="N225" i="2"/>
  <c r="F225" i="2"/>
  <c r="Q224" i="2"/>
  <c r="I224" i="2"/>
  <c r="T223" i="2"/>
  <c r="L223" i="2"/>
  <c r="O222" i="2"/>
  <c r="G222" i="2"/>
  <c r="R221" i="2"/>
  <c r="J221" i="2"/>
  <c r="U220" i="2"/>
  <c r="M220" i="2"/>
  <c r="E220" i="2"/>
  <c r="Z220" i="2" s="1"/>
  <c r="P219" i="2"/>
  <c r="H219" i="2"/>
  <c r="S218" i="2"/>
  <c r="K218" i="2"/>
  <c r="N217" i="2"/>
  <c r="F217" i="2"/>
  <c r="Q216" i="2"/>
  <c r="I216" i="2"/>
  <c r="T215" i="2"/>
  <c r="L215" i="2"/>
  <c r="O214" i="2"/>
  <c r="G214" i="2"/>
  <c r="R213" i="2"/>
  <c r="J213" i="2"/>
  <c r="U212" i="2"/>
  <c r="M212" i="2"/>
  <c r="E212" i="2"/>
  <c r="Z212" i="2" s="1"/>
  <c r="P211" i="2"/>
  <c r="H211" i="2"/>
  <c r="S210" i="2"/>
  <c r="K210" i="2"/>
  <c r="N209" i="2"/>
  <c r="F209" i="2"/>
  <c r="Q208" i="2"/>
  <c r="I208" i="2"/>
  <c r="T207" i="2"/>
  <c r="L207" i="2"/>
  <c r="O206" i="2"/>
  <c r="G206" i="2"/>
  <c r="R205" i="2"/>
  <c r="J205" i="2"/>
  <c r="U204" i="2"/>
  <c r="M204" i="2"/>
  <c r="E204" i="2"/>
  <c r="Z204" i="2" s="1"/>
  <c r="P203" i="2"/>
  <c r="H203" i="2"/>
  <c r="S202" i="2"/>
  <c r="K202" i="2"/>
  <c r="N201" i="2"/>
  <c r="F201" i="2"/>
  <c r="Q200" i="2"/>
  <c r="I200" i="2"/>
  <c r="T199" i="2"/>
  <c r="L199" i="2"/>
  <c r="O198" i="2"/>
  <c r="G198" i="2"/>
  <c r="R197" i="2"/>
  <c r="J197" i="2"/>
  <c r="U196" i="2"/>
  <c r="M196" i="2"/>
  <c r="E196" i="2"/>
  <c r="Z196" i="2" s="1"/>
  <c r="P195" i="2"/>
  <c r="H195" i="2"/>
  <c r="S194" i="2"/>
  <c r="K194" i="2"/>
  <c r="N193" i="2"/>
  <c r="F193" i="2"/>
  <c r="Q192" i="2"/>
  <c r="I192" i="2"/>
  <c r="T191" i="2"/>
  <c r="L191" i="2"/>
  <c r="O190" i="2"/>
  <c r="G190" i="2"/>
  <c r="R189" i="2"/>
  <c r="J189" i="2"/>
  <c r="U188" i="2"/>
  <c r="M188" i="2"/>
  <c r="E188" i="2"/>
  <c r="Z188" i="2" s="1"/>
  <c r="P187" i="2"/>
  <c r="P260" i="2"/>
  <c r="S259" i="2"/>
  <c r="F258" i="2"/>
  <c r="K257" i="2"/>
  <c r="T256" i="2"/>
  <c r="H256" i="2"/>
  <c r="Q255" i="2"/>
  <c r="G255" i="2"/>
  <c r="N254" i="2"/>
  <c r="M253" i="2"/>
  <c r="T252" i="2"/>
  <c r="J252" i="2"/>
  <c r="S251" i="2"/>
  <c r="G251" i="2"/>
  <c r="P250" i="2"/>
  <c r="F250" i="2"/>
  <c r="M249" i="2"/>
  <c r="E249" i="2"/>
  <c r="Z249" i="2" s="1"/>
  <c r="P248" i="2"/>
  <c r="H248" i="2"/>
  <c r="S247" i="2"/>
  <c r="K247" i="2"/>
  <c r="N246" i="2"/>
  <c r="F246" i="2"/>
  <c r="Q245" i="2"/>
  <c r="I245" i="2"/>
  <c r="T244" i="2"/>
  <c r="L244" i="2"/>
  <c r="O243" i="2"/>
  <c r="G243" i="2"/>
  <c r="R242" i="2"/>
  <c r="J242" i="2"/>
  <c r="U241" i="2"/>
  <c r="M241" i="2"/>
  <c r="E241" i="2"/>
  <c r="Z241" i="2" s="1"/>
  <c r="P240" i="2"/>
  <c r="H240" i="2"/>
  <c r="S239" i="2"/>
  <c r="K239" i="2"/>
  <c r="N238" i="2"/>
  <c r="F238" i="2"/>
  <c r="Q237" i="2"/>
  <c r="I237" i="2"/>
  <c r="T236" i="2"/>
  <c r="L236" i="2"/>
  <c r="O235" i="2"/>
  <c r="G235" i="2"/>
  <c r="R234" i="2"/>
  <c r="J234" i="2"/>
  <c r="U233" i="2"/>
  <c r="M233" i="2"/>
  <c r="E233" i="2"/>
  <c r="Z233" i="2" s="1"/>
  <c r="P232" i="2"/>
  <c r="H232" i="2"/>
  <c r="S231" i="2"/>
  <c r="K231" i="2"/>
  <c r="N230" i="2"/>
  <c r="F230" i="2"/>
  <c r="Q229" i="2"/>
  <c r="I229" i="2"/>
  <c r="T228" i="2"/>
  <c r="L228" i="2"/>
  <c r="O227" i="2"/>
  <c r="G227" i="2"/>
  <c r="R226" i="2"/>
  <c r="J226" i="2"/>
  <c r="U225" i="2"/>
  <c r="M225" i="2"/>
  <c r="E225" i="2"/>
  <c r="Z225" i="2" s="1"/>
  <c r="P224" i="2"/>
  <c r="H224" i="2"/>
  <c r="S223" i="2"/>
  <c r="K223" i="2"/>
  <c r="N222" i="2"/>
  <c r="F222" i="2"/>
  <c r="Q221" i="2"/>
  <c r="I221" i="2"/>
  <c r="T220" i="2"/>
  <c r="L220" i="2"/>
  <c r="O219" i="2"/>
  <c r="G219" i="2"/>
  <c r="R218" i="2"/>
  <c r="J218" i="2"/>
  <c r="U217" i="2"/>
  <c r="M217" i="2"/>
  <c r="E217" i="2"/>
  <c r="Z217" i="2" s="1"/>
  <c r="P216" i="2"/>
  <c r="H216" i="2"/>
  <c r="S215" i="2"/>
  <c r="K215" i="2"/>
  <c r="N214" i="2"/>
  <c r="F214" i="2"/>
  <c r="Q213" i="2"/>
  <c r="I213" i="2"/>
  <c r="T212" i="2"/>
  <c r="L212" i="2"/>
  <c r="O211" i="2"/>
  <c r="G211" i="2"/>
  <c r="R210" i="2"/>
  <c r="J210" i="2"/>
  <c r="U209" i="2"/>
  <c r="M209" i="2"/>
  <c r="E209" i="2"/>
  <c r="Z209" i="2" s="1"/>
  <c r="P208" i="2"/>
  <c r="H208" i="2"/>
  <c r="S207" i="2"/>
  <c r="K207" i="2"/>
  <c r="N206" i="2"/>
  <c r="F206" i="2"/>
  <c r="Q205" i="2"/>
  <c r="I205" i="2"/>
  <c r="T204" i="2"/>
  <c r="L204" i="2"/>
  <c r="O203" i="2"/>
  <c r="G203" i="2"/>
  <c r="R202" i="2"/>
  <c r="J202" i="2"/>
  <c r="U201" i="2"/>
  <c r="M201" i="2"/>
  <c r="E201" i="2"/>
  <c r="Z201" i="2" s="1"/>
  <c r="P200" i="2"/>
  <c r="H200" i="2"/>
  <c r="S199" i="2"/>
  <c r="K199" i="2"/>
  <c r="N198" i="2"/>
  <c r="F198" i="2"/>
  <c r="Q197" i="2"/>
  <c r="I197" i="2"/>
  <c r="T196" i="2"/>
  <c r="L196" i="2"/>
  <c r="O195" i="2"/>
  <c r="G195" i="2"/>
  <c r="R194" i="2"/>
  <c r="J194" i="2"/>
  <c r="U193" i="2"/>
  <c r="M193" i="2"/>
  <c r="E193" i="2"/>
  <c r="Z193" i="2" s="1"/>
  <c r="P192" i="2"/>
  <c r="H192" i="2"/>
  <c r="S191" i="2"/>
  <c r="K191" i="2"/>
  <c r="N190" i="2"/>
  <c r="F190" i="2"/>
  <c r="Q189" i="2"/>
  <c r="I189" i="2"/>
  <c r="T188" i="2"/>
  <c r="L188" i="2"/>
  <c r="O187" i="2"/>
  <c r="G187" i="2"/>
  <c r="R186" i="2"/>
  <c r="E186" i="2"/>
  <c r="Z186" i="2" s="1"/>
  <c r="M185" i="2"/>
  <c r="T184" i="2"/>
  <c r="J184" i="2"/>
  <c r="S183" i="2"/>
  <c r="G183" i="2"/>
  <c r="P182" i="2"/>
  <c r="F182" i="2"/>
  <c r="Q181" i="2"/>
  <c r="I181" i="2"/>
  <c r="T180" i="2"/>
  <c r="L180" i="2"/>
  <c r="O179" i="2"/>
  <c r="G179" i="2"/>
  <c r="R178" i="2"/>
  <c r="J178" i="2"/>
  <c r="U177" i="2"/>
  <c r="M177" i="2"/>
  <c r="E177" i="2"/>
  <c r="Z177" i="2" s="1"/>
  <c r="P176" i="2"/>
  <c r="H176" i="2"/>
  <c r="S175" i="2"/>
  <c r="K175" i="2"/>
  <c r="N174" i="2"/>
  <c r="F174" i="2"/>
  <c r="Q173" i="2"/>
  <c r="I173" i="2"/>
  <c r="T172" i="2"/>
  <c r="L172" i="2"/>
  <c r="O171" i="2"/>
  <c r="G171" i="2"/>
  <c r="R170" i="2"/>
  <c r="J170" i="2"/>
  <c r="U169" i="2"/>
  <c r="M169" i="2"/>
  <c r="E169" i="2"/>
  <c r="Z169" i="2" s="1"/>
  <c r="P168" i="2"/>
  <c r="H168" i="2"/>
  <c r="S167" i="2"/>
  <c r="K167" i="2"/>
  <c r="N166" i="2"/>
  <c r="F166" i="2"/>
  <c r="Q165" i="2"/>
  <c r="I165" i="2"/>
  <c r="T164" i="2"/>
  <c r="L164" i="2"/>
  <c r="O163" i="2"/>
  <c r="G163" i="2"/>
  <c r="R162" i="2"/>
  <c r="J162" i="2"/>
  <c r="U161" i="2"/>
  <c r="M161" i="2"/>
  <c r="E161" i="2"/>
  <c r="Z161" i="2" s="1"/>
  <c r="P160" i="2"/>
  <c r="H160" i="2"/>
  <c r="S159" i="2"/>
  <c r="K159" i="2"/>
  <c r="N158" i="2"/>
  <c r="F158" i="2"/>
  <c r="Q157" i="2"/>
  <c r="I157" i="2"/>
  <c r="T156" i="2"/>
  <c r="L156" i="2"/>
  <c r="O155" i="2"/>
  <c r="G155" i="2"/>
  <c r="R154" i="2"/>
  <c r="J154" i="2"/>
  <c r="U153" i="2"/>
  <c r="M153" i="2"/>
  <c r="E153" i="2"/>
  <c r="Z153" i="2" s="1"/>
  <c r="P152" i="2"/>
  <c r="H152" i="2"/>
  <c r="S151" i="2"/>
  <c r="K151" i="2"/>
  <c r="N150" i="2"/>
  <c r="F150" i="2"/>
  <c r="Q149" i="2"/>
  <c r="I149" i="2"/>
  <c r="T148" i="2"/>
  <c r="L148" i="2"/>
  <c r="O147" i="2"/>
  <c r="G147" i="2"/>
  <c r="R146" i="2"/>
  <c r="J146" i="2"/>
  <c r="U145" i="2"/>
  <c r="M145" i="2"/>
  <c r="E145" i="2"/>
  <c r="Z145" i="2" s="1"/>
  <c r="P144" i="2"/>
  <c r="H144" i="2"/>
  <c r="S143" i="2"/>
  <c r="K143" i="2"/>
  <c r="N142" i="2"/>
  <c r="F142" i="2"/>
  <c r="Q141" i="2"/>
  <c r="I141" i="2"/>
  <c r="T140" i="2"/>
  <c r="L140" i="2"/>
  <c r="O139" i="2"/>
  <c r="G139" i="2"/>
  <c r="R138" i="2"/>
  <c r="J138" i="2"/>
  <c r="U137" i="2"/>
  <c r="M137" i="2"/>
  <c r="E137" i="2"/>
  <c r="Z137" i="2" s="1"/>
  <c r="P136" i="2"/>
  <c r="H136" i="2"/>
  <c r="S135" i="2"/>
  <c r="K135" i="2"/>
  <c r="N134" i="2"/>
  <c r="F134" i="2"/>
  <c r="Q133" i="2"/>
  <c r="I133" i="2"/>
  <c r="T132" i="2"/>
  <c r="L132" i="2"/>
  <c r="O131" i="2"/>
  <c r="G131" i="2"/>
  <c r="R130" i="2"/>
  <c r="J130" i="2"/>
  <c r="U129" i="2"/>
  <c r="M129" i="2"/>
  <c r="E129" i="2"/>
  <c r="Z129" i="2" s="1"/>
  <c r="P128" i="2"/>
  <c r="H128" i="2"/>
  <c r="S127" i="2"/>
  <c r="K127" i="2"/>
  <c r="N126" i="2"/>
  <c r="F126" i="2"/>
  <c r="Q125" i="2"/>
  <c r="I125" i="2"/>
  <c r="T124" i="2"/>
  <c r="L124" i="2"/>
  <c r="O123" i="2"/>
  <c r="G123" i="2"/>
  <c r="R122" i="2"/>
  <c r="J122" i="2"/>
  <c r="U121" i="2"/>
  <c r="M121" i="2"/>
  <c r="E121" i="2"/>
  <c r="Z121" i="2" s="1"/>
  <c r="P120" i="2"/>
  <c r="H120" i="2"/>
  <c r="S119" i="2"/>
  <c r="K119" i="2"/>
  <c r="N118" i="2"/>
  <c r="F118" i="2"/>
  <c r="Q117" i="2"/>
  <c r="I117" i="2"/>
  <c r="T116" i="2"/>
  <c r="L116" i="2"/>
  <c r="O115" i="2"/>
  <c r="G115" i="2"/>
  <c r="R114" i="2"/>
  <c r="J114" i="2"/>
  <c r="U113" i="2"/>
  <c r="M113" i="2"/>
  <c r="E113" i="2"/>
  <c r="Z113" i="2" s="1"/>
  <c r="P112" i="2"/>
  <c r="H112" i="2"/>
  <c r="S111" i="2"/>
  <c r="K111" i="2"/>
  <c r="N110" i="2"/>
  <c r="F110" i="2"/>
  <c r="Q109" i="2"/>
  <c r="I109" i="2"/>
  <c r="T108" i="2"/>
  <c r="L108" i="2"/>
  <c r="O107" i="2"/>
  <c r="G107" i="2"/>
  <c r="R106" i="2"/>
  <c r="J106" i="2"/>
  <c r="U105" i="2"/>
  <c r="I187" i="2"/>
  <c r="J185" i="2"/>
  <c r="S184" i="2"/>
  <c r="I184" i="2"/>
  <c r="P183" i="2"/>
  <c r="F183" i="2"/>
  <c r="O182" i="2"/>
  <c r="E182" i="2"/>
  <c r="Z182" i="2" s="1"/>
  <c r="P181" i="2"/>
  <c r="H181" i="2"/>
  <c r="S180" i="2"/>
  <c r="K180" i="2"/>
  <c r="N179" i="2"/>
  <c r="F179" i="2"/>
  <c r="Q178" i="2"/>
  <c r="I178" i="2"/>
  <c r="T177" i="2"/>
  <c r="L177" i="2"/>
  <c r="O176" i="2"/>
  <c r="G176" i="2"/>
  <c r="R175" i="2"/>
  <c r="J175" i="2"/>
  <c r="U174" i="2"/>
  <c r="M174" i="2"/>
  <c r="E174" i="2"/>
  <c r="Z174" i="2" s="1"/>
  <c r="P173" i="2"/>
  <c r="H173" i="2"/>
  <c r="S172" i="2"/>
  <c r="K172" i="2"/>
  <c r="N171" i="2"/>
  <c r="F171" i="2"/>
  <c r="Q170" i="2"/>
  <c r="I170" i="2"/>
  <c r="T169" i="2"/>
  <c r="L169" i="2"/>
  <c r="O168" i="2"/>
  <c r="G168" i="2"/>
  <c r="R167" i="2"/>
  <c r="J167" i="2"/>
  <c r="U166" i="2"/>
  <c r="M166" i="2"/>
  <c r="E166" i="2"/>
  <c r="Z166" i="2" s="1"/>
  <c r="P165" i="2"/>
  <c r="H165" i="2"/>
  <c r="S164" i="2"/>
  <c r="K164" i="2"/>
  <c r="N163" i="2"/>
  <c r="F163" i="2"/>
  <c r="Q162" i="2"/>
  <c r="I162" i="2"/>
  <c r="T161" i="2"/>
  <c r="L161" i="2"/>
  <c r="O160" i="2"/>
  <c r="G160" i="2"/>
  <c r="R159" i="2"/>
  <c r="J159" i="2"/>
  <c r="U158" i="2"/>
  <c r="M158" i="2"/>
  <c r="E158" i="2"/>
  <c r="Z158" i="2" s="1"/>
  <c r="P157" i="2"/>
  <c r="H157" i="2"/>
  <c r="S156" i="2"/>
  <c r="K156" i="2"/>
  <c r="N155" i="2"/>
  <c r="F155" i="2"/>
  <c r="Q154" i="2"/>
  <c r="I154" i="2"/>
  <c r="T153" i="2"/>
  <c r="L153" i="2"/>
  <c r="O152" i="2"/>
  <c r="G152" i="2"/>
  <c r="R151" i="2"/>
  <c r="J151" i="2"/>
  <c r="U150" i="2"/>
  <c r="M150" i="2"/>
  <c r="E150" i="2"/>
  <c r="Z150" i="2" s="1"/>
  <c r="P149" i="2"/>
  <c r="H149" i="2"/>
  <c r="S148" i="2"/>
  <c r="K148" i="2"/>
  <c r="N147" i="2"/>
  <c r="F147" i="2"/>
  <c r="Q146" i="2"/>
  <c r="I146" i="2"/>
  <c r="T145" i="2"/>
  <c r="L145" i="2"/>
  <c r="O144" i="2"/>
  <c r="G144" i="2"/>
  <c r="R143" i="2"/>
  <c r="J143" i="2"/>
  <c r="U142" i="2"/>
  <c r="M142" i="2"/>
  <c r="E142" i="2"/>
  <c r="Z142" i="2" s="1"/>
  <c r="P141" i="2"/>
  <c r="H141" i="2"/>
  <c r="S140" i="2"/>
  <c r="K140" i="2"/>
  <c r="N139" i="2"/>
  <c r="F139" i="2"/>
  <c r="Q138" i="2"/>
  <c r="I138" i="2"/>
  <c r="T137" i="2"/>
  <c r="L137" i="2"/>
  <c r="O136" i="2"/>
  <c r="G136" i="2"/>
  <c r="R135" i="2"/>
  <c r="J135" i="2"/>
  <c r="U134" i="2"/>
  <c r="M134" i="2"/>
  <c r="E134" i="2"/>
  <c r="Z134" i="2" s="1"/>
  <c r="P133" i="2"/>
  <c r="H133" i="2"/>
  <c r="S132" i="2"/>
  <c r="K132" i="2"/>
  <c r="N131" i="2"/>
  <c r="F131" i="2"/>
  <c r="Q130" i="2"/>
  <c r="I130" i="2"/>
  <c r="T129" i="2"/>
  <c r="L129" i="2"/>
  <c r="O128" i="2"/>
  <c r="G128" i="2"/>
  <c r="R127" i="2"/>
  <c r="J127" i="2"/>
  <c r="U126" i="2"/>
  <c r="M126" i="2"/>
  <c r="E126" i="2"/>
  <c r="Z126" i="2" s="1"/>
  <c r="P125" i="2"/>
  <c r="H125" i="2"/>
  <c r="S124" i="2"/>
  <c r="K124" i="2"/>
  <c r="N123" i="2"/>
  <c r="F123" i="2"/>
  <c r="Q122" i="2"/>
  <c r="I122" i="2"/>
  <c r="T121" i="2"/>
  <c r="L121" i="2"/>
  <c r="O120" i="2"/>
  <c r="G120" i="2"/>
  <c r="R119" i="2"/>
  <c r="J119" i="2"/>
  <c r="U118" i="2"/>
  <c r="M118" i="2"/>
  <c r="E118" i="2"/>
  <c r="Z118" i="2" s="1"/>
  <c r="P117" i="2"/>
  <c r="H117" i="2"/>
  <c r="S116" i="2"/>
  <c r="K116" i="2"/>
  <c r="N115" i="2"/>
  <c r="F115" i="2"/>
  <c r="Q114" i="2"/>
  <c r="I114" i="2"/>
  <c r="T113" i="2"/>
  <c r="L113" i="2"/>
  <c r="O112" i="2"/>
  <c r="G112" i="2"/>
  <c r="R111" i="2"/>
  <c r="J111" i="2"/>
  <c r="U110" i="2"/>
  <c r="M110" i="2"/>
  <c r="E110" i="2"/>
  <c r="Z110" i="2" s="1"/>
  <c r="P109" i="2"/>
  <c r="H109" i="2"/>
  <c r="S108" i="2"/>
  <c r="K108" i="2"/>
  <c r="N107" i="2"/>
  <c r="F107" i="2"/>
  <c r="Q106" i="2"/>
  <c r="I106" i="2"/>
  <c r="T105" i="2"/>
  <c r="H187" i="2"/>
  <c r="I185" i="2"/>
  <c r="R184" i="2"/>
  <c r="H184" i="2"/>
  <c r="O183" i="2"/>
  <c r="E183" i="2"/>
  <c r="Z183" i="2" s="1"/>
  <c r="N182" i="2"/>
  <c r="O181" i="2"/>
  <c r="G181" i="2"/>
  <c r="R180" i="2"/>
  <c r="J180" i="2"/>
  <c r="U179" i="2"/>
  <c r="M179" i="2"/>
  <c r="E179" i="2"/>
  <c r="Z179" i="2" s="1"/>
  <c r="P178" i="2"/>
  <c r="H178" i="2"/>
  <c r="S177" i="2"/>
  <c r="K177" i="2"/>
  <c r="N176" i="2"/>
  <c r="F176" i="2"/>
  <c r="Q175" i="2"/>
  <c r="I175" i="2"/>
  <c r="T174" i="2"/>
  <c r="L174" i="2"/>
  <c r="O173" i="2"/>
  <c r="G173" i="2"/>
  <c r="R172" i="2"/>
  <c r="J172" i="2"/>
  <c r="U171" i="2"/>
  <c r="M171" i="2"/>
  <c r="E171" i="2"/>
  <c r="Z171" i="2" s="1"/>
  <c r="P170" i="2"/>
  <c r="H170" i="2"/>
  <c r="S169" i="2"/>
  <c r="K169" i="2"/>
  <c r="N168" i="2"/>
  <c r="F168" i="2"/>
  <c r="Q167" i="2"/>
  <c r="I167" i="2"/>
  <c r="T166" i="2"/>
  <c r="L166" i="2"/>
  <c r="O165" i="2"/>
  <c r="G165" i="2"/>
  <c r="R164" i="2"/>
  <c r="J164" i="2"/>
  <c r="U163" i="2"/>
  <c r="M163" i="2"/>
  <c r="E163" i="2"/>
  <c r="Z163" i="2" s="1"/>
  <c r="P162" i="2"/>
  <c r="H162" i="2"/>
  <c r="S161" i="2"/>
  <c r="K161" i="2"/>
  <c r="N160" i="2"/>
  <c r="F160" i="2"/>
  <c r="Q159" i="2"/>
  <c r="I159" i="2"/>
  <c r="T158" i="2"/>
  <c r="L158" i="2"/>
  <c r="O157" i="2"/>
  <c r="G157" i="2"/>
  <c r="R156" i="2"/>
  <c r="J156" i="2"/>
  <c r="U155" i="2"/>
  <c r="M155" i="2"/>
  <c r="E155" i="2"/>
  <c r="Z155" i="2" s="1"/>
  <c r="P154" i="2"/>
  <c r="H154" i="2"/>
  <c r="S153" i="2"/>
  <c r="K153" i="2"/>
  <c r="N152" i="2"/>
  <c r="F152" i="2"/>
  <c r="Q151" i="2"/>
  <c r="I151" i="2"/>
  <c r="T150" i="2"/>
  <c r="L150" i="2"/>
  <c r="O149" i="2"/>
  <c r="G149" i="2"/>
  <c r="R148" i="2"/>
  <c r="J148" i="2"/>
  <c r="U147" i="2"/>
  <c r="M147" i="2"/>
  <c r="E147" i="2"/>
  <c r="Z147" i="2" s="1"/>
  <c r="P146" i="2"/>
  <c r="H146" i="2"/>
  <c r="S145" i="2"/>
  <c r="K145" i="2"/>
  <c r="N144" i="2"/>
  <c r="F144" i="2"/>
  <c r="Q143" i="2"/>
  <c r="I143" i="2"/>
  <c r="T142" i="2"/>
  <c r="L142" i="2"/>
  <c r="O141" i="2"/>
  <c r="G141" i="2"/>
  <c r="R140" i="2"/>
  <c r="J140" i="2"/>
  <c r="U139" i="2"/>
  <c r="M139" i="2"/>
  <c r="E139" i="2"/>
  <c r="Z139" i="2" s="1"/>
  <c r="P138" i="2"/>
  <c r="H138" i="2"/>
  <c r="S137" i="2"/>
  <c r="K137" i="2"/>
  <c r="N136" i="2"/>
  <c r="F136" i="2"/>
  <c r="Q135" i="2"/>
  <c r="I135" i="2"/>
  <c r="T134" i="2"/>
  <c r="L134" i="2"/>
  <c r="O133" i="2"/>
  <c r="G133" i="2"/>
  <c r="R132" i="2"/>
  <c r="J132" i="2"/>
  <c r="U131" i="2"/>
  <c r="M131" i="2"/>
  <c r="E131" i="2"/>
  <c r="Z131" i="2" s="1"/>
  <c r="P130" i="2"/>
  <c r="H130" i="2"/>
  <c r="S129" i="2"/>
  <c r="K129" i="2"/>
  <c r="N128" i="2"/>
  <c r="F128" i="2"/>
  <c r="Q127" i="2"/>
  <c r="I127" i="2"/>
  <c r="T126" i="2"/>
  <c r="L126" i="2"/>
  <c r="O125" i="2"/>
  <c r="G125" i="2"/>
  <c r="R124" i="2"/>
  <c r="J124" i="2"/>
  <c r="U123" i="2"/>
  <c r="M123" i="2"/>
  <c r="E123" i="2"/>
  <c r="Z123" i="2" s="1"/>
  <c r="P122" i="2"/>
  <c r="H122" i="2"/>
  <c r="S121" i="2"/>
  <c r="K121" i="2"/>
  <c r="N120" i="2"/>
  <c r="F120" i="2"/>
  <c r="Q119" i="2"/>
  <c r="I119" i="2"/>
  <c r="T118" i="2"/>
  <c r="L118" i="2"/>
  <c r="O117" i="2"/>
  <c r="G117" i="2"/>
  <c r="R116" i="2"/>
  <c r="J116" i="2"/>
  <c r="U115" i="2"/>
  <c r="M115" i="2"/>
  <c r="E115" i="2"/>
  <c r="Z115" i="2" s="1"/>
  <c r="P114" i="2"/>
  <c r="H114" i="2"/>
  <c r="S113" i="2"/>
  <c r="K113" i="2"/>
  <c r="N112" i="2"/>
  <c r="F112" i="2"/>
  <c r="Q111" i="2"/>
  <c r="T186" i="2"/>
  <c r="U185" i="2"/>
  <c r="H185" i="2"/>
  <c r="Q184" i="2"/>
  <c r="E184" i="2"/>
  <c r="Z184" i="2" s="1"/>
  <c r="N183" i="2"/>
  <c r="K182" i="2"/>
  <c r="N181" i="2"/>
  <c r="F181" i="2"/>
  <c r="Q180" i="2"/>
  <c r="I180" i="2"/>
  <c r="T179" i="2"/>
  <c r="L179" i="2"/>
  <c r="O178" i="2"/>
  <c r="G178" i="2"/>
  <c r="R177" i="2"/>
  <c r="J177" i="2"/>
  <c r="U176" i="2"/>
  <c r="M176" i="2"/>
  <c r="E176" i="2"/>
  <c r="Z176" i="2" s="1"/>
  <c r="P175" i="2"/>
  <c r="H175" i="2"/>
  <c r="S174" i="2"/>
  <c r="K174" i="2"/>
  <c r="N173" i="2"/>
  <c r="F173" i="2"/>
  <c r="Q172" i="2"/>
  <c r="I172" i="2"/>
  <c r="T171" i="2"/>
  <c r="L171" i="2"/>
  <c r="O170" i="2"/>
  <c r="G170" i="2"/>
  <c r="R169" i="2"/>
  <c r="J169" i="2"/>
  <c r="U168" i="2"/>
  <c r="M168" i="2"/>
  <c r="E168" i="2"/>
  <c r="Z168" i="2" s="1"/>
  <c r="P167" i="2"/>
  <c r="H167" i="2"/>
  <c r="S166" i="2"/>
  <c r="K166" i="2"/>
  <c r="N165" i="2"/>
  <c r="F165" i="2"/>
  <c r="Q164" i="2"/>
  <c r="I164" i="2"/>
  <c r="T163" i="2"/>
  <c r="L163" i="2"/>
  <c r="O162" i="2"/>
  <c r="G162" i="2"/>
  <c r="R161" i="2"/>
  <c r="J161" i="2"/>
  <c r="U160" i="2"/>
  <c r="M160" i="2"/>
  <c r="E160" i="2"/>
  <c r="Z160" i="2" s="1"/>
  <c r="P159" i="2"/>
  <c r="H159" i="2"/>
  <c r="S158" i="2"/>
  <c r="K158" i="2"/>
  <c r="N157" i="2"/>
  <c r="F157" i="2"/>
  <c r="Q156" i="2"/>
  <c r="I156" i="2"/>
  <c r="T155" i="2"/>
  <c r="L155" i="2"/>
  <c r="O154" i="2"/>
  <c r="G154" i="2"/>
  <c r="R153" i="2"/>
  <c r="J153" i="2"/>
  <c r="U152" i="2"/>
  <c r="M152" i="2"/>
  <c r="E152" i="2"/>
  <c r="Z152" i="2" s="1"/>
  <c r="P151" i="2"/>
  <c r="H151" i="2"/>
  <c r="S150" i="2"/>
  <c r="K150" i="2"/>
  <c r="N149" i="2"/>
  <c r="F149" i="2"/>
  <c r="Q148" i="2"/>
  <c r="I148" i="2"/>
  <c r="T147" i="2"/>
  <c r="L147" i="2"/>
  <c r="O146" i="2"/>
  <c r="G146" i="2"/>
  <c r="R145" i="2"/>
  <c r="J145" i="2"/>
  <c r="U144" i="2"/>
  <c r="M144" i="2"/>
  <c r="E144" i="2"/>
  <c r="Z144" i="2" s="1"/>
  <c r="P143" i="2"/>
  <c r="H143" i="2"/>
  <c r="S142" i="2"/>
  <c r="K142" i="2"/>
  <c r="N141" i="2"/>
  <c r="F141" i="2"/>
  <c r="Q140" i="2"/>
  <c r="I140" i="2"/>
  <c r="T139" i="2"/>
  <c r="L139" i="2"/>
  <c r="O138" i="2"/>
  <c r="G138" i="2"/>
  <c r="R137" i="2"/>
  <c r="J137" i="2"/>
  <c r="U136" i="2"/>
  <c r="M136" i="2"/>
  <c r="E136" i="2"/>
  <c r="Z136" i="2" s="1"/>
  <c r="P135" i="2"/>
  <c r="H135" i="2"/>
  <c r="S134" i="2"/>
  <c r="K134" i="2"/>
  <c r="N133" i="2"/>
  <c r="F133" i="2"/>
  <c r="Q132" i="2"/>
  <c r="I132" i="2"/>
  <c r="T131" i="2"/>
  <c r="L131" i="2"/>
  <c r="O130" i="2"/>
  <c r="G130" i="2"/>
  <c r="R129" i="2"/>
  <c r="J129" i="2"/>
  <c r="U128" i="2"/>
  <c r="M128" i="2"/>
  <c r="E128" i="2"/>
  <c r="Z128" i="2" s="1"/>
  <c r="P127" i="2"/>
  <c r="H127" i="2"/>
  <c r="S126" i="2"/>
  <c r="K126" i="2"/>
  <c r="N125" i="2"/>
  <c r="F125" i="2"/>
  <c r="Q124" i="2"/>
  <c r="I124" i="2"/>
  <c r="T123" i="2"/>
  <c r="L123" i="2"/>
  <c r="O122" i="2"/>
  <c r="G122" i="2"/>
  <c r="R121" i="2"/>
  <c r="J121" i="2"/>
  <c r="U120" i="2"/>
  <c r="M120" i="2"/>
  <c r="E120" i="2"/>
  <c r="Z120" i="2" s="1"/>
  <c r="P119" i="2"/>
  <c r="H119" i="2"/>
  <c r="S118" i="2"/>
  <c r="K118" i="2"/>
  <c r="N117" i="2"/>
  <c r="F117" i="2"/>
  <c r="Q116" i="2"/>
  <c r="I116" i="2"/>
  <c r="T115" i="2"/>
  <c r="L115" i="2"/>
  <c r="O114" i="2"/>
  <c r="G114" i="2"/>
  <c r="R113" i="2"/>
  <c r="J113" i="2"/>
  <c r="U112" i="2"/>
  <c r="M112" i="2"/>
  <c r="E112" i="2"/>
  <c r="Z112" i="2" s="1"/>
  <c r="P111" i="2"/>
  <c r="S186" i="2"/>
  <c r="Q185" i="2"/>
  <c r="G185" i="2"/>
  <c r="P184" i="2"/>
  <c r="M183" i="2"/>
  <c r="J182" i="2"/>
  <c r="U181" i="2"/>
  <c r="M181" i="2"/>
  <c r="E181" i="2"/>
  <c r="Z181" i="2" s="1"/>
  <c r="P180" i="2"/>
  <c r="H180" i="2"/>
  <c r="S179" i="2"/>
  <c r="K179" i="2"/>
  <c r="N178" i="2"/>
  <c r="F178" i="2"/>
  <c r="Q177" i="2"/>
  <c r="I177" i="2"/>
  <c r="T176" i="2"/>
  <c r="L176" i="2"/>
  <c r="O175" i="2"/>
  <c r="G175" i="2"/>
  <c r="R174" i="2"/>
  <c r="J174" i="2"/>
  <c r="U173" i="2"/>
  <c r="M173" i="2"/>
  <c r="E173" i="2"/>
  <c r="Z173" i="2" s="1"/>
  <c r="P172" i="2"/>
  <c r="H172" i="2"/>
  <c r="S171" i="2"/>
  <c r="K171" i="2"/>
  <c r="N170" i="2"/>
  <c r="F170" i="2"/>
  <c r="Q169" i="2"/>
  <c r="I169" i="2"/>
  <c r="T168" i="2"/>
  <c r="L168" i="2"/>
  <c r="O167" i="2"/>
  <c r="G167" i="2"/>
  <c r="R166" i="2"/>
  <c r="J166" i="2"/>
  <c r="U165" i="2"/>
  <c r="M165" i="2"/>
  <c r="E165" i="2"/>
  <c r="Z165" i="2" s="1"/>
  <c r="P164" i="2"/>
  <c r="H164" i="2"/>
  <c r="S163" i="2"/>
  <c r="K163" i="2"/>
  <c r="N162" i="2"/>
  <c r="F162" i="2"/>
  <c r="Q161" i="2"/>
  <c r="I161" i="2"/>
  <c r="T160" i="2"/>
  <c r="L160" i="2"/>
  <c r="O159" i="2"/>
  <c r="G159" i="2"/>
  <c r="R158" i="2"/>
  <c r="J158" i="2"/>
  <c r="U157" i="2"/>
  <c r="M157" i="2"/>
  <c r="E157" i="2"/>
  <c r="Z157" i="2" s="1"/>
  <c r="P156" i="2"/>
  <c r="H156" i="2"/>
  <c r="S155" i="2"/>
  <c r="K155" i="2"/>
  <c r="N154" i="2"/>
  <c r="F154" i="2"/>
  <c r="Q153" i="2"/>
  <c r="I153" i="2"/>
  <c r="T152" i="2"/>
  <c r="L152" i="2"/>
  <c r="O151" i="2"/>
  <c r="G151" i="2"/>
  <c r="R150" i="2"/>
  <c r="J150" i="2"/>
  <c r="U149" i="2"/>
  <c r="M149" i="2"/>
  <c r="E149" i="2"/>
  <c r="Z149" i="2" s="1"/>
  <c r="P148" i="2"/>
  <c r="H148" i="2"/>
  <c r="S147" i="2"/>
  <c r="K147" i="2"/>
  <c r="N146" i="2"/>
  <c r="F146" i="2"/>
  <c r="Q145" i="2"/>
  <c r="I145" i="2"/>
  <c r="T144" i="2"/>
  <c r="L144" i="2"/>
  <c r="O143" i="2"/>
  <c r="G143" i="2"/>
  <c r="R142" i="2"/>
  <c r="J142" i="2"/>
  <c r="U141" i="2"/>
  <c r="M141" i="2"/>
  <c r="E141" i="2"/>
  <c r="Z141" i="2" s="1"/>
  <c r="P140" i="2"/>
  <c r="H140" i="2"/>
  <c r="S139" i="2"/>
  <c r="K139" i="2"/>
  <c r="N138" i="2"/>
  <c r="F138" i="2"/>
  <c r="Q137" i="2"/>
  <c r="I137" i="2"/>
  <c r="T136" i="2"/>
  <c r="L136" i="2"/>
  <c r="O135" i="2"/>
  <c r="G135" i="2"/>
  <c r="R134" i="2"/>
  <c r="J134" i="2"/>
  <c r="U133" i="2"/>
  <c r="M133" i="2"/>
  <c r="E133" i="2"/>
  <c r="Z133" i="2" s="1"/>
  <c r="P132" i="2"/>
  <c r="H132" i="2"/>
  <c r="S131" i="2"/>
  <c r="K131" i="2"/>
  <c r="N130" i="2"/>
  <c r="F130" i="2"/>
  <c r="Q129" i="2"/>
  <c r="I129" i="2"/>
  <c r="T128" i="2"/>
  <c r="L128" i="2"/>
  <c r="O127" i="2"/>
  <c r="G127" i="2"/>
  <c r="R126" i="2"/>
  <c r="J126" i="2"/>
  <c r="U125" i="2"/>
  <c r="M125" i="2"/>
  <c r="E125" i="2"/>
  <c r="Z125" i="2" s="1"/>
  <c r="P124" i="2"/>
  <c r="H124" i="2"/>
  <c r="S123" i="2"/>
  <c r="K123" i="2"/>
  <c r="N122" i="2"/>
  <c r="F122" i="2"/>
  <c r="Q121" i="2"/>
  <c r="I121" i="2"/>
  <c r="T120" i="2"/>
  <c r="L120" i="2"/>
  <c r="O119" i="2"/>
  <c r="G119" i="2"/>
  <c r="R118" i="2"/>
  <c r="J118" i="2"/>
  <c r="U117" i="2"/>
  <c r="M117" i="2"/>
  <c r="E117" i="2"/>
  <c r="Z117" i="2" s="1"/>
  <c r="P116" i="2"/>
  <c r="H116" i="2"/>
  <c r="S115" i="2"/>
  <c r="K115" i="2"/>
  <c r="N114" i="2"/>
  <c r="F114" i="2"/>
  <c r="L186" i="2"/>
  <c r="P185" i="2"/>
  <c r="F185" i="2"/>
  <c r="M184" i="2"/>
  <c r="L183" i="2"/>
  <c r="S182" i="2"/>
  <c r="I182" i="2"/>
  <c r="T181" i="2"/>
  <c r="L181" i="2"/>
  <c r="O180" i="2"/>
  <c r="G180" i="2"/>
  <c r="R179" i="2"/>
  <c r="J179" i="2"/>
  <c r="U178" i="2"/>
  <c r="M178" i="2"/>
  <c r="E178" i="2"/>
  <c r="Z178" i="2" s="1"/>
  <c r="P177" i="2"/>
  <c r="H177" i="2"/>
  <c r="S176" i="2"/>
  <c r="K176" i="2"/>
  <c r="N175" i="2"/>
  <c r="F175" i="2"/>
  <c r="Q174" i="2"/>
  <c r="I174" i="2"/>
  <c r="T173" i="2"/>
  <c r="L173" i="2"/>
  <c r="O172" i="2"/>
  <c r="G172" i="2"/>
  <c r="R171" i="2"/>
  <c r="J171" i="2"/>
  <c r="U170" i="2"/>
  <c r="M170" i="2"/>
  <c r="E170" i="2"/>
  <c r="Z170" i="2" s="1"/>
  <c r="P169" i="2"/>
  <c r="H169" i="2"/>
  <c r="S168" i="2"/>
  <c r="K168" i="2"/>
  <c r="N167" i="2"/>
  <c r="F167" i="2"/>
  <c r="Q166" i="2"/>
  <c r="I166" i="2"/>
  <c r="T165" i="2"/>
  <c r="L165" i="2"/>
  <c r="O164" i="2"/>
  <c r="G164" i="2"/>
  <c r="R163" i="2"/>
  <c r="J163" i="2"/>
  <c r="U162" i="2"/>
  <c r="M162" i="2"/>
  <c r="E162" i="2"/>
  <c r="Z162" i="2" s="1"/>
  <c r="P161" i="2"/>
  <c r="H161" i="2"/>
  <c r="S160" i="2"/>
  <c r="K160" i="2"/>
  <c r="N159" i="2"/>
  <c r="F159" i="2"/>
  <c r="Q158" i="2"/>
  <c r="I158" i="2"/>
  <c r="T157" i="2"/>
  <c r="L157" i="2"/>
  <c r="O156" i="2"/>
  <c r="G156" i="2"/>
  <c r="R155" i="2"/>
  <c r="J155" i="2"/>
  <c r="U154" i="2"/>
  <c r="M154" i="2"/>
  <c r="E154" i="2"/>
  <c r="Z154" i="2" s="1"/>
  <c r="P153" i="2"/>
  <c r="H153" i="2"/>
  <c r="S152" i="2"/>
  <c r="K152" i="2"/>
  <c r="N151" i="2"/>
  <c r="F151" i="2"/>
  <c r="Q150" i="2"/>
  <c r="I150" i="2"/>
  <c r="T149" i="2"/>
  <c r="L149" i="2"/>
  <c r="O148" i="2"/>
  <c r="G148" i="2"/>
  <c r="R147" i="2"/>
  <c r="J147" i="2"/>
  <c r="U146" i="2"/>
  <c r="M146" i="2"/>
  <c r="E146" i="2"/>
  <c r="Z146" i="2" s="1"/>
  <c r="P145" i="2"/>
  <c r="H145" i="2"/>
  <c r="S144" i="2"/>
  <c r="K144" i="2"/>
  <c r="N143" i="2"/>
  <c r="F143" i="2"/>
  <c r="Q142" i="2"/>
  <c r="I142" i="2"/>
  <c r="T141" i="2"/>
  <c r="L141" i="2"/>
  <c r="O140" i="2"/>
  <c r="G140" i="2"/>
  <c r="R139" i="2"/>
  <c r="J139" i="2"/>
  <c r="U138" i="2"/>
  <c r="M138" i="2"/>
  <c r="E138" i="2"/>
  <c r="Z138" i="2" s="1"/>
  <c r="P137" i="2"/>
  <c r="H137" i="2"/>
  <c r="S136" i="2"/>
  <c r="K136" i="2"/>
  <c r="N135" i="2"/>
  <c r="F135" i="2"/>
  <c r="Q134" i="2"/>
  <c r="I134" i="2"/>
  <c r="T133" i="2"/>
  <c r="L133" i="2"/>
  <c r="O132" i="2"/>
  <c r="G132" i="2"/>
  <c r="R131" i="2"/>
  <c r="J131" i="2"/>
  <c r="U130" i="2"/>
  <c r="M130" i="2"/>
  <c r="E130" i="2"/>
  <c r="Z130" i="2" s="1"/>
  <c r="P129" i="2"/>
  <c r="H129" i="2"/>
  <c r="S128" i="2"/>
  <c r="K128" i="2"/>
  <c r="N127" i="2"/>
  <c r="F127" i="2"/>
  <c r="Q126" i="2"/>
  <c r="I126" i="2"/>
  <c r="T125" i="2"/>
  <c r="L125" i="2"/>
  <c r="O124" i="2"/>
  <c r="G124" i="2"/>
  <c r="R123" i="2"/>
  <c r="J123" i="2"/>
  <c r="U122" i="2"/>
  <c r="M122" i="2"/>
  <c r="E122" i="2"/>
  <c r="Z122" i="2" s="1"/>
  <c r="P121" i="2"/>
  <c r="H121" i="2"/>
  <c r="S120" i="2"/>
  <c r="K120" i="2"/>
  <c r="N119" i="2"/>
  <c r="F119" i="2"/>
  <c r="Q118" i="2"/>
  <c r="I118" i="2"/>
  <c r="T117" i="2"/>
  <c r="L117" i="2"/>
  <c r="O116" i="2"/>
  <c r="G116" i="2"/>
  <c r="R115" i="2"/>
  <c r="J115" i="2"/>
  <c r="U114" i="2"/>
  <c r="K186" i="2"/>
  <c r="O185" i="2"/>
  <c r="E185" i="2"/>
  <c r="Z185" i="2" s="1"/>
  <c r="L184" i="2"/>
  <c r="U183" i="2"/>
  <c r="K183" i="2"/>
  <c r="R182" i="2"/>
  <c r="H182" i="2"/>
  <c r="S181" i="2"/>
  <c r="K181" i="2"/>
  <c r="N180" i="2"/>
  <c r="F180" i="2"/>
  <c r="Q179" i="2"/>
  <c r="I179" i="2"/>
  <c r="T178" i="2"/>
  <c r="L178" i="2"/>
  <c r="O177" i="2"/>
  <c r="G177" i="2"/>
  <c r="R176" i="2"/>
  <c r="J176" i="2"/>
  <c r="U175" i="2"/>
  <c r="M175" i="2"/>
  <c r="E175" i="2"/>
  <c r="Z175" i="2" s="1"/>
  <c r="P174" i="2"/>
  <c r="H174" i="2"/>
  <c r="S173" i="2"/>
  <c r="K173" i="2"/>
  <c r="N172" i="2"/>
  <c r="F172" i="2"/>
  <c r="Q171" i="2"/>
  <c r="I171" i="2"/>
  <c r="T170" i="2"/>
  <c r="L170" i="2"/>
  <c r="O169" i="2"/>
  <c r="G169" i="2"/>
  <c r="R168" i="2"/>
  <c r="J168" i="2"/>
  <c r="U167" i="2"/>
  <c r="M167" i="2"/>
  <c r="E167" i="2"/>
  <c r="Z167" i="2" s="1"/>
  <c r="P166" i="2"/>
  <c r="H166" i="2"/>
  <c r="S165" i="2"/>
  <c r="K165" i="2"/>
  <c r="N164" i="2"/>
  <c r="F164" i="2"/>
  <c r="Q163" i="2"/>
  <c r="I163" i="2"/>
  <c r="T162" i="2"/>
  <c r="L162" i="2"/>
  <c r="O161" i="2"/>
  <c r="G161" i="2"/>
  <c r="R160" i="2"/>
  <c r="J160" i="2"/>
  <c r="U159" i="2"/>
  <c r="M159" i="2"/>
  <c r="E159" i="2"/>
  <c r="Z159" i="2" s="1"/>
  <c r="P158" i="2"/>
  <c r="H158" i="2"/>
  <c r="S157" i="2"/>
  <c r="K157" i="2"/>
  <c r="N156" i="2"/>
  <c r="F156" i="2"/>
  <c r="Q155" i="2"/>
  <c r="I155" i="2"/>
  <c r="T154" i="2"/>
  <c r="L154" i="2"/>
  <c r="O153" i="2"/>
  <c r="G153" i="2"/>
  <c r="R152" i="2"/>
  <c r="J152" i="2"/>
  <c r="U151" i="2"/>
  <c r="M151" i="2"/>
  <c r="E151" i="2"/>
  <c r="Z151" i="2" s="1"/>
  <c r="P150" i="2"/>
  <c r="H150" i="2"/>
  <c r="S149" i="2"/>
  <c r="K149" i="2"/>
  <c r="N148" i="2"/>
  <c r="F148" i="2"/>
  <c r="Q147" i="2"/>
  <c r="I147" i="2"/>
  <c r="T146" i="2"/>
  <c r="L146" i="2"/>
  <c r="O145" i="2"/>
  <c r="G145" i="2"/>
  <c r="R144" i="2"/>
  <c r="J144" i="2"/>
  <c r="U143" i="2"/>
  <c r="M143" i="2"/>
  <c r="E143" i="2"/>
  <c r="Z143" i="2" s="1"/>
  <c r="P142" i="2"/>
  <c r="H142" i="2"/>
  <c r="S141" i="2"/>
  <c r="K141" i="2"/>
  <c r="N140" i="2"/>
  <c r="F140" i="2"/>
  <c r="Q139" i="2"/>
  <c r="I139" i="2"/>
  <c r="T138" i="2"/>
  <c r="L138" i="2"/>
  <c r="O137" i="2"/>
  <c r="G137" i="2"/>
  <c r="R136" i="2"/>
  <c r="J136" i="2"/>
  <c r="U135" i="2"/>
  <c r="M135" i="2"/>
  <c r="E135" i="2"/>
  <c r="Z135" i="2" s="1"/>
  <c r="P134" i="2"/>
  <c r="H134" i="2"/>
  <c r="S133" i="2"/>
  <c r="K133" i="2"/>
  <c r="N132" i="2"/>
  <c r="F132" i="2"/>
  <c r="Q131" i="2"/>
  <c r="I131" i="2"/>
  <c r="T130" i="2"/>
  <c r="L130" i="2"/>
  <c r="O129" i="2"/>
  <c r="G129" i="2"/>
  <c r="R128" i="2"/>
  <c r="J128" i="2"/>
  <c r="U127" i="2"/>
  <c r="M127" i="2"/>
  <c r="E127" i="2"/>
  <c r="Z127" i="2" s="1"/>
  <c r="P126" i="2"/>
  <c r="H126" i="2"/>
  <c r="S125" i="2"/>
  <c r="K125" i="2"/>
  <c r="N124" i="2"/>
  <c r="F124" i="2"/>
  <c r="Q123" i="2"/>
  <c r="I123" i="2"/>
  <c r="T122" i="2"/>
  <c r="L122" i="2"/>
  <c r="O121" i="2"/>
  <c r="G121" i="2"/>
  <c r="R120" i="2"/>
  <c r="J120" i="2"/>
  <c r="U119" i="2"/>
  <c r="M119" i="2"/>
  <c r="E119" i="2"/>
  <c r="Z119" i="2" s="1"/>
  <c r="P118" i="2"/>
  <c r="H118" i="2"/>
  <c r="S117" i="2"/>
  <c r="K117" i="2"/>
  <c r="N116" i="2"/>
  <c r="F116" i="2"/>
  <c r="Q115" i="2"/>
  <c r="I115" i="2"/>
  <c r="T114" i="2"/>
  <c r="L114" i="2"/>
  <c r="J186" i="2"/>
  <c r="N185" i="2"/>
  <c r="U184" i="2"/>
  <c r="K184" i="2"/>
  <c r="T183" i="2"/>
  <c r="H183" i="2"/>
  <c r="Q182" i="2"/>
  <c r="G182" i="2"/>
  <c r="R181" i="2"/>
  <c r="J181" i="2"/>
  <c r="U180" i="2"/>
  <c r="M180" i="2"/>
  <c r="E180" i="2"/>
  <c r="Z180" i="2" s="1"/>
  <c r="P179" i="2"/>
  <c r="H179" i="2"/>
  <c r="S178" i="2"/>
  <c r="K178" i="2"/>
  <c r="N177" i="2"/>
  <c r="F177" i="2"/>
  <c r="Q176" i="2"/>
  <c r="I176" i="2"/>
  <c r="T175" i="2"/>
  <c r="L175" i="2"/>
  <c r="O174" i="2"/>
  <c r="G174" i="2"/>
  <c r="R173" i="2"/>
  <c r="J173" i="2"/>
  <c r="U172" i="2"/>
  <c r="M172" i="2"/>
  <c r="E172" i="2"/>
  <c r="Z172" i="2" s="1"/>
  <c r="P171" i="2"/>
  <c r="H171" i="2"/>
  <c r="S170" i="2"/>
  <c r="K170" i="2"/>
  <c r="N169" i="2"/>
  <c r="F169" i="2"/>
  <c r="Q168" i="2"/>
  <c r="I168" i="2"/>
  <c r="T167" i="2"/>
  <c r="L167" i="2"/>
  <c r="O166" i="2"/>
  <c r="G166" i="2"/>
  <c r="R165" i="2"/>
  <c r="J165" i="2"/>
  <c r="U164" i="2"/>
  <c r="M164" i="2"/>
  <c r="E164" i="2"/>
  <c r="Z164" i="2" s="1"/>
  <c r="P163" i="2"/>
  <c r="H163" i="2"/>
  <c r="S162" i="2"/>
  <c r="K162" i="2"/>
  <c r="N161" i="2"/>
  <c r="F161" i="2"/>
  <c r="Q160" i="2"/>
  <c r="I160" i="2"/>
  <c r="T159" i="2"/>
  <c r="L159" i="2"/>
  <c r="O158" i="2"/>
  <c r="G158" i="2"/>
  <c r="R157" i="2"/>
  <c r="J157" i="2"/>
  <c r="U156" i="2"/>
  <c r="M156" i="2"/>
  <c r="E156" i="2"/>
  <c r="Z156" i="2" s="1"/>
  <c r="P155" i="2"/>
  <c r="H155" i="2"/>
  <c r="S154" i="2"/>
  <c r="K154" i="2"/>
  <c r="N153" i="2"/>
  <c r="F153" i="2"/>
  <c r="Q152" i="2"/>
  <c r="I152" i="2"/>
  <c r="T151" i="2"/>
  <c r="L151" i="2"/>
  <c r="O150" i="2"/>
  <c r="G150" i="2"/>
  <c r="R149" i="2"/>
  <c r="J149" i="2"/>
  <c r="U148" i="2"/>
  <c r="M148" i="2"/>
  <c r="E148" i="2"/>
  <c r="Z148" i="2" s="1"/>
  <c r="P147" i="2"/>
  <c r="H147" i="2"/>
  <c r="S146" i="2"/>
  <c r="K146" i="2"/>
  <c r="N145" i="2"/>
  <c r="F145" i="2"/>
  <c r="Q144" i="2"/>
  <c r="I144" i="2"/>
  <c r="T143" i="2"/>
  <c r="L143" i="2"/>
  <c r="O142" i="2"/>
  <c r="G142" i="2"/>
  <c r="R141" i="2"/>
  <c r="J141" i="2"/>
  <c r="U140" i="2"/>
  <c r="M140" i="2"/>
  <c r="E140" i="2"/>
  <c r="Z140" i="2" s="1"/>
  <c r="P139" i="2"/>
  <c r="H139" i="2"/>
  <c r="S138" i="2"/>
  <c r="K138" i="2"/>
  <c r="N137" i="2"/>
  <c r="F137" i="2"/>
  <c r="Q136" i="2"/>
  <c r="I136" i="2"/>
  <c r="T135" i="2"/>
  <c r="L135" i="2"/>
  <c r="O134" i="2"/>
  <c r="G134" i="2"/>
  <c r="R133" i="2"/>
  <c r="J133" i="2"/>
  <c r="U132" i="2"/>
  <c r="M132" i="2"/>
  <c r="E132" i="2"/>
  <c r="Z132" i="2" s="1"/>
  <c r="P131" i="2"/>
  <c r="H131" i="2"/>
  <c r="S130" i="2"/>
  <c r="K130" i="2"/>
  <c r="N129" i="2"/>
  <c r="F129" i="2"/>
  <c r="Q128" i="2"/>
  <c r="I128" i="2"/>
  <c r="T127" i="2"/>
  <c r="L127" i="2"/>
  <c r="O126" i="2"/>
  <c r="G126" i="2"/>
  <c r="R125" i="2"/>
  <c r="J125" i="2"/>
  <c r="U124" i="2"/>
  <c r="M124" i="2"/>
  <c r="E124" i="2"/>
  <c r="Z124" i="2" s="1"/>
  <c r="P123" i="2"/>
  <c r="H123" i="2"/>
  <c r="S122" i="2"/>
  <c r="K122" i="2"/>
  <c r="N121" i="2"/>
  <c r="F121" i="2"/>
  <c r="Q120" i="2"/>
  <c r="I120" i="2"/>
  <c r="T119" i="2"/>
  <c r="L119" i="2"/>
  <c r="O118" i="2"/>
  <c r="G118" i="2"/>
  <c r="R117" i="2"/>
  <c r="J117" i="2"/>
  <c r="U116" i="2"/>
  <c r="M116" i="2"/>
  <c r="E116" i="2"/>
  <c r="Z116" i="2" s="1"/>
  <c r="P115" i="2"/>
  <c r="H115" i="2"/>
  <c r="O113" i="2"/>
  <c r="R112" i="2"/>
  <c r="U111" i="2"/>
  <c r="G111" i="2"/>
  <c r="P110" i="2"/>
  <c r="M109" i="2"/>
  <c r="J108" i="2"/>
  <c r="S107" i="2"/>
  <c r="I107" i="2"/>
  <c r="P106" i="2"/>
  <c r="F106" i="2"/>
  <c r="O105" i="2"/>
  <c r="G105" i="2"/>
  <c r="R104" i="2"/>
  <c r="J104" i="2"/>
  <c r="U103" i="2"/>
  <c r="M103" i="2"/>
  <c r="E103" i="2"/>
  <c r="Z103" i="2" s="1"/>
  <c r="P102" i="2"/>
  <c r="H102" i="2"/>
  <c r="S101" i="2"/>
  <c r="K101" i="2"/>
  <c r="N100" i="2"/>
  <c r="F100" i="2"/>
  <c r="Q99" i="2"/>
  <c r="I99" i="2"/>
  <c r="T98" i="2"/>
  <c r="L98" i="2"/>
  <c r="O97" i="2"/>
  <c r="G97" i="2"/>
  <c r="R96" i="2"/>
  <c r="J96" i="2"/>
  <c r="U95" i="2"/>
  <c r="M95" i="2"/>
  <c r="E95" i="2"/>
  <c r="Z95" i="2" s="1"/>
  <c r="P94" i="2"/>
  <c r="H94" i="2"/>
  <c r="S93" i="2"/>
  <c r="K93" i="2"/>
  <c r="N92" i="2"/>
  <c r="F92" i="2"/>
  <c r="Q91" i="2"/>
  <c r="I91" i="2"/>
  <c r="T90" i="2"/>
  <c r="L90" i="2"/>
  <c r="O89" i="2"/>
  <c r="G89" i="2"/>
  <c r="R88" i="2"/>
  <c r="J88" i="2"/>
  <c r="U87" i="2"/>
  <c r="M87" i="2"/>
  <c r="E87" i="2"/>
  <c r="Z87" i="2" s="1"/>
  <c r="P86" i="2"/>
  <c r="H86" i="2"/>
  <c r="S85" i="2"/>
  <c r="K85" i="2"/>
  <c r="N84" i="2"/>
  <c r="F84" i="2"/>
  <c r="Q83" i="2"/>
  <c r="I83" i="2"/>
  <c r="T82" i="2"/>
  <c r="L82" i="2"/>
  <c r="O81" i="2"/>
  <c r="G81" i="2"/>
  <c r="R80" i="2"/>
  <c r="J80" i="2"/>
  <c r="U79" i="2"/>
  <c r="M79" i="2"/>
  <c r="E79" i="2"/>
  <c r="Z79" i="2" s="1"/>
  <c r="P78" i="2"/>
  <c r="H78" i="2"/>
  <c r="S77" i="2"/>
  <c r="K77" i="2"/>
  <c r="N76" i="2"/>
  <c r="F76" i="2"/>
  <c r="Q75" i="2"/>
  <c r="I75" i="2"/>
  <c r="T74" i="2"/>
  <c r="L74" i="2"/>
  <c r="O73" i="2"/>
  <c r="G73" i="2"/>
  <c r="R72" i="2"/>
  <c r="J72" i="2"/>
  <c r="U71" i="2"/>
  <c r="M71" i="2"/>
  <c r="E71" i="2"/>
  <c r="Z71" i="2" s="1"/>
  <c r="P70" i="2"/>
  <c r="H70" i="2"/>
  <c r="S69" i="2"/>
  <c r="K69" i="2"/>
  <c r="N68" i="2"/>
  <c r="F68" i="2"/>
  <c r="R67" i="2"/>
  <c r="J67" i="2"/>
  <c r="U66" i="2"/>
  <c r="M66" i="2"/>
  <c r="E66" i="2"/>
  <c r="Z66" i="2" s="1"/>
  <c r="Q65" i="2"/>
  <c r="I65" i="2"/>
  <c r="T64" i="2"/>
  <c r="L64" i="2"/>
  <c r="O63" i="2"/>
  <c r="G63" i="2"/>
  <c r="R62" i="2"/>
  <c r="J62" i="2"/>
  <c r="U61" i="2"/>
  <c r="M61" i="2"/>
  <c r="E61" i="2"/>
  <c r="Z61" i="2" s="1"/>
  <c r="Q60" i="2"/>
  <c r="I60" i="2"/>
  <c r="T59" i="2"/>
  <c r="L59" i="2"/>
  <c r="O58" i="2"/>
  <c r="G58" i="2"/>
  <c r="R57" i="2"/>
  <c r="J57" i="2"/>
  <c r="U56" i="2"/>
  <c r="M56" i="2"/>
  <c r="E56" i="2"/>
  <c r="Z56" i="2" s="1"/>
  <c r="P55" i="2"/>
  <c r="H55" i="2"/>
  <c r="T54" i="2"/>
  <c r="L54" i="2"/>
  <c r="O53" i="2"/>
  <c r="G53" i="2"/>
  <c r="R52" i="2"/>
  <c r="J52" i="2"/>
  <c r="U51" i="2"/>
  <c r="M51" i="2"/>
  <c r="E51" i="2"/>
  <c r="Z51" i="2" s="1"/>
  <c r="Q50" i="2"/>
  <c r="I50" i="2"/>
  <c r="T49" i="2"/>
  <c r="L49" i="2"/>
  <c r="P48" i="2"/>
  <c r="H48" i="2"/>
  <c r="T47" i="2"/>
  <c r="L47" i="2"/>
  <c r="O46" i="2"/>
  <c r="G46" i="2"/>
  <c r="R45" i="2"/>
  <c r="J45" i="2"/>
  <c r="U44" i="2"/>
  <c r="M44" i="2"/>
  <c r="E44" i="2"/>
  <c r="Z44" i="2" s="1"/>
  <c r="Q43" i="2"/>
  <c r="I43" i="2"/>
  <c r="T42" i="2"/>
  <c r="L42" i="2"/>
  <c r="O41" i="2"/>
  <c r="G41" i="2"/>
  <c r="S40" i="2"/>
  <c r="K40" i="2"/>
  <c r="O39" i="2"/>
  <c r="G39" i="2"/>
  <c r="S38" i="2"/>
  <c r="K38" i="2"/>
  <c r="O37" i="2"/>
  <c r="G37" i="2"/>
  <c r="S36" i="2"/>
  <c r="K36" i="2"/>
  <c r="O35" i="2"/>
  <c r="G35" i="2"/>
  <c r="R34" i="2"/>
  <c r="J34" i="2"/>
  <c r="U33" i="2"/>
  <c r="M33" i="2"/>
  <c r="E33" i="2"/>
  <c r="Z33" i="2" s="1"/>
  <c r="P32" i="2"/>
  <c r="H32" i="2"/>
  <c r="S31" i="2"/>
  <c r="K31" i="2"/>
  <c r="N30" i="2"/>
  <c r="F30" i="2"/>
  <c r="R29" i="2"/>
  <c r="S114" i="2"/>
  <c r="N113" i="2"/>
  <c r="Q112" i="2"/>
  <c r="T111" i="2"/>
  <c r="F111" i="2"/>
  <c r="O110" i="2"/>
  <c r="L109" i="2"/>
  <c r="U108" i="2"/>
  <c r="I108" i="2"/>
  <c r="R107" i="2"/>
  <c r="H107" i="2"/>
  <c r="O106" i="2"/>
  <c r="E106" i="2"/>
  <c r="Z106" i="2" s="1"/>
  <c r="N105" i="2"/>
  <c r="F105" i="2"/>
  <c r="Q104" i="2"/>
  <c r="I104" i="2"/>
  <c r="T103" i="2"/>
  <c r="L103" i="2"/>
  <c r="O102" i="2"/>
  <c r="G102" i="2"/>
  <c r="R101" i="2"/>
  <c r="J101" i="2"/>
  <c r="U100" i="2"/>
  <c r="M100" i="2"/>
  <c r="E100" i="2"/>
  <c r="Z100" i="2" s="1"/>
  <c r="P99" i="2"/>
  <c r="H99" i="2"/>
  <c r="S98" i="2"/>
  <c r="K98" i="2"/>
  <c r="N97" i="2"/>
  <c r="F97" i="2"/>
  <c r="Q96" i="2"/>
  <c r="I96" i="2"/>
  <c r="T95" i="2"/>
  <c r="L95" i="2"/>
  <c r="O94" i="2"/>
  <c r="G94" i="2"/>
  <c r="R93" i="2"/>
  <c r="J93" i="2"/>
  <c r="U92" i="2"/>
  <c r="M92" i="2"/>
  <c r="E92" i="2"/>
  <c r="Z92" i="2" s="1"/>
  <c r="P91" i="2"/>
  <c r="H91" i="2"/>
  <c r="S90" i="2"/>
  <c r="K90" i="2"/>
  <c r="N89" i="2"/>
  <c r="F89" i="2"/>
  <c r="Q88" i="2"/>
  <c r="I88" i="2"/>
  <c r="T87" i="2"/>
  <c r="L87" i="2"/>
  <c r="O86" i="2"/>
  <c r="G86" i="2"/>
  <c r="R85" i="2"/>
  <c r="J85" i="2"/>
  <c r="U84" i="2"/>
  <c r="M84" i="2"/>
  <c r="E84" i="2"/>
  <c r="Z84" i="2" s="1"/>
  <c r="P83" i="2"/>
  <c r="H83" i="2"/>
  <c r="S82" i="2"/>
  <c r="K82" i="2"/>
  <c r="N81" i="2"/>
  <c r="F81" i="2"/>
  <c r="Q80" i="2"/>
  <c r="I80" i="2"/>
  <c r="T79" i="2"/>
  <c r="L79" i="2"/>
  <c r="O78" i="2"/>
  <c r="G78" i="2"/>
  <c r="R77" i="2"/>
  <c r="J77" i="2"/>
  <c r="U76" i="2"/>
  <c r="M76" i="2"/>
  <c r="E76" i="2"/>
  <c r="Z76" i="2" s="1"/>
  <c r="P75" i="2"/>
  <c r="H75" i="2"/>
  <c r="S74" i="2"/>
  <c r="K74" i="2"/>
  <c r="N73" i="2"/>
  <c r="F73" i="2"/>
  <c r="Q72" i="2"/>
  <c r="I72" i="2"/>
  <c r="T71" i="2"/>
  <c r="L71" i="2"/>
  <c r="O70" i="2"/>
  <c r="G70" i="2"/>
  <c r="R69" i="2"/>
  <c r="J69" i="2"/>
  <c r="U68" i="2"/>
  <c r="M68" i="2"/>
  <c r="E68" i="2"/>
  <c r="Z68" i="2" s="1"/>
  <c r="Q67" i="2"/>
  <c r="I67" i="2"/>
  <c r="T66" i="2"/>
  <c r="L66" i="2"/>
  <c r="P65" i="2"/>
  <c r="H65" i="2"/>
  <c r="S64" i="2"/>
  <c r="K64" i="2"/>
  <c r="N63" i="2"/>
  <c r="F63" i="2"/>
  <c r="Q62" i="2"/>
  <c r="I62" i="2"/>
  <c r="T61" i="2"/>
  <c r="L61" i="2"/>
  <c r="P60" i="2"/>
  <c r="H60" i="2"/>
  <c r="S59" i="2"/>
  <c r="K59" i="2"/>
  <c r="N58" i="2"/>
  <c r="F58" i="2"/>
  <c r="Q57" i="2"/>
  <c r="I57" i="2"/>
  <c r="T56" i="2"/>
  <c r="L56" i="2"/>
  <c r="O55" i="2"/>
  <c r="G55" i="2"/>
  <c r="S54" i="2"/>
  <c r="K54" i="2"/>
  <c r="N53" i="2"/>
  <c r="F53" i="2"/>
  <c r="Q52" i="2"/>
  <c r="I52" i="2"/>
  <c r="T51" i="2"/>
  <c r="L51" i="2"/>
  <c r="P50" i="2"/>
  <c r="H50" i="2"/>
  <c r="S49" i="2"/>
  <c r="K49" i="2"/>
  <c r="O48" i="2"/>
  <c r="G48" i="2"/>
  <c r="S47" i="2"/>
  <c r="K47" i="2"/>
  <c r="N46" i="2"/>
  <c r="F46" i="2"/>
  <c r="Q45" i="2"/>
  <c r="I45" i="2"/>
  <c r="T44" i="2"/>
  <c r="L44" i="2"/>
  <c r="P43" i="2"/>
  <c r="H43" i="2"/>
  <c r="S42" i="2"/>
  <c r="K42" i="2"/>
  <c r="N41" i="2"/>
  <c r="F41" i="2"/>
  <c r="R40" i="2"/>
  <c r="J40" i="2"/>
  <c r="N39" i="2"/>
  <c r="F39" i="2"/>
  <c r="R38" i="2"/>
  <c r="J38" i="2"/>
  <c r="N37" i="2"/>
  <c r="F37" i="2"/>
  <c r="R36" i="2"/>
  <c r="J36" i="2"/>
  <c r="N35" i="2"/>
  <c r="F35" i="2"/>
  <c r="Q34" i="2"/>
  <c r="I34" i="2"/>
  <c r="T33" i="2"/>
  <c r="L33" i="2"/>
  <c r="O32" i="2"/>
  <c r="G32" i="2"/>
  <c r="R31" i="2"/>
  <c r="J31" i="2"/>
  <c r="U30" i="2"/>
  <c r="M30" i="2"/>
  <c r="E30" i="2"/>
  <c r="Z30" i="2" s="1"/>
  <c r="Q29" i="2"/>
  <c r="M114" i="2"/>
  <c r="I113" i="2"/>
  <c r="L112" i="2"/>
  <c r="O111" i="2"/>
  <c r="E111" i="2"/>
  <c r="Z111" i="2" s="1"/>
  <c r="L110" i="2"/>
  <c r="U109" i="2"/>
  <c r="K109" i="2"/>
  <c r="R108" i="2"/>
  <c r="H108" i="2"/>
  <c r="Q107" i="2"/>
  <c r="E107" i="2"/>
  <c r="Z107" i="2" s="1"/>
  <c r="N106" i="2"/>
  <c r="M105" i="2"/>
  <c r="E105" i="2"/>
  <c r="Z105" i="2" s="1"/>
  <c r="P104" i="2"/>
  <c r="H104" i="2"/>
  <c r="S103" i="2"/>
  <c r="K103" i="2"/>
  <c r="N102" i="2"/>
  <c r="F102" i="2"/>
  <c r="Q101" i="2"/>
  <c r="I101" i="2"/>
  <c r="T100" i="2"/>
  <c r="L100" i="2"/>
  <c r="O99" i="2"/>
  <c r="G99" i="2"/>
  <c r="R98" i="2"/>
  <c r="J98" i="2"/>
  <c r="U97" i="2"/>
  <c r="M97" i="2"/>
  <c r="E97" i="2"/>
  <c r="Z97" i="2" s="1"/>
  <c r="P96" i="2"/>
  <c r="H96" i="2"/>
  <c r="S95" i="2"/>
  <c r="K95" i="2"/>
  <c r="N94" i="2"/>
  <c r="F94" i="2"/>
  <c r="Q93" i="2"/>
  <c r="I93" i="2"/>
  <c r="T92" i="2"/>
  <c r="L92" i="2"/>
  <c r="O91" i="2"/>
  <c r="G91" i="2"/>
  <c r="R90" i="2"/>
  <c r="J90" i="2"/>
  <c r="U89" i="2"/>
  <c r="M89" i="2"/>
  <c r="E89" i="2"/>
  <c r="Z89" i="2" s="1"/>
  <c r="P88" i="2"/>
  <c r="H88" i="2"/>
  <c r="S87" i="2"/>
  <c r="K87" i="2"/>
  <c r="N86" i="2"/>
  <c r="F86" i="2"/>
  <c r="Q85" i="2"/>
  <c r="I85" i="2"/>
  <c r="T84" i="2"/>
  <c r="L84" i="2"/>
  <c r="O83" i="2"/>
  <c r="G83" i="2"/>
  <c r="R82" i="2"/>
  <c r="J82" i="2"/>
  <c r="U81" i="2"/>
  <c r="M81" i="2"/>
  <c r="E81" i="2"/>
  <c r="Z81" i="2" s="1"/>
  <c r="P80" i="2"/>
  <c r="H80" i="2"/>
  <c r="S79" i="2"/>
  <c r="K79" i="2"/>
  <c r="N78" i="2"/>
  <c r="F78" i="2"/>
  <c r="Q77" i="2"/>
  <c r="I77" i="2"/>
  <c r="T76" i="2"/>
  <c r="L76" i="2"/>
  <c r="O75" i="2"/>
  <c r="G75" i="2"/>
  <c r="R74" i="2"/>
  <c r="J74" i="2"/>
  <c r="U73" i="2"/>
  <c r="M73" i="2"/>
  <c r="E73" i="2"/>
  <c r="Z73" i="2" s="1"/>
  <c r="P72" i="2"/>
  <c r="H72" i="2"/>
  <c r="S71" i="2"/>
  <c r="K71" i="2"/>
  <c r="N70" i="2"/>
  <c r="F70" i="2"/>
  <c r="Q69" i="2"/>
  <c r="I69" i="2"/>
  <c r="T68" i="2"/>
  <c r="L68" i="2"/>
  <c r="P67" i="2"/>
  <c r="H67" i="2"/>
  <c r="S66" i="2"/>
  <c r="K66" i="2"/>
  <c r="O65" i="2"/>
  <c r="G65" i="2"/>
  <c r="R64" i="2"/>
  <c r="J64" i="2"/>
  <c r="U63" i="2"/>
  <c r="M63" i="2"/>
  <c r="E63" i="2"/>
  <c r="Z63" i="2" s="1"/>
  <c r="P62" i="2"/>
  <c r="H62" i="2"/>
  <c r="S61" i="2"/>
  <c r="K61" i="2"/>
  <c r="O60" i="2"/>
  <c r="G60" i="2"/>
  <c r="R59" i="2"/>
  <c r="J59" i="2"/>
  <c r="U58" i="2"/>
  <c r="M58" i="2"/>
  <c r="E58" i="2"/>
  <c r="Z58" i="2" s="1"/>
  <c r="P57" i="2"/>
  <c r="H57" i="2"/>
  <c r="S56" i="2"/>
  <c r="K56" i="2"/>
  <c r="N55" i="2"/>
  <c r="F55" i="2"/>
  <c r="R54" i="2"/>
  <c r="J54" i="2"/>
  <c r="U53" i="2"/>
  <c r="M53" i="2"/>
  <c r="E53" i="2"/>
  <c r="Z53" i="2" s="1"/>
  <c r="P52" i="2"/>
  <c r="H52" i="2"/>
  <c r="S51" i="2"/>
  <c r="K51" i="2"/>
  <c r="O50" i="2"/>
  <c r="G50" i="2"/>
  <c r="R49" i="2"/>
  <c r="J49" i="2"/>
  <c r="N48" i="2"/>
  <c r="F48" i="2"/>
  <c r="R47" i="2"/>
  <c r="J47" i="2"/>
  <c r="U46" i="2"/>
  <c r="M46" i="2"/>
  <c r="E46" i="2"/>
  <c r="Z46" i="2" s="1"/>
  <c r="P45" i="2"/>
  <c r="H45" i="2"/>
  <c r="S44" i="2"/>
  <c r="K44" i="2"/>
  <c r="O43" i="2"/>
  <c r="G43" i="2"/>
  <c r="R42" i="2"/>
  <c r="J42" i="2"/>
  <c r="U41" i="2"/>
  <c r="M41" i="2"/>
  <c r="E41" i="2"/>
  <c r="Z41" i="2" s="1"/>
  <c r="Q40" i="2"/>
  <c r="I40" i="2"/>
  <c r="U39" i="2"/>
  <c r="M39" i="2"/>
  <c r="E39" i="2"/>
  <c r="Z39" i="2" s="1"/>
  <c r="Q38" i="2"/>
  <c r="I38" i="2"/>
  <c r="U37" i="2"/>
  <c r="M37" i="2"/>
  <c r="E37" i="2"/>
  <c r="Z37" i="2" s="1"/>
  <c r="K114" i="2"/>
  <c r="H113" i="2"/>
  <c r="K112" i="2"/>
  <c r="N111" i="2"/>
  <c r="K110" i="2"/>
  <c r="T109" i="2"/>
  <c r="J109" i="2"/>
  <c r="Q108" i="2"/>
  <c r="G108" i="2"/>
  <c r="P107" i="2"/>
  <c r="M106" i="2"/>
  <c r="L105" i="2"/>
  <c r="O104" i="2"/>
  <c r="G104" i="2"/>
  <c r="R103" i="2"/>
  <c r="J103" i="2"/>
  <c r="U102" i="2"/>
  <c r="M102" i="2"/>
  <c r="E102" i="2"/>
  <c r="Z102" i="2" s="1"/>
  <c r="P101" i="2"/>
  <c r="H101" i="2"/>
  <c r="S100" i="2"/>
  <c r="K100" i="2"/>
  <c r="N99" i="2"/>
  <c r="F99" i="2"/>
  <c r="Q98" i="2"/>
  <c r="I98" i="2"/>
  <c r="T97" i="2"/>
  <c r="L97" i="2"/>
  <c r="O96" i="2"/>
  <c r="G96" i="2"/>
  <c r="R95" i="2"/>
  <c r="J95" i="2"/>
  <c r="U94" i="2"/>
  <c r="M94" i="2"/>
  <c r="E94" i="2"/>
  <c r="Z94" i="2" s="1"/>
  <c r="P93" i="2"/>
  <c r="H93" i="2"/>
  <c r="S92" i="2"/>
  <c r="K92" i="2"/>
  <c r="N91" i="2"/>
  <c r="F91" i="2"/>
  <c r="Q90" i="2"/>
  <c r="I90" i="2"/>
  <c r="T89" i="2"/>
  <c r="L89" i="2"/>
  <c r="O88" i="2"/>
  <c r="G88" i="2"/>
  <c r="R87" i="2"/>
  <c r="J87" i="2"/>
  <c r="U86" i="2"/>
  <c r="M86" i="2"/>
  <c r="E86" i="2"/>
  <c r="Z86" i="2" s="1"/>
  <c r="P85" i="2"/>
  <c r="H85" i="2"/>
  <c r="S84" i="2"/>
  <c r="K84" i="2"/>
  <c r="N83" i="2"/>
  <c r="F83" i="2"/>
  <c r="Q82" i="2"/>
  <c r="I82" i="2"/>
  <c r="T81" i="2"/>
  <c r="L81" i="2"/>
  <c r="O80" i="2"/>
  <c r="G80" i="2"/>
  <c r="R79" i="2"/>
  <c r="J79" i="2"/>
  <c r="U78" i="2"/>
  <c r="M78" i="2"/>
  <c r="E78" i="2"/>
  <c r="Z78" i="2" s="1"/>
  <c r="P77" i="2"/>
  <c r="H77" i="2"/>
  <c r="S76" i="2"/>
  <c r="K76" i="2"/>
  <c r="N75" i="2"/>
  <c r="F75" i="2"/>
  <c r="Q74" i="2"/>
  <c r="I74" i="2"/>
  <c r="T73" i="2"/>
  <c r="L73" i="2"/>
  <c r="O72" i="2"/>
  <c r="G72" i="2"/>
  <c r="R71" i="2"/>
  <c r="J71" i="2"/>
  <c r="U70" i="2"/>
  <c r="M70" i="2"/>
  <c r="E70" i="2"/>
  <c r="Z70" i="2" s="1"/>
  <c r="P69" i="2"/>
  <c r="H69" i="2"/>
  <c r="S68" i="2"/>
  <c r="K68" i="2"/>
  <c r="O67" i="2"/>
  <c r="G67" i="2"/>
  <c r="R66" i="2"/>
  <c r="J66" i="2"/>
  <c r="N65" i="2"/>
  <c r="F65" i="2"/>
  <c r="Q64" i="2"/>
  <c r="I64" i="2"/>
  <c r="T63" i="2"/>
  <c r="L63" i="2"/>
  <c r="O62" i="2"/>
  <c r="G62" i="2"/>
  <c r="R61" i="2"/>
  <c r="J61" i="2"/>
  <c r="N60" i="2"/>
  <c r="F60" i="2"/>
  <c r="Q59" i="2"/>
  <c r="I59" i="2"/>
  <c r="T58" i="2"/>
  <c r="L58" i="2"/>
  <c r="O57" i="2"/>
  <c r="G57" i="2"/>
  <c r="R56" i="2"/>
  <c r="J56" i="2"/>
  <c r="U55" i="2"/>
  <c r="M55" i="2"/>
  <c r="E55" i="2"/>
  <c r="Z55" i="2" s="1"/>
  <c r="Q54" i="2"/>
  <c r="I54" i="2"/>
  <c r="T53" i="2"/>
  <c r="L53" i="2"/>
  <c r="O52" i="2"/>
  <c r="G52" i="2"/>
  <c r="R51" i="2"/>
  <c r="J51" i="2"/>
  <c r="N50" i="2"/>
  <c r="F50" i="2"/>
  <c r="Q49" i="2"/>
  <c r="I49" i="2"/>
  <c r="U48" i="2"/>
  <c r="M48" i="2"/>
  <c r="E48" i="2"/>
  <c r="Z48" i="2" s="1"/>
  <c r="Q47" i="2"/>
  <c r="I47" i="2"/>
  <c r="T46" i="2"/>
  <c r="L46" i="2"/>
  <c r="O45" i="2"/>
  <c r="G45" i="2"/>
  <c r="R44" i="2"/>
  <c r="J44" i="2"/>
  <c r="N43" i="2"/>
  <c r="F43" i="2"/>
  <c r="Q42" i="2"/>
  <c r="I42" i="2"/>
  <c r="T41" i="2"/>
  <c r="L41" i="2"/>
  <c r="P40" i="2"/>
  <c r="H40" i="2"/>
  <c r="T39" i="2"/>
  <c r="L39" i="2"/>
  <c r="P38" i="2"/>
  <c r="H38" i="2"/>
  <c r="T37" i="2"/>
  <c r="L37" i="2"/>
  <c r="P36" i="2"/>
  <c r="H36" i="2"/>
  <c r="T35" i="2"/>
  <c r="E114" i="2"/>
  <c r="Z114" i="2" s="1"/>
  <c r="G113" i="2"/>
  <c r="J112" i="2"/>
  <c r="M111" i="2"/>
  <c r="T110" i="2"/>
  <c r="J110" i="2"/>
  <c r="S109" i="2"/>
  <c r="G109" i="2"/>
  <c r="P108" i="2"/>
  <c r="F108" i="2"/>
  <c r="M107" i="2"/>
  <c r="L106" i="2"/>
  <c r="S105" i="2"/>
  <c r="K105" i="2"/>
  <c r="N104" i="2"/>
  <c r="F104" i="2"/>
  <c r="Q103" i="2"/>
  <c r="I103" i="2"/>
  <c r="T102" i="2"/>
  <c r="L102" i="2"/>
  <c r="O101" i="2"/>
  <c r="G101" i="2"/>
  <c r="R100" i="2"/>
  <c r="J100" i="2"/>
  <c r="U99" i="2"/>
  <c r="M99" i="2"/>
  <c r="E99" i="2"/>
  <c r="Z99" i="2" s="1"/>
  <c r="P98" i="2"/>
  <c r="H98" i="2"/>
  <c r="S97" i="2"/>
  <c r="K97" i="2"/>
  <c r="N96" i="2"/>
  <c r="F96" i="2"/>
  <c r="Q95" i="2"/>
  <c r="I95" i="2"/>
  <c r="T94" i="2"/>
  <c r="L94" i="2"/>
  <c r="O93" i="2"/>
  <c r="G93" i="2"/>
  <c r="R92" i="2"/>
  <c r="J92" i="2"/>
  <c r="U91" i="2"/>
  <c r="M91" i="2"/>
  <c r="E91" i="2"/>
  <c r="Z91" i="2" s="1"/>
  <c r="P90" i="2"/>
  <c r="H90" i="2"/>
  <c r="S89" i="2"/>
  <c r="K89" i="2"/>
  <c r="N88" i="2"/>
  <c r="F88" i="2"/>
  <c r="Q87" i="2"/>
  <c r="I87" i="2"/>
  <c r="T86" i="2"/>
  <c r="L86" i="2"/>
  <c r="O85" i="2"/>
  <c r="G85" i="2"/>
  <c r="R84" i="2"/>
  <c r="J84" i="2"/>
  <c r="U83" i="2"/>
  <c r="M83" i="2"/>
  <c r="E83" i="2"/>
  <c r="Z83" i="2" s="1"/>
  <c r="P82" i="2"/>
  <c r="H82" i="2"/>
  <c r="S81" i="2"/>
  <c r="K81" i="2"/>
  <c r="N80" i="2"/>
  <c r="F80" i="2"/>
  <c r="Q79" i="2"/>
  <c r="I79" i="2"/>
  <c r="T78" i="2"/>
  <c r="L78" i="2"/>
  <c r="O77" i="2"/>
  <c r="G77" i="2"/>
  <c r="R76" i="2"/>
  <c r="J76" i="2"/>
  <c r="U75" i="2"/>
  <c r="M75" i="2"/>
  <c r="E75" i="2"/>
  <c r="Z75" i="2" s="1"/>
  <c r="P74" i="2"/>
  <c r="H74" i="2"/>
  <c r="S73" i="2"/>
  <c r="K73" i="2"/>
  <c r="N72" i="2"/>
  <c r="F72" i="2"/>
  <c r="Q71" i="2"/>
  <c r="I71" i="2"/>
  <c r="T70" i="2"/>
  <c r="L70" i="2"/>
  <c r="O69" i="2"/>
  <c r="G69" i="2"/>
  <c r="R68" i="2"/>
  <c r="J68" i="2"/>
  <c r="N67" i="2"/>
  <c r="F67" i="2"/>
  <c r="Q66" i="2"/>
  <c r="I66" i="2"/>
  <c r="U65" i="2"/>
  <c r="M65" i="2"/>
  <c r="E65" i="2"/>
  <c r="Z65" i="2" s="1"/>
  <c r="P64" i="2"/>
  <c r="H64" i="2"/>
  <c r="S63" i="2"/>
  <c r="K63" i="2"/>
  <c r="N62" i="2"/>
  <c r="F62" i="2"/>
  <c r="Q61" i="2"/>
  <c r="I61" i="2"/>
  <c r="U60" i="2"/>
  <c r="M60" i="2"/>
  <c r="E60" i="2"/>
  <c r="Z60" i="2" s="1"/>
  <c r="P59" i="2"/>
  <c r="H59" i="2"/>
  <c r="S58" i="2"/>
  <c r="K58" i="2"/>
  <c r="N57" i="2"/>
  <c r="F57" i="2"/>
  <c r="Q56" i="2"/>
  <c r="I56" i="2"/>
  <c r="T55" i="2"/>
  <c r="L55" i="2"/>
  <c r="P54" i="2"/>
  <c r="H54" i="2"/>
  <c r="S53" i="2"/>
  <c r="K53" i="2"/>
  <c r="N52" i="2"/>
  <c r="F52" i="2"/>
  <c r="Q51" i="2"/>
  <c r="I51" i="2"/>
  <c r="U50" i="2"/>
  <c r="M50" i="2"/>
  <c r="E50" i="2"/>
  <c r="Z50" i="2" s="1"/>
  <c r="P49" i="2"/>
  <c r="H49" i="2"/>
  <c r="T48" i="2"/>
  <c r="L48" i="2"/>
  <c r="P47" i="2"/>
  <c r="H47" i="2"/>
  <c r="S46" i="2"/>
  <c r="K46" i="2"/>
  <c r="N45" i="2"/>
  <c r="F45" i="2"/>
  <c r="Q44" i="2"/>
  <c r="I44" i="2"/>
  <c r="U43" i="2"/>
  <c r="M43" i="2"/>
  <c r="E43" i="2"/>
  <c r="Z43" i="2" s="1"/>
  <c r="P42" i="2"/>
  <c r="H42" i="2"/>
  <c r="S41" i="2"/>
  <c r="K41" i="2"/>
  <c r="O40" i="2"/>
  <c r="G40" i="2"/>
  <c r="S39" i="2"/>
  <c r="K39" i="2"/>
  <c r="F113" i="2"/>
  <c r="I112" i="2"/>
  <c r="L111" i="2"/>
  <c r="S110" i="2"/>
  <c r="I110" i="2"/>
  <c r="R109" i="2"/>
  <c r="F109" i="2"/>
  <c r="O108" i="2"/>
  <c r="E108" i="2"/>
  <c r="Z108" i="2" s="1"/>
  <c r="L107" i="2"/>
  <c r="U106" i="2"/>
  <c r="K106" i="2"/>
  <c r="R105" i="2"/>
  <c r="J105" i="2"/>
  <c r="U104" i="2"/>
  <c r="M104" i="2"/>
  <c r="E104" i="2"/>
  <c r="Z104" i="2" s="1"/>
  <c r="P103" i="2"/>
  <c r="H103" i="2"/>
  <c r="S102" i="2"/>
  <c r="K102" i="2"/>
  <c r="N101" i="2"/>
  <c r="F101" i="2"/>
  <c r="Q100" i="2"/>
  <c r="I100" i="2"/>
  <c r="T99" i="2"/>
  <c r="L99" i="2"/>
  <c r="O98" i="2"/>
  <c r="G98" i="2"/>
  <c r="R97" i="2"/>
  <c r="J97" i="2"/>
  <c r="U96" i="2"/>
  <c r="M96" i="2"/>
  <c r="E96" i="2"/>
  <c r="Z96" i="2" s="1"/>
  <c r="P95" i="2"/>
  <c r="H95" i="2"/>
  <c r="S94" i="2"/>
  <c r="K94" i="2"/>
  <c r="N93" i="2"/>
  <c r="F93" i="2"/>
  <c r="Q92" i="2"/>
  <c r="I92" i="2"/>
  <c r="T91" i="2"/>
  <c r="L91" i="2"/>
  <c r="O90" i="2"/>
  <c r="G90" i="2"/>
  <c r="R89" i="2"/>
  <c r="J89" i="2"/>
  <c r="U88" i="2"/>
  <c r="M88" i="2"/>
  <c r="E88" i="2"/>
  <c r="Z88" i="2" s="1"/>
  <c r="P87" i="2"/>
  <c r="H87" i="2"/>
  <c r="S86" i="2"/>
  <c r="K86" i="2"/>
  <c r="N85" i="2"/>
  <c r="F85" i="2"/>
  <c r="Q84" i="2"/>
  <c r="I84" i="2"/>
  <c r="T83" i="2"/>
  <c r="L83" i="2"/>
  <c r="O82" i="2"/>
  <c r="G82" i="2"/>
  <c r="R81" i="2"/>
  <c r="J81" i="2"/>
  <c r="U80" i="2"/>
  <c r="M80" i="2"/>
  <c r="E80" i="2"/>
  <c r="Z80" i="2" s="1"/>
  <c r="P79" i="2"/>
  <c r="H79" i="2"/>
  <c r="S78" i="2"/>
  <c r="K78" i="2"/>
  <c r="N77" i="2"/>
  <c r="F77" i="2"/>
  <c r="Q76" i="2"/>
  <c r="I76" i="2"/>
  <c r="T75" i="2"/>
  <c r="L75" i="2"/>
  <c r="O74" i="2"/>
  <c r="G74" i="2"/>
  <c r="R73" i="2"/>
  <c r="J73" i="2"/>
  <c r="U72" i="2"/>
  <c r="M72" i="2"/>
  <c r="E72" i="2"/>
  <c r="Z72" i="2" s="1"/>
  <c r="P71" i="2"/>
  <c r="H71" i="2"/>
  <c r="S70" i="2"/>
  <c r="K70" i="2"/>
  <c r="N69" i="2"/>
  <c r="F69" i="2"/>
  <c r="Q68" i="2"/>
  <c r="I68" i="2"/>
  <c r="U67" i="2"/>
  <c r="M67" i="2"/>
  <c r="E67" i="2"/>
  <c r="Z67" i="2" s="1"/>
  <c r="P66" i="2"/>
  <c r="H66" i="2"/>
  <c r="T65" i="2"/>
  <c r="L65" i="2"/>
  <c r="O64" i="2"/>
  <c r="G64" i="2"/>
  <c r="R63" i="2"/>
  <c r="J63" i="2"/>
  <c r="U62" i="2"/>
  <c r="M62" i="2"/>
  <c r="E62" i="2"/>
  <c r="Z62" i="2" s="1"/>
  <c r="P61" i="2"/>
  <c r="H61" i="2"/>
  <c r="T60" i="2"/>
  <c r="L60" i="2"/>
  <c r="O59" i="2"/>
  <c r="G59" i="2"/>
  <c r="R58" i="2"/>
  <c r="J58" i="2"/>
  <c r="U57" i="2"/>
  <c r="M57" i="2"/>
  <c r="E57" i="2"/>
  <c r="Z57" i="2" s="1"/>
  <c r="P56" i="2"/>
  <c r="H56" i="2"/>
  <c r="S55" i="2"/>
  <c r="K55" i="2"/>
  <c r="O54" i="2"/>
  <c r="G54" i="2"/>
  <c r="R53" i="2"/>
  <c r="J53" i="2"/>
  <c r="U52" i="2"/>
  <c r="M52" i="2"/>
  <c r="E52" i="2"/>
  <c r="Z52" i="2" s="1"/>
  <c r="P51" i="2"/>
  <c r="H51" i="2"/>
  <c r="T50" i="2"/>
  <c r="L50" i="2"/>
  <c r="O49" i="2"/>
  <c r="G49" i="2"/>
  <c r="S48" i="2"/>
  <c r="K48" i="2"/>
  <c r="O47" i="2"/>
  <c r="G47" i="2"/>
  <c r="R46" i="2"/>
  <c r="J46" i="2"/>
  <c r="U45" i="2"/>
  <c r="M45" i="2"/>
  <c r="E45" i="2"/>
  <c r="Z45" i="2" s="1"/>
  <c r="P44" i="2"/>
  <c r="H44" i="2"/>
  <c r="T43" i="2"/>
  <c r="L43" i="2"/>
  <c r="O42" i="2"/>
  <c r="G42" i="2"/>
  <c r="R41" i="2"/>
  <c r="J41" i="2"/>
  <c r="N40" i="2"/>
  <c r="Q113" i="2"/>
  <c r="T112" i="2"/>
  <c r="I111" i="2"/>
  <c r="R110" i="2"/>
  <c r="H110" i="2"/>
  <c r="O109" i="2"/>
  <c r="E109" i="2"/>
  <c r="Z109" i="2" s="1"/>
  <c r="N108" i="2"/>
  <c r="U107" i="2"/>
  <c r="K107" i="2"/>
  <c r="T106" i="2"/>
  <c r="H106" i="2"/>
  <c r="Q105" i="2"/>
  <c r="I105" i="2"/>
  <c r="T104" i="2"/>
  <c r="L104" i="2"/>
  <c r="O103" i="2"/>
  <c r="G103" i="2"/>
  <c r="R102" i="2"/>
  <c r="J102" i="2"/>
  <c r="U101" i="2"/>
  <c r="M101" i="2"/>
  <c r="E101" i="2"/>
  <c r="Z101" i="2" s="1"/>
  <c r="P100" i="2"/>
  <c r="H100" i="2"/>
  <c r="S99" i="2"/>
  <c r="K99" i="2"/>
  <c r="N98" i="2"/>
  <c r="F98" i="2"/>
  <c r="Q97" i="2"/>
  <c r="I97" i="2"/>
  <c r="T96" i="2"/>
  <c r="L96" i="2"/>
  <c r="O95" i="2"/>
  <c r="G95" i="2"/>
  <c r="R94" i="2"/>
  <c r="J94" i="2"/>
  <c r="U93" i="2"/>
  <c r="M93" i="2"/>
  <c r="E93" i="2"/>
  <c r="Z93" i="2" s="1"/>
  <c r="P92" i="2"/>
  <c r="H92" i="2"/>
  <c r="S91" i="2"/>
  <c r="K91" i="2"/>
  <c r="N90" i="2"/>
  <c r="F90" i="2"/>
  <c r="Q89" i="2"/>
  <c r="I89" i="2"/>
  <c r="T88" i="2"/>
  <c r="L88" i="2"/>
  <c r="O87" i="2"/>
  <c r="G87" i="2"/>
  <c r="R86" i="2"/>
  <c r="J86" i="2"/>
  <c r="U85" i="2"/>
  <c r="M85" i="2"/>
  <c r="E85" i="2"/>
  <c r="Z85" i="2" s="1"/>
  <c r="P84" i="2"/>
  <c r="H84" i="2"/>
  <c r="S83" i="2"/>
  <c r="K83" i="2"/>
  <c r="N82" i="2"/>
  <c r="F82" i="2"/>
  <c r="Q81" i="2"/>
  <c r="I81" i="2"/>
  <c r="T80" i="2"/>
  <c r="L80" i="2"/>
  <c r="O79" i="2"/>
  <c r="G79" i="2"/>
  <c r="R78" i="2"/>
  <c r="J78" i="2"/>
  <c r="U77" i="2"/>
  <c r="M77" i="2"/>
  <c r="E77" i="2"/>
  <c r="Z77" i="2" s="1"/>
  <c r="P76" i="2"/>
  <c r="H76" i="2"/>
  <c r="S75" i="2"/>
  <c r="K75" i="2"/>
  <c r="N74" i="2"/>
  <c r="F74" i="2"/>
  <c r="Q73" i="2"/>
  <c r="I73" i="2"/>
  <c r="T72" i="2"/>
  <c r="L72" i="2"/>
  <c r="O71" i="2"/>
  <c r="G71" i="2"/>
  <c r="R70" i="2"/>
  <c r="J70" i="2"/>
  <c r="U69" i="2"/>
  <c r="M69" i="2"/>
  <c r="E69" i="2"/>
  <c r="Z69" i="2" s="1"/>
  <c r="P68" i="2"/>
  <c r="H68" i="2"/>
  <c r="T67" i="2"/>
  <c r="L67" i="2"/>
  <c r="O66" i="2"/>
  <c r="G66" i="2"/>
  <c r="S65" i="2"/>
  <c r="K65" i="2"/>
  <c r="N64" i="2"/>
  <c r="F64" i="2"/>
  <c r="Q63" i="2"/>
  <c r="I63" i="2"/>
  <c r="T62" i="2"/>
  <c r="L62" i="2"/>
  <c r="O61" i="2"/>
  <c r="G61" i="2"/>
  <c r="S60" i="2"/>
  <c r="K60" i="2"/>
  <c r="N59" i="2"/>
  <c r="F59" i="2"/>
  <c r="Q58" i="2"/>
  <c r="I58" i="2"/>
  <c r="T57" i="2"/>
  <c r="L57" i="2"/>
  <c r="O56" i="2"/>
  <c r="G56" i="2"/>
  <c r="R55" i="2"/>
  <c r="J55" i="2"/>
  <c r="N54" i="2"/>
  <c r="F54" i="2"/>
  <c r="Q53" i="2"/>
  <c r="I53" i="2"/>
  <c r="T52" i="2"/>
  <c r="L52" i="2"/>
  <c r="O51" i="2"/>
  <c r="G51" i="2"/>
  <c r="S50" i="2"/>
  <c r="K50" i="2"/>
  <c r="N49" i="2"/>
  <c r="F49" i="2"/>
  <c r="R48" i="2"/>
  <c r="J48" i="2"/>
  <c r="N47" i="2"/>
  <c r="F47" i="2"/>
  <c r="Q46" i="2"/>
  <c r="I46" i="2"/>
  <c r="T45" i="2"/>
  <c r="L45" i="2"/>
  <c r="O44" i="2"/>
  <c r="G44" i="2"/>
  <c r="S43" i="2"/>
  <c r="K43" i="2"/>
  <c r="N42" i="2"/>
  <c r="F42" i="2"/>
  <c r="Q41" i="2"/>
  <c r="I41" i="2"/>
  <c r="U40" i="2"/>
  <c r="P113" i="2"/>
  <c r="S112" i="2"/>
  <c r="H111" i="2"/>
  <c r="Q110" i="2"/>
  <c r="G110" i="2"/>
  <c r="N109" i="2"/>
  <c r="M108" i="2"/>
  <c r="T107" i="2"/>
  <c r="J107" i="2"/>
  <c r="S106" i="2"/>
  <c r="G106" i="2"/>
  <c r="P105" i="2"/>
  <c r="H105" i="2"/>
  <c r="S104" i="2"/>
  <c r="K104" i="2"/>
  <c r="N103" i="2"/>
  <c r="F103" i="2"/>
  <c r="Q102" i="2"/>
  <c r="I102" i="2"/>
  <c r="T101" i="2"/>
  <c r="L101" i="2"/>
  <c r="O100" i="2"/>
  <c r="G100" i="2"/>
  <c r="R99" i="2"/>
  <c r="J99" i="2"/>
  <c r="U98" i="2"/>
  <c r="M98" i="2"/>
  <c r="E98" i="2"/>
  <c r="Z98" i="2" s="1"/>
  <c r="P97" i="2"/>
  <c r="H97" i="2"/>
  <c r="S96" i="2"/>
  <c r="K96" i="2"/>
  <c r="N95" i="2"/>
  <c r="F95" i="2"/>
  <c r="Q94" i="2"/>
  <c r="I94" i="2"/>
  <c r="T93" i="2"/>
  <c r="L93" i="2"/>
  <c r="O92" i="2"/>
  <c r="G92" i="2"/>
  <c r="R91" i="2"/>
  <c r="J91" i="2"/>
  <c r="U90" i="2"/>
  <c r="M90" i="2"/>
  <c r="E90" i="2"/>
  <c r="Z90" i="2" s="1"/>
  <c r="P89" i="2"/>
  <c r="H89" i="2"/>
  <c r="S88" i="2"/>
  <c r="K88" i="2"/>
  <c r="N87" i="2"/>
  <c r="F87" i="2"/>
  <c r="Q86" i="2"/>
  <c r="I86" i="2"/>
  <c r="T85" i="2"/>
  <c r="L85" i="2"/>
  <c r="O84" i="2"/>
  <c r="G84" i="2"/>
  <c r="R83" i="2"/>
  <c r="J83" i="2"/>
  <c r="U82" i="2"/>
  <c r="M82" i="2"/>
  <c r="E82" i="2"/>
  <c r="Z82" i="2" s="1"/>
  <c r="P81" i="2"/>
  <c r="H81" i="2"/>
  <c r="S80" i="2"/>
  <c r="K80" i="2"/>
  <c r="N79" i="2"/>
  <c r="F79" i="2"/>
  <c r="Q78" i="2"/>
  <c r="I78" i="2"/>
  <c r="T77" i="2"/>
  <c r="L77" i="2"/>
  <c r="O76" i="2"/>
  <c r="G76" i="2"/>
  <c r="R75" i="2"/>
  <c r="J75" i="2"/>
  <c r="U74" i="2"/>
  <c r="M74" i="2"/>
  <c r="E74" i="2"/>
  <c r="Z74" i="2" s="1"/>
  <c r="P73" i="2"/>
  <c r="H73" i="2"/>
  <c r="S72" i="2"/>
  <c r="K72" i="2"/>
  <c r="N71" i="2"/>
  <c r="F71" i="2"/>
  <c r="Q70" i="2"/>
  <c r="I70" i="2"/>
  <c r="T69" i="2"/>
  <c r="L69" i="2"/>
  <c r="O68" i="2"/>
  <c r="G68" i="2"/>
  <c r="S67" i="2"/>
  <c r="K67" i="2"/>
  <c r="N66" i="2"/>
  <c r="F66" i="2"/>
  <c r="R65" i="2"/>
  <c r="J65" i="2"/>
  <c r="U64" i="2"/>
  <c r="M64" i="2"/>
  <c r="E64" i="2"/>
  <c r="Z64" i="2" s="1"/>
  <c r="P63" i="2"/>
  <c r="H63" i="2"/>
  <c r="S62" i="2"/>
  <c r="K62" i="2"/>
  <c r="N61" i="2"/>
  <c r="F61" i="2"/>
  <c r="R60" i="2"/>
  <c r="J60" i="2"/>
  <c r="U59" i="2"/>
  <c r="M59" i="2"/>
  <c r="E59" i="2"/>
  <c r="Z59" i="2" s="1"/>
  <c r="P58" i="2"/>
  <c r="H58" i="2"/>
  <c r="S57" i="2"/>
  <c r="K57" i="2"/>
  <c r="N56" i="2"/>
  <c r="F56" i="2"/>
  <c r="Q55" i="2"/>
  <c r="I55" i="2"/>
  <c r="U54" i="2"/>
  <c r="M54" i="2"/>
  <c r="E54" i="2"/>
  <c r="Z54" i="2" s="1"/>
  <c r="P53" i="2"/>
  <c r="H53" i="2"/>
  <c r="S52" i="2"/>
  <c r="K52" i="2"/>
  <c r="N51" i="2"/>
  <c r="F51" i="2"/>
  <c r="R50" i="2"/>
  <c r="J50" i="2"/>
  <c r="U49" i="2"/>
  <c r="M49" i="2"/>
  <c r="E49" i="2"/>
  <c r="Z49" i="2" s="1"/>
  <c r="Q48" i="2"/>
  <c r="I48" i="2"/>
  <c r="U47" i="2"/>
  <c r="M47" i="2"/>
  <c r="E47" i="2"/>
  <c r="Z47" i="2" s="1"/>
  <c r="P46" i="2"/>
  <c r="H46" i="2"/>
  <c r="S45" i="2"/>
  <c r="K45" i="2"/>
  <c r="N44" i="2"/>
  <c r="F44" i="2"/>
  <c r="R43" i="2"/>
  <c r="J43" i="2"/>
  <c r="U42" i="2"/>
  <c r="M42" i="2"/>
  <c r="E42" i="2"/>
  <c r="Z42" i="2" s="1"/>
  <c r="P41" i="2"/>
  <c r="H41" i="2"/>
  <c r="T40" i="2"/>
  <c r="L40" i="2"/>
  <c r="Q39" i="2"/>
  <c r="T38" i="2"/>
  <c r="I37" i="2"/>
  <c r="N36" i="2"/>
  <c r="K35" i="2"/>
  <c r="T34" i="2"/>
  <c r="H34" i="2"/>
  <c r="Q33" i="2"/>
  <c r="G33" i="2"/>
  <c r="N32" i="2"/>
  <c r="M31" i="2"/>
  <c r="T30" i="2"/>
  <c r="J30" i="2"/>
  <c r="T29" i="2"/>
  <c r="J29" i="2"/>
  <c r="N28" i="2"/>
  <c r="F28" i="2"/>
  <c r="Q27" i="2"/>
  <c r="I27" i="2"/>
  <c r="T26" i="2"/>
  <c r="L26" i="2"/>
  <c r="P25" i="2"/>
  <c r="H25" i="2"/>
  <c r="S24" i="2"/>
  <c r="K24" i="2"/>
  <c r="O23" i="2"/>
  <c r="G23" i="2"/>
  <c r="S22" i="2"/>
  <c r="K22" i="2"/>
  <c r="O21" i="2"/>
  <c r="G21" i="2"/>
  <c r="S20" i="2"/>
  <c r="K20" i="2"/>
  <c r="O19" i="2"/>
  <c r="G19" i="2"/>
  <c r="S18" i="2"/>
  <c r="K18" i="2"/>
  <c r="N17" i="2"/>
  <c r="F17" i="2"/>
  <c r="R16" i="2"/>
  <c r="J16" i="2"/>
  <c r="N15" i="2"/>
  <c r="F15" i="2"/>
  <c r="R14" i="2"/>
  <c r="J14" i="2"/>
  <c r="N13" i="2"/>
  <c r="F13" i="2"/>
  <c r="R12" i="2"/>
  <c r="J12" i="2"/>
  <c r="N11" i="2"/>
  <c r="F11" i="2"/>
  <c r="R10" i="2"/>
  <c r="J10" i="2"/>
  <c r="U9" i="2"/>
  <c r="M9" i="2"/>
  <c r="E9" i="2"/>
  <c r="Z9" i="2" s="1"/>
  <c r="P8" i="2"/>
  <c r="H8" i="2"/>
  <c r="S7" i="2"/>
  <c r="K7" i="2"/>
  <c r="N6" i="2"/>
  <c r="F6" i="2"/>
  <c r="Q5" i="2"/>
  <c r="I5" i="2"/>
  <c r="T4" i="2"/>
  <c r="L4" i="2"/>
  <c r="O3" i="2"/>
  <c r="G3" i="2"/>
  <c r="R2" i="2"/>
  <c r="J2" i="2"/>
  <c r="F8" i="2"/>
  <c r="T6" i="2"/>
  <c r="G5" i="2"/>
  <c r="U3" i="2"/>
  <c r="P2" i="2"/>
  <c r="F5" i="2"/>
  <c r="T3" i="2"/>
  <c r="M5" i="2"/>
  <c r="K3" i="2"/>
  <c r="G4" i="2"/>
  <c r="E2" i="2"/>
  <c r="H3" i="2"/>
  <c r="P39" i="2"/>
  <c r="O38" i="2"/>
  <c r="H37" i="2"/>
  <c r="M36" i="2"/>
  <c r="U35" i="2"/>
  <c r="J35" i="2"/>
  <c r="S34" i="2"/>
  <c r="G34" i="2"/>
  <c r="P33" i="2"/>
  <c r="F33" i="2"/>
  <c r="M32" i="2"/>
  <c r="L31" i="2"/>
  <c r="S30" i="2"/>
  <c r="I30" i="2"/>
  <c r="S29" i="2"/>
  <c r="I29" i="2"/>
  <c r="U28" i="2"/>
  <c r="M28" i="2"/>
  <c r="E28" i="2"/>
  <c r="Z28" i="2" s="1"/>
  <c r="P27" i="2"/>
  <c r="H27" i="2"/>
  <c r="S26" i="2"/>
  <c r="K26" i="2"/>
  <c r="O25" i="2"/>
  <c r="G25" i="2"/>
  <c r="R24" i="2"/>
  <c r="J24" i="2"/>
  <c r="N23" i="2"/>
  <c r="F23" i="2"/>
  <c r="R22" i="2"/>
  <c r="J22" i="2"/>
  <c r="N21" i="2"/>
  <c r="F21" i="2"/>
  <c r="R20" i="2"/>
  <c r="J20" i="2"/>
  <c r="N19" i="2"/>
  <c r="F19" i="2"/>
  <c r="R18" i="2"/>
  <c r="J18" i="2"/>
  <c r="U17" i="2"/>
  <c r="M17" i="2"/>
  <c r="E17" i="2"/>
  <c r="Z17" i="2" s="1"/>
  <c r="Q16" i="2"/>
  <c r="I16" i="2"/>
  <c r="U15" i="2"/>
  <c r="M15" i="2"/>
  <c r="E15" i="2"/>
  <c r="Z15" i="2" s="1"/>
  <c r="Q14" i="2"/>
  <c r="I14" i="2"/>
  <c r="U13" i="2"/>
  <c r="M13" i="2"/>
  <c r="E13" i="2"/>
  <c r="Z13" i="2" s="1"/>
  <c r="Q12" i="2"/>
  <c r="I12" i="2"/>
  <c r="U11" i="2"/>
  <c r="M11" i="2"/>
  <c r="E11" i="2"/>
  <c r="Z11" i="2" s="1"/>
  <c r="Q10" i="2"/>
  <c r="I10" i="2"/>
  <c r="T9" i="2"/>
  <c r="L9" i="2"/>
  <c r="O8" i="2"/>
  <c r="G8" i="2"/>
  <c r="R7" i="2"/>
  <c r="J7" i="2"/>
  <c r="U6" i="2"/>
  <c r="M6" i="2"/>
  <c r="E6" i="2"/>
  <c r="Z6" i="2" s="1"/>
  <c r="P5" i="2"/>
  <c r="H5" i="2"/>
  <c r="S4" i="2"/>
  <c r="K4" i="2"/>
  <c r="N3" i="2"/>
  <c r="F3" i="2"/>
  <c r="Q2" i="2"/>
  <c r="I2" i="2"/>
  <c r="K9" i="2"/>
  <c r="Q7" i="2"/>
  <c r="O5" i="2"/>
  <c r="J4" i="2"/>
  <c r="E3" i="2"/>
  <c r="Z3" i="2" s="1"/>
  <c r="K6" i="2"/>
  <c r="I4" i="2"/>
  <c r="G2" i="2"/>
  <c r="S3" i="2"/>
  <c r="O4" i="2"/>
  <c r="Q3" i="2"/>
  <c r="M40" i="2"/>
  <c r="J39" i="2"/>
  <c r="N38" i="2"/>
  <c r="S37" i="2"/>
  <c r="L36" i="2"/>
  <c r="S35" i="2"/>
  <c r="I35" i="2"/>
  <c r="P34" i="2"/>
  <c r="F34" i="2"/>
  <c r="O33" i="2"/>
  <c r="L32" i="2"/>
  <c r="U31" i="2"/>
  <c r="I31" i="2"/>
  <c r="R30" i="2"/>
  <c r="H30" i="2"/>
  <c r="P29" i="2"/>
  <c r="H29" i="2"/>
  <c r="T28" i="2"/>
  <c r="L28" i="2"/>
  <c r="O27" i="2"/>
  <c r="G27" i="2"/>
  <c r="R26" i="2"/>
  <c r="J26" i="2"/>
  <c r="N25" i="2"/>
  <c r="F25" i="2"/>
  <c r="Q24" i="2"/>
  <c r="I24" i="2"/>
  <c r="U23" i="2"/>
  <c r="M23" i="2"/>
  <c r="E23" i="2"/>
  <c r="Z23" i="2" s="1"/>
  <c r="Q22" i="2"/>
  <c r="I22" i="2"/>
  <c r="U21" i="2"/>
  <c r="M21" i="2"/>
  <c r="E21" i="2"/>
  <c r="Z21" i="2" s="1"/>
  <c r="Q20" i="2"/>
  <c r="I20" i="2"/>
  <c r="U19" i="2"/>
  <c r="M19" i="2"/>
  <c r="E19" i="2"/>
  <c r="Z19" i="2" s="1"/>
  <c r="Q18" i="2"/>
  <c r="I18" i="2"/>
  <c r="T17" i="2"/>
  <c r="L17" i="2"/>
  <c r="P16" i="2"/>
  <c r="H16" i="2"/>
  <c r="T15" i="2"/>
  <c r="L15" i="2"/>
  <c r="P14" i="2"/>
  <c r="H14" i="2"/>
  <c r="T13" i="2"/>
  <c r="L13" i="2"/>
  <c r="P12" i="2"/>
  <c r="H12" i="2"/>
  <c r="T11" i="2"/>
  <c r="L11" i="2"/>
  <c r="P10" i="2"/>
  <c r="H10" i="2"/>
  <c r="S9" i="2"/>
  <c r="N8" i="2"/>
  <c r="I7" i="2"/>
  <c r="L6" i="2"/>
  <c r="R4" i="2"/>
  <c r="M3" i="2"/>
  <c r="H2" i="2"/>
  <c r="Q4" i="2"/>
  <c r="O2" i="2"/>
  <c r="P4" i="2"/>
  <c r="N2" i="2"/>
  <c r="J3" i="2"/>
  <c r="L2" i="2"/>
  <c r="S2" i="2"/>
  <c r="F40" i="2"/>
  <c r="I39" i="2"/>
  <c r="M38" i="2"/>
  <c r="R37" i="2"/>
  <c r="I36" i="2"/>
  <c r="R35" i="2"/>
  <c r="H35" i="2"/>
  <c r="O34" i="2"/>
  <c r="E34" i="2"/>
  <c r="Z34" i="2" s="1"/>
  <c r="N33" i="2"/>
  <c r="U32" i="2"/>
  <c r="K32" i="2"/>
  <c r="T31" i="2"/>
  <c r="H31" i="2"/>
  <c r="Q30" i="2"/>
  <c r="G30" i="2"/>
  <c r="O29" i="2"/>
  <c r="G29" i="2"/>
  <c r="S28" i="2"/>
  <c r="K28" i="2"/>
  <c r="N27" i="2"/>
  <c r="F27" i="2"/>
  <c r="Q26" i="2"/>
  <c r="I26" i="2"/>
  <c r="U25" i="2"/>
  <c r="M25" i="2"/>
  <c r="E25" i="2"/>
  <c r="Z25" i="2" s="1"/>
  <c r="P24" i="2"/>
  <c r="H24" i="2"/>
  <c r="T23" i="2"/>
  <c r="L23" i="2"/>
  <c r="P22" i="2"/>
  <c r="H22" i="2"/>
  <c r="T21" i="2"/>
  <c r="L21" i="2"/>
  <c r="P20" i="2"/>
  <c r="H20" i="2"/>
  <c r="T19" i="2"/>
  <c r="L19" i="2"/>
  <c r="P18" i="2"/>
  <c r="H18" i="2"/>
  <c r="S17" i="2"/>
  <c r="K17" i="2"/>
  <c r="O16" i="2"/>
  <c r="G16" i="2"/>
  <c r="S15" i="2"/>
  <c r="K15" i="2"/>
  <c r="O14" i="2"/>
  <c r="G14" i="2"/>
  <c r="S13" i="2"/>
  <c r="K13" i="2"/>
  <c r="O12" i="2"/>
  <c r="G12" i="2"/>
  <c r="S11" i="2"/>
  <c r="K11" i="2"/>
  <c r="O10" i="2"/>
  <c r="G10" i="2"/>
  <c r="R9" i="2"/>
  <c r="J9" i="2"/>
  <c r="U8" i="2"/>
  <c r="M8" i="2"/>
  <c r="E8" i="2"/>
  <c r="Z8" i="2" s="1"/>
  <c r="P7" i="2"/>
  <c r="H7" i="2"/>
  <c r="S6" i="2"/>
  <c r="N5" i="2"/>
  <c r="L3" i="2"/>
  <c r="E5" i="2"/>
  <c r="Z5" i="2" s="1"/>
  <c r="F2" i="2"/>
  <c r="M2" i="2"/>
  <c r="T2" i="2"/>
  <c r="K2" i="2"/>
  <c r="E40" i="2"/>
  <c r="Z40" i="2" s="1"/>
  <c r="H39" i="2"/>
  <c r="L38" i="2"/>
  <c r="Q37" i="2"/>
  <c r="U36" i="2"/>
  <c r="G36" i="2"/>
  <c r="Q35" i="2"/>
  <c r="E35" i="2"/>
  <c r="Z35" i="2" s="1"/>
  <c r="N34" i="2"/>
  <c r="K33" i="2"/>
  <c r="T32" i="2"/>
  <c r="J32" i="2"/>
  <c r="Q31" i="2"/>
  <c r="G31" i="2"/>
  <c r="P30" i="2"/>
  <c r="N29" i="2"/>
  <c r="F29" i="2"/>
  <c r="R28" i="2"/>
  <c r="J28" i="2"/>
  <c r="U27" i="2"/>
  <c r="M27" i="2"/>
  <c r="E27" i="2"/>
  <c r="Z27" i="2" s="1"/>
  <c r="P26" i="2"/>
  <c r="H26" i="2"/>
  <c r="T25" i="2"/>
  <c r="L25" i="2"/>
  <c r="O24" i="2"/>
  <c r="G24" i="2"/>
  <c r="S23" i="2"/>
  <c r="K23" i="2"/>
  <c r="O22" i="2"/>
  <c r="G22" i="2"/>
  <c r="S21" i="2"/>
  <c r="K21" i="2"/>
  <c r="O20" i="2"/>
  <c r="G20" i="2"/>
  <c r="S19" i="2"/>
  <c r="K19" i="2"/>
  <c r="O18" i="2"/>
  <c r="G18" i="2"/>
  <c r="R17" i="2"/>
  <c r="J17" i="2"/>
  <c r="N16" i="2"/>
  <c r="F16" i="2"/>
  <c r="R15" i="2"/>
  <c r="J15" i="2"/>
  <c r="N14" i="2"/>
  <c r="F14" i="2"/>
  <c r="R13" i="2"/>
  <c r="J13" i="2"/>
  <c r="N12" i="2"/>
  <c r="F12" i="2"/>
  <c r="R11" i="2"/>
  <c r="J11" i="2"/>
  <c r="N10" i="2"/>
  <c r="F10" i="2"/>
  <c r="Q9" i="2"/>
  <c r="I9" i="2"/>
  <c r="T8" i="2"/>
  <c r="L8" i="2"/>
  <c r="O7" i="2"/>
  <c r="G7" i="2"/>
  <c r="R6" i="2"/>
  <c r="J6" i="2"/>
  <c r="U5" i="2"/>
  <c r="H4" i="2"/>
  <c r="R3" i="2"/>
  <c r="I3" i="2"/>
  <c r="G38" i="2"/>
  <c r="P37" i="2"/>
  <c r="T36" i="2"/>
  <c r="F36" i="2"/>
  <c r="P35" i="2"/>
  <c r="M34" i="2"/>
  <c r="J33" i="2"/>
  <c r="S32" i="2"/>
  <c r="I32" i="2"/>
  <c r="P31" i="2"/>
  <c r="F31" i="2"/>
  <c r="O30" i="2"/>
  <c r="M29" i="2"/>
  <c r="E29" i="2"/>
  <c r="Z29" i="2" s="1"/>
  <c r="Q28" i="2"/>
  <c r="I28" i="2"/>
  <c r="T27" i="2"/>
  <c r="L27" i="2"/>
  <c r="O26" i="2"/>
  <c r="G26" i="2"/>
  <c r="S25" i="2"/>
  <c r="K25" i="2"/>
  <c r="N24" i="2"/>
  <c r="F24" i="2"/>
  <c r="R23" i="2"/>
  <c r="J23" i="2"/>
  <c r="N22" i="2"/>
  <c r="F22" i="2"/>
  <c r="R21" i="2"/>
  <c r="J21" i="2"/>
  <c r="N20" i="2"/>
  <c r="F20" i="2"/>
  <c r="R19" i="2"/>
  <c r="J19" i="2"/>
  <c r="N18" i="2"/>
  <c r="F18" i="2"/>
  <c r="Q17" i="2"/>
  <c r="I17" i="2"/>
  <c r="U16" i="2"/>
  <c r="M16" i="2"/>
  <c r="E16" i="2"/>
  <c r="Z16" i="2" s="1"/>
  <c r="Q15" i="2"/>
  <c r="I15" i="2"/>
  <c r="U14" i="2"/>
  <c r="M14" i="2"/>
  <c r="E14" i="2"/>
  <c r="Z14" i="2" s="1"/>
  <c r="Q13" i="2"/>
  <c r="I13" i="2"/>
  <c r="U12" i="2"/>
  <c r="M12" i="2"/>
  <c r="E12" i="2"/>
  <c r="Z12" i="2" s="1"/>
  <c r="Q11" i="2"/>
  <c r="I11" i="2"/>
  <c r="U10" i="2"/>
  <c r="M10" i="2"/>
  <c r="E10" i="2"/>
  <c r="Z10" i="2" s="1"/>
  <c r="P9" i="2"/>
  <c r="H9" i="2"/>
  <c r="S8" i="2"/>
  <c r="K8" i="2"/>
  <c r="N7" i="2"/>
  <c r="F7" i="2"/>
  <c r="Q6" i="2"/>
  <c r="I6" i="2"/>
  <c r="T5" i="2"/>
  <c r="L5" i="2"/>
  <c r="U2" i="2"/>
  <c r="E4" i="2"/>
  <c r="Z4" i="2" s="1"/>
  <c r="F38" i="2"/>
  <c r="K37" i="2"/>
  <c r="Q36" i="2"/>
  <c r="E36" i="2"/>
  <c r="Z36" i="2" s="1"/>
  <c r="M35" i="2"/>
  <c r="L34" i="2"/>
  <c r="S33" i="2"/>
  <c r="I33" i="2"/>
  <c r="R32" i="2"/>
  <c r="F32" i="2"/>
  <c r="O31" i="2"/>
  <c r="E31" i="2"/>
  <c r="Z31" i="2" s="1"/>
  <c r="L30" i="2"/>
  <c r="L29" i="2"/>
  <c r="P28" i="2"/>
  <c r="H28" i="2"/>
  <c r="S27" i="2"/>
  <c r="K27" i="2"/>
  <c r="N26" i="2"/>
  <c r="F26" i="2"/>
  <c r="R25" i="2"/>
  <c r="J25" i="2"/>
  <c r="U24" i="2"/>
  <c r="M24" i="2"/>
  <c r="E24" i="2"/>
  <c r="Z24" i="2" s="1"/>
  <c r="Q23" i="2"/>
  <c r="I23" i="2"/>
  <c r="U22" i="2"/>
  <c r="M22" i="2"/>
  <c r="E22" i="2"/>
  <c r="Z22" i="2" s="1"/>
  <c r="Q21" i="2"/>
  <c r="I21" i="2"/>
  <c r="U20" i="2"/>
  <c r="M20" i="2"/>
  <c r="E20" i="2"/>
  <c r="Z20" i="2" s="1"/>
  <c r="Q19" i="2"/>
  <c r="I19" i="2"/>
  <c r="U18" i="2"/>
  <c r="M18" i="2"/>
  <c r="E18" i="2"/>
  <c r="Z18" i="2" s="1"/>
  <c r="P17" i="2"/>
  <c r="H17" i="2"/>
  <c r="T16" i="2"/>
  <c r="L16" i="2"/>
  <c r="P15" i="2"/>
  <c r="H15" i="2"/>
  <c r="T14" i="2"/>
  <c r="L14" i="2"/>
  <c r="P13" i="2"/>
  <c r="H13" i="2"/>
  <c r="T12" i="2"/>
  <c r="L12" i="2"/>
  <c r="P11" i="2"/>
  <c r="H11" i="2"/>
  <c r="T10" i="2"/>
  <c r="L10" i="2"/>
  <c r="O9" i="2"/>
  <c r="G9" i="2"/>
  <c r="R8" i="2"/>
  <c r="J8" i="2"/>
  <c r="U7" i="2"/>
  <c r="M7" i="2"/>
  <c r="E7" i="2"/>
  <c r="Z7" i="2" s="1"/>
  <c r="P6" i="2"/>
  <c r="H6" i="2"/>
  <c r="S5" i="2"/>
  <c r="K5" i="2"/>
  <c r="N4" i="2"/>
  <c r="F4" i="2"/>
  <c r="P3" i="2"/>
  <c r="R39" i="2"/>
  <c r="U38" i="2"/>
  <c r="E38" i="2"/>
  <c r="Z38" i="2" s="1"/>
  <c r="J37" i="2"/>
  <c r="O36" i="2"/>
  <c r="L35" i="2"/>
  <c r="U34" i="2"/>
  <c r="K34" i="2"/>
  <c r="R33" i="2"/>
  <c r="H33" i="2"/>
  <c r="Q32" i="2"/>
  <c r="E32" i="2"/>
  <c r="Z32" i="2" s="1"/>
  <c r="N31" i="2"/>
  <c r="K30" i="2"/>
  <c r="U29" i="2"/>
  <c r="K29" i="2"/>
  <c r="O28" i="2"/>
  <c r="G28" i="2"/>
  <c r="R27" i="2"/>
  <c r="J27" i="2"/>
  <c r="U26" i="2"/>
  <c r="M26" i="2"/>
  <c r="E26" i="2"/>
  <c r="Z26" i="2" s="1"/>
  <c r="Q25" i="2"/>
  <c r="I25" i="2"/>
  <c r="T24" i="2"/>
  <c r="L24" i="2"/>
  <c r="P23" i="2"/>
  <c r="H23" i="2"/>
  <c r="T22" i="2"/>
  <c r="L22" i="2"/>
  <c r="P21" i="2"/>
  <c r="H21" i="2"/>
  <c r="T20" i="2"/>
  <c r="L20" i="2"/>
  <c r="P19" i="2"/>
  <c r="H19" i="2"/>
  <c r="T18" i="2"/>
  <c r="L18" i="2"/>
  <c r="O17" i="2"/>
  <c r="G17" i="2"/>
  <c r="S16" i="2"/>
  <c r="K16" i="2"/>
  <c r="O15" i="2"/>
  <c r="G15" i="2"/>
  <c r="S14" i="2"/>
  <c r="K14" i="2"/>
  <c r="O13" i="2"/>
  <c r="G13" i="2"/>
  <c r="S12" i="2"/>
  <c r="K12" i="2"/>
  <c r="O11" i="2"/>
  <c r="G11" i="2"/>
  <c r="S10" i="2"/>
  <c r="K10" i="2"/>
  <c r="N9" i="2"/>
  <c r="F9" i="2"/>
  <c r="Q8" i="2"/>
  <c r="I8" i="2"/>
  <c r="T7" i="2"/>
  <c r="L7" i="2"/>
  <c r="O6" i="2"/>
  <c r="G6" i="2"/>
  <c r="R5" i="2"/>
  <c r="J5" i="2"/>
  <c r="U4" i="2"/>
  <c r="M4" i="2"/>
  <c r="C379" i="3" l="1"/>
  <c r="D282" i="2"/>
  <c r="C103" i="3"/>
  <c r="D34" i="2"/>
  <c r="C347" i="3"/>
  <c r="C218" i="3"/>
  <c r="C397" i="3"/>
  <c r="C367" i="3"/>
  <c r="D59" i="2"/>
  <c r="D74" i="2"/>
  <c r="D298" i="2"/>
  <c r="D374" i="2"/>
  <c r="C8" i="3"/>
  <c r="C40" i="3"/>
  <c r="C79" i="3"/>
  <c r="C111" i="3"/>
  <c r="C154" i="3"/>
  <c r="C172" i="3"/>
  <c r="C188" i="3"/>
  <c r="C225" i="3"/>
  <c r="C238" i="3"/>
  <c r="C269" i="3"/>
  <c r="C312" i="3"/>
  <c r="D6" i="2"/>
  <c r="D13" i="2"/>
  <c r="C175" i="3"/>
  <c r="C324" i="3"/>
  <c r="D26" i="2"/>
  <c r="C65" i="3"/>
  <c r="C67" i="3"/>
  <c r="D274" i="2"/>
  <c r="C99" i="3"/>
  <c r="D27" i="2"/>
  <c r="D23" i="2"/>
  <c r="D86" i="2"/>
  <c r="D120" i="2"/>
  <c r="D228" i="2"/>
  <c r="D207" i="2"/>
  <c r="D218" i="2"/>
  <c r="D347" i="2"/>
  <c r="D366" i="2"/>
  <c r="C36" i="3"/>
  <c r="C13" i="3"/>
  <c r="C45" i="3"/>
  <c r="D69" i="2"/>
  <c r="D107" i="2"/>
  <c r="D80" i="2"/>
  <c r="D60" i="2"/>
  <c r="D75" i="2"/>
  <c r="D94" i="2"/>
  <c r="D100" i="2"/>
  <c r="D108" i="2"/>
  <c r="D44" i="2"/>
  <c r="D66" i="2"/>
  <c r="D156" i="2"/>
  <c r="D167" i="2"/>
  <c r="D128" i="2"/>
  <c r="D171" i="2"/>
  <c r="D110" i="2"/>
  <c r="D174" i="2"/>
  <c r="D193" i="2"/>
  <c r="D236" i="2"/>
  <c r="D215" i="2"/>
  <c r="D259" i="2"/>
  <c r="D226" i="2"/>
  <c r="D197" i="2"/>
  <c r="D230" i="2"/>
  <c r="D321" i="2"/>
  <c r="D296" i="2"/>
  <c r="D307" i="2"/>
  <c r="D265" i="2"/>
  <c r="D263" i="2"/>
  <c r="D355" i="2"/>
  <c r="D372" i="2"/>
  <c r="D338" i="2"/>
  <c r="C17" i="3"/>
  <c r="C49" i="3"/>
  <c r="C61" i="3"/>
  <c r="C75" i="3"/>
  <c r="C64" i="3"/>
  <c r="C96" i="3"/>
  <c r="C93" i="3"/>
  <c r="C128" i="3"/>
  <c r="C163" i="3"/>
  <c r="C140" i="3"/>
  <c r="C174" i="3"/>
  <c r="C206" i="3"/>
  <c r="C266" i="3"/>
  <c r="C267" i="3"/>
  <c r="C317" i="3"/>
  <c r="C353" i="3"/>
  <c r="D32" i="2"/>
  <c r="D116" i="2"/>
  <c r="D180" i="2"/>
  <c r="D217" i="2"/>
  <c r="C169" i="3"/>
  <c r="D16" i="2"/>
  <c r="D132" i="2"/>
  <c r="D233" i="2"/>
  <c r="D177" i="2"/>
  <c r="D29" i="2"/>
  <c r="D7" i="2"/>
  <c r="D12" i="2"/>
  <c r="D36" i="2"/>
  <c r="D9" i="2"/>
  <c r="D57" i="2"/>
  <c r="D55" i="2"/>
  <c r="D78" i="2"/>
  <c r="D41" i="2"/>
  <c r="D63" i="2"/>
  <c r="D97" i="2"/>
  <c r="D84" i="2"/>
  <c r="D95" i="2"/>
  <c r="D140" i="2"/>
  <c r="D151" i="2"/>
  <c r="D114" i="2"/>
  <c r="D178" i="2"/>
  <c r="D133" i="2"/>
  <c r="D112" i="2"/>
  <c r="D176" i="2"/>
  <c r="D185" i="2"/>
  <c r="D155" i="2"/>
  <c r="D158" i="2"/>
  <c r="D161" i="2"/>
  <c r="D241" i="2"/>
  <c r="D220" i="2"/>
  <c r="D199" i="2"/>
  <c r="D210" i="2"/>
  <c r="D245" i="2"/>
  <c r="D200" i="2"/>
  <c r="D254" i="2"/>
  <c r="D203" i="2"/>
  <c r="D253" i="2"/>
  <c r="D214" i="2"/>
  <c r="D258" i="2"/>
  <c r="D332" i="2"/>
  <c r="D309" i="2"/>
  <c r="D280" i="2"/>
  <c r="D291" i="2"/>
  <c r="D302" i="2"/>
  <c r="D313" i="2"/>
  <c r="D252" i="2"/>
  <c r="D316" i="2"/>
  <c r="D330" i="2"/>
  <c r="D311" i="2"/>
  <c r="D358" i="2"/>
  <c r="D390" i="2"/>
  <c r="D340" i="2"/>
  <c r="D356" i="2"/>
  <c r="D375" i="2"/>
  <c r="D378" i="2"/>
  <c r="D344" i="2"/>
  <c r="D352" i="2"/>
  <c r="C32" i="3"/>
  <c r="C9" i="3"/>
  <c r="C41" i="3"/>
  <c r="C59" i="3"/>
  <c r="C2" i="3"/>
  <c r="C34" i="3"/>
  <c r="C31" i="3"/>
  <c r="C88" i="3"/>
  <c r="C120" i="3"/>
  <c r="C85" i="3"/>
  <c r="C117" i="3"/>
  <c r="C135" i="3"/>
  <c r="C90" i="3"/>
  <c r="C122" i="3"/>
  <c r="C130" i="3"/>
  <c r="C146" i="3"/>
  <c r="C173" i="3"/>
  <c r="C155" i="3"/>
  <c r="C129" i="3"/>
  <c r="C161" i="3"/>
  <c r="C199" i="3"/>
  <c r="C180" i="3"/>
  <c r="C189" i="3"/>
  <c r="C166" i="3"/>
  <c r="C198" i="3"/>
  <c r="C222" i="3"/>
  <c r="C249" i="3"/>
  <c r="C230" i="3"/>
  <c r="C223" i="3"/>
  <c r="C232" i="3"/>
  <c r="C290" i="3"/>
  <c r="C291" i="3"/>
  <c r="C272" i="3"/>
  <c r="C294" i="3"/>
  <c r="C304" i="3"/>
  <c r="C326" i="3"/>
  <c r="C309" i="3"/>
  <c r="C307" i="3"/>
  <c r="C338" i="3"/>
  <c r="C348" i="3"/>
  <c r="C332" i="3"/>
  <c r="C377" i="3"/>
  <c r="C350" i="3"/>
  <c r="C386" i="3"/>
  <c r="D53" i="2"/>
  <c r="D130" i="2"/>
  <c r="D22" i="2"/>
  <c r="D8" i="2"/>
  <c r="D31" i="2"/>
  <c r="D72" i="2"/>
  <c r="D106" i="2"/>
  <c r="D48" i="2"/>
  <c r="D30" i="2"/>
  <c r="D92" i="2"/>
  <c r="D51" i="2"/>
  <c r="D103" i="2"/>
  <c r="D148" i="2"/>
  <c r="D159" i="2"/>
  <c r="D122" i="2"/>
  <c r="D141" i="2"/>
  <c r="D163" i="2"/>
  <c r="D166" i="2"/>
  <c r="D105" i="2"/>
  <c r="D169" i="2"/>
  <c r="D256" i="2"/>
  <c r="D189" i="2"/>
  <c r="D208" i="2"/>
  <c r="D211" i="2"/>
  <c r="D249" i="2"/>
  <c r="D222" i="2"/>
  <c r="D290" i="2"/>
  <c r="D317" i="2"/>
  <c r="D288" i="2"/>
  <c r="D299" i="2"/>
  <c r="D310" i="2"/>
  <c r="D257" i="2"/>
  <c r="D260" i="2"/>
  <c r="D255" i="2"/>
  <c r="D319" i="2"/>
  <c r="D364" i="2"/>
  <c r="D387" i="2"/>
  <c r="D383" i="2"/>
  <c r="D341" i="2"/>
  <c r="D326" i="2"/>
  <c r="D360" i="2"/>
  <c r="C4" i="3"/>
  <c r="C6" i="3"/>
  <c r="C38" i="3"/>
  <c r="C3" i="3"/>
  <c r="C35" i="3"/>
  <c r="C107" i="3"/>
  <c r="C126" i="3"/>
  <c r="C92" i="3"/>
  <c r="C89" i="3"/>
  <c r="C121" i="3"/>
  <c r="C62" i="3"/>
  <c r="C94" i="3"/>
  <c r="C150" i="3"/>
  <c r="C176" i="3"/>
  <c r="C159" i="3"/>
  <c r="C164" i="3"/>
  <c r="C136" i="3"/>
  <c r="C133" i="3"/>
  <c r="C203" i="3"/>
  <c r="C184" i="3"/>
  <c r="C193" i="3"/>
  <c r="C217" i="3"/>
  <c r="C170" i="3"/>
  <c r="C202" i="3"/>
  <c r="C234" i="3"/>
  <c r="C265" i="3"/>
  <c r="C255" i="3"/>
  <c r="C227" i="3"/>
  <c r="C257" i="3"/>
  <c r="C236" i="3"/>
  <c r="C263" i="3"/>
  <c r="C276" i="3"/>
  <c r="C308" i="3"/>
  <c r="C313" i="3"/>
  <c r="C311" i="3"/>
  <c r="C342" i="3"/>
  <c r="C327" i="3"/>
  <c r="C336" i="3"/>
  <c r="C360" i="3"/>
  <c r="C354" i="3"/>
  <c r="C390" i="3"/>
  <c r="C384" i="3"/>
  <c r="D268" i="2"/>
  <c r="D334" i="2"/>
  <c r="D368" i="2"/>
  <c r="D395" i="2"/>
  <c r="C10" i="3"/>
  <c r="C42" i="3"/>
  <c r="C71" i="3"/>
  <c r="C7" i="3"/>
  <c r="C39" i="3"/>
  <c r="C66" i="3"/>
  <c r="C98" i="3"/>
  <c r="C171" i="3"/>
  <c r="C137" i="3"/>
  <c r="C213" i="3"/>
  <c r="C197" i="3"/>
  <c r="C259" i="3"/>
  <c r="C231" i="3"/>
  <c r="C208" i="3"/>
  <c r="C240" i="3"/>
  <c r="C280" i="3"/>
  <c r="C298" i="3"/>
  <c r="C315" i="3"/>
  <c r="C346" i="3"/>
  <c r="C356" i="3"/>
  <c r="C331" i="3"/>
  <c r="C363" i="3"/>
  <c r="C340" i="3"/>
  <c r="C364" i="3"/>
  <c r="C358" i="3"/>
  <c r="C394" i="3"/>
  <c r="C388" i="3"/>
  <c r="D216" i="2"/>
  <c r="D28" i="2"/>
  <c r="D83" i="2"/>
  <c r="D102" i="2"/>
  <c r="D39" i="2"/>
  <c r="D46" i="2"/>
  <c r="D33" i="2"/>
  <c r="D164" i="2"/>
  <c r="D175" i="2"/>
  <c r="D183" i="2"/>
  <c r="D138" i="2"/>
  <c r="D157" i="2"/>
  <c r="D136" i="2"/>
  <c r="D115" i="2"/>
  <c r="D179" i="2"/>
  <c r="D118" i="2"/>
  <c r="D121" i="2"/>
  <c r="D201" i="2"/>
  <c r="D244" i="2"/>
  <c r="D223" i="2"/>
  <c r="D234" i="2"/>
  <c r="D205" i="2"/>
  <c r="D224" i="2"/>
  <c r="D227" i="2"/>
  <c r="D238" i="2"/>
  <c r="D306" i="2"/>
  <c r="D269" i="2"/>
  <c r="D304" i="2"/>
  <c r="D315" i="2"/>
  <c r="D329" i="2"/>
  <c r="D262" i="2"/>
  <c r="D273" i="2"/>
  <c r="D276" i="2"/>
  <c r="D271" i="2"/>
  <c r="D363" i="2"/>
  <c r="D382" i="2"/>
  <c r="D392" i="2"/>
  <c r="D345" i="2"/>
  <c r="D394" i="2"/>
  <c r="D335" i="2"/>
  <c r="D380" i="2"/>
  <c r="D397" i="2"/>
  <c r="D323" i="2"/>
  <c r="D349" i="2"/>
  <c r="D376" i="2"/>
  <c r="C12" i="3"/>
  <c r="C44" i="3"/>
  <c r="C21" i="3"/>
  <c r="C53" i="3"/>
  <c r="D396" i="2"/>
  <c r="C14" i="3"/>
  <c r="C46" i="3"/>
  <c r="C11" i="3"/>
  <c r="C43" i="3"/>
  <c r="C83" i="3"/>
  <c r="C115" i="3"/>
  <c r="C68" i="3"/>
  <c r="C100" i="3"/>
  <c r="C97" i="3"/>
  <c r="C70" i="3"/>
  <c r="C102" i="3"/>
  <c r="C127" i="3"/>
  <c r="C158" i="3"/>
  <c r="C165" i="3"/>
  <c r="C144" i="3"/>
  <c r="C179" i="3"/>
  <c r="C141" i="3"/>
  <c r="C192" i="3"/>
  <c r="C201" i="3"/>
  <c r="C178" i="3"/>
  <c r="C214" i="3"/>
  <c r="C229" i="3"/>
  <c r="C242" i="3"/>
  <c r="C262" i="3"/>
  <c r="C235" i="3"/>
  <c r="C212" i="3"/>
  <c r="C244" i="3"/>
  <c r="C273" i="3"/>
  <c r="C270" i="3"/>
  <c r="C271" i="3"/>
  <c r="C293" i="3"/>
  <c r="C284" i="3"/>
  <c r="C316" i="3"/>
  <c r="C302" i="3"/>
  <c r="C319" i="3"/>
  <c r="C329" i="3"/>
  <c r="C352" i="3"/>
  <c r="C335" i="3"/>
  <c r="C355" i="3"/>
  <c r="C344" i="3"/>
  <c r="C368" i="3"/>
  <c r="C362" i="3"/>
  <c r="C392" i="3"/>
  <c r="D113" i="2"/>
  <c r="D62" i="2"/>
  <c r="D88" i="2"/>
  <c r="D20" i="2"/>
  <c r="D5" i="2"/>
  <c r="D25" i="2"/>
  <c r="D21" i="2"/>
  <c r="D17" i="2"/>
  <c r="D3" i="2"/>
  <c r="D42" i="2"/>
  <c r="D49" i="2"/>
  <c r="D90" i="2"/>
  <c r="D85" i="2"/>
  <c r="D96" i="2"/>
  <c r="D91" i="2"/>
  <c r="D56" i="2"/>
  <c r="D172" i="2"/>
  <c r="D119" i="2"/>
  <c r="D146" i="2"/>
  <c r="D165" i="2"/>
  <c r="D144" i="2"/>
  <c r="D123" i="2"/>
  <c r="D126" i="2"/>
  <c r="D129" i="2"/>
  <c r="D209" i="2"/>
  <c r="D188" i="2"/>
  <c r="D231" i="2"/>
  <c r="D242" i="2"/>
  <c r="D250" i="2"/>
  <c r="D213" i="2"/>
  <c r="D232" i="2"/>
  <c r="D235" i="2"/>
  <c r="D182" i="2"/>
  <c r="D246" i="2"/>
  <c r="D314" i="2"/>
  <c r="D277" i="2"/>
  <c r="D312" i="2"/>
  <c r="D324" i="2"/>
  <c r="D270" i="2"/>
  <c r="D281" i="2"/>
  <c r="D284" i="2"/>
  <c r="D327" i="2"/>
  <c r="D279" i="2"/>
  <c r="D371" i="2"/>
  <c r="D337" i="2"/>
  <c r="D353" i="2"/>
  <c r="D343" i="2"/>
  <c r="D346" i="2"/>
  <c r="D389" i="2"/>
  <c r="D331" i="2"/>
  <c r="D357" i="2"/>
  <c r="D384" i="2"/>
  <c r="C16" i="3"/>
  <c r="C48" i="3"/>
  <c r="C60" i="3"/>
  <c r="C25" i="3"/>
  <c r="C57" i="3"/>
  <c r="C18" i="3"/>
  <c r="C50" i="3"/>
  <c r="D388" i="2"/>
  <c r="C15" i="3"/>
  <c r="C47" i="3"/>
  <c r="C87" i="3"/>
  <c r="C119" i="3"/>
  <c r="C72" i="3"/>
  <c r="C104" i="3"/>
  <c r="C69" i="3"/>
  <c r="C101" i="3"/>
  <c r="C74" i="3"/>
  <c r="C106" i="3"/>
  <c r="C162" i="3"/>
  <c r="C139" i="3"/>
  <c r="C148" i="3"/>
  <c r="C145" i="3"/>
  <c r="C167" i="3"/>
  <c r="C183" i="3"/>
  <c r="C196" i="3"/>
  <c r="C205" i="3"/>
  <c r="C182" i="3"/>
  <c r="C221" i="3"/>
  <c r="C233" i="3"/>
  <c r="C246" i="3"/>
  <c r="C239" i="3"/>
  <c r="C254" i="3"/>
  <c r="C216" i="3"/>
  <c r="C248" i="3"/>
  <c r="C277" i="3"/>
  <c r="C274" i="3"/>
  <c r="C275" i="3"/>
  <c r="C256" i="3"/>
  <c r="C288" i="3"/>
  <c r="C320" i="3"/>
  <c r="C306" i="3"/>
  <c r="C322" i="3"/>
  <c r="C333" i="3"/>
  <c r="C381" i="3"/>
  <c r="C359" i="3"/>
  <c r="C339" i="3"/>
  <c r="C372" i="3"/>
  <c r="C361" i="3"/>
  <c r="C385" i="3"/>
  <c r="C366" i="3"/>
  <c r="C383" i="3"/>
  <c r="C396" i="3"/>
  <c r="D318" i="2"/>
  <c r="D82" i="2"/>
  <c r="D38" i="2"/>
  <c r="D14" i="2"/>
  <c r="D11" i="2"/>
  <c r="Z2" i="2"/>
  <c r="D64" i="2"/>
  <c r="D98" i="2"/>
  <c r="D93" i="2"/>
  <c r="D52" i="2"/>
  <c r="D104" i="2"/>
  <c r="D50" i="2"/>
  <c r="D65" i="2"/>
  <c r="D99" i="2"/>
  <c r="D58" i="2"/>
  <c r="D73" i="2"/>
  <c r="D71" i="2"/>
  <c r="D184" i="2"/>
  <c r="D127" i="2"/>
  <c r="D154" i="2"/>
  <c r="D173" i="2"/>
  <c r="D152" i="2"/>
  <c r="D131" i="2"/>
  <c r="D134" i="2"/>
  <c r="D137" i="2"/>
  <c r="D196" i="2"/>
  <c r="D239" i="2"/>
  <c r="D186" i="2"/>
  <c r="D221" i="2"/>
  <c r="D240" i="2"/>
  <c r="D243" i="2"/>
  <c r="D190" i="2"/>
  <c r="D285" i="2"/>
  <c r="D320" i="2"/>
  <c r="D325" i="2"/>
  <c r="D267" i="2"/>
  <c r="D278" i="2"/>
  <c r="D289" i="2"/>
  <c r="D292" i="2"/>
  <c r="D287" i="2"/>
  <c r="D379" i="2"/>
  <c r="D361" i="2"/>
  <c r="D351" i="2"/>
  <c r="D354" i="2"/>
  <c r="D365" i="2"/>
  <c r="D339" i="2"/>
  <c r="C20" i="3"/>
  <c r="C52" i="3"/>
  <c r="C29" i="3"/>
  <c r="C22" i="3"/>
  <c r="C54" i="3"/>
  <c r="D385" i="2"/>
  <c r="C19" i="3"/>
  <c r="C51" i="3"/>
  <c r="C91" i="3"/>
  <c r="C123" i="3"/>
  <c r="C76" i="3"/>
  <c r="C108" i="3"/>
  <c r="C132" i="3"/>
  <c r="C73" i="3"/>
  <c r="C105" i="3"/>
  <c r="C78" i="3"/>
  <c r="C110" i="3"/>
  <c r="C143" i="3"/>
  <c r="C152" i="3"/>
  <c r="C168" i="3"/>
  <c r="C149" i="3"/>
  <c r="C187" i="3"/>
  <c r="C210" i="3"/>
  <c r="C200" i="3"/>
  <c r="C177" i="3"/>
  <c r="C186" i="3"/>
  <c r="C237" i="3"/>
  <c r="C250" i="3"/>
  <c r="C243" i="3"/>
  <c r="C220" i="3"/>
  <c r="C252" i="3"/>
  <c r="C281" i="3"/>
  <c r="C278" i="3"/>
  <c r="C279" i="3"/>
  <c r="C295" i="3"/>
  <c r="C260" i="3"/>
  <c r="C292" i="3"/>
  <c r="C297" i="3"/>
  <c r="C310" i="3"/>
  <c r="C337" i="3"/>
  <c r="C343" i="3"/>
  <c r="C351" i="3"/>
  <c r="C376" i="3"/>
  <c r="C365" i="3"/>
  <c r="C370" i="3"/>
  <c r="C393" i="3"/>
  <c r="C387" i="3"/>
  <c r="D149" i="2"/>
  <c r="D219" i="2"/>
  <c r="D10" i="2"/>
  <c r="D77" i="2"/>
  <c r="D4" i="2"/>
  <c r="D24" i="2"/>
  <c r="D2" i="2"/>
  <c r="D101" i="2"/>
  <c r="D45" i="2"/>
  <c r="D67" i="2"/>
  <c r="D43" i="2"/>
  <c r="D37" i="2"/>
  <c r="D81" i="2"/>
  <c r="D68" i="2"/>
  <c r="D79" i="2"/>
  <c r="D111" i="2"/>
  <c r="D124" i="2"/>
  <c r="D135" i="2"/>
  <c r="D162" i="2"/>
  <c r="D117" i="2"/>
  <c r="D181" i="2"/>
  <c r="D160" i="2"/>
  <c r="D139" i="2"/>
  <c r="D142" i="2"/>
  <c r="D145" i="2"/>
  <c r="D225" i="2"/>
  <c r="D204" i="2"/>
  <c r="D247" i="2"/>
  <c r="D251" i="2"/>
  <c r="D194" i="2"/>
  <c r="D229" i="2"/>
  <c r="D248" i="2"/>
  <c r="D187" i="2"/>
  <c r="D198" i="2"/>
  <c r="D266" i="2"/>
  <c r="D293" i="2"/>
  <c r="D264" i="2"/>
  <c r="D275" i="2"/>
  <c r="D286" i="2"/>
  <c r="D297" i="2"/>
  <c r="D300" i="2"/>
  <c r="D295" i="2"/>
  <c r="D342" i="2"/>
  <c r="D369" i="2"/>
  <c r="D359" i="2"/>
  <c r="D391" i="2"/>
  <c r="D328" i="2"/>
  <c r="D362" i="2"/>
  <c r="D373" i="2"/>
  <c r="C24" i="3"/>
  <c r="C56" i="3"/>
  <c r="C33" i="3"/>
  <c r="C58" i="3"/>
  <c r="C63" i="3"/>
  <c r="C26" i="3"/>
  <c r="D393" i="2"/>
  <c r="C23" i="3"/>
  <c r="C55" i="3"/>
  <c r="C95" i="3"/>
  <c r="C134" i="3"/>
  <c r="C80" i="3"/>
  <c r="C112" i="3"/>
  <c r="C77" i="3"/>
  <c r="C109" i="3"/>
  <c r="C82" i="3"/>
  <c r="C114" i="3"/>
  <c r="C124" i="3"/>
  <c r="C147" i="3"/>
  <c r="C156" i="3"/>
  <c r="C153" i="3"/>
  <c r="C191" i="3"/>
  <c r="C204" i="3"/>
  <c r="C209" i="3"/>
  <c r="C181" i="3"/>
  <c r="C215" i="3"/>
  <c r="C190" i="3"/>
  <c r="C211" i="3"/>
  <c r="C241" i="3"/>
  <c r="C258" i="3"/>
  <c r="C247" i="3"/>
  <c r="C224" i="3"/>
  <c r="C285" i="3"/>
  <c r="C282" i="3"/>
  <c r="C283" i="3"/>
  <c r="C264" i="3"/>
  <c r="C296" i="3"/>
  <c r="C321" i="3"/>
  <c r="C301" i="3"/>
  <c r="C323" i="3"/>
  <c r="C314" i="3"/>
  <c r="C299" i="3"/>
  <c r="C341" i="3"/>
  <c r="C330" i="3"/>
  <c r="C349" i="3"/>
  <c r="C357" i="3"/>
  <c r="C371" i="3"/>
  <c r="C375" i="3"/>
  <c r="C369" i="3"/>
  <c r="C374" i="3"/>
  <c r="C391" i="3"/>
  <c r="D261" i="2"/>
  <c r="D18" i="2"/>
  <c r="D19" i="2"/>
  <c r="D15" i="2"/>
  <c r="D35" i="2"/>
  <c r="D47" i="2"/>
  <c r="D54" i="2"/>
  <c r="D40" i="2"/>
  <c r="D70" i="2"/>
  <c r="D89" i="2"/>
  <c r="D109" i="2"/>
  <c r="D76" i="2"/>
  <c r="D61" i="2"/>
  <c r="D87" i="2"/>
  <c r="D143" i="2"/>
  <c r="D170" i="2"/>
  <c r="D125" i="2"/>
  <c r="D168" i="2"/>
  <c r="D147" i="2"/>
  <c r="D150" i="2"/>
  <c r="D153" i="2"/>
  <c r="D212" i="2"/>
  <c r="D191" i="2"/>
  <c r="D202" i="2"/>
  <c r="D237" i="2"/>
  <c r="D192" i="2"/>
  <c r="D195" i="2"/>
  <c r="D206" i="2"/>
  <c r="D301" i="2"/>
  <c r="D272" i="2"/>
  <c r="D283" i="2"/>
  <c r="D294" i="2"/>
  <c r="D305" i="2"/>
  <c r="D308" i="2"/>
  <c r="D303" i="2"/>
  <c r="D322" i="2"/>
  <c r="D350" i="2"/>
  <c r="D377" i="2"/>
  <c r="D348" i="2"/>
  <c r="D333" i="2"/>
  <c r="D367" i="2"/>
  <c r="D386" i="2"/>
  <c r="D370" i="2"/>
  <c r="D336" i="2"/>
  <c r="D381" i="2"/>
  <c r="C28" i="3"/>
  <c r="C5" i="3"/>
  <c r="C37" i="3"/>
  <c r="C30" i="3"/>
  <c r="C27" i="3"/>
  <c r="C84" i="3"/>
  <c r="C116" i="3"/>
  <c r="C81" i="3"/>
  <c r="C113" i="3"/>
  <c r="C131" i="3"/>
  <c r="C138" i="3"/>
  <c r="C86" i="3"/>
  <c r="C118" i="3"/>
  <c r="C142" i="3"/>
  <c r="C151" i="3"/>
  <c r="C160" i="3"/>
  <c r="C125" i="3"/>
  <c r="C157" i="3"/>
  <c r="C195" i="3"/>
  <c r="C185" i="3"/>
  <c r="C194" i="3"/>
  <c r="C207" i="3"/>
  <c r="C245" i="3"/>
  <c r="C226" i="3"/>
  <c r="C219" i="3"/>
  <c r="C251" i="3"/>
  <c r="C261" i="3"/>
  <c r="C228" i="3"/>
  <c r="C253" i="3"/>
  <c r="C289" i="3"/>
  <c r="C286" i="3"/>
  <c r="C287" i="3"/>
  <c r="C268" i="3"/>
  <c r="C300" i="3"/>
  <c r="C305" i="3"/>
  <c r="C318" i="3"/>
  <c r="C303" i="3"/>
  <c r="C345" i="3"/>
  <c r="C334" i="3"/>
  <c r="C325" i="3"/>
  <c r="C328" i="3"/>
  <c r="C373" i="3"/>
  <c r="C378" i="3"/>
  <c r="C389" i="3"/>
  <c r="C380" i="3"/>
  <c r="C382" i="3"/>
  <c r="C395" i="3"/>
</calcChain>
</file>

<file path=xl/sharedStrings.xml><?xml version="1.0" encoding="utf-8"?>
<sst xmlns="http://schemas.openxmlformats.org/spreadsheetml/2006/main" count="2417" uniqueCount="1238">
  <si>
    <t>District</t>
  </si>
  <si>
    <t>Ariyalur</t>
  </si>
  <si>
    <t>Chengalpattu</t>
  </si>
  <si>
    <t>Chengalpet</t>
  </si>
  <si>
    <t>Chennai</t>
  </si>
  <si>
    <t>Coimbatore</t>
  </si>
  <si>
    <t>Cuddalore</t>
  </si>
  <si>
    <t>Dindigul</t>
  </si>
  <si>
    <t>Erode</t>
  </si>
  <si>
    <t>Kallakurichi</t>
  </si>
  <si>
    <t>Kancheepuram</t>
  </si>
  <si>
    <t>Kanyakumari</t>
  </si>
  <si>
    <t>Karur</t>
  </si>
  <si>
    <t>Krishnagiri</t>
  </si>
  <si>
    <t>Madurai</t>
  </si>
  <si>
    <t>Mayiladuthurai</t>
  </si>
  <si>
    <t>Nagapattinam</t>
  </si>
  <si>
    <t>Namakkal</t>
  </si>
  <si>
    <t>Perambalur</t>
  </si>
  <si>
    <t>Pudukkottai</t>
  </si>
  <si>
    <t>Ramanathapuram</t>
  </si>
  <si>
    <t>Salem</t>
  </si>
  <si>
    <t>Sivagangai</t>
  </si>
  <si>
    <t>Tenkasi</t>
  </si>
  <si>
    <t>Thanjavur</t>
  </si>
  <si>
    <t>Theni</t>
  </si>
  <si>
    <t>TheNilgiris</t>
  </si>
  <si>
    <t>Thiruchirappalli</t>
  </si>
  <si>
    <t>Thiruvarur</t>
  </si>
  <si>
    <t>Thoothukudi</t>
  </si>
  <si>
    <t>Tirunelveli</t>
  </si>
  <si>
    <t>Tiruppur</t>
  </si>
  <si>
    <t>Tiruvallur</t>
  </si>
  <si>
    <t>Tiruvannamalai</t>
  </si>
  <si>
    <t>Vellore</t>
  </si>
  <si>
    <t>Virudhunagar</t>
  </si>
  <si>
    <t>S.NO</t>
  </si>
  <si>
    <t>Institution</t>
  </si>
  <si>
    <t>Bed Vacancy</t>
  </si>
  <si>
    <t>Last updated</t>
  </si>
  <si>
    <t>Remarks</t>
  </si>
  <si>
    <t>VENTILATOR</t>
  </si>
  <si>
    <t>ICU BEDS</t>
  </si>
  <si>
    <t>OXYGEN SUPPORTED BEDS</t>
  </si>
  <si>
    <t>NON-OXYGEN SUPPORTED BEDS</t>
  </si>
  <si>
    <t>COVID BEDS</t>
  </si>
  <si>
    <t>Contact numbers</t>
  </si>
  <si>
    <t>Google map link</t>
  </si>
  <si>
    <t>Website</t>
  </si>
  <si>
    <t>Address</t>
  </si>
  <si>
    <t>Hours since update</t>
  </si>
  <si>
    <t>A.S Hospital</t>
  </si>
  <si>
    <t>https://www.google.co.in/maps/place/AS+HOSPIITAL/@11.1411867,79.0693105,16.54z/data=!4m5!3m4!1s0x3baadf7dbcef97bf:0xfe59e34ea39bca9!8m2!3d11.1410048!4d79.0721499</t>
  </si>
  <si>
    <t>http://ashospiitalariyalur.com/</t>
  </si>
  <si>
    <t>27 E, Pattunoolkara Theru, Ethraj Nagar, Ariyalur, Tamil Nadu 621704, India</t>
  </si>
  <si>
    <t>Golden Hospital</t>
  </si>
  <si>
    <t>https://goo.gl/maps/K6bp1DRefLwqDVA2A</t>
  </si>
  <si>
    <t>NA</t>
  </si>
  <si>
    <t>Sendurai Rd, Periyar Nagar, Vila Ngara, Ariyalur, Tamil Nadu 621704</t>
  </si>
  <si>
    <t>Annai Arul Hospital</t>
  </si>
  <si>
    <t>https://g.page/AnnaiArulHospital?share</t>
  </si>
  <si>
    <t>No: 270, Mudichur Rd, Kumaran Nagar, Bharathi Nagar, Tambaram, Old Perungalathur, Tamil Nadu 600063</t>
  </si>
  <si>
    <t>Chennai Emergency care Centre Pammal</t>
  </si>
  <si>
    <t>044 22480873</t>
  </si>
  <si>
    <t>https://goo.gl/maps/uZ1jVNqCeE9jP7f17</t>
  </si>
  <si>
    <t>https://chennaiemergency.com/</t>
  </si>
  <si>
    <t>No 24, Tiruneermalai Main Rd, Argeeswarar Colony, Pammal, Chennai, Tamil Nadu 600075</t>
  </si>
  <si>
    <t>Dr. Rela Institute</t>
  </si>
  <si>
    <t>https://g.page/rela-institute-chennai?share</t>
  </si>
  <si>
    <t>https://www.relainstitute.com/</t>
  </si>
  <si>
    <t>#7, CLC Works Rd, Nagappa Nagar, Chromepet, Chennai, Tamil Nadu 600044</t>
  </si>
  <si>
    <t>Sudar Hospitals, Hasthinapuram</t>
  </si>
  <si>
    <t>https://goo.gl/maps/Fq6BGjfKUztLf95Q6</t>
  </si>
  <si>
    <t>https://sudarhospitals.com/</t>
  </si>
  <si>
    <t>No: 30, Ayyasamy Street, Nehru Nagar, Chromepet, Chitlapakkam, Chennai, Tamil Nadu 600044</t>
  </si>
  <si>
    <t>Sugam Hospital, Chromepet</t>
  </si>
  <si>
    <t>044 22646000</t>
  </si>
  <si>
    <t>https://goo.gl/maps/22F3QtTzHVydSZtE9</t>
  </si>
  <si>
    <t>https://www.sugamhospital.com/contact.html</t>
  </si>
  <si>
    <t>No. 107 A, Grand Southern Trunk Rd, Sunnambu Colony, Chromepet, Chennai, Tamil Nadu 600044</t>
  </si>
  <si>
    <t>Deepam Hospitals, West Tambaram</t>
  </si>
  <si>
    <t>044 43970201</t>
  </si>
  <si>
    <t>https://g.page/DeepamHospital?share</t>
  </si>
  <si>
    <t>https://www.deepamhospitals.com/</t>
  </si>
  <si>
    <t>327, Muthuranga Road, Tambaram West, Tambaram, Chennai, Tamil Nadu 600045</t>
  </si>
  <si>
    <t>Apollo Hospital, Greams Road</t>
  </si>
  <si>
    <t>https://goo.gl/maps/RjStFDzYzuzVrKaG7</t>
  </si>
  <si>
    <t>askapollo.com</t>
  </si>
  <si>
    <t>21 Greams Lane, Off, Greams Road, Thousand Lights, Chennai, Tamil Nadu 600006</t>
  </si>
  <si>
    <t>Apollo Hospitals, Vanagaram</t>
  </si>
  <si>
    <t>https://goo.gl/maps/hruqATLDdCu2SaBF8</t>
  </si>
  <si>
    <t>Plot No, 64, Vanagaram-Ambattur Rd, Ayanambakkam, Ambattur Industrial Estate, Chennai, Tamil Nadu 600095</t>
  </si>
  <si>
    <t>Appasamy Hospital</t>
  </si>
  <si>
    <t>https://g.page/appasamyhospitals?share</t>
  </si>
  <si>
    <t>http://appasamyhospitals.com/</t>
  </si>
  <si>
    <t>No. 1 and 2, 1st St, near Arumbakkam, SBI Officers Colony, Chennai, Tamil Nadu 600106</t>
  </si>
  <si>
    <t>ArunVijaya Hospitals, KK Nagar</t>
  </si>
  <si>
    <t>https://goo.gl/maps/R9gY2ttUvFFmjKDX8</t>
  </si>
  <si>
    <t>old no.1059/1 New, no.64, Munusamy Salai, KK Nagar West, K. K. Nagar, Chennai, Tamil Nadu 600078</t>
  </si>
  <si>
    <t>Astra Ortho N Spine Care Hospital</t>
  </si>
  <si>
    <t>https://goo.gl/maps/2yCYnTuNccsmDfb7A</t>
  </si>
  <si>
    <t>http://www.astrahospital.com/</t>
  </si>
  <si>
    <t>Sankaran Avenue, 9, Radha, Mohan St, Velachery, Chennai, Tamil Nadu 600042</t>
  </si>
  <si>
    <t>Aysha Hospital</t>
  </si>
  <si>
    <t>https://goo.gl/maps/CcXEekhW1GYKUo1S6</t>
  </si>
  <si>
    <t>91-A, Millers Road, Hussain Complex, Kilpauk, Chennai, Tamil Nadu 600010</t>
  </si>
  <si>
    <t>Be Well Hospital Anna nagar</t>
  </si>
  <si>
    <t>https://g.page/hospitalsbewell?share</t>
  </si>
  <si>
    <t>http://bewellhospitals.in/</t>
  </si>
  <si>
    <t>No.106, Jawaharlal Nehru Salai Near VR Shopping Mall, Koyambedu Flyover, Anna Nagar West, Chennai, Tamil Nadu 600040</t>
  </si>
  <si>
    <t>Bhaarath medical college and hospital</t>
  </si>
  <si>
    <t>https://goo.gl/maps/PHKGZoej7rn4jP259</t>
  </si>
  <si>
    <t>https://bmch.ac.in/contact-us.php</t>
  </si>
  <si>
    <t>173, Agaram Main Rd, Selaiyur, Chennai, Tamil Nadu 600073</t>
  </si>
  <si>
    <t>Bharathiraja Hospital &amp; Research Centre Pvt Ltd</t>
  </si>
  <si>
    <t>https://goo.gl/maps/VQcfxehkEMhtj6bd9</t>
  </si>
  <si>
    <t>http://www.brhospitals.in/</t>
  </si>
  <si>
    <t>Bharathirajaa Hospital, 20, Gopathi Narayanaswami Chetty Rd, Satyamurthy Nagar, T. Nagar, Chennai, Tamil Nadu 600017</t>
  </si>
  <si>
    <t>Billroth Hospitals Shenoy Nagar, Chennai TN.</t>
  </si>
  <si>
    <t>https://g.page/billroth-hospitals-chennai?share</t>
  </si>
  <si>
    <t>https://billrothhospitals.com/</t>
  </si>
  <si>
    <t>43, Lakshmi Talkies Rd, Shenoy Nagar, Chennai, Tamil Nadu 600030</t>
  </si>
  <si>
    <t>Bloom Fertility and Healthcare, Velachery</t>
  </si>
  <si>
    <t>https://goo.gl/maps/1aaVtaFWLhKMG3Xx8</t>
  </si>
  <si>
    <t>http://bloomhospital.com/</t>
  </si>
  <si>
    <t>Ramagiri Nagar, Velachery, Chennai, Tamil Nadu 600042</t>
  </si>
  <si>
    <t>C.s.i Rainy Multi Speciality Hospital Tondaiarpet</t>
  </si>
  <si>
    <t>https://goo.gl/maps/UWZofAzqZzcM3Aou7</t>
  </si>
  <si>
    <t>http://csirainyhospital.com/</t>
  </si>
  <si>
    <t>NO 45, Gollavar Agraharam Rd, Pan Rajarathnam Nagar, Washermanpet, Chennai, Tamil Nadu 600021</t>
  </si>
  <si>
    <t>Chennai Orthopedic Centre -ER</t>
  </si>
  <si>
    <t>https://g.page/chennai-orthopedic-center?share</t>
  </si>
  <si>
    <t>http://www.cochospitals.com/</t>
  </si>
  <si>
    <t>Ramakrishna Nagar Ext, Fathima Nagar, Ramakrishna Nagar, Valasaravakkam, Chennai, Tamil Nadu 600095</t>
  </si>
  <si>
    <t>Chettinad Hospital</t>
  </si>
  <si>
    <t>https://goo.gl/maps/225LdyFr9X1YNbpV7</t>
  </si>
  <si>
    <t>http://www.chettinadhealthcity.com/</t>
  </si>
  <si>
    <t>Rajiv Gandhi Salai, Old Mahabalipuram Road, Kelambakkam, Kanchipuram District, Chennai, Tamil Nadu 600119</t>
  </si>
  <si>
    <t>CSI Kalyani General Hospital</t>
  </si>
  <si>
    <t>https://goo.gl/maps/WJQM18ytVGEVdB2b9</t>
  </si>
  <si>
    <t>http://www.csikalyanihospital.com/</t>
  </si>
  <si>
    <t># 15, Dr Radha Krishnan Salai, Loganathan Colony, Mylapore, Chennai, Tamil Nadu 600004</t>
  </si>
  <si>
    <t>Dr.Kamakshi Memorial Hospital</t>
  </si>
  <si>
    <t>https://g.page/DRKMH?share</t>
  </si>
  <si>
    <t>https://drkmh.com/</t>
  </si>
  <si>
    <t>#1, Radial Road, Dandeeswarar Nagar, Rose Avenue, Pallikaranai, Chennai, Tamil Nadu 600100</t>
  </si>
  <si>
    <t>Fortis Malar Hospital</t>
  </si>
  <si>
    <t>Frontier Lifeline Hospital</t>
  </si>
  <si>
    <t>Girishwari Hospital Alwarpet</t>
  </si>
  <si>
    <t>https://goo.gl/maps/GwxPyQzpFiLX5QyE8</t>
  </si>
  <si>
    <t>http://girishwarihospital.com/</t>
  </si>
  <si>
    <t>No 19, KB Dasan Rd, Seetammal Colony, MIG Colony, Alwarpet, Chennai, Tamil Nadu 600018</t>
  </si>
  <si>
    <t>GKM Hospital Pvt Ltd</t>
  </si>
  <si>
    <t>https://g.page/GKM-Hospital?share</t>
  </si>
  <si>
    <t>https://gkmhospital.business.site/</t>
  </si>
  <si>
    <t>113, P.B Road, Vepery, Purasaiwakkam, Chennai, Tamil Nadu 600087</t>
  </si>
  <si>
    <t>GLB Hospital</t>
  </si>
  <si>
    <t>Gleneagles Global Health City</t>
  </si>
  <si>
    <t>Gunasekaran Hospitals Pvt Ltd</t>
  </si>
  <si>
    <t>Hycare Super Speciality Hospital</t>
  </si>
  <si>
    <t>K.P Hospital, Adambakkam</t>
  </si>
  <si>
    <t>Kanchi Kamakoti Child Trust Hospital</t>
  </si>
  <si>
    <t>https://goo.gl/maps/tzrEmwM7vQH4umdi6</t>
  </si>
  <si>
    <t>http://www.kkcth.org/</t>
  </si>
  <si>
    <t>12 A, Nageswara Rd, Tirumurthy Nagar, Nungambakkam, Chennai, Tamil Nadu 600034</t>
  </si>
  <si>
    <t>Karpaga Vinayaga Medical Science &amp; Ri</t>
  </si>
  <si>
    <t>https://goo.gl/maps/pY3eUQSFoGB7g2Wq6</t>
  </si>
  <si>
    <t>http://www.kims.edu.in/</t>
  </si>
  <si>
    <t>P.O, GST Road, Chinna Kolambakkam, Palayanoor, Maduranthakam, Tamil Nadu 603308</t>
  </si>
  <si>
    <t>Kauvery Hospital</t>
  </si>
  <si>
    <t>https://goo.gl/maps/fiKozYDfPAdF72X56</t>
  </si>
  <si>
    <t>https://www.kauveryhospital.com/news-events/news-view/181</t>
  </si>
  <si>
    <t>81, TTK Road, Junction, CIT Colony, Alwarpet, Chennai, Tamil Nadu 600018</t>
  </si>
  <si>
    <t>Kumaran Hospital Pvt ltd</t>
  </si>
  <si>
    <t>https://goo.gl/maps/7FBXh4rHUB59VUhg8</t>
  </si>
  <si>
    <t>http://kumaranhospitals.com/</t>
  </si>
  <si>
    <t>214, E.V.R Periyar Salai, Poonamallee High Rd, Kilpauk, Chennai, Tamil Nadu 600010</t>
  </si>
  <si>
    <t>KVT Speciality Hospital, Erukanchery</t>
  </si>
  <si>
    <t>https://goo.gl/maps/YFCFG8SigTe3vrDn7</t>
  </si>
  <si>
    <t>http://kvtspeciality.com/</t>
  </si>
  <si>
    <t>Plot No. 1, 2,3, Ethiraj Samy Salai Rd, Erukkancheri, Kodungaiyur, Chennai, Tamil Nadu 600118</t>
  </si>
  <si>
    <t>Laksha Hospital Royapettah</t>
  </si>
  <si>
    <t>https://goo.gl/maps/2D2AphUbUNmUG6uV7</t>
  </si>
  <si>
    <t>http://www.lakshahospitals.in/</t>
  </si>
  <si>
    <t>No 18, Lalithapuram St, Srilalithapuram, Royapettah, Chennai, Tamil Nadu 600014</t>
  </si>
  <si>
    <t>Life Care Hospital</t>
  </si>
  <si>
    <t>Lifeline Hospitals</t>
  </si>
  <si>
    <t>M G M Health Care Pvt Ltd</t>
  </si>
  <si>
    <t>https://goo.gl/maps/UzMGLErFsaDAXkCu7</t>
  </si>
  <si>
    <t>http://mgmhealthcare.in/</t>
  </si>
  <si>
    <t>New No 72, Old, No 54, Nelson Manickam Rd, Aminjikarai, Chennai, Tamil Nadu 600029</t>
  </si>
  <si>
    <t>M.R Hospital</t>
  </si>
  <si>
    <t>Maya Nursing Home</t>
  </si>
  <si>
    <t>Medway Hospital</t>
  </si>
  <si>
    <t>Meenakshi Medical College</t>
  </si>
  <si>
    <t>https://goo.gl/maps/8AEsN2fc9Z8XG8Eh6</t>
  </si>
  <si>
    <t>http://www.maher.ac.in/</t>
  </si>
  <si>
    <t>Raasi Nagar, Karrapettai Post, Enathur, Tamil Nadu 631552</t>
  </si>
  <si>
    <t>Melmaruvathur Aadhiparasakthi Medical College</t>
  </si>
  <si>
    <t>https://goo.gl/maps/n4ysuAB5TMxCcJW4A</t>
  </si>
  <si>
    <t>http://www.mapims.org/</t>
  </si>
  <si>
    <t>Melmaruvathur, Kancheepuram, Tamil Nadu 603319</t>
  </si>
  <si>
    <t>Mint Hospital</t>
  </si>
  <si>
    <t>Miot Hospital</t>
  </si>
  <si>
    <t>https://g.page/miot-international-chennai?share</t>
  </si>
  <si>
    <t>http://www.miotinternational.com/</t>
  </si>
  <si>
    <t>4/112, Mount Poonamallee Rd, Sathya Nagar, Manapakkam, Chennai, Tamil Nadu 600089</t>
  </si>
  <si>
    <t>MMRV Hospital</t>
  </si>
  <si>
    <t>Muthu hospital</t>
  </si>
  <si>
    <t>National Hospital</t>
  </si>
  <si>
    <t>New Hope Multi Speciality Hospital, Kilpauk</t>
  </si>
  <si>
    <t>https://goo.gl/maps/9XYM8gwn9SxCaRZUA</t>
  </si>
  <si>
    <t>http://www.newhopehospitals.com/</t>
  </si>
  <si>
    <t>No. 814, Poonamallee High Rd, Kilpauk, Opposite to, KMC, Chennai, Tamil Nadu 600010</t>
  </si>
  <si>
    <t>New Life Hospitals</t>
  </si>
  <si>
    <t>New Lifemed Hospital</t>
  </si>
  <si>
    <t>Noble Hospital</t>
  </si>
  <si>
    <t>Orthomed Hospital</t>
  </si>
  <si>
    <t>Padmini Nursing Home Chetpet</t>
  </si>
  <si>
    <t>Panimalar Medical College &amp; Hospital</t>
  </si>
  <si>
    <t>https://g.page/Panimalarmedicalcollege?share</t>
  </si>
  <si>
    <t>http://www.pmchri.ac.in/</t>
  </si>
  <si>
    <t>Varadharajapuram, Poonamallee, Chennai, Tamil Nadu 600123</t>
  </si>
  <si>
    <t>Prashanth Hospital</t>
  </si>
  <si>
    <t>Rama Rau Polyclinc, Kilpauk</t>
  </si>
  <si>
    <t>Retteri Sri Kumaran Health Centre (P) Ltd, Kolathur</t>
  </si>
  <si>
    <t>RPS hospital pvt ltd</t>
  </si>
  <si>
    <t>Sai Speed Hospital, Arumbakkam</t>
  </si>
  <si>
    <t>https://goo.gl/maps/PpTKgXAEE7j11hp4A</t>
  </si>
  <si>
    <t>https://www.speedmedicalcentre.com/contact-us/</t>
  </si>
  <si>
    <t>No.527, Poonamallee High Rd, Amaravathi Nagar, Arumbakkam, Chennai, Tamil Nadu 600106</t>
  </si>
  <si>
    <t>Sakthi Hospital Research Centre Triplicane</t>
  </si>
  <si>
    <t>Saveetha Medical College</t>
  </si>
  <si>
    <t>https://goo.gl/maps/dXENdsQzZ51N6hwZA</t>
  </si>
  <si>
    <t>http://saveethamedicalcollege.com/</t>
  </si>
  <si>
    <t>Saveetha Nagar, Thandalam, Chennai Bengaluru, National Highway, Chennai, Tamil Nadu 602105</t>
  </si>
  <si>
    <t>SIMS Hospital Vadapalani</t>
  </si>
  <si>
    <t>Sivam Hospitals, Ullagaram</t>
  </si>
  <si>
    <t>Sooriya Hospital</t>
  </si>
  <si>
    <t>Sree Balaji Medical College &amp; Hospital</t>
  </si>
  <si>
    <t>Sree Lakshmi Clinic and Maternity Centre</t>
  </si>
  <si>
    <t>Sri Ramachandra Medical College Hospital, Porur</t>
  </si>
  <si>
    <t>Sri Sathya Sai Medical College &amp; Research Institue</t>
  </si>
  <si>
    <t>Srinivas Priya Hospital Perambur</t>
  </si>
  <si>
    <t>Srinivasan Rajalakshmi Memorial Hospital</t>
  </si>
  <si>
    <t>Srm Medical College &amp; Hospital</t>
  </si>
  <si>
    <t>St. Thomas Hospital</t>
  </si>
  <si>
    <t>Sundaram Medical Foundation</t>
  </si>
  <si>
    <t>Tagore Medical College &amp; Hospital</t>
  </si>
  <si>
    <t>The Guest Hospital, Kilpauk</t>
  </si>
  <si>
    <t>Tosh Hospitals Pvt Ltd</t>
  </si>
  <si>
    <t>Trinity Acute care Hospital</t>
  </si>
  <si>
    <t>Vasantha Subramanian Hospitals Pvt Ltd, Chetpet</t>
  </si>
  <si>
    <t>Venkateswara Hospital</t>
  </si>
  <si>
    <t>Vhs, Adayar</t>
  </si>
  <si>
    <t>Vihaa Hospital Anna Nagar</t>
  </si>
  <si>
    <t>Vijaya Group Of Hospital</t>
  </si>
  <si>
    <t>Sims (Srm Institutes For Medical Science Hospital) Nungumbakkam</t>
  </si>
  <si>
    <t>KMS Health Centre Pvt Ltd,Selaiyur</t>
  </si>
  <si>
    <t>Nichani Hospital</t>
  </si>
  <si>
    <t>Dr.Metha hospital Chetpet</t>
  </si>
  <si>
    <t>G. Kuppusamy Naidu Hospital</t>
  </si>
  <si>
    <t>0422 224 5000</t>
  </si>
  <si>
    <t>https://g.page/GKNMH?share</t>
  </si>
  <si>
    <t>http://www.gknmhospital.org/</t>
  </si>
  <si>
    <t>Netaji Rd, P N Palayam, Tamil Nadu 641037</t>
  </si>
  <si>
    <t>Hindusthan Hospital, Udaiyampalayam</t>
  </si>
  <si>
    <t>0422 432 7777</t>
  </si>
  <si>
    <t>https://goo.gl/maps/U6aUi6iXhENu5pRj8</t>
  </si>
  <si>
    <t>https://www.hindusthanhospital.com/</t>
  </si>
  <si>
    <t>522/3, Udayampalayam Rd, behind EB Substation, Peelamedu, Coimbatore, Tamil Nadu 641028</t>
  </si>
  <si>
    <t>Karpagam Faculty Medical College And Hospital</t>
  </si>
  <si>
    <t>0422 646 4433</t>
  </si>
  <si>
    <t>https://goo.gl/maps/Cz8NFbTMLFmLRXhU9</t>
  </si>
  <si>
    <t>http://www.karpagam.ac.in/</t>
  </si>
  <si>
    <t>Othakalmandapam, Tamil Nadu 641032</t>
  </si>
  <si>
    <t>KG Hospital</t>
  </si>
  <si>
    <t>0422 - 40 42 121 / 0422-2219191</t>
  </si>
  <si>
    <t>https://goo.gl/maps/cyG1nEfHih2BFRPFA</t>
  </si>
  <si>
    <t>https://www.kghospital.com/</t>
  </si>
  <si>
    <t>No. 5, Government Arts College Road, Coimbatore - 641 018</t>
  </si>
  <si>
    <t>Kongunad Hospital</t>
  </si>
  <si>
    <t>0422 431 6000</t>
  </si>
  <si>
    <t>https://g.page/kongunadhospital?share</t>
  </si>
  <si>
    <t>http://kongunad.com/</t>
  </si>
  <si>
    <t>11th Street, Opp:, E Power House Rd, Tatabad, Coimbatore, Tamil Nadu 641012</t>
  </si>
  <si>
    <t>Kovai Medical College Hospital</t>
  </si>
  <si>
    <t>91 422 2627782</t>
  </si>
  <si>
    <t>https://g.page/kmchihsr?share</t>
  </si>
  <si>
    <t>https://kmchihsr.edu.in/</t>
  </si>
  <si>
    <t>99, Avinashi Rd, behind KMCH Main Center, Indira Nagar, Civil Aerodrome Post, Nehru Nagar West, Coimbatore, Tamil Nadu 641014</t>
  </si>
  <si>
    <t>One Care Medical Centre</t>
  </si>
  <si>
    <t>0422 243 1010</t>
  </si>
  <si>
    <t>https://g.page/the-one-care-medical-center?share</t>
  </si>
  <si>
    <t>https://ocmc.in/</t>
  </si>
  <si>
    <t>61, NSR Rd, Near Pulimaram Bus Stop, Nesavaalar Colony, Saibaba Colony, Coimbatore, Tamil Nadu 641011</t>
  </si>
  <si>
    <t>PSG Institute Of Medical Sciences and Research, Coimbatore</t>
  </si>
  <si>
    <t>0422 257 0170</t>
  </si>
  <si>
    <t>https://goo.gl/maps/GzKfghv6mzKeERjU6</t>
  </si>
  <si>
    <t>https://psgimsr.ac.in/</t>
  </si>
  <si>
    <t>Off, Avinashi Rd, Peelamedu, Coimbatore, Tamil Nadu 641004</t>
  </si>
  <si>
    <t>Royal Care Super Speciality Hospital</t>
  </si>
  <si>
    <t>0422 222 7000</t>
  </si>
  <si>
    <t>https://goo.gl/maps/kR6GNLE57WdVdHUe6</t>
  </si>
  <si>
    <t>https://www.royalcarehospital.in/</t>
  </si>
  <si>
    <t>1/520, L &amp; T Bye Pass Road, Coimbatore, Tamil Nadu 641062</t>
  </si>
  <si>
    <t>Royal Care Super Speciality Hospital Gandhipuram</t>
  </si>
  <si>
    <t>0422 400 1000</t>
  </si>
  <si>
    <t>https://goo.gl/maps/1k9NsoyRujw1UzU78</t>
  </si>
  <si>
    <t>https://www.royalcarehospital.in/city-unit/</t>
  </si>
  <si>
    <t>No.372-F, Dr.Nanjappa Road , Opposite Park Gate Signal, Gandhipuram, Coimbatore, Pincode:641018, Tamil Nadu.</t>
  </si>
  <si>
    <t>Sri Ramakrishna Hospital</t>
  </si>
  <si>
    <t>0422 450 0000</t>
  </si>
  <si>
    <t>https://g.page/sriramakrishnahospital?share</t>
  </si>
  <si>
    <t>https://www.sriramakrishnahospital.com/</t>
  </si>
  <si>
    <t>395, Sarojini Naidu Rd, Siddhapudur, Balasundaram Layout, B.K.R Nagar, Coimbatore, Tamil Nadu 641044</t>
  </si>
  <si>
    <t>KMCH Kovilampalayam Hospital, Sathy Road</t>
  </si>
  <si>
    <t>:+91 96594 33334 / 96594 33335 / 96594 33336 / 7708433399</t>
  </si>
  <si>
    <t>https://goo.gl/maps/9WJJGMsTajtsf5HGA</t>
  </si>
  <si>
    <t>https://kmchhospitals.com/kmch-kovilpalayam-hospital/</t>
  </si>
  <si>
    <t>No 87 C Sathy Road, Sarkarsamakulam, Kovilpalayam, Coimbatore – 641107.</t>
  </si>
  <si>
    <t>NLCIL Hospital,Neyveli</t>
  </si>
  <si>
    <t>04142-252381</t>
  </si>
  <si>
    <t>https://goo.gl/maps/qTiAFSNpiBhBYddC8</t>
  </si>
  <si>
    <t>Neyveli Twp Block-6, Neyveli T.S, Tamil Nadu 607803</t>
  </si>
  <si>
    <t>Christian Fellow Community Centre</t>
  </si>
  <si>
    <t>Christian Fellowship Hospital</t>
  </si>
  <si>
    <t>04553-240226/241226</t>
  </si>
  <si>
    <t>https://goo.gl/maps/Bgi3WfypVw9UEaRg9</t>
  </si>
  <si>
    <t>http://www.cfhospital.org/</t>
  </si>
  <si>
    <t>SANTHIPURAM, AMBILIKKAI, DINDIGUL, Tamil Nadu 624612</t>
  </si>
  <si>
    <t>Leonard Hospital</t>
  </si>
  <si>
    <t>St.Joseph Hospital</t>
  </si>
  <si>
    <t>Vel Multispeciality Hospital</t>
  </si>
  <si>
    <t>Erode Medical Centre</t>
  </si>
  <si>
    <t>Maaruthi Medical Centre And Hospital</t>
  </si>
  <si>
    <t>Sudha Hospital</t>
  </si>
  <si>
    <t>Annai Medical Centre</t>
  </si>
  <si>
    <t>E.S. Hospital</t>
  </si>
  <si>
    <t>I Med Super Speciality Hospital</t>
  </si>
  <si>
    <t>Lotus Paediatric Emergency Centre</t>
  </si>
  <si>
    <t>Maragadam Hospital</t>
  </si>
  <si>
    <t>S A Hospital</t>
  </si>
  <si>
    <t>Sri Sanjeevi Hospital</t>
  </si>
  <si>
    <t>Bon Secuors Hospital</t>
  </si>
  <si>
    <t>Chennai Urology &amp; Robotics Institute Hospital Thoraippakkam</t>
  </si>
  <si>
    <t>Madha Medical College&amp;Research Institute</t>
  </si>
  <si>
    <t>Sri Muthukumaran Medical College</t>
  </si>
  <si>
    <t>Apollo Medical Centre Karapakkam</t>
  </si>
  <si>
    <t>Bensam Hospital</t>
  </si>
  <si>
    <t>C.S.I.MISSION HOSPITAL</t>
  </si>
  <si>
    <t>Dr. Jayasekaran Medical Trust Hospital</t>
  </si>
  <si>
    <t>Sree Mookambika Institute of Medical Sciences</t>
  </si>
  <si>
    <t>Vasantham Health Centre</t>
  </si>
  <si>
    <t>Amaravathi Hospital</t>
  </si>
  <si>
    <t>Apollo Logo Hospital,Karur</t>
  </si>
  <si>
    <t>91-44-22432370/3370</t>
  </si>
  <si>
    <t>https://www.apollohospitals.com/locations/india/karur</t>
  </si>
  <si>
    <t>Chandrasekara Hospital</t>
  </si>
  <si>
    <t>Kauvery Hospital, Hosur</t>
  </si>
  <si>
    <t>Apollo Hospital</t>
  </si>
  <si>
    <t>Bharathi Hospital</t>
  </si>
  <si>
    <t>Devadoss Multispeciality Hospital</t>
  </si>
  <si>
    <t>0452-4521000|1029</t>
  </si>
  <si>
    <t>https://g.page/devadosshospitals?share</t>
  </si>
  <si>
    <t>https://www.devadosshospitals.com/</t>
  </si>
  <si>
    <t>Surveyor Colony,Madurai – 625 007,Tamil Nadu, India.</t>
  </si>
  <si>
    <t>Guru Multispeciality Hospital</t>
  </si>
  <si>
    <t>9944485353, 7708072543, 8754314930</t>
  </si>
  <si>
    <t>https://goo.gl/maps/8pgZ73NziwGijfyG9</t>
  </si>
  <si>
    <t>https://www.guruhospitals.com/</t>
  </si>
  <si>
    <t>4 /120-F, Pandikovil Ring Road,Mattuthavani Airport High way,Madurai 625107</t>
  </si>
  <si>
    <t>Harshini Hospital,Sathamangalam</t>
  </si>
  <si>
    <t>Harshitha Hospital, Avaniyapuram</t>
  </si>
  <si>
    <t>0452 -2551000 -30</t>
  </si>
  <si>
    <t>https://goo.gl/maps/79eJUpYLUv1NcUFv6</t>
  </si>
  <si>
    <t>https://www.harshithahospitals.com/contact.php</t>
  </si>
  <si>
    <t>R.S.128/1A, B, C, 129, 3B, ARUPPUKOTTAI MAIN ROAD, AVANIYAPURAM, MADURAI- 625012.</t>
  </si>
  <si>
    <t>Lakshmana Multispeciality Hospital</t>
  </si>
  <si>
    <t>91 452 2371369</t>
  </si>
  <si>
    <t>https://goo.gl/maps/mdDieAzR5yUQigvH6</t>
  </si>
  <si>
    <t>http://lakshmanahospital.com/about.php</t>
  </si>
  <si>
    <t>23, Tirupparankunram Road, Pykara, Madurai, Tamil Nadu 625004</t>
  </si>
  <si>
    <t>Meenakshi Mission Hospital and Research Centre</t>
  </si>
  <si>
    <t>91-452-4263000 / 2543000</t>
  </si>
  <si>
    <t>https://g.page/OfficialMMHRC?share</t>
  </si>
  <si>
    <t>https://www.mmhrc.in/</t>
  </si>
  <si>
    <t>Lake Area, Melur Road,Madurai-625 107,Tamilnadu, India.</t>
  </si>
  <si>
    <t>Rahavendhar Hospital</t>
  </si>
  <si>
    <t>Saravana Hospital</t>
  </si>
  <si>
    <t>0452-2446004,2446000</t>
  </si>
  <si>
    <t>https://goo.gl/maps/5DJvZb8bikyLonfY7</t>
  </si>
  <si>
    <t>http://www.saravanahospital.org/</t>
  </si>
  <si>
    <t>7-A Maruthupandiar Nagar,4th Main Road, Narimedu,Madurai - 625002.</t>
  </si>
  <si>
    <t>Shenbagam Hospitals Pvt Ltd.</t>
  </si>
  <si>
    <t>0091 - 452 4393003 - 06 (4 Lines)</t>
  </si>
  <si>
    <t>https://goo.gl/maps/H4kYUjShQZ8Fx4yZ7</t>
  </si>
  <si>
    <t>http://www.shenbagamhospital.org/</t>
  </si>
  <si>
    <t>Anna Nagar,Madurai - 625020,Tamil Nadu, India</t>
  </si>
  <si>
    <t>Sumathi Hospital &amp; Fertility Center,Anna Nagar</t>
  </si>
  <si>
    <t>91 7358800889</t>
  </si>
  <si>
    <t>https://g.page/sumathihospital?share</t>
  </si>
  <si>
    <t>https://sumathihospital.com/</t>
  </si>
  <si>
    <t>334-A, Anna nagar, Madurai-625020. Tamilnadu, India</t>
  </si>
  <si>
    <t>Thembavani Hospital,Gnanaolipuram</t>
  </si>
  <si>
    <t>0452 2603914</t>
  </si>
  <si>
    <t>https://goo.gl/maps/5SSoQFWf2ifVotDw8</t>
  </si>
  <si>
    <t>15, AA Rd, Pethaniapuram 2, Arappalayam, Gnanavolivupuram, Tamil Nadu 625016</t>
  </si>
  <si>
    <t>Vadamalayan Hospital</t>
  </si>
  <si>
    <t>Velammal Medical College Hospital and Research Institute</t>
  </si>
  <si>
    <t>91 452 7114444,7114000</t>
  </si>
  <si>
    <t>https://g.page/VelammalHospital?share</t>
  </si>
  <si>
    <t>https://www.velammalmedicalcollege.edu.in/</t>
  </si>
  <si>
    <t>Velammal Village, Madurai - Tuticorin ring road, Anuppanadi, Madurai - 625009</t>
  </si>
  <si>
    <t>Cahoj Hospital</t>
  </si>
  <si>
    <t>Ram Bone And Joint Hospial</t>
  </si>
  <si>
    <t>04364 224712</t>
  </si>
  <si>
    <t>https://goo.gl/maps/Jnjf82ag5eivGhDu9</t>
  </si>
  <si>
    <t>No 66, Mahadhana St, Kamarajar Salai, Mayiladuthurai, Tamil Nadu 609001</t>
  </si>
  <si>
    <t>Shanthi Nursing Home</t>
  </si>
  <si>
    <t>04364 222906</t>
  </si>
  <si>
    <t>https://goo.gl/maps/PjQm5kuYmtNs8f619</t>
  </si>
  <si>
    <t>4, Narayana Pillai St, Kamarajar Salai, Mayiladuthurai, Tamil Nadu 609001</t>
  </si>
  <si>
    <t>Aravinth Hospital</t>
  </si>
  <si>
    <t>04286 232333</t>
  </si>
  <si>
    <t>https://goo.gl/maps/69pSAvrDnNwWzGTJ7</t>
  </si>
  <si>
    <t>17, rengar sannathi st, Senthamangalam Road, Namakkal, Tamil Nadu 637001</t>
  </si>
  <si>
    <t>M.M.Hospital</t>
  </si>
  <si>
    <t>09786650575</t>
  </si>
  <si>
    <t>https://g.page/m-m--hospital-namakkal?share</t>
  </si>
  <si>
    <t>6/288, Trichy Main Rd, Andavar Nagar, Namakkal, Tamil Nadu 637001</t>
  </si>
  <si>
    <t>Maharaja Speciality Hospital</t>
  </si>
  <si>
    <t>04286 234620</t>
  </si>
  <si>
    <t>https://goo.gl/maps/zdzs6QM6jb35ApbZ8</t>
  </si>
  <si>
    <t>Door No, 78-C, Mohanur - Namakkal Rd, K K Nagar, Namakkal, Tamil Nadu 637001</t>
  </si>
  <si>
    <t>Thangam Hospital</t>
  </si>
  <si>
    <t>91 73730 30685,73732 33333</t>
  </si>
  <si>
    <t>https://g.page/thangamhospitals?share</t>
  </si>
  <si>
    <t>http://thangamhospital.com/</t>
  </si>
  <si>
    <t>No.54, Dr. Sankaran Road,Namakkal, Tamilnadu 637001, India.</t>
  </si>
  <si>
    <t>Vivekanandha Medical Care Hospital</t>
  </si>
  <si>
    <t>91 7373100100</t>
  </si>
  <si>
    <t>https://goo.gl/maps/7NbvnAaSkdGxiZ4t7</t>
  </si>
  <si>
    <t>https://vivekanandha.hospital/</t>
  </si>
  <si>
    <t>Tiruchengode, Namakkal Dt. - 637 205</t>
  </si>
  <si>
    <t>Ashwini Gudalur Tribal Hospital</t>
  </si>
  <si>
    <t>Nankam Hospital</t>
  </si>
  <si>
    <t>0423 – 2234053, 2231550</t>
  </si>
  <si>
    <t>https://goo.gl/maps/Gjz2Gwt5WgQQ1QWr7</t>
  </si>
  <si>
    <t>https://nankemhospital.com/</t>
  </si>
  <si>
    <t>Near YWCA, BedfordCoonoor – 643101, The Nilgiris,Tamil Nadu</t>
  </si>
  <si>
    <t>Sagayamatha Hospital</t>
  </si>
  <si>
    <t>Amma Hospital Thuraimangalam</t>
  </si>
  <si>
    <t>Aruptha Multispeciality Hospital</t>
  </si>
  <si>
    <t>Devi Hospital Elambalur</t>
  </si>
  <si>
    <t>Dhanalakshmisrinivasan Medical College And Hospital</t>
  </si>
  <si>
    <t>04328 -254500</t>
  </si>
  <si>
    <t>https://goo.gl/maps/eF7X5UP2sXYRAkro8</t>
  </si>
  <si>
    <t>https://www.dsmedicalcollege.org/</t>
  </si>
  <si>
    <t>Siruvachur, Perambalur– 621 113</t>
  </si>
  <si>
    <t>Dr. Venkatesan Hospital</t>
  </si>
  <si>
    <t>Lakshmi Nursing Home</t>
  </si>
  <si>
    <t>04328 278 757</t>
  </si>
  <si>
    <t>https://goo.gl/maps/WUp4uquSMCnseNW69</t>
  </si>
  <si>
    <t>No: 7A/44-1D, MG Puram, Rover School Road, Perambalur, Tamil Nadu 621212</t>
  </si>
  <si>
    <t>Madhu Hospital</t>
  </si>
  <si>
    <t>Niranjan Nursing Home</t>
  </si>
  <si>
    <t>04328 277 269</t>
  </si>
  <si>
    <t>https://goo.gl/maps/R6UPKe19iqTF984b7</t>
  </si>
  <si>
    <t>#229-A/19, Mettu St,, Renga Nagar, Perambalur, Tamil Nadu</t>
  </si>
  <si>
    <t>Pedro Nursing Home</t>
  </si>
  <si>
    <t>Ramasamy Hospital</t>
  </si>
  <si>
    <t>Siva Hospital</t>
  </si>
  <si>
    <t>SPT Hospital</t>
  </si>
  <si>
    <t>Muthu Meenakshi Hospitals</t>
  </si>
  <si>
    <t>04322-242424</t>
  </si>
  <si>
    <t>https://goo.gl/maps/yDUvopu3oKQU3nWr5</t>
  </si>
  <si>
    <t>https://muthumeenakshihospitals.com/</t>
  </si>
  <si>
    <t>South 4th Street, Marthandapuram, near Anna Statue, Pudukkottai, Tamil Nadu 622001</t>
  </si>
  <si>
    <t>Aasi Multi Speciality Hospital</t>
  </si>
  <si>
    <t>04567-232301 / 232302</t>
  </si>
  <si>
    <t>https://goo.gl/maps/vg6Q3kwgqAf98g2x7</t>
  </si>
  <si>
    <t>http://aasihospital.in/about.html</t>
  </si>
  <si>
    <t xml:space="preserve"> 6/1155-1, D.BLOCK BUSSTOP, OPP TO RTO OFFICE, RAMESHWARAM MAIN RD, RAMANATHAPURAM-623503</t>
  </si>
  <si>
    <t>Kanagamani Hospital</t>
  </si>
  <si>
    <t>04567-221201,221492,22054</t>
  </si>
  <si>
    <t>https://goo.gl/maps/ckgtZLVEmtrUDTzn8</t>
  </si>
  <si>
    <t>https://www.kanagamanihospital.com/Ramnad/hospitals-ramnad-home.html</t>
  </si>
  <si>
    <t>No: 58, Lathams Banglow Road,G.H. Road,Ramanathapuram - 623 601,Tamilnadu, South India.</t>
  </si>
  <si>
    <t>Vel Hospital Ramanathapuram</t>
  </si>
  <si>
    <t>04567-222206/07</t>
  </si>
  <si>
    <t>https://goo.gl/maps/SEesQn9MTfB9AG2s9</t>
  </si>
  <si>
    <t>Thiruvalluvar Street, Ramanathapuram-623 504</t>
  </si>
  <si>
    <t>Annapoorna Medical College and Hospital</t>
  </si>
  <si>
    <t>0427- 2203000</t>
  </si>
  <si>
    <t>https://goo.gl/maps/osVUZDJZJ8Xqkqvp8</t>
  </si>
  <si>
    <t>http://www.amch.in/</t>
  </si>
  <si>
    <t>Sankari Main Road (NH- 544),Veerapandi Union,Salem- 636 308,Tamil Nadu , India.</t>
  </si>
  <si>
    <t>Dharan Hospital</t>
  </si>
  <si>
    <t>91 - 427-2709999</t>
  </si>
  <si>
    <t>https://goo.gl/maps/aLAr12DhTnGzZB629</t>
  </si>
  <si>
    <t>https://www.dharanhospital.com/contactus.php</t>
  </si>
  <si>
    <t>#14, Seelanaickanpatty byepass,Salem - 636 201, Tamilnadu</t>
  </si>
  <si>
    <t>Kauvery Hospital, Salem</t>
  </si>
  <si>
    <t>093848 45708</t>
  </si>
  <si>
    <t>https://g.page/KauveryHospitalSalem?share</t>
  </si>
  <si>
    <t>https://www.kauveryhospital.com</t>
  </si>
  <si>
    <t>9/50, Trichy Main Rd, Opp.to Chandra Mahal, M G R Nagar, Seelanaickenpatti, Salem, Tamil Nadu 636201</t>
  </si>
  <si>
    <t>Kurinji Hospital</t>
  </si>
  <si>
    <t>0427 - 2433300, 2433301, 2433302</t>
  </si>
  <si>
    <t>https://goo.gl/maps/trrqWyCVHYvudm3R8</t>
  </si>
  <si>
    <t>https://www.kurinjihospital.in/</t>
  </si>
  <si>
    <t>Teejay Road, Five Roads,Salem - 636 016</t>
  </si>
  <si>
    <t>Manipal Hospital</t>
  </si>
  <si>
    <t>0427-2346600 / 0427 2346602</t>
  </si>
  <si>
    <t>https://g.page/manipal-hospitals-salem?share</t>
  </si>
  <si>
    <t>https://www.manipalhospitals.com/salem/contact-us/</t>
  </si>
  <si>
    <t>Dalmia Board, Salem - Bangalore Highway, Vellakalpatti, Salem, Tamil Nadu 636012</t>
  </si>
  <si>
    <t>Priyam Speciality Hospitals</t>
  </si>
  <si>
    <t>91-9487132733,91-9487513633</t>
  </si>
  <si>
    <t>https://goo.gl/maps/NH3NnaNp1ysyknPL9</t>
  </si>
  <si>
    <t>https://priyamspecialityhospitals.com/</t>
  </si>
  <si>
    <t>No.247, Bangalore Bypass Road, AH43,Kondalampatti, Salem, Tamil Nadu 636010</t>
  </si>
  <si>
    <t>Shanmuga Hospital Cancer Institute</t>
  </si>
  <si>
    <t>0427-2706666,8754033833</t>
  </si>
  <si>
    <t>https://goo.gl/maps/nKMaHp2XW2ARUsReA</t>
  </si>
  <si>
    <t>https://shanmugahospital.com/about-us/</t>
  </si>
  <si>
    <t>24, Saradha College Road,Salem-636007. Tamilnadu.</t>
  </si>
  <si>
    <t>SKS Hospital</t>
  </si>
  <si>
    <t>Sri Gokulam Hospital</t>
  </si>
  <si>
    <t>0427 244 8176</t>
  </si>
  <si>
    <t>https://goo.gl/maps/dzTLcWLPqQJCFNmU8</t>
  </si>
  <si>
    <t>3, 60, Meyyanur Main Rd, Pallapatti, Salem, Tamil Nadu 636004</t>
  </si>
  <si>
    <t>Vinayaka Mission Super Specialty Hospitals Pvt Ltd</t>
  </si>
  <si>
    <t>0427 252 9700</t>
  </si>
  <si>
    <t>https://g.page/VMRFDU?share</t>
  </si>
  <si>
    <t>Sankari Main Rd, Ariyanur, Tamil Nadu 636308</t>
  </si>
  <si>
    <t>Vinyaga Mission Kirubanandha Variyar Medical College Hospital</t>
  </si>
  <si>
    <t>0427 - 3012079</t>
  </si>
  <si>
    <t>https://goo.gl/maps/XkZXvhaJ36YJXRjH7</t>
  </si>
  <si>
    <t>http://www.vmkvmc.edu.in/</t>
  </si>
  <si>
    <t>Chinna Seeragapadi, Salem – 636 308, Tamil Nadu, India</t>
  </si>
  <si>
    <t>Kauvery Hospital Karaikudi</t>
  </si>
  <si>
    <t>04565-244555</t>
  </si>
  <si>
    <t>No-42/1, Kuruchiyental, Mudiyarasanar Salai, Maruthupandiyar Nagar, Near New Bus Stand, Karaikudi, Tamil Nadu 630001.</t>
  </si>
  <si>
    <t>KG Multi Speciality Hospital</t>
  </si>
  <si>
    <t>04362-239919</t>
  </si>
  <si>
    <t>https://g.page/kg-hospital-thanjavur?share</t>
  </si>
  <si>
    <t>http://kghospital.in/</t>
  </si>
  <si>
    <t>No. 2nd Street, V.O.C.Nagar, Thanjavur - 613007.</t>
  </si>
  <si>
    <t>Meenakshi Multispeciality Hospital</t>
  </si>
  <si>
    <t>04362-226474 / 226575</t>
  </si>
  <si>
    <t>https://goo.gl/maps/ywACaE54HCBHaRQp9</t>
  </si>
  <si>
    <t>http://www.meenakshihospital.com/</t>
  </si>
  <si>
    <t>244/2, Trichy Main Road, Near New Bus stand, Tanjore - 613 005, Tamil nadu, India</t>
  </si>
  <si>
    <t>Aakash Hospital</t>
  </si>
  <si>
    <t>044-25730099</t>
  </si>
  <si>
    <t>210 / 2005 395 T H Road, Tiruvallur, Tamil Nadu - 600019</t>
  </si>
  <si>
    <t>ACS Medical College And Hospital</t>
  </si>
  <si>
    <t>Peacock Hospitals Private Limited</t>
  </si>
  <si>
    <t>044 27880555</t>
  </si>
  <si>
    <t>https://g.page/peacockhospitals?share</t>
  </si>
  <si>
    <t>https://peacock-hospitals.business.site/</t>
  </si>
  <si>
    <t>5, Arakkonam Road,Nethaji Nagar,Thiruthani, Tamil Nadu 631209,India</t>
  </si>
  <si>
    <t>Raj Nursing Home Mogappair East</t>
  </si>
  <si>
    <t>Ravina Health Care Pvt Ltd</t>
  </si>
  <si>
    <t>Sri Ivan Stedeford Hospital</t>
  </si>
  <si>
    <t>Sugam Hospital</t>
  </si>
  <si>
    <t>Ramana Maharishi Hospital</t>
  </si>
  <si>
    <t>(+91) 91768 91769 / (+91)-4175-237108</t>
  </si>
  <si>
    <t>https://goo.gl/maps/Pb8XtGhMiXSYDH3KA</t>
  </si>
  <si>
    <t>https://rmrhealth.org/</t>
  </si>
  <si>
    <t>No 347, Athiyandal village, Thiruvannamalai - 606 603</t>
  </si>
  <si>
    <t>Sacred Heart Hospital</t>
  </si>
  <si>
    <t>04612360704,04612361646,9443260714</t>
  </si>
  <si>
    <t>https://goo.gl/maps/iQJJ66AsNS2NvSfi8</t>
  </si>
  <si>
    <t>http://www.sacredhearthospitaltuticorin.org/Contact.html</t>
  </si>
  <si>
    <t>Kandasamypuram, Thoothukudi,TamilNadu - 628 002.India</t>
  </si>
  <si>
    <t>Sri Hospital</t>
  </si>
  <si>
    <t>04632 234000</t>
  </si>
  <si>
    <t>https://goo.gl/maps/7rsHr17XjfTRe8WG7</t>
  </si>
  <si>
    <t>57, Ettayapuram Rd, Jothi Nagar, Kovilpatti Thoothukudi, Tamil Nadu - 628501</t>
  </si>
  <si>
    <t>Annai Velankanni Multi Speciality Hospital, Palayamkottai</t>
  </si>
  <si>
    <t>91 9077919191</t>
  </si>
  <si>
    <t>https://g.page/theAVHospitals?share</t>
  </si>
  <si>
    <t>https://avhospitals.co.in/</t>
  </si>
  <si>
    <t>Murugankurichi, Palayankottai,Tirunelveli - 627 002</t>
  </si>
  <si>
    <t>Ponra Multispeciality Hospital</t>
  </si>
  <si>
    <t>Rosemary mission hospital and research centre</t>
  </si>
  <si>
    <t>Shifa Hospital</t>
  </si>
  <si>
    <t>Revathi Medical Centre</t>
  </si>
  <si>
    <t>91 421 4332211,4332200</t>
  </si>
  <si>
    <t>https://goo.gl/maps/JcBSf1N5Q78K7isp8</t>
  </si>
  <si>
    <t>https://www.revathimedicalcenter.com/</t>
  </si>
  <si>
    <t>10, Valayangadu Main Road,Kumar Nagar (West), Avinashi Road, Tirupur - 03</t>
  </si>
  <si>
    <t>Navajeevan Hospital</t>
  </si>
  <si>
    <t>91- 9597035108</t>
  </si>
  <si>
    <t>https://goo.gl/maps/g1gKrmVmwdo9sNfH8</t>
  </si>
  <si>
    <t>http://navajeevanhospital.com/</t>
  </si>
  <si>
    <t>No: 3/4B, Thanjai Salai,Vilamal, Thiruvarur</t>
  </si>
  <si>
    <t>Thiruvarur Medical Centre</t>
  </si>
  <si>
    <t>04366 242 292</t>
  </si>
  <si>
    <t>https://goo.gl/maps/4B6aU8XsosUArRWQ7</t>
  </si>
  <si>
    <t>Javulikkara Street, near temple tank, Suriyan Kulam Then Kari, Vasan Nagar, Madappuram, Thiruvarur, Tamil Nadu 610001</t>
  </si>
  <si>
    <t>Neuro One Hospital, Karur Bye Pass Road</t>
  </si>
  <si>
    <t>https://g.page/NeuroOne?share</t>
  </si>
  <si>
    <t>http://www.neuroone.in/</t>
  </si>
  <si>
    <t>55, 1, Karur Bypass Rd, Melachinthamani, Tiruchirappalli, Tamil Nadu 620002</t>
  </si>
  <si>
    <t>Apollo Speciality Hospital</t>
  </si>
  <si>
    <t>https://www.apollohospitals.com/locations/india/trichy</t>
  </si>
  <si>
    <t>Ariyamangalam Area, Chennai - Madurai Highway,Trichy - 620 010</t>
  </si>
  <si>
    <t>G V N Hospital Pvt Ltd</t>
  </si>
  <si>
    <t>0431-2700712 / 2700811</t>
  </si>
  <si>
    <t>https://g.page/gvnhospitaltrichy?share</t>
  </si>
  <si>
    <t>http://gvnhospitals.in/</t>
  </si>
  <si>
    <t>No 46, near Super Bazaar, Singarathope, Tiruchirappalli, Tamil Nadu 620008</t>
  </si>
  <si>
    <t>Kavery Medical Centre And Hospital, Trichy</t>
  </si>
  <si>
    <t>093848 46223</t>
  </si>
  <si>
    <t>https://g.page/kauvery-hospital-tennur?share</t>
  </si>
  <si>
    <t>No.1, K.C.Road, Tennur, Tiruchirappalli, Tamil Nadu 620017</t>
  </si>
  <si>
    <t>Maruti Hospital</t>
  </si>
  <si>
    <t>0431–2240000,2793141</t>
  </si>
  <si>
    <t>https://g.page/maruti-hospital-tiruchirappalli?share</t>
  </si>
  <si>
    <t>https://www.marutihospital.in/</t>
  </si>
  <si>
    <t>95, Pattabiraman Salai, Anna Nagar, Tennur, Tiruchirappalli 620017</t>
  </si>
  <si>
    <t>Sinduja Hospital</t>
  </si>
  <si>
    <t>04332 263 101</t>
  </si>
  <si>
    <t>https://goo.gl/maps/XWgNrRj2YYLDSiQQ8</t>
  </si>
  <si>
    <t>SH 71A, Manapparai, Tamil Nadu 621306</t>
  </si>
  <si>
    <t>SRM Medical College Hospital And Research Centre, Trichy</t>
  </si>
  <si>
    <t>Dr.G.Viswanathan Hospital Mambalasalai</t>
  </si>
  <si>
    <t>0431 - 404 1234 (20 lines)</t>
  </si>
  <si>
    <t>https://goo.gl/maps/Wt99dY5ySGBJmHDVA</t>
  </si>
  <si>
    <t>http://www.viswanathanhospital.com/contact.php</t>
  </si>
  <si>
    <t>30, Babu Road, Trichy - 620008, Tamil Nadu, India.</t>
  </si>
  <si>
    <t>Pankajam Sitaram Nursing Home (A Unit Of GVN Hospital)</t>
  </si>
  <si>
    <t>91-4312432605</t>
  </si>
  <si>
    <t>https://goo.gl/maps/mRNMyXZiYMX4bVEN7</t>
  </si>
  <si>
    <t>NO. 17,SRIRENGAM,TRICHY, Tiruchirappalli, Tamil Nadu, India - 620006</t>
  </si>
  <si>
    <t>Sundaram Hospital, Pudhur</t>
  </si>
  <si>
    <t>04312771221</t>
  </si>
  <si>
    <t>https://goo.gl/maps/NuEAetiUW42ofq5Z8</t>
  </si>
  <si>
    <t>No 20, EVR Main Road, Aruna Nagar, Puthur, Thillai Nagar, Tiruchirappalli, Tamil Nadu 620017</t>
  </si>
  <si>
    <t>Kamala Speciality Hospitals Pvt Ltd, Kovilpatti</t>
  </si>
  <si>
    <t>04632-222077,04632-230486</t>
  </si>
  <si>
    <t>https://goo.gl/maps/cVZRCNvsZFbZPVGx8</t>
  </si>
  <si>
    <t>http://www.kamalahospitals.in/</t>
  </si>
  <si>
    <t>No : 46 &amp; 48, Santhai Pettai Street, Kovilpatti, Tamil Nadu 628502</t>
  </si>
  <si>
    <t>Apollo KH Hospital Ranipet</t>
  </si>
  <si>
    <t>Christian Medical College</t>
  </si>
  <si>
    <t>0416-2281000,9498760000</t>
  </si>
  <si>
    <t>https://goo.gl/maps/6As44YUUZPhxHM8R9</t>
  </si>
  <si>
    <t>https://www.cmch-vellore.edu/</t>
  </si>
  <si>
    <t>Ida Scudder Road,Vellore - 632004</t>
  </si>
  <si>
    <t>Christian Medical College Kannigipuram campus</t>
  </si>
  <si>
    <t>Sri Narayani Hospital and Research Centre</t>
  </si>
  <si>
    <t>0416-2206300,9952281684</t>
  </si>
  <si>
    <t>https://goo.gl/maps/tiwcy91b3JNtuGu37</t>
  </si>
  <si>
    <t>https://www.narayanihospital.com/</t>
  </si>
  <si>
    <t>Thirumalaikodi, Vellore – 632 055,Tamilnadu, India.</t>
  </si>
  <si>
    <t>Meenakshi Memorial Hospital</t>
  </si>
  <si>
    <t>04563 222 933</t>
  </si>
  <si>
    <t>https://goo.gl/maps/HN3GcE8oVRd6NVMe8</t>
  </si>
  <si>
    <t>164, PAC Ramasamy Raja Salai, Thoppupatti, Rajapalayam, Tamil Nadu 626117</t>
  </si>
  <si>
    <t>Sri Krishna Hospital</t>
  </si>
  <si>
    <t>9360521957/9489070103/04563-231057,221957</t>
  </si>
  <si>
    <t>https://goo.gl/maps/Liho2qDe3yY8weeV8</t>
  </si>
  <si>
    <t>http://www.srikrishnahospitals.com/</t>
  </si>
  <si>
    <t>218 B, PACR SALAI,Near Railway Crossing,Srirengapalayam, Rajapalayam, Virudhunagar, Tamil Nadu 626117</t>
  </si>
  <si>
    <t>Sai Fertility Centre &amp; Hospital, Vedhachalam Nagar</t>
  </si>
  <si>
    <t>9100096000/044-27424444</t>
  </si>
  <si>
    <t>https://goo.gl/maps/pu7kPMBezzzxcujN8</t>
  </si>
  <si>
    <t>http://saifertilitycenter.com/</t>
  </si>
  <si>
    <t>New # 43, Old #21, Devarajanar Street, Vedhachalam Nagar ( Behind New Bus Stand ), Chengalpattu - 603 000</t>
  </si>
  <si>
    <t>City Hospital Gandhi Nagar</t>
  </si>
  <si>
    <t>0451-2436060,2440044</t>
  </si>
  <si>
    <t>https://goo.gl/maps/t5RzUncvNx6vvJbXA</t>
  </si>
  <si>
    <t>Unit No. 4/361, Trichy Road,Gandhinagar,Dindigul - 607308</t>
  </si>
  <si>
    <t>Raja Rajeswari Hospital, Spence Nagar</t>
  </si>
  <si>
    <t>0451 - 2422441, 2422442</t>
  </si>
  <si>
    <t>https://g.page/rajrajeswarihospitaldindigul?share</t>
  </si>
  <si>
    <t>46, Spencer Nagar , Dindigul, Tamil Nadu - 624003</t>
  </si>
  <si>
    <t>Santhya Speciality Hospital, Arappalaiyam Main Road</t>
  </si>
  <si>
    <t>91 0452 2362112,4353112,4353116</t>
  </si>
  <si>
    <t>https://goo.gl/maps/bNQnL8L6sNzy6YZe9</t>
  </si>
  <si>
    <t>https://www.santhyahospitals.com/contact_us.jws</t>
  </si>
  <si>
    <t>146/147, Arappalayam Main Road,Near Naicker Statue,Madurai - 625 016,Tamil Nadu,India</t>
  </si>
  <si>
    <t>Arogya Hospital, Kenikarai</t>
  </si>
  <si>
    <t>91 9791676045,9585999222</t>
  </si>
  <si>
    <t>https://goo.gl/maps/B3UWyryGjeH5Zqw67</t>
  </si>
  <si>
    <t>https://arogyahospital.org/</t>
  </si>
  <si>
    <t>Kenikarai, Ramanathapuram, Tamil Nadu 623 501</t>
  </si>
  <si>
    <t>Saravana Hospital Ponnamapet</t>
  </si>
  <si>
    <t>0989555680</t>
  </si>
  <si>
    <t>https://g.page/SHPL-PROFILE?share</t>
  </si>
  <si>
    <t>http://saravanahospitals.com/our_doctor.php</t>
  </si>
  <si>
    <t>No.14,Thillai Nagar 1st Cross,Ponnammapet,Salem-636001.</t>
  </si>
  <si>
    <t>Sri Venkateswara Hospital T.V Koil</t>
  </si>
  <si>
    <t>Aristo Speciality Hospital Ponmeni</t>
  </si>
  <si>
    <t>Asirvatham Speciality Hospital, Gandhi Nagar</t>
  </si>
  <si>
    <t>91-0452-2529177, 9092482484</t>
  </si>
  <si>
    <t>https://goo.gl/maps/hkuwyd63zsFWm1QJA</t>
  </si>
  <si>
    <t>http://www.asirvathamhospital.com/</t>
  </si>
  <si>
    <t>22, Rajaji street Gandhinagar,Madurai - 625020,Tamilnadu,India.</t>
  </si>
  <si>
    <t>Bala Hospital Usilampatti</t>
  </si>
  <si>
    <t>04552-252123, 252125</t>
  </si>
  <si>
    <t>https://goo.gl/maps/p6sCGNwppGRM7r4x8</t>
  </si>
  <si>
    <t>http://www.balahospitalusilai.com/</t>
  </si>
  <si>
    <t>207/3-7, Madurai Main Road, Usilampatti-625532</t>
  </si>
  <si>
    <t>KJS Speciality Hospital,K.Pudur</t>
  </si>
  <si>
    <t>https://g.page/kjs-hospital-corona-care?share</t>
  </si>
  <si>
    <t>8th St, opp. Ayyapan Temple, Muthuramalingapuram, Karpaga Nagar, K.Pudur, Tamil Nadu 625007</t>
  </si>
  <si>
    <t>Nithilaa Nursing Home Palanganatham</t>
  </si>
  <si>
    <t>0452 – 2372113,2372153</t>
  </si>
  <si>
    <t>https://goo.gl/maps/JaTtJAPzYCkm8C157</t>
  </si>
  <si>
    <t>https://nithilaanursinghome.in/contact/</t>
  </si>
  <si>
    <t>72, T.P.K. Road,(Opp. to Kumaragam Kovil),Pallaganatham,Madurai – 625 003.</t>
  </si>
  <si>
    <t>NTC Hospitals Vaithiyanathapuram</t>
  </si>
  <si>
    <t>63856 02664</t>
  </si>
  <si>
    <t>https://g.page/ntchospitals?share</t>
  </si>
  <si>
    <t>https://www.ntchospitals.com/</t>
  </si>
  <si>
    <t>187, Thathaneri Main Road,Near ESI Hospital,Vaithiyanathapuram,Madurai - 625018</t>
  </si>
  <si>
    <t>Raks Hospital Anna Nagar</t>
  </si>
  <si>
    <t>0452 4295111</t>
  </si>
  <si>
    <t>https://g.page/rakshospital?share</t>
  </si>
  <si>
    <t>https://raks-hospitals-pvt-ltd.business.site/</t>
  </si>
  <si>
    <t>12/59, Kuruvikaran Salai,1st Cross Street,Behind Cinepriya theatre,Anna Nagar,Madurai, Tamil Nadu 625020,India</t>
  </si>
  <si>
    <t>Pon Malligai Hospital Adambakkam</t>
  </si>
  <si>
    <t>Iswarya Fertility Centre Kilpauk</t>
  </si>
  <si>
    <t>099627 00000</t>
  </si>
  <si>
    <t>https://goo.gl/maps/NLFibmcegBFnWS718</t>
  </si>
  <si>
    <t>https://iswaryafertility.com/kilpauk/</t>
  </si>
  <si>
    <t>119, New Avadi Rd, Alagappa Nagar, Kilpauk, Chennai, Tamil Nadu 600010</t>
  </si>
  <si>
    <t>Iswarya Fertility Centre Adyar</t>
  </si>
  <si>
    <t>https://goo.gl/maps/HKxRNRgR9R9SQN7PA</t>
  </si>
  <si>
    <t>https://iswaryafertility.com/adyar/</t>
  </si>
  <si>
    <t>No. 13, 1st Main Road, Kasturbai Nagar, Opposite Sangeetha Hotel, Adyar, Chennai, Tamil Nadu 600020</t>
  </si>
  <si>
    <t>Iswarya Fertility Centre Ambattur</t>
  </si>
  <si>
    <t>09894098373</t>
  </si>
  <si>
    <t>https://goo.gl/maps/Awjh6cuW7nCbs8oK7</t>
  </si>
  <si>
    <t>https://iswaryafertility.com/ambattur/</t>
  </si>
  <si>
    <t>No-1, 233/77, Vijaya Complex, Madras Tiruvallur High Road, Venkatapuram, Chennai, Tamil Nadu 600053</t>
  </si>
  <si>
    <t>Parvathy Hospital Chrompet,</t>
  </si>
  <si>
    <t>Shaarave Multi Speciality Hospital, Sowcorpet</t>
  </si>
  <si>
    <t>https://goo.gl/maps/1qmjqVq3eTHT81X66</t>
  </si>
  <si>
    <t>https://shaaravemultispecialityhospital.com/</t>
  </si>
  <si>
    <t>NO 134,MINT STREET,OPP RAMAR KOIL,SOWCARPET,CHENNAI, Tamil Nadu 600079,India</t>
  </si>
  <si>
    <t>Shanmugam Multi Speciality Hospital Royapuram</t>
  </si>
  <si>
    <t>Atlas Pain Care Sowripalayam</t>
  </si>
  <si>
    <t>JCB Hospitals Palani Road,</t>
  </si>
  <si>
    <t>0451-2433993</t>
  </si>
  <si>
    <t>https://goo.gl/maps/RNgp8nR62umxWPAV8</t>
  </si>
  <si>
    <t>http://jcbhospitals.com/</t>
  </si>
  <si>
    <t>#1, Veppanthoppu Street,Palani Road,Dindigul-624001</t>
  </si>
  <si>
    <t>Shree SathyaSubha Hospital, New Agaraharam</t>
  </si>
  <si>
    <t>451-2429777,2428777,2433234</t>
  </si>
  <si>
    <t>https://g.page/shree-sathya-subha-hospital-mul?share</t>
  </si>
  <si>
    <t>No: 53, Dindigul - Palani Rd, opposite Sornam Honda, New Agraharam, west, Dindigul, Tamil Nadu 624001</t>
  </si>
  <si>
    <t>Van Allen Hospital, Kodaikanal</t>
  </si>
  <si>
    <t>094426 64563</t>
  </si>
  <si>
    <t>https://goo.gl/maps/iUauxRtzrstTSJd87</t>
  </si>
  <si>
    <t>Near, St Mary`s road, Coaker's Walk, Kodaikanal, Tamil Nadu 624101</t>
  </si>
  <si>
    <t>Swamiyarmadam Rathna Memorial Hospital</t>
  </si>
  <si>
    <t>04651 275 120</t>
  </si>
  <si>
    <t>https://g.page/rathna-memorial-hospital?share</t>
  </si>
  <si>
    <t>http://rathnahospital.com/contact-us/</t>
  </si>
  <si>
    <t>11-208, Swamiyarmadam,Kattathurai,Tamil Nadu 629158</t>
  </si>
  <si>
    <t>Vijay Sai Health Care Pvt Ltd</t>
  </si>
  <si>
    <t>Rio Hospital Vandiyur</t>
  </si>
  <si>
    <t>0452-2972222,2970022,2555222</t>
  </si>
  <si>
    <t>https://g.page/riohospitalmadurai?share</t>
  </si>
  <si>
    <t>https://www.riochildrenshospital.com/</t>
  </si>
  <si>
    <t>Near Maruti Suzuki True Value,Opposite to Annamalaiar School,Masthanpati, Madurai – 625 020</t>
  </si>
  <si>
    <t>Universal Cancer Hospital, Kondalampatty</t>
  </si>
  <si>
    <t>0427 2273477</t>
  </si>
  <si>
    <t>https://goo.gl/maps/E3TbYDQW6vbcE6jS9</t>
  </si>
  <si>
    <t>Kondalampatti, Salem, Tamil Nadu 636010</t>
  </si>
  <si>
    <t>Devaki Multi Speciality Hospital</t>
  </si>
  <si>
    <t>0452 - 2288809, 2288831</t>
  </si>
  <si>
    <t>Karthick Multi Speciality Hospital</t>
  </si>
  <si>
    <t>Velan Speciality Hospital, Highways Colony</t>
  </si>
  <si>
    <t>0431-2334444</t>
  </si>
  <si>
    <t>https://g.page/velanspeciality?share</t>
  </si>
  <si>
    <t>http://www.velanhospitals.com/</t>
  </si>
  <si>
    <t>No-1, Jail Corner, Highways Colony, Sundarraj Nagar, Subramaniyapuram, Sangillyandapuram, Tiruchirappalli, Tamil Nadu 620020</t>
  </si>
  <si>
    <t>Public Welfare Hospital Kovilpatti</t>
  </si>
  <si>
    <t>232670</t>
  </si>
  <si>
    <t>https://goo.gl/maps/z6vkfFMZ7KpNWf8n7</t>
  </si>
  <si>
    <t>32A, Ettayapuram Rd, Iluppaiyurani, Kovilpatti, Tamil Nadu 628501</t>
  </si>
  <si>
    <t>Medway Women Centre, Kodambakkam</t>
  </si>
  <si>
    <t>K T Hospitals, Palani Bye pass Junction</t>
  </si>
  <si>
    <t>093442 22202</t>
  </si>
  <si>
    <t>https://goo.gl/maps/aLiFRQH38PiZKUBe7</t>
  </si>
  <si>
    <t>222, Near, Palani Rd, Indira Nagar, byepass, Dindigul, Tamil Nadu 624001</t>
  </si>
  <si>
    <t>Raksha Hospital, Anna Nagar</t>
  </si>
  <si>
    <t>Thirusenthilandavar Multispeciality Hospital</t>
  </si>
  <si>
    <t>04562-253292</t>
  </si>
  <si>
    <t>https://goo.gl/maps/4kyBbkSercwU1X2E6</t>
  </si>
  <si>
    <t>171, Theni Main Road, Near RC Girls School,Usilamptti,Madurai 625532</t>
  </si>
  <si>
    <t>Madha Hospital, Manamadurai</t>
  </si>
  <si>
    <t>Ahana Hospital,11,Subramanian st,Annanagar,Madurai</t>
  </si>
  <si>
    <t>https://goo.gl/maps/U14q5BZZgnNC2Dzw8</t>
  </si>
  <si>
    <t>http://www.ahanahospitals.in/</t>
  </si>
  <si>
    <t>No: 11, Subburaman Street,Gandhi Nagar,Madurai – 625020</t>
  </si>
  <si>
    <t>Apollo Hospital, OMR, Perungudi</t>
  </si>
  <si>
    <t>1860-500-1066, 044 3322 1111</t>
  </si>
  <si>
    <t>https://goo.gl/maps/J9XRJwnFvvrAnrw46</t>
  </si>
  <si>
    <t>https://chennai.apollohospitals.com/hospitals/omr</t>
  </si>
  <si>
    <t>5/639, Old Mahabalipuram Rd, Tirumalai Nagar, Perungudi, Chennai, Tamil Nadu 600096</t>
  </si>
  <si>
    <t>K.G.J Hospitals, Korattur</t>
  </si>
  <si>
    <t>𝟖𝟖𝟖𝟖𝟏𝟖𝟖𝟏𝟏𝟗,𝟖𝟔𝟗𝟓𝟗𝟔𝟔𝟗𝟗𝟓,𝟎𝟒𝟒-𝟐𝟔𝟐𝟒𝟒𝟒𝟕𝟑</t>
  </si>
  <si>
    <t>https://goo.gl/maps/yoQ1BCYjowRb1TuP8</t>
  </si>
  <si>
    <t>https://kgjhospitals.in/</t>
  </si>
  <si>
    <t>𝙽𝚘.𝟷𝟸𝟿/𝟷𝟺,𝚁𝚊𝚒𝚕𝚠𝚊𝚢 𝚂𝚝𝚊𝚝𝚒𝚘𝚗 𝚁𝚘𝚊𝚍,𝙺𝚘𝚛𝚊𝚝𝚝𝚞𝚛,𝙲𝚑𝚎𝚗𝚗𝚊𝚒 – 𝟼𝟶𝟶𝟶𝟻𝟶</t>
  </si>
  <si>
    <t>Padmapriya Hospital, Adyar</t>
  </si>
  <si>
    <t>044 2445 1252</t>
  </si>
  <si>
    <t>https://goo.gl/maps/aPFXs4N5VNmyfmWW6</t>
  </si>
  <si>
    <t>28, 1st Ave, Indira Nagar, Adyar, Chennai, Tamil Nadu 600020</t>
  </si>
  <si>
    <t>Priya Nursing Home, Old Washermenpet</t>
  </si>
  <si>
    <t>Saraswathy Multi Speciality Hospitals, Madipakkam</t>
  </si>
  <si>
    <t>044 4860 1603</t>
  </si>
  <si>
    <t>https://g.page/Saraswathy-hospital?share</t>
  </si>
  <si>
    <t>92/A, Bazaar Main Rd, Sastri Nagar, Madipakkam, Chennai, Tamil Nadu 600091</t>
  </si>
  <si>
    <t>Suman Hospital, Thiruvotriyur</t>
  </si>
  <si>
    <t>The Madras Medical Mission, Mogappair</t>
  </si>
  <si>
    <t>1800 123 599 999</t>
  </si>
  <si>
    <t>https://goo.gl/maps/EK56GPpHnGET9FuB7</t>
  </si>
  <si>
    <t>https://www.madrasmedicalmission.org.in/</t>
  </si>
  <si>
    <t>4-A, Dr, Mogappair, Chennai, Tamil Nadu 600037</t>
  </si>
  <si>
    <t>Abinand Hospital</t>
  </si>
  <si>
    <t>094432 95098</t>
  </si>
  <si>
    <t>https://goo.gl/maps/fDSraeT7p1wGQVTs7</t>
  </si>
  <si>
    <t>f, 237, 7, Pollachi Main Rd, Sundarapuram, Tamil Nadu 641024</t>
  </si>
  <si>
    <t>Sree Abirami Hospital, Coimbatore TN.</t>
  </si>
  <si>
    <t>Kovai Medical Centre,Erode TN.</t>
  </si>
  <si>
    <t>TCS, Sirucherry</t>
  </si>
  <si>
    <t>Bethesda Hospital, Nagercoil</t>
  </si>
  <si>
    <t>04652–232233,04652-420459,91 9080022609</t>
  </si>
  <si>
    <t>https://goo.gl/maps/GNqwSXzUZHrWoowD8</t>
  </si>
  <si>
    <t>http://bethesdahospital.co.in/about.html</t>
  </si>
  <si>
    <t>35,Distillary Road,Opposite to State Bank of India, Puthukudierupu,Nagercoil - 629 001</t>
  </si>
  <si>
    <t>Siva Hospital, Nagercoil</t>
  </si>
  <si>
    <t>91 4652 251478</t>
  </si>
  <si>
    <t>https://goo.gl/maps/Hyz5DB8SMBrJjAJGA</t>
  </si>
  <si>
    <t>http://sivahospital.com/about.html</t>
  </si>
  <si>
    <t>West Coast Road, Eathamozhi,Kanya Kumari Dist - 629501</t>
  </si>
  <si>
    <t>ABS Hospital, Thanthonimalai</t>
  </si>
  <si>
    <t>07971382031</t>
  </si>
  <si>
    <t>https://goo.gl/maps/7KjRit1UUy2PDuPz5</t>
  </si>
  <si>
    <t>No. 161 B/5, Siva Sakthi Nagar, Thanthonimalai, Karur-639005, Tamil Nadu, India</t>
  </si>
  <si>
    <t>Sri Chandrasekaran Hospital unit -2, Hosur</t>
  </si>
  <si>
    <t>BGM Hospital, Iyer Bungalow</t>
  </si>
  <si>
    <t>91 452-4268211</t>
  </si>
  <si>
    <t>https://goo.gl/maps/5Naorpe6jKCvDfDB7</t>
  </si>
  <si>
    <t>http://www.bgmhospitals.com/contact-us</t>
  </si>
  <si>
    <t>249, New Natham Road,Iyer Bungalow,Madurai - 625017 Tamil Nadu.</t>
  </si>
  <si>
    <t>Dr.Chidambaram Memorial Hospital, Jai Hind puram</t>
  </si>
  <si>
    <t>Gowri Nursing Home, Jeeva Nagar</t>
  </si>
  <si>
    <t>Grace Kennett Foundation Hospital, Kennett Road</t>
  </si>
  <si>
    <t>91 452 2601767/2601849</t>
  </si>
  <si>
    <t>https://g.page/gkfmadurai?share</t>
  </si>
  <si>
    <t>https://gkfmadurai.in/</t>
  </si>
  <si>
    <t>Grace Kennett Hospital, 8, Kennett Road, Madurai, Tamil Nadu</t>
  </si>
  <si>
    <t>Swarnakamalam (SKG) Multispeciality Hospital Pvt Ltd, Thirumanagalam</t>
  </si>
  <si>
    <t>04549-400800,400900</t>
  </si>
  <si>
    <t>https://goo.gl/maps/swGUsnSwVhQPRD6X8</t>
  </si>
  <si>
    <t>https://www.skghospital.com/contact.php</t>
  </si>
  <si>
    <t>19/1, CHINNAMANI STREET, PUDHU NAGAR THIRUMANGALAM Madurai TN 625706 IN</t>
  </si>
  <si>
    <t>Arun Priya Nursing Home, Nagapattinam TN.</t>
  </si>
  <si>
    <t>094433 22332</t>
  </si>
  <si>
    <t>https://g.page/arunpriya-nursing-home---laparos?share</t>
  </si>
  <si>
    <t>No: 3 &amp; 4, Pattamangalam Street, Mayiladuthurai, Tamil Nadu 609001</t>
  </si>
  <si>
    <t>Meera Clinic</t>
  </si>
  <si>
    <t>https://goo.gl/maps/KtKtBdv4SM4uPGzWA</t>
  </si>
  <si>
    <t>Bus Stop, Ramanathapuram, Tamil Nadu 623536</t>
  </si>
  <si>
    <t>Geeth Raghunath Hospital, Attur</t>
  </si>
  <si>
    <t>https://goo.gl/maps/GVGuzBfyy4G5Q7J99</t>
  </si>
  <si>
    <t>No.2, Gandhi Nagar, Pungavadiputhur, Attur, Tamil Nadu 636102</t>
  </si>
  <si>
    <t>Karthik Medical Centre, Idappadi</t>
  </si>
  <si>
    <t>9942997770,9600003840,04283-290220,222310</t>
  </si>
  <si>
    <t>https://g.page/kmcidp?share</t>
  </si>
  <si>
    <t>https://www.karthicmedicalcentre.in/</t>
  </si>
  <si>
    <t>5/148 A, Chinnanachiyur, Veerappampalayam post, Idappadi taluk, Salem District - 637 105.</t>
  </si>
  <si>
    <t>Shivasurya Polyclinic, Salem</t>
  </si>
  <si>
    <t>Sree Vasantham Hospital, Gugai</t>
  </si>
  <si>
    <t>0427 2465119</t>
  </si>
  <si>
    <t>https://goo.gl/maps/LYPN9kH9GqvQuoGn9</t>
  </si>
  <si>
    <t>No. 52/1, opposite City Police Commissioner Office, Gugai, Salem, Tamil Nadu 636006</t>
  </si>
  <si>
    <t>Meeran Hospital, Tenkasi</t>
  </si>
  <si>
    <t>04633 222333</t>
  </si>
  <si>
    <t>https://goo.gl/maps/yNNzjAdpNYpgr5my8</t>
  </si>
  <si>
    <t>Door-No-327, Melagaram, Courtallam Road Tirunelveli Palayamkottai Ambasamudram, Tenkasi, Tamil Nadu 627811</t>
  </si>
  <si>
    <t>Santhi Hospital, Vaikkalpalam, Tenkasi</t>
  </si>
  <si>
    <t>Our Lady Hospital</t>
  </si>
  <si>
    <t>04362 232827/91 8489906795</t>
  </si>
  <si>
    <t>https://goo.gl/maps/8rXo3vsWRndJ9V8s5</t>
  </si>
  <si>
    <t>http://ourladyhospitaltnj.in/</t>
  </si>
  <si>
    <t>Diocese of Thanjavur Society, Arulananda Nagar, Thanjavur 613007</t>
  </si>
  <si>
    <t>Sri Naadi Hospital, Pattukottai</t>
  </si>
  <si>
    <t>04373 255499</t>
  </si>
  <si>
    <t>https://goo.gl/maps/RbWc4qqsvKechmDw7</t>
  </si>
  <si>
    <t>Mayil Palayam St, Nadimuthu Nagar, Pattukkottai, Tamil Nadu 614601</t>
  </si>
  <si>
    <t>Vijay Poly Clinic, Kumbakonam</t>
  </si>
  <si>
    <t>0435 - 2430675,2431952</t>
  </si>
  <si>
    <t>https://goo.gl/maps/U5F6U5oidvJNjMHK7</t>
  </si>
  <si>
    <t>21-A, Ayekulam Road, Kumbakonam, Tamil Nadu 612001</t>
  </si>
  <si>
    <t>Arun Hospital</t>
  </si>
  <si>
    <t>Nalam Hospital, Allinagaram</t>
  </si>
  <si>
    <t>Ramapadyan Hospital, A.Pudur Vilakku</t>
  </si>
  <si>
    <t>Theni Medical Centre, Nehruji Road</t>
  </si>
  <si>
    <t>Royal Hospital, NGO Colony</t>
  </si>
  <si>
    <t>Sudharson Platinum Hospitals, Vannarpettai</t>
  </si>
  <si>
    <t>0462 2501791</t>
  </si>
  <si>
    <t>https://goo.gl/maps/D9YFPT51cWdCfhTG6</t>
  </si>
  <si>
    <t>4/A, Puthumaipithan Veethi, Kailash Nagar, Vannarpettai, Tirunelveli, Tamil Nadu 627003</t>
  </si>
  <si>
    <t>Athma Hospitals, Thillai Nagar</t>
  </si>
  <si>
    <t>(+91) 431 – 2555666, (+91)98424264</t>
  </si>
  <si>
    <t>https://goo.gl/maps/r8Khs3z9Key57bHF6</t>
  </si>
  <si>
    <t>https://www.athmahospitals.com/</t>
  </si>
  <si>
    <t>12B, 10th  Cross (East), Thillai Nagar, Trichy.​</t>
  </si>
  <si>
    <t>Kavi Hospital &amp; Neuro Foundation</t>
  </si>
  <si>
    <t>9843005288,9843005289</t>
  </si>
  <si>
    <t>https://goo.gl/maps/qiWQ2Y3uS8sbak8M7</t>
  </si>
  <si>
    <t>http://www.kavihospital.com/</t>
  </si>
  <si>
    <t>No 205/1,Kumaran Road, Sangliandapuram, Trichy, Tamil Nadu 620001</t>
  </si>
  <si>
    <t>Mangalam Hospital</t>
  </si>
  <si>
    <t>MMM Multi Speciality Hospital</t>
  </si>
  <si>
    <t>0431 2715111</t>
  </si>
  <si>
    <t>https://g.page/mmm-multi-specialty-hospital?share</t>
  </si>
  <si>
    <t>http://mmmhospitaltrichy.com/</t>
  </si>
  <si>
    <t>38, Karur ByPass Road, Trichy - 02</t>
  </si>
  <si>
    <t>Retna Global Hospital, Tennur</t>
  </si>
  <si>
    <t>0431 2791450</t>
  </si>
  <si>
    <t>https://goo.gl/maps/8rbwTU89pW1oLzPh9</t>
  </si>
  <si>
    <t>No 95, 1, Pattabiraman Salai, beside maruti hospital, Anna Nagar, Tennur, Tiruchirappalli, Tamil Nadu 620017</t>
  </si>
  <si>
    <t>Star KIMS Hospital, Thillai Nagar</t>
  </si>
  <si>
    <t>0431 2764571</t>
  </si>
  <si>
    <t>https://goo.gl/maps/o6JtFeKcsC9idzyN9</t>
  </si>
  <si>
    <t>D-6, 6th Cross, West Extension, Thillai Nagar, Tiruchirappalli, Tamil Nadu 620018</t>
  </si>
  <si>
    <t>Trichy Medical Centre and Hospital, Thillai Nagar</t>
  </si>
  <si>
    <t>(+91) 0431 274 1919, (+91)73735 33100</t>
  </si>
  <si>
    <t>https://goo.gl/maps/yBRa8oafdVf27pzy6</t>
  </si>
  <si>
    <t>http://www.tmch.org.in/</t>
  </si>
  <si>
    <t>11thB Cross,Thillai Nagar west,Trichy, Tamil Nadu 620018</t>
  </si>
  <si>
    <t>Aarthi Hospital, Kovilpatti</t>
  </si>
  <si>
    <t>04632 221346</t>
  </si>
  <si>
    <t>https://goo.gl/maps/zj5gtJ8V8zmZKvuL7</t>
  </si>
  <si>
    <t>No. 60, Santhai Pettai Street, V.O.C. Nagar, Kadershan Koil, Kovilpatti, Tamil Nadu 628502</t>
  </si>
  <si>
    <t>City Hospital, Tuticorin</t>
  </si>
  <si>
    <t>K.M.T Hospital, Kayalpatnam</t>
  </si>
  <si>
    <t>91-4639-280095/91-4639-280308</t>
  </si>
  <si>
    <t>https://goo.gl/maps/uPBR5MqbkQoYmUdJA</t>
  </si>
  <si>
    <t>http://www.kmthospital.com/</t>
  </si>
  <si>
    <t>KTM Street, Kayalpattinam, Tamil Nadu 628204</t>
  </si>
  <si>
    <t>Sree Chendur Multispeciality Hospital, Kovilpatti</t>
  </si>
  <si>
    <t>Suganthi Nursing Home (Unit of Sundaram Arulrhaj Hospitals)</t>
  </si>
  <si>
    <t>VVVNC, Chatrarediapatti</t>
  </si>
  <si>
    <t>04562 266540</t>
  </si>
  <si>
    <t>https://goo.gl/maps/cLqqV3YH7jnmiYjL6</t>
  </si>
  <si>
    <t>Service Rd, N.G.O Nagar, Chatrareddiapatti, Virudhunagar, Tamil Nadu 626001</t>
  </si>
  <si>
    <t>Dr. Mehtas Hospital</t>
  </si>
  <si>
    <t>91-44-42271001 – 1005</t>
  </si>
  <si>
    <t>https://g.page/dr_mehtas_hospitals?share</t>
  </si>
  <si>
    <t>https://mehtahospital.com/</t>
  </si>
  <si>
    <t>No.2, McNichols Rd, 3rd Lane,Chetpet, Chennai – 600 031</t>
  </si>
  <si>
    <t>Annai Multispeciality Hospital</t>
  </si>
  <si>
    <t>https://g.page/annai-hospital?share</t>
  </si>
  <si>
    <t>https://annai-multi-speciality-hospital.business.site/</t>
  </si>
  <si>
    <t>121/60, Kaliamman Koil Street, Ganapath Raj Nagar Main Rd, Virugambakkam, Chennai, Tamil Nadu 600092.</t>
  </si>
  <si>
    <t>Royal Pearl Hospital</t>
  </si>
  <si>
    <t>91-431-2764891, 2768661, +91-9842461176</t>
  </si>
  <si>
    <t>https://goo.gl/maps/krU4Q2nBjRLoHpEs9</t>
  </si>
  <si>
    <t>http://www.skullbasesurgery.net/</t>
  </si>
  <si>
    <t>C-12, 3rd Cross East,Thillainagar,Trichy - 620 018</t>
  </si>
  <si>
    <t>Vishnu hospital</t>
  </si>
  <si>
    <t>4364-277021</t>
  </si>
  <si>
    <t>https://goo.gl/maps/jRetVF28pPTNqg7j6</t>
  </si>
  <si>
    <t>NH-45A, East Coast Road, Mayiladuthurai, Mayiladuthurai, 609102</t>
  </si>
  <si>
    <t>Apollo</t>
  </si>
  <si>
    <t>04565-232940, 233980</t>
  </si>
  <si>
    <t>https://goo.gl/maps/HLg3aFUkSUubyTQp8</t>
  </si>
  <si>
    <t>https://chennai.apollohospitals.com/hospitals/karaikudi</t>
  </si>
  <si>
    <t>Madurai Main Road, managiri Street, karaikudi-630307</t>
  </si>
  <si>
    <t>Senthil hospital</t>
  </si>
  <si>
    <t>04561-262224 - 6</t>
  </si>
  <si>
    <t>https://goo.gl/maps/vGLhECw3yKFuuF8Y7</t>
  </si>
  <si>
    <t>#9B, Manthoppu Street,,Near Devakottai Bus Stand., Sivaganga, Tamil Nadu - 630302</t>
  </si>
  <si>
    <t>KMS Health Centre</t>
  </si>
  <si>
    <t>91 9445566846|9840076926</t>
  </si>
  <si>
    <t>https://goo.gl/maps/hbCBHxdFU7joPfR37</t>
  </si>
  <si>
    <t>https://www.kmshc.com/</t>
  </si>
  <si>
    <t>Door. No, 6, Kamarajar Salai, Tambaram East, Selaiyur, Chennai, Tamil Nadu 600059</t>
  </si>
  <si>
    <t>Kamala Hospital,Agraharam</t>
  </si>
  <si>
    <t>0427 2260468</t>
  </si>
  <si>
    <t>https://goo.gl/maps/dQEBxJqmqwyN36x76</t>
  </si>
  <si>
    <t>No. 256;Sree Krishna Complex; 2nd Agraharam; Salem; Tamil Nadu 636001</t>
  </si>
  <si>
    <t>Coimbatore Diabetic Foundation,maruthamalai road</t>
  </si>
  <si>
    <t>09025966888</t>
  </si>
  <si>
    <t>https://goo.gl/maps/RdQhBfLoL49iz12j9</t>
  </si>
  <si>
    <t>https://cdf-resort-hospital.business.site/</t>
  </si>
  <si>
    <t>IOB Colony, Maruthamalai,Coimbatore, Tamil Nadu 641046</t>
  </si>
  <si>
    <t>Manuel Orthopedic Hospital, therekaalputhoor</t>
  </si>
  <si>
    <t>04652-272310,277777/9944666668</t>
  </si>
  <si>
    <t>https://goo.gl/maps/uDpzd9rKQsUUHMfi6</t>
  </si>
  <si>
    <t>https://mocdoc.in/hospital/manuel-orthopaedic-hospital</t>
  </si>
  <si>
    <t>NH 47B, Tirunelveli Highway Therekalputhur,Thiruppathisaram P.O,Nagercoil 629901,Tamil Nadu</t>
  </si>
  <si>
    <t>Joseph Sahayam Speciality Hospital, Nagerkoil</t>
  </si>
  <si>
    <t>04652 226021</t>
  </si>
  <si>
    <t>https://goo.gl/maps/rXiBhj54zwuFAgo88</t>
  </si>
  <si>
    <t>179 A2, Ganesapuram Road, Chidambara Nagar, Kottar, Chidambara Nagar, Nagercoil, Tamil Nadu 629001, India</t>
  </si>
  <si>
    <t>Thasiah Medical centre, Marthandam</t>
  </si>
  <si>
    <t>https://goo.gl/maps/QkATfdTm9ya2Hvvm6</t>
  </si>
  <si>
    <t>Near New Bus Stand, Marthandam, Tamil Nadu, India 629165</t>
  </si>
  <si>
    <t>MVK Hospital, Thanjavur</t>
  </si>
  <si>
    <t>04362-231470</t>
  </si>
  <si>
    <t>https://goo.gl/maps/eacUjFtA67SZZmUP8</t>
  </si>
  <si>
    <t>2771, opposite to Thilagar Thidal, Rajakrisnapuram, South Rampart, Thanjavur, Tamil Nadu 613009.</t>
  </si>
  <si>
    <t>Vinodhagan Memorial Hospital</t>
  </si>
  <si>
    <t>230738 / 234883 / 234884 / 234885</t>
  </si>
  <si>
    <t>https://goo.gl/maps/3qU2zsmMQNvJdd8r8</t>
  </si>
  <si>
    <t>http://vinodhaganhospital.com/</t>
  </si>
  <si>
    <t>No.3120 &amp; 3121, Trichy Road, Thanjavur - 613 007</t>
  </si>
  <si>
    <t>Chennai Hospitals Pvt Ltd, Gandhipuram</t>
  </si>
  <si>
    <t>CSR Nursing Home, Gandhipuram</t>
  </si>
  <si>
    <t>0422 2524762</t>
  </si>
  <si>
    <t>https://g.page/csr-hospital?share</t>
  </si>
  <si>
    <t>272, 7th St Ext, 7th St Extension, Gandhipuram, Tamil Nadu 641012</t>
  </si>
  <si>
    <t>Dr.Muthus Hospital, Saravanampatti</t>
  </si>
  <si>
    <t>91 422 4953222,7094614000,7094613000</t>
  </si>
  <si>
    <t>https://goo.gl/maps/UjCT4hhM8Mnmnq7L9</t>
  </si>
  <si>
    <t>https://muthushospital.com/saravanampatti-hospital/</t>
  </si>
  <si>
    <t>No.128, Poonthottam Nagar, Sathy Road, Saravanampatti,Coimbatore - 641 035.</t>
  </si>
  <si>
    <t>FIMS Hospital, Sundarapuram</t>
  </si>
  <si>
    <t>https://g.page/fims-hospitals?share</t>
  </si>
  <si>
    <t>https://fimshospitals.com/</t>
  </si>
  <si>
    <t>193/145, Pollachi Main Rd, Sundarapuram, Kurichi Post, Coimbatore, Tamil Nadu - 641024</t>
  </si>
  <si>
    <t>K.Govindhasamy Memorial Annex Hospital, Saravanampatti</t>
  </si>
  <si>
    <t>0422-4042121/0422-2219191</t>
  </si>
  <si>
    <t>https://goo.gl/maps/4AzdrgPQwXWexMZo6</t>
  </si>
  <si>
    <t>https://www.kghospital.com/about-us.html</t>
  </si>
  <si>
    <t>Kalpana Medical Centre Pvt Ltd, Kavundampalayam</t>
  </si>
  <si>
    <t>https://goo.gl/maps/pRmJEZaLBVLwcR2X8</t>
  </si>
  <si>
    <t>http://www.kalpanamedicalcentre.in/contact.php</t>
  </si>
  <si>
    <t>Mettupalayam Road,Kavundampalayam,Coimbatore - 641 030</t>
  </si>
  <si>
    <t>Kumaran Medical Centre, Kurumbapalayam</t>
  </si>
  <si>
    <t>0422-2226222</t>
  </si>
  <si>
    <t>https://g.page/kumaran-medical-center?share</t>
  </si>
  <si>
    <t>https://www.kumaranmedical.com/</t>
  </si>
  <si>
    <t>499/500 Sathy Road,Kurumbapalayam, S S kulam,Coimbatore, Tamilnadu,Near Saravanampatti</t>
  </si>
  <si>
    <t>NG Hospital Pvt Ltd &amp; Research Centre, Singanallur</t>
  </si>
  <si>
    <t>91 422 2595963</t>
  </si>
  <si>
    <t>https://goo.gl/maps/M333fMB2zfaXHzQd6</t>
  </si>
  <si>
    <t>https://www.nghospitalscbe.com/</t>
  </si>
  <si>
    <t>577, Trichy Road,(Near B-5 Police Station), Singanallur, Coimbatore – 641 005</t>
  </si>
  <si>
    <t>Sathya Medical Centre and Hospital, Sivanandha Colony</t>
  </si>
  <si>
    <t>091505 03902</t>
  </si>
  <si>
    <t>https://goo.gl/maps/esodrbVBTMhy6m6m6</t>
  </si>
  <si>
    <t>1st St, Sivananda Colony, Tatabad, Coimbatore, Tamil Nadu 641012</t>
  </si>
  <si>
    <t>Aishwaryam Speciality Hospital</t>
  </si>
  <si>
    <t>0427-2777555</t>
  </si>
  <si>
    <t>https://goo.gl/maps/Z6wv7F5kDCQ2EnQn9</t>
  </si>
  <si>
    <t>http://aishwaryamhospital.com/consultants.html</t>
  </si>
  <si>
    <t>114/1, Salem - Bangalore bye-pass road,Nedunchalai nagar,Salem-636005</t>
  </si>
  <si>
    <t>Deepam Speciality Hospital, Vazhapady</t>
  </si>
  <si>
    <t>91 9943900600</t>
  </si>
  <si>
    <t>https://goo.gl/maps/g9PBxrcRT9nWcywq8</t>
  </si>
  <si>
    <t>https://www.deepamhospital.com/</t>
  </si>
  <si>
    <t>2/1, Ganapathy nagar, Cuddalore main road, Vazhapady (PO &amp; TK), Salem Dist – 636115</t>
  </si>
  <si>
    <t>GL Hospital, Swarnapuri</t>
  </si>
  <si>
    <t>(0427) 2333205</t>
  </si>
  <si>
    <t>https://g.page/glhospitals?share</t>
  </si>
  <si>
    <t>26, Kalaimagal St, Swarnapuri, Salem, Tamil Nadu 636004</t>
  </si>
  <si>
    <t>Mohanraj Children\'s Hospital</t>
  </si>
  <si>
    <t>Nathan Super Speciaty Hosptial, Salem</t>
  </si>
  <si>
    <t>0427 244 2303</t>
  </si>
  <si>
    <t>https://goo.gl/maps/dJLdKtyVuo1JFvCk6</t>
  </si>
  <si>
    <t>7, Advaitha Ashram Rd, Sinthampalayam, Fairlands, Salem, Tamil Nadu 636016</t>
  </si>
  <si>
    <t>Sri Shellapha Hospital, Salem</t>
  </si>
  <si>
    <t>0427 - 2421266, 2421277</t>
  </si>
  <si>
    <t>https://goo.gl/maps/SdMoTgVj9FoGaVnF7</t>
  </si>
  <si>
    <t>https://www.nhp.gov.in/hospital/shri-shellapha-hospital-salem-tamil_nadu</t>
  </si>
  <si>
    <t>239, Near Gandhi Stadium Salem , Salem, Tamil Nadu - 636007</t>
  </si>
  <si>
    <t>Thiru Neuro And MultiSpecility Salem</t>
  </si>
  <si>
    <t>https://goo.gl/maps/6ik2TxSs548Bxskm9</t>
  </si>
  <si>
    <t>http://www.thiruhospital.com/</t>
  </si>
  <si>
    <t>No 562/5, Cuddalore main road,Opp to Holy cross School ,Ammapet, Salem, Tamil Nadu 636014</t>
  </si>
  <si>
    <t>Erode multispeciality Hospital, Erode</t>
  </si>
  <si>
    <t>Vetri Siddha Hospital, Thaniciyam (Siddha)</t>
  </si>
  <si>
    <t>Abishek Hospital, Karur Tn.</t>
  </si>
  <si>
    <t>(04323) 223897</t>
  </si>
  <si>
    <t>https://goo.gl/maps/iujer9qEqB36CZBz8</t>
  </si>
  <si>
    <t>52/1,Behind Shiva Temple,Peralamman Koil Street,Kulithalai - 639104</t>
  </si>
  <si>
    <t>Shree Akhshaya Hospital Namakkal, TN.</t>
  </si>
  <si>
    <t>Soorya Multispechiality Hospitals, Namakkal TN.</t>
  </si>
  <si>
    <t>GC Hospital, Karur Tn.</t>
  </si>
  <si>
    <t>04324-231010, 232020</t>
  </si>
  <si>
    <t>https://goo.gl/maps/2cZWUPWvQLhbKp516</t>
  </si>
  <si>
    <t>http://gchospital.in/</t>
  </si>
  <si>
    <t>No:31, North Pradakshanam Road,Near Thinnappa Theatre,Karur-639001</t>
  </si>
  <si>
    <t>Vivekananda Hospital,mylapore</t>
  </si>
  <si>
    <t>044 43192129</t>
  </si>
  <si>
    <t>https://g.page/srivivekanandahospitals?share</t>
  </si>
  <si>
    <t>https://srivivekanandahospitals.business.site/</t>
  </si>
  <si>
    <t>Kattukoil Garden,No15, P S Sivasamy salai, Mylapore,Chennai, Tamil Nadu 600004</t>
  </si>
  <si>
    <t>DAISY HOSPITAL,CHROMPET</t>
  </si>
  <si>
    <t>https://goo.gl/maps/JCq2offpCQQH2R2TA</t>
  </si>
  <si>
    <t>http://www.daisyhospitals.com/</t>
  </si>
  <si>
    <t>3, Rangasamy Street, Adaiyar Ananda Bhavan Back Side, Chrompet, Chennai -44</t>
  </si>
  <si>
    <t>AAYUSHMAAN HOLISTIC HEALTH CENTRE</t>
  </si>
  <si>
    <t>Catherinebooth hospital,Nagercoil</t>
  </si>
  <si>
    <t>04652 275 516</t>
  </si>
  <si>
    <t>https://goo.gl/maps/ZbQmoYwJfGi2uimw7</t>
  </si>
  <si>
    <t>Balamore Rd, Vadasery, Tamil Nadu 629001</t>
  </si>
  <si>
    <t>Mathura Hospital, Surandai</t>
  </si>
  <si>
    <t>K.M Speciality Hospital, K.K Nagar</t>
  </si>
  <si>
    <t>SKS HOSPITAL</t>
  </si>
  <si>
    <t>044 2654 4746</t>
  </si>
  <si>
    <t>https://goo.gl/maps/4nizHvAE1YxP5z4P9</t>
  </si>
  <si>
    <t>Unit No. 959, Tvs Colony, Anna Nagar West Extension, Tiruvallur 624 004.</t>
  </si>
  <si>
    <t>P.K.T Nursing Home, Thiruthuraipoondi</t>
  </si>
  <si>
    <t>451 35610000</t>
  </si>
  <si>
    <t>https://goo.gl/maps/XbDuc9QXuC34Dk7d7</t>
  </si>
  <si>
    <t>https://www.vadamalayan.org/</t>
  </si>
  <si>
    <t>649A2,Angu Nager,Chettinaikanpatti village Road, Dindidul 624 004</t>
  </si>
  <si>
    <t>MOHAN NURSING HOME, VILLIVAKKAM</t>
  </si>
  <si>
    <t>Best Hospitals,Kodambakkam</t>
  </si>
  <si>
    <t>044-24832777</t>
  </si>
  <si>
    <t>https://goo.gl/maps/CiYXYQCxqy3qr8xWA</t>
  </si>
  <si>
    <t>http://thebesthospital.in/</t>
  </si>
  <si>
    <t>OLD NO. 9, NEW NO. 22, VELLALA STREET KODAMBAKKAM, CHENNAI 600 024</t>
  </si>
  <si>
    <t>Raj Hospital, Mannargudi</t>
  </si>
  <si>
    <t>Kasthuri Hospital , Thambaram</t>
  </si>
  <si>
    <t>044-22263752,044-22263573</t>
  </si>
  <si>
    <t>https://g.page/kasthuri-hospital?share</t>
  </si>
  <si>
    <t>http://www.kasthurihospital.com/</t>
  </si>
  <si>
    <t>Kasthuri Hospital,119, Shanmugam Road,West Tambaram, Chennai 600045</t>
  </si>
  <si>
    <t>Sri Singhvi Health Centre, Purasaivakkam</t>
  </si>
  <si>
    <t>Visaalam Hospital</t>
  </si>
  <si>
    <t>04288-247744/247039</t>
  </si>
  <si>
    <t>https://goo.gl/maps/oRsaQtauX3P5ro1M9</t>
  </si>
  <si>
    <t>https://www.nhp.gov.in/hospital/visaalam-hospitals-namakkal___-tamil_nadu</t>
  </si>
  <si>
    <t xml:space="preserve">9A, Sankagiri Bye Pass Road, Pallipalayam Road, Namakkal , Tamil Nadu - 638006 </t>
  </si>
  <si>
    <t>Gunam super speciality hospital,Hosur</t>
  </si>
  <si>
    <t>Sree jeyam ortho &amp; multispeciality Hospital</t>
  </si>
  <si>
    <t>St.Louis Hospital</t>
  </si>
  <si>
    <t>Naruvi Hospitals(A Unit of m/s.Sanco )</t>
  </si>
  <si>
    <t>0416 666 1111 / 220 1111</t>
  </si>
  <si>
    <t>https://goo.gl/maps/Y23kkVyvSXNHLwQK6</t>
  </si>
  <si>
    <t>http://naruvihospitals.com/the-board.aspx</t>
  </si>
  <si>
    <t>Collector's Office Road, Bangalore - Chennai National Highway (NH 48),Vellore – 632 004.</t>
  </si>
  <si>
    <t>Nathan’s Speciality Hospital</t>
  </si>
  <si>
    <t>97878 68897, 89405 07373</t>
  </si>
  <si>
    <t>https://goo.gl/maps/UMaRWGt8wKADPkqv8</t>
  </si>
  <si>
    <t>http://www.nathanspecialityhospital.com/about-us/</t>
  </si>
  <si>
    <t>4th Cross Rd, Co-operative Colony, Thiruvalluvar Nagar, Krishnagiri, Tamil Nadu 635001</t>
  </si>
  <si>
    <t>Sudha Hospital, Royapuram</t>
  </si>
  <si>
    <t>9444031233 , 25983838</t>
  </si>
  <si>
    <t>https://goo.gl/maps/os1GBPrmytNA4BqF6</t>
  </si>
  <si>
    <t>Old Unit No. 18, New No. 51, Adam Street, Pumping Station Road,Near Kalmandapam Police Station,Royapuram</t>
  </si>
  <si>
    <t>Peace Health Centre</t>
  </si>
  <si>
    <t>0462-2552137,2552138</t>
  </si>
  <si>
    <t>https://goo.gl/maps/TFgReN7JHy8a1JHz7</t>
  </si>
  <si>
    <t>http://peacehealthcentre.com/</t>
  </si>
  <si>
    <t>48H/5, South Bye Pass Road, Tirunelveli 627005</t>
  </si>
  <si>
    <t>Jolen Hospital</t>
  </si>
  <si>
    <t>Sen Hospital</t>
  </si>
  <si>
    <t>st. Isabels hospital, Maylapore</t>
  </si>
  <si>
    <t>https://goo.gl/maps/ziNvqHHF7iqjurGY8</t>
  </si>
  <si>
    <t>https://www.stisabelshospital.in/</t>
  </si>
  <si>
    <t>No: 49, Oliver Rd, next to Luz Church, Kattukoil Garden, Mylapore, Chennai, Tamil Nadu 600004</t>
  </si>
  <si>
    <t>Sri Balaji Hospital, guindy</t>
  </si>
  <si>
    <t>Radha Rajendran Hospital, Alandur</t>
  </si>
  <si>
    <t>One health hospital, Vandalur</t>
  </si>
  <si>
    <t>044 - 2275 2555</t>
  </si>
  <si>
    <t>https://g.page/onehealthhospital-chennai?share</t>
  </si>
  <si>
    <t>https://www.onehealthhospitals.com/</t>
  </si>
  <si>
    <t>174, Grand Southern Trunk Rd, Kilambakkam, Urapakkam, Vandalur, Tamil Nadu 603202</t>
  </si>
  <si>
    <t>Srinivasa Hospital, Kodampakkam</t>
  </si>
  <si>
    <t>https://goo.gl/maps/zy55PqM8uBGLjcUh6</t>
  </si>
  <si>
    <t>47, Railway Station Road, Near Post Office, Kodambakkam, Chennai, Tamil Nadu - 600024</t>
  </si>
  <si>
    <t>PPK hospital, Marthandam</t>
  </si>
  <si>
    <t>RK hospital</t>
  </si>
  <si>
    <t>099655 75337</t>
  </si>
  <si>
    <t>https://goo.gl/maps/6TpvQ7Z5g1faCA4H9</t>
  </si>
  <si>
    <t>Meyyanur Road, Meyyanur, Salem, Tamil Nadu 636004</t>
  </si>
  <si>
    <t>Nachimuthu hospital</t>
  </si>
  <si>
    <t>https://goo.gl/maps/ijVzm5tkPfBMsdpt8</t>
  </si>
  <si>
    <t>5/300-2, SF 2091A, ASHOK (NAGAR NORTH), COVAI ROAD, NEAR BY-PASS JUNCTION,KARUR</t>
  </si>
  <si>
    <t>Amar hospital</t>
  </si>
  <si>
    <t>04566-241275, 241075</t>
  </si>
  <si>
    <t>https://goo.gl/maps/EfmbYRpjG3AraPsb7</t>
  </si>
  <si>
    <t>https://www.nhp.gov.in/hospital/amar-speciality-hospital-virudhunagar-tamil_nadu</t>
  </si>
  <si>
    <t>No:259 G, Thiruchuli Road, Aruppukottai-626101, Virudhunagar, Tamil Nadu - 626101</t>
  </si>
  <si>
    <t>Uma Kumar Hospital, Hosur</t>
  </si>
  <si>
    <t>VJ Hospital</t>
  </si>
  <si>
    <t>0462 4950095/+91 9442519988</t>
  </si>
  <si>
    <t>https://goo.gl/maps/pbUVfikj2zW3yJ7H7</t>
  </si>
  <si>
    <t>https://www.vjhospital.com/contact.php</t>
  </si>
  <si>
    <t>12-12/1,STC Collage Road to New Bus Stand Road, Perumalpuram,Tirunelveli-627007</t>
  </si>
  <si>
    <t>Atlas Hospital</t>
  </si>
  <si>
    <t>0431-2701248, 0431-2701348</t>
  </si>
  <si>
    <t>https://g.page/orthohospital?share</t>
  </si>
  <si>
    <t>http://www.atlashospitals.com/</t>
  </si>
  <si>
    <t>34/1-First Cross, V.N.Nagar,Near Chathiram Bus Stand,Karur Road,Chinthamani,Tiruchirappalli-620 002</t>
  </si>
  <si>
    <t>Velan Hospital</t>
  </si>
  <si>
    <t>Sakthi Vinayagar Multispeciality Hospital, Guziliamparai</t>
  </si>
  <si>
    <t>04551 - 234433</t>
  </si>
  <si>
    <t>https://goo.gl/maps/a7bYt14xT1cKK8oK9</t>
  </si>
  <si>
    <t>https://www.nhp.gov.in/hospital/shri-sakthi-vinayakkar-hospital-dindigul-tamil_nadu</t>
  </si>
  <si>
    <t>95, 95A Near Bus Stand Main Road Guziliamparai , Dindigul, Tamil Nadu - 624703</t>
  </si>
  <si>
    <t>Be well hospital T.Nagar</t>
  </si>
  <si>
    <t>Vijai\'s Nursing home</t>
  </si>
  <si>
    <t>Prime Indian Hospitals</t>
  </si>
  <si>
    <t>Dravidian Hospital</t>
  </si>
  <si>
    <t>Gem Hospital and Research centre</t>
  </si>
  <si>
    <t>N.M. Hospital, Annur</t>
  </si>
  <si>
    <t>(91)-422-6726452</t>
  </si>
  <si>
    <t>https://goo.gl/maps/bLv1WU286dCRc1Un6</t>
  </si>
  <si>
    <t>NO. 3/253, Kovai Road, Annur, Coimbatore - 641653</t>
  </si>
  <si>
    <t>Swamy Vivekanandha Medical College Hospital and Research Institute</t>
  </si>
  <si>
    <t>Be well , Ponamallee</t>
  </si>
  <si>
    <t>National pharma</t>
  </si>
  <si>
    <t>key</t>
  </si>
  <si>
    <t>VENTILATOR Vacant</t>
  </si>
  <si>
    <t>ICU BEDS Occupied</t>
  </si>
  <si>
    <t>VENTILATOR Total</t>
  </si>
  <si>
    <t>VENTILATOR Occupied</t>
  </si>
  <si>
    <t>ICU BEDS Total</t>
  </si>
  <si>
    <t>ICU BEDS Vacant</t>
  </si>
  <si>
    <t>OXYGEN SUPPORTED BEDS Total</t>
  </si>
  <si>
    <t>OXYGEN SUPPORTED BEDS Occupied</t>
  </si>
  <si>
    <t>OXYGEN SUPPORTED BEDS Vacant</t>
  </si>
  <si>
    <t>NON-OXYGEN SUPPORTED BEDS Total</t>
  </si>
  <si>
    <t>NON-OXYGEN SUPPORTED BEDS Occupied</t>
  </si>
  <si>
    <t>NON-OXYGEN SUPPORTED BEDS Vacant</t>
  </si>
  <si>
    <t>COVID BEDS Total</t>
  </si>
  <si>
    <t>COVID BEDS Occupied</t>
  </si>
  <si>
    <t>COVID BEDS 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</si>
</sst>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hh&quot;:&quot;mm"/>
    <numFmt numFmtId="165" formatCode="&quot; &quot;[h]"/>
  </numFmts>
  <fonts count="16" x14ac:knownFonts="1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  <font>
      <sz val="11"/>
      <color rgb="FF202124"/>
      <name val="Arial"/>
    </font>
    <font>
      <u/>
      <sz val="10"/>
      <color rgb="FF1155CC"/>
      <name val="Arial"/>
    </font>
    <font>
      <sz val="11"/>
      <color rgb="FF1A0DAB"/>
      <name val="Arial"/>
    </font>
    <font>
      <u/>
      <sz val="10"/>
      <color rgb="FF1155CC"/>
      <name val="Arial"/>
    </font>
    <font>
      <sz val="11"/>
      <color rgb="FF4D5156"/>
      <name val="Arial"/>
    </font>
    <font>
      <sz val="11"/>
      <color rgb="FF233A5B"/>
      <name val="Arial"/>
    </font>
    <font>
      <sz val="9"/>
      <color rgb="FF333333"/>
      <name val="Arial"/>
    </font>
    <font>
      <u/>
      <sz val="10"/>
      <color rgb="FF0000FF"/>
      <name val="Arial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0" fontId="1" fillId="0" borderId="0" xfId="0" applyNumberFormat="1" applyFont="1"/>
    <xf numFmtId="0" fontId="0" fillId="2" borderId="0" xfId="0" applyFont="1" applyFill="1" applyAlignment="1">
      <alignment horizontal="left"/>
    </xf>
    <xf numFmtId="0" fontId="3" fillId="0" borderId="0" xfId="0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>
      <alignment horizontal="left"/>
    </xf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/>
    <xf numFmtId="0" fontId="0" fillId="0" borderId="0" xfId="0" quotePrefix="1" applyFont="1" applyAlignment="1">
      <alignment horizontal="left"/>
    </xf>
    <xf numFmtId="0" fontId="9" fillId="2" borderId="0" xfId="0" quotePrefix="1" applyFont="1" applyFill="1" applyAlignment="1">
      <alignment horizontal="left"/>
    </xf>
    <xf numFmtId="0" fontId="10" fillId="0" borderId="0" xfId="0" applyFont="1" applyAlignment="1"/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/>
    <xf numFmtId="0" fontId="0" fillId="0" borderId="0" xfId="0" applyFont="1" applyAlignment="1">
      <alignment horizontal="left"/>
    </xf>
    <xf numFmtId="0" fontId="1" fillId="3" borderId="0" xfId="0" applyFont="1" applyFill="1"/>
    <xf numFmtId="0" fontId="14" fillId="0" borderId="0" xfId="0" applyFont="1"/>
    <xf numFmtId="0" fontId="15" fillId="0" borderId="0" xfId="0" applyFont="1"/>
    <xf numFmtId="0" fontId="1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H4kYUjShQZ8Fx4yZ7" TargetMode="External"/><Relationship Id="rId299" Type="http://schemas.openxmlformats.org/officeDocument/2006/relationships/hyperlink" Target="https://g.page/annai-hospital?share" TargetMode="External"/><Relationship Id="rId21" Type="http://schemas.openxmlformats.org/officeDocument/2006/relationships/hyperlink" Target="https://goo.gl/maps/R9gY2ttUvFFmjKDX8" TargetMode="External"/><Relationship Id="rId63" Type="http://schemas.openxmlformats.org/officeDocument/2006/relationships/hyperlink" Target="https://goo.gl/maps/8AEsN2fc9Z8XG8Eh6" TargetMode="External"/><Relationship Id="rId159" Type="http://schemas.openxmlformats.org/officeDocument/2006/relationships/hyperlink" Target="https://shanmugahospital.com/about-us/" TargetMode="External"/><Relationship Id="rId324" Type="http://schemas.openxmlformats.org/officeDocument/2006/relationships/hyperlink" Target="https://goo.gl/maps/4AzdrgPQwXWexMZo6" TargetMode="External"/><Relationship Id="rId366" Type="http://schemas.openxmlformats.org/officeDocument/2006/relationships/hyperlink" Target="http://peacehealthcentre.com/" TargetMode="External"/><Relationship Id="rId170" Type="http://schemas.openxmlformats.org/officeDocument/2006/relationships/hyperlink" Target="https://peacock-hospitals.business.site/" TargetMode="External"/><Relationship Id="rId226" Type="http://schemas.openxmlformats.org/officeDocument/2006/relationships/hyperlink" Target="https://raks-hospitals-pvt-ltd.business.site/" TargetMode="External"/><Relationship Id="rId268" Type="http://schemas.openxmlformats.org/officeDocument/2006/relationships/hyperlink" Target="https://gkfmadurai.in/" TargetMode="External"/><Relationship Id="rId32" Type="http://schemas.openxmlformats.org/officeDocument/2006/relationships/hyperlink" Target="https://billrothhospitals.com/" TargetMode="External"/><Relationship Id="rId74" Type="http://schemas.openxmlformats.org/officeDocument/2006/relationships/hyperlink" Target="https://www.speedmedicalcentre.com/contact-us/" TargetMode="External"/><Relationship Id="rId128" Type="http://schemas.openxmlformats.org/officeDocument/2006/relationships/hyperlink" Target="https://goo.gl/maps/zdzs6QM6jb35ApbZ8" TargetMode="External"/><Relationship Id="rId335" Type="http://schemas.openxmlformats.org/officeDocument/2006/relationships/hyperlink" Target="https://goo.gl/maps/g9PBxrcRT9nWcywq8" TargetMode="External"/><Relationship Id="rId377" Type="http://schemas.openxmlformats.org/officeDocument/2006/relationships/hyperlink" Target="https://www.vjhospital.com/contact.php" TargetMode="External"/><Relationship Id="rId5" Type="http://schemas.openxmlformats.org/officeDocument/2006/relationships/hyperlink" Target="https://goo.gl/maps/uZ1jVNqCeE9jP7f17" TargetMode="External"/><Relationship Id="rId181" Type="http://schemas.openxmlformats.org/officeDocument/2006/relationships/hyperlink" Target="http://navajeevanhospital.com/" TargetMode="External"/><Relationship Id="rId237" Type="http://schemas.openxmlformats.org/officeDocument/2006/relationships/hyperlink" Target="https://g.page/shree-sathya-subha-hospital-mul?share" TargetMode="External"/><Relationship Id="rId279" Type="http://schemas.openxmlformats.org/officeDocument/2006/relationships/hyperlink" Target="http://ourladyhospitaltnj.in/" TargetMode="External"/><Relationship Id="rId43" Type="http://schemas.openxmlformats.org/officeDocument/2006/relationships/hyperlink" Target="https://g.page/DRKMH?share" TargetMode="External"/><Relationship Id="rId139" Type="http://schemas.openxmlformats.org/officeDocument/2006/relationships/hyperlink" Target="https://goo.gl/maps/yDUvopu3oKQU3nWr5" TargetMode="External"/><Relationship Id="rId290" Type="http://schemas.openxmlformats.org/officeDocument/2006/relationships/hyperlink" Target="https://goo.gl/maps/o6JtFeKcsC9idzyN9" TargetMode="External"/><Relationship Id="rId304" Type="http://schemas.openxmlformats.org/officeDocument/2006/relationships/hyperlink" Target="https://goo.gl/maps/HLg3aFUkSUubyTQp8" TargetMode="External"/><Relationship Id="rId346" Type="http://schemas.openxmlformats.org/officeDocument/2006/relationships/hyperlink" Target="https://g.page/srivivekanandahospitals?share" TargetMode="External"/><Relationship Id="rId85" Type="http://schemas.openxmlformats.org/officeDocument/2006/relationships/hyperlink" Target="https://g.page/kongunadhospital?share" TargetMode="External"/><Relationship Id="rId150" Type="http://schemas.openxmlformats.org/officeDocument/2006/relationships/hyperlink" Target="https://g.page/KauveryHospitalSalem?share" TargetMode="External"/><Relationship Id="rId192" Type="http://schemas.openxmlformats.org/officeDocument/2006/relationships/hyperlink" Target="https://goo.gl/maps/XWgNrRj2YYLDSiQQ8" TargetMode="External"/><Relationship Id="rId206" Type="http://schemas.openxmlformats.org/officeDocument/2006/relationships/hyperlink" Target="https://goo.gl/maps/pu7kPMBezzzxcujN8" TargetMode="External"/><Relationship Id="rId248" Type="http://schemas.openxmlformats.org/officeDocument/2006/relationships/hyperlink" Target="https://goo.gl/maps/4kyBbkSercwU1X2E6" TargetMode="External"/><Relationship Id="rId12" Type="http://schemas.openxmlformats.org/officeDocument/2006/relationships/hyperlink" Target="https://www.sugamhospital.com/contact.html" TargetMode="External"/><Relationship Id="rId108" Type="http://schemas.openxmlformats.org/officeDocument/2006/relationships/hyperlink" Target="https://www.guruhospitals.com/" TargetMode="External"/><Relationship Id="rId315" Type="http://schemas.openxmlformats.org/officeDocument/2006/relationships/hyperlink" Target="https://goo.gl/maps/QkATfdTm9ya2Hvvm6" TargetMode="External"/><Relationship Id="rId357" Type="http://schemas.openxmlformats.org/officeDocument/2006/relationships/hyperlink" Target="http://www.kasthurihospital.com/" TargetMode="External"/><Relationship Id="rId54" Type="http://schemas.openxmlformats.org/officeDocument/2006/relationships/hyperlink" Target="https://www.kauveryhospital.com/news-events/news-view/181" TargetMode="External"/><Relationship Id="rId96" Type="http://schemas.openxmlformats.org/officeDocument/2006/relationships/hyperlink" Target="https://www.royalcarehospital.in/city-unit/" TargetMode="External"/><Relationship Id="rId161" Type="http://schemas.openxmlformats.org/officeDocument/2006/relationships/hyperlink" Target="https://g.page/VMRFDU?share" TargetMode="External"/><Relationship Id="rId217" Type="http://schemas.openxmlformats.org/officeDocument/2006/relationships/hyperlink" Target="http://www.asirvathamhospital.com/" TargetMode="External"/><Relationship Id="rId259" Type="http://schemas.openxmlformats.org/officeDocument/2006/relationships/hyperlink" Target="https://goo.gl/maps/fDSraeT7p1wGQVTs7" TargetMode="External"/><Relationship Id="rId23" Type="http://schemas.openxmlformats.org/officeDocument/2006/relationships/hyperlink" Target="http://www.astrahospital.com/" TargetMode="External"/><Relationship Id="rId119" Type="http://schemas.openxmlformats.org/officeDocument/2006/relationships/hyperlink" Target="https://g.page/sumathihospital?share" TargetMode="External"/><Relationship Id="rId270" Type="http://schemas.openxmlformats.org/officeDocument/2006/relationships/hyperlink" Target="https://www.skghospital.com/contact.php" TargetMode="External"/><Relationship Id="rId326" Type="http://schemas.openxmlformats.org/officeDocument/2006/relationships/hyperlink" Target="https://goo.gl/maps/pRmJEZaLBVLwcR2X8" TargetMode="External"/><Relationship Id="rId65" Type="http://schemas.openxmlformats.org/officeDocument/2006/relationships/hyperlink" Target="https://goo.gl/maps/n4ysuAB5TMxCcJW4A" TargetMode="External"/><Relationship Id="rId130" Type="http://schemas.openxmlformats.org/officeDocument/2006/relationships/hyperlink" Target="http://thangamhospital.com/" TargetMode="External"/><Relationship Id="rId368" Type="http://schemas.openxmlformats.org/officeDocument/2006/relationships/hyperlink" Target="https://www.stisabelshospital.in/" TargetMode="External"/><Relationship Id="rId172" Type="http://schemas.openxmlformats.org/officeDocument/2006/relationships/hyperlink" Target="https://rmrhealth.org/" TargetMode="External"/><Relationship Id="rId228" Type="http://schemas.openxmlformats.org/officeDocument/2006/relationships/hyperlink" Target="https://iswaryafertility.com/kilpauk/" TargetMode="External"/><Relationship Id="rId281" Type="http://schemas.openxmlformats.org/officeDocument/2006/relationships/hyperlink" Target="https://goo.gl/maps/U5F6U5oidvJNjMHK7" TargetMode="External"/><Relationship Id="rId337" Type="http://schemas.openxmlformats.org/officeDocument/2006/relationships/hyperlink" Target="https://g.page/glhospitals?share" TargetMode="External"/><Relationship Id="rId34" Type="http://schemas.openxmlformats.org/officeDocument/2006/relationships/hyperlink" Target="http://bloomhospital.com/" TargetMode="External"/><Relationship Id="rId76" Type="http://schemas.openxmlformats.org/officeDocument/2006/relationships/hyperlink" Target="http://saveethamedicalcollege.com/" TargetMode="External"/><Relationship Id="rId141" Type="http://schemas.openxmlformats.org/officeDocument/2006/relationships/hyperlink" Target="https://goo.gl/maps/vg6Q3kwgqAf98g2x7" TargetMode="External"/><Relationship Id="rId379" Type="http://schemas.openxmlformats.org/officeDocument/2006/relationships/hyperlink" Target="http://www.atlashospitals.com/" TargetMode="External"/><Relationship Id="rId7" Type="http://schemas.openxmlformats.org/officeDocument/2006/relationships/hyperlink" Target="https://g.page/rela-institute-chennai?share" TargetMode="External"/><Relationship Id="rId183" Type="http://schemas.openxmlformats.org/officeDocument/2006/relationships/hyperlink" Target="https://g.page/NeuroOne?share" TargetMode="External"/><Relationship Id="rId239" Type="http://schemas.openxmlformats.org/officeDocument/2006/relationships/hyperlink" Target="https://g.page/rathna-memorial-hospital?share" TargetMode="External"/><Relationship Id="rId250" Type="http://schemas.openxmlformats.org/officeDocument/2006/relationships/hyperlink" Target="http://www.ahanahospitals.in/" TargetMode="External"/><Relationship Id="rId292" Type="http://schemas.openxmlformats.org/officeDocument/2006/relationships/hyperlink" Target="http://www.tmch.org.in/" TargetMode="External"/><Relationship Id="rId306" Type="http://schemas.openxmlformats.org/officeDocument/2006/relationships/hyperlink" Target="https://goo.gl/maps/vGLhECw3yKFuuF8Y7" TargetMode="External"/><Relationship Id="rId45" Type="http://schemas.openxmlformats.org/officeDocument/2006/relationships/hyperlink" Target="https://goo.gl/maps/GwxPyQzpFiLX5QyE8" TargetMode="External"/><Relationship Id="rId87" Type="http://schemas.openxmlformats.org/officeDocument/2006/relationships/hyperlink" Target="https://g.page/kmchihsr?share" TargetMode="External"/><Relationship Id="rId110" Type="http://schemas.openxmlformats.org/officeDocument/2006/relationships/hyperlink" Target="https://www.harshithahospitals.com/contact.php" TargetMode="External"/><Relationship Id="rId348" Type="http://schemas.openxmlformats.org/officeDocument/2006/relationships/hyperlink" Target="https://goo.gl/maps/JCq2offpCQQH2R2TA" TargetMode="External"/><Relationship Id="rId152" Type="http://schemas.openxmlformats.org/officeDocument/2006/relationships/hyperlink" Target="https://goo.gl/maps/trrqWyCVHYvudm3R8" TargetMode="External"/><Relationship Id="rId194" Type="http://schemas.openxmlformats.org/officeDocument/2006/relationships/hyperlink" Target="http://www.viswanathanhospital.com/contact.php" TargetMode="External"/><Relationship Id="rId208" Type="http://schemas.openxmlformats.org/officeDocument/2006/relationships/hyperlink" Target="https://goo.gl/maps/t5RzUncvNx6vvJbXA" TargetMode="External"/><Relationship Id="rId261" Type="http://schemas.openxmlformats.org/officeDocument/2006/relationships/hyperlink" Target="http://bethesdahospital.co.in/about.html" TargetMode="External"/><Relationship Id="rId14" Type="http://schemas.openxmlformats.org/officeDocument/2006/relationships/hyperlink" Target="https://www.deepamhospitals.com/" TargetMode="External"/><Relationship Id="rId56" Type="http://schemas.openxmlformats.org/officeDocument/2006/relationships/hyperlink" Target="http://kumaranhospitals.com/" TargetMode="External"/><Relationship Id="rId317" Type="http://schemas.openxmlformats.org/officeDocument/2006/relationships/hyperlink" Target="https://goo.gl/maps/3qU2zsmMQNvJdd8r8" TargetMode="External"/><Relationship Id="rId359" Type="http://schemas.openxmlformats.org/officeDocument/2006/relationships/hyperlink" Target="https://www.nhp.gov.in/hospital/visaalam-hospitals-namakkal___-tamil_nadu" TargetMode="External"/><Relationship Id="rId98" Type="http://schemas.openxmlformats.org/officeDocument/2006/relationships/hyperlink" Target="https://www.sriramakrishnahospital.com/" TargetMode="External"/><Relationship Id="rId121" Type="http://schemas.openxmlformats.org/officeDocument/2006/relationships/hyperlink" Target="https://goo.gl/maps/5SSoQFWf2ifVotDw8" TargetMode="External"/><Relationship Id="rId163" Type="http://schemas.openxmlformats.org/officeDocument/2006/relationships/hyperlink" Target="http://www.vmkvmc.edu.in/" TargetMode="External"/><Relationship Id="rId219" Type="http://schemas.openxmlformats.org/officeDocument/2006/relationships/hyperlink" Target="http://www.balahospitalusilai.com/" TargetMode="External"/><Relationship Id="rId370" Type="http://schemas.openxmlformats.org/officeDocument/2006/relationships/hyperlink" Target="https://www.onehealthhospitals.com/" TargetMode="External"/><Relationship Id="rId230" Type="http://schemas.openxmlformats.org/officeDocument/2006/relationships/hyperlink" Target="https://iswaryafertility.com/adyar/" TargetMode="External"/><Relationship Id="rId25" Type="http://schemas.openxmlformats.org/officeDocument/2006/relationships/hyperlink" Target="https://g.page/hospitalsbewell?share" TargetMode="External"/><Relationship Id="rId67" Type="http://schemas.openxmlformats.org/officeDocument/2006/relationships/hyperlink" Target="https://g.page/miot-international-chennai?share" TargetMode="External"/><Relationship Id="rId272" Type="http://schemas.openxmlformats.org/officeDocument/2006/relationships/hyperlink" Target="https://goo.gl/maps/KtKtBdv4SM4uPGzWA" TargetMode="External"/><Relationship Id="rId328" Type="http://schemas.openxmlformats.org/officeDocument/2006/relationships/hyperlink" Target="https://g.page/kumaran-medical-center?share" TargetMode="External"/><Relationship Id="rId132" Type="http://schemas.openxmlformats.org/officeDocument/2006/relationships/hyperlink" Target="https://vivekanandha.hospital/" TargetMode="External"/><Relationship Id="rId174" Type="http://schemas.openxmlformats.org/officeDocument/2006/relationships/hyperlink" Target="http://www.sacredhearthospitaltuticorin.org/Contact.html" TargetMode="External"/><Relationship Id="rId381" Type="http://schemas.openxmlformats.org/officeDocument/2006/relationships/hyperlink" Target="https://www.nhp.gov.in/hospital/shri-sakthi-vinayakkar-hospital-dindigul-tamil_nadu" TargetMode="External"/><Relationship Id="rId241" Type="http://schemas.openxmlformats.org/officeDocument/2006/relationships/hyperlink" Target="https://g.page/riohospitalmadurai?share" TargetMode="External"/><Relationship Id="rId36" Type="http://schemas.openxmlformats.org/officeDocument/2006/relationships/hyperlink" Target="http://csirainyhospital.com/" TargetMode="External"/><Relationship Id="rId283" Type="http://schemas.openxmlformats.org/officeDocument/2006/relationships/hyperlink" Target="https://goo.gl/maps/r8Khs3z9Key57bHF6" TargetMode="External"/><Relationship Id="rId339" Type="http://schemas.openxmlformats.org/officeDocument/2006/relationships/hyperlink" Target="https://goo.gl/maps/SdMoTgVj9FoGaVnF7" TargetMode="External"/><Relationship Id="rId78" Type="http://schemas.openxmlformats.org/officeDocument/2006/relationships/hyperlink" Target="http://www.gknmhospital.org/" TargetMode="External"/><Relationship Id="rId101" Type="http://schemas.openxmlformats.org/officeDocument/2006/relationships/hyperlink" Target="https://goo.gl/maps/qTiAFSNpiBhBYddC8" TargetMode="External"/><Relationship Id="rId143" Type="http://schemas.openxmlformats.org/officeDocument/2006/relationships/hyperlink" Target="https://goo.gl/maps/ckgtZLVEmtrUDTzn8" TargetMode="External"/><Relationship Id="rId185" Type="http://schemas.openxmlformats.org/officeDocument/2006/relationships/hyperlink" Target="https://www.apollohospitals.com/locations/india/trichy" TargetMode="External"/><Relationship Id="rId350" Type="http://schemas.openxmlformats.org/officeDocument/2006/relationships/hyperlink" Target="https://goo.gl/maps/ZbQmoYwJfGi2uimw7" TargetMode="External"/><Relationship Id="rId9" Type="http://schemas.openxmlformats.org/officeDocument/2006/relationships/hyperlink" Target="https://goo.gl/maps/Fq6BGjfKUztLf95Q6" TargetMode="External"/><Relationship Id="rId210" Type="http://schemas.openxmlformats.org/officeDocument/2006/relationships/hyperlink" Target="https://goo.gl/maps/bNQnL8L6sNzy6YZe9" TargetMode="External"/><Relationship Id="rId26" Type="http://schemas.openxmlformats.org/officeDocument/2006/relationships/hyperlink" Target="http://bewellhospitals.in/" TargetMode="External"/><Relationship Id="rId231" Type="http://schemas.openxmlformats.org/officeDocument/2006/relationships/hyperlink" Target="https://goo.gl/maps/Awjh6cuW7nCbs8oK7" TargetMode="External"/><Relationship Id="rId252" Type="http://schemas.openxmlformats.org/officeDocument/2006/relationships/hyperlink" Target="https://chennai.apollohospitals.com/hospitals/omr" TargetMode="External"/><Relationship Id="rId273" Type="http://schemas.openxmlformats.org/officeDocument/2006/relationships/hyperlink" Target="https://goo.gl/maps/GVGuzBfyy4G5Q7J99" TargetMode="External"/><Relationship Id="rId294" Type="http://schemas.openxmlformats.org/officeDocument/2006/relationships/hyperlink" Target="https://goo.gl/maps/uPBR5MqbkQoYmUdJA" TargetMode="External"/><Relationship Id="rId308" Type="http://schemas.openxmlformats.org/officeDocument/2006/relationships/hyperlink" Target="https://www.kmshc.com/" TargetMode="External"/><Relationship Id="rId329" Type="http://schemas.openxmlformats.org/officeDocument/2006/relationships/hyperlink" Target="https://www.kumaranmedical.com/" TargetMode="External"/><Relationship Id="rId47" Type="http://schemas.openxmlformats.org/officeDocument/2006/relationships/hyperlink" Target="https://g.page/GKM-Hospital?share" TargetMode="External"/><Relationship Id="rId68" Type="http://schemas.openxmlformats.org/officeDocument/2006/relationships/hyperlink" Target="http://www.miotinternational.com/" TargetMode="External"/><Relationship Id="rId89" Type="http://schemas.openxmlformats.org/officeDocument/2006/relationships/hyperlink" Target="https://g.page/the-one-care-medical-center?share" TargetMode="External"/><Relationship Id="rId112" Type="http://schemas.openxmlformats.org/officeDocument/2006/relationships/hyperlink" Target="http://lakshmanahospital.com/about.php" TargetMode="External"/><Relationship Id="rId133" Type="http://schemas.openxmlformats.org/officeDocument/2006/relationships/hyperlink" Target="https://goo.gl/maps/Gjz2Gwt5WgQQ1QWr7" TargetMode="External"/><Relationship Id="rId154" Type="http://schemas.openxmlformats.org/officeDocument/2006/relationships/hyperlink" Target="https://g.page/manipal-hospitals-salem?share" TargetMode="External"/><Relationship Id="rId175" Type="http://schemas.openxmlformats.org/officeDocument/2006/relationships/hyperlink" Target="https://goo.gl/maps/7rsHr17XjfTRe8WG7" TargetMode="External"/><Relationship Id="rId340" Type="http://schemas.openxmlformats.org/officeDocument/2006/relationships/hyperlink" Target="https://www.nhp.gov.in/hospital/shri-shellapha-hospital-salem-tamil_nadu" TargetMode="External"/><Relationship Id="rId361" Type="http://schemas.openxmlformats.org/officeDocument/2006/relationships/hyperlink" Target="http://naruvihospitals.com/the-board.aspx" TargetMode="External"/><Relationship Id="rId196" Type="http://schemas.openxmlformats.org/officeDocument/2006/relationships/hyperlink" Target="https://goo.gl/maps/NuEAetiUW42ofq5Z8" TargetMode="External"/><Relationship Id="rId200" Type="http://schemas.openxmlformats.org/officeDocument/2006/relationships/hyperlink" Target="https://www.cmch-vellore.edu/" TargetMode="External"/><Relationship Id="rId382" Type="http://schemas.openxmlformats.org/officeDocument/2006/relationships/hyperlink" Target="https://goo.gl/maps/bLv1WU286dCRc1Un6" TargetMode="External"/><Relationship Id="rId16" Type="http://schemas.openxmlformats.org/officeDocument/2006/relationships/hyperlink" Target="http://askapollo.com/" TargetMode="External"/><Relationship Id="rId221" Type="http://schemas.openxmlformats.org/officeDocument/2006/relationships/hyperlink" Target="https://goo.gl/maps/JaTtJAPzYCkm8C157" TargetMode="External"/><Relationship Id="rId242" Type="http://schemas.openxmlformats.org/officeDocument/2006/relationships/hyperlink" Target="https://www.riochildrenshospital.com/" TargetMode="External"/><Relationship Id="rId263" Type="http://schemas.openxmlformats.org/officeDocument/2006/relationships/hyperlink" Target="http://sivahospital.com/about.html" TargetMode="External"/><Relationship Id="rId284" Type="http://schemas.openxmlformats.org/officeDocument/2006/relationships/hyperlink" Target="https://www.athmahospitals.com/" TargetMode="External"/><Relationship Id="rId319" Type="http://schemas.openxmlformats.org/officeDocument/2006/relationships/hyperlink" Target="https://g.page/csr-hospital?share" TargetMode="External"/><Relationship Id="rId37" Type="http://schemas.openxmlformats.org/officeDocument/2006/relationships/hyperlink" Target="https://g.page/chennai-orthopedic-center?share" TargetMode="External"/><Relationship Id="rId58" Type="http://schemas.openxmlformats.org/officeDocument/2006/relationships/hyperlink" Target="http://kvtspeciality.com/" TargetMode="External"/><Relationship Id="rId79" Type="http://schemas.openxmlformats.org/officeDocument/2006/relationships/hyperlink" Target="https://goo.gl/maps/U6aUi6iXhENu5pRj8" TargetMode="External"/><Relationship Id="rId102" Type="http://schemas.openxmlformats.org/officeDocument/2006/relationships/hyperlink" Target="https://goo.gl/maps/Bgi3WfypVw9UEaRg9" TargetMode="External"/><Relationship Id="rId123" Type="http://schemas.openxmlformats.org/officeDocument/2006/relationships/hyperlink" Target="https://www.velammalmedicalcollege.edu.in/" TargetMode="External"/><Relationship Id="rId144" Type="http://schemas.openxmlformats.org/officeDocument/2006/relationships/hyperlink" Target="https://www.kanagamanihospital.com/Ramnad/hospitals-ramnad-home.html" TargetMode="External"/><Relationship Id="rId330" Type="http://schemas.openxmlformats.org/officeDocument/2006/relationships/hyperlink" Target="https://goo.gl/maps/M333fMB2zfaXHzQd6" TargetMode="External"/><Relationship Id="rId90" Type="http://schemas.openxmlformats.org/officeDocument/2006/relationships/hyperlink" Target="https://ocmc.in/" TargetMode="External"/><Relationship Id="rId165" Type="http://schemas.openxmlformats.org/officeDocument/2006/relationships/hyperlink" Target="https://g.page/kg-hospital-thanjavur?share" TargetMode="External"/><Relationship Id="rId186" Type="http://schemas.openxmlformats.org/officeDocument/2006/relationships/hyperlink" Target="https://g.page/gvnhospitaltrichy?share" TargetMode="External"/><Relationship Id="rId351" Type="http://schemas.openxmlformats.org/officeDocument/2006/relationships/hyperlink" Target="https://goo.gl/maps/4nizHvAE1YxP5z4P9" TargetMode="External"/><Relationship Id="rId372" Type="http://schemas.openxmlformats.org/officeDocument/2006/relationships/hyperlink" Target="https://goo.gl/maps/6TpvQ7Z5g1faCA4H9" TargetMode="External"/><Relationship Id="rId211" Type="http://schemas.openxmlformats.org/officeDocument/2006/relationships/hyperlink" Target="https://www.santhyahospitals.com/contact_us.jws" TargetMode="External"/><Relationship Id="rId232" Type="http://schemas.openxmlformats.org/officeDocument/2006/relationships/hyperlink" Target="https://iswaryafertility.com/ambattur/" TargetMode="External"/><Relationship Id="rId253" Type="http://schemas.openxmlformats.org/officeDocument/2006/relationships/hyperlink" Target="https://goo.gl/maps/yoQ1BCYjowRb1TuP8" TargetMode="External"/><Relationship Id="rId274" Type="http://schemas.openxmlformats.org/officeDocument/2006/relationships/hyperlink" Target="https://g.page/kmcidp?share" TargetMode="External"/><Relationship Id="rId295" Type="http://schemas.openxmlformats.org/officeDocument/2006/relationships/hyperlink" Target="http://www.kmthospital.com/" TargetMode="External"/><Relationship Id="rId309" Type="http://schemas.openxmlformats.org/officeDocument/2006/relationships/hyperlink" Target="https://goo.gl/maps/dQEBxJqmqwyN36x76" TargetMode="External"/><Relationship Id="rId27" Type="http://schemas.openxmlformats.org/officeDocument/2006/relationships/hyperlink" Target="https://goo.gl/maps/PHKGZoej7rn4jP259" TargetMode="External"/><Relationship Id="rId48" Type="http://schemas.openxmlformats.org/officeDocument/2006/relationships/hyperlink" Target="https://gkmhospital.business.site/" TargetMode="External"/><Relationship Id="rId69" Type="http://schemas.openxmlformats.org/officeDocument/2006/relationships/hyperlink" Target="https://goo.gl/maps/9XYM8gwn9SxCaRZUA" TargetMode="External"/><Relationship Id="rId113" Type="http://schemas.openxmlformats.org/officeDocument/2006/relationships/hyperlink" Target="https://g.page/OfficialMMHRC?share" TargetMode="External"/><Relationship Id="rId134" Type="http://schemas.openxmlformats.org/officeDocument/2006/relationships/hyperlink" Target="https://nankemhospital.com/" TargetMode="External"/><Relationship Id="rId320" Type="http://schemas.openxmlformats.org/officeDocument/2006/relationships/hyperlink" Target="https://goo.gl/maps/UjCT4hhM8Mnmnq7L9" TargetMode="External"/><Relationship Id="rId80" Type="http://schemas.openxmlformats.org/officeDocument/2006/relationships/hyperlink" Target="https://www.hindusthanhospital.com/" TargetMode="External"/><Relationship Id="rId155" Type="http://schemas.openxmlformats.org/officeDocument/2006/relationships/hyperlink" Target="https://www.manipalhospitals.com/salem/contact-us/" TargetMode="External"/><Relationship Id="rId176" Type="http://schemas.openxmlformats.org/officeDocument/2006/relationships/hyperlink" Target="https://g.page/theAVHospitals?share" TargetMode="External"/><Relationship Id="rId197" Type="http://schemas.openxmlformats.org/officeDocument/2006/relationships/hyperlink" Target="https://goo.gl/maps/cVZRCNvsZFbZPVGx8" TargetMode="External"/><Relationship Id="rId341" Type="http://schemas.openxmlformats.org/officeDocument/2006/relationships/hyperlink" Target="https://goo.gl/maps/6ik2TxSs548Bxskm9" TargetMode="External"/><Relationship Id="rId362" Type="http://schemas.openxmlformats.org/officeDocument/2006/relationships/hyperlink" Target="https://goo.gl/maps/UMaRWGt8wKADPkqv8" TargetMode="External"/><Relationship Id="rId201" Type="http://schemas.openxmlformats.org/officeDocument/2006/relationships/hyperlink" Target="https://goo.gl/maps/tiwcy91b3JNtuGu37" TargetMode="External"/><Relationship Id="rId222" Type="http://schemas.openxmlformats.org/officeDocument/2006/relationships/hyperlink" Target="https://nithilaanursinghome.in/contact/" TargetMode="External"/><Relationship Id="rId243" Type="http://schemas.openxmlformats.org/officeDocument/2006/relationships/hyperlink" Target="https://goo.gl/maps/E3TbYDQW6vbcE6jS9" TargetMode="External"/><Relationship Id="rId264" Type="http://schemas.openxmlformats.org/officeDocument/2006/relationships/hyperlink" Target="https://goo.gl/maps/7KjRit1UUy2PDuPz5" TargetMode="External"/><Relationship Id="rId285" Type="http://schemas.openxmlformats.org/officeDocument/2006/relationships/hyperlink" Target="https://goo.gl/maps/qiWQ2Y3uS8sbak8M7" TargetMode="External"/><Relationship Id="rId17" Type="http://schemas.openxmlformats.org/officeDocument/2006/relationships/hyperlink" Target="https://goo.gl/maps/hruqATLDdCu2SaBF8" TargetMode="External"/><Relationship Id="rId38" Type="http://schemas.openxmlformats.org/officeDocument/2006/relationships/hyperlink" Target="http://www.cochospitals.com/" TargetMode="External"/><Relationship Id="rId59" Type="http://schemas.openxmlformats.org/officeDocument/2006/relationships/hyperlink" Target="https://goo.gl/maps/2D2AphUbUNmUG6uV7" TargetMode="External"/><Relationship Id="rId103" Type="http://schemas.openxmlformats.org/officeDocument/2006/relationships/hyperlink" Target="http://www.cfhospital.org/" TargetMode="External"/><Relationship Id="rId124" Type="http://schemas.openxmlformats.org/officeDocument/2006/relationships/hyperlink" Target="https://goo.gl/maps/Jnjf82ag5eivGhDu9" TargetMode="External"/><Relationship Id="rId310" Type="http://schemas.openxmlformats.org/officeDocument/2006/relationships/hyperlink" Target="https://goo.gl/maps/RdQhBfLoL49iz12j9" TargetMode="External"/><Relationship Id="rId70" Type="http://schemas.openxmlformats.org/officeDocument/2006/relationships/hyperlink" Target="http://www.newhopehospitals.com/" TargetMode="External"/><Relationship Id="rId91" Type="http://schemas.openxmlformats.org/officeDocument/2006/relationships/hyperlink" Target="https://goo.gl/maps/GzKfghv6mzKeERjU6" TargetMode="External"/><Relationship Id="rId145" Type="http://schemas.openxmlformats.org/officeDocument/2006/relationships/hyperlink" Target="https://goo.gl/maps/SEesQn9MTfB9AG2s9" TargetMode="External"/><Relationship Id="rId166" Type="http://schemas.openxmlformats.org/officeDocument/2006/relationships/hyperlink" Target="http://kghospital.in/" TargetMode="External"/><Relationship Id="rId187" Type="http://schemas.openxmlformats.org/officeDocument/2006/relationships/hyperlink" Target="http://gvnhospitals.in/" TargetMode="External"/><Relationship Id="rId331" Type="http://schemas.openxmlformats.org/officeDocument/2006/relationships/hyperlink" Target="https://www.nghospitalscbe.com/" TargetMode="External"/><Relationship Id="rId352" Type="http://schemas.openxmlformats.org/officeDocument/2006/relationships/hyperlink" Target="https://goo.gl/maps/XbDuc9QXuC34Dk7d7" TargetMode="External"/><Relationship Id="rId373" Type="http://schemas.openxmlformats.org/officeDocument/2006/relationships/hyperlink" Target="https://goo.gl/maps/ijVzm5tkPfBMsdpt8" TargetMode="External"/><Relationship Id="rId1" Type="http://schemas.openxmlformats.org/officeDocument/2006/relationships/hyperlink" Target="https://www.google.co.in/maps/place/AS+HOSPIITAL/@11.1411867,79.0693105,16.54z/data=!4m5!3m4!1s0x3baadf7dbcef97bf:0xfe59e34ea39bca9!8m2!3d11.1410048!4d79.0721499" TargetMode="External"/><Relationship Id="rId212" Type="http://schemas.openxmlformats.org/officeDocument/2006/relationships/hyperlink" Target="https://goo.gl/maps/B3UWyryGjeH5Zqw67" TargetMode="External"/><Relationship Id="rId233" Type="http://schemas.openxmlformats.org/officeDocument/2006/relationships/hyperlink" Target="https://goo.gl/maps/1qmjqVq3eTHT81X66" TargetMode="External"/><Relationship Id="rId254" Type="http://schemas.openxmlformats.org/officeDocument/2006/relationships/hyperlink" Target="https://kgjhospitals.in/" TargetMode="External"/><Relationship Id="rId28" Type="http://schemas.openxmlformats.org/officeDocument/2006/relationships/hyperlink" Target="https://bmch.ac.in/contact-us.php" TargetMode="External"/><Relationship Id="rId49" Type="http://schemas.openxmlformats.org/officeDocument/2006/relationships/hyperlink" Target="https://goo.gl/maps/tzrEmwM7vQH4umdi6" TargetMode="External"/><Relationship Id="rId114" Type="http://schemas.openxmlformats.org/officeDocument/2006/relationships/hyperlink" Target="https://www.mmhrc.in/" TargetMode="External"/><Relationship Id="rId275" Type="http://schemas.openxmlformats.org/officeDocument/2006/relationships/hyperlink" Target="https://www.karthicmedicalcentre.in/" TargetMode="External"/><Relationship Id="rId296" Type="http://schemas.openxmlformats.org/officeDocument/2006/relationships/hyperlink" Target="https://goo.gl/maps/cLqqV3YH7jnmiYjL6" TargetMode="External"/><Relationship Id="rId300" Type="http://schemas.openxmlformats.org/officeDocument/2006/relationships/hyperlink" Target="https://annai-multi-speciality-hospital.business.site/" TargetMode="External"/><Relationship Id="rId60" Type="http://schemas.openxmlformats.org/officeDocument/2006/relationships/hyperlink" Target="http://www.lakshahospitals.in/" TargetMode="External"/><Relationship Id="rId81" Type="http://schemas.openxmlformats.org/officeDocument/2006/relationships/hyperlink" Target="https://goo.gl/maps/Cz8NFbTMLFmLRXhU9" TargetMode="External"/><Relationship Id="rId135" Type="http://schemas.openxmlformats.org/officeDocument/2006/relationships/hyperlink" Target="https://goo.gl/maps/eF7X5UP2sXYRAkro8" TargetMode="External"/><Relationship Id="rId156" Type="http://schemas.openxmlformats.org/officeDocument/2006/relationships/hyperlink" Target="https://goo.gl/maps/NH3NnaNp1ysyknPL9" TargetMode="External"/><Relationship Id="rId177" Type="http://schemas.openxmlformats.org/officeDocument/2006/relationships/hyperlink" Target="https://avhospitals.co.in/" TargetMode="External"/><Relationship Id="rId198" Type="http://schemas.openxmlformats.org/officeDocument/2006/relationships/hyperlink" Target="http://www.kamalahospitals.in/" TargetMode="External"/><Relationship Id="rId321" Type="http://schemas.openxmlformats.org/officeDocument/2006/relationships/hyperlink" Target="https://muthushospital.com/saravanampatti-hospital/" TargetMode="External"/><Relationship Id="rId342" Type="http://schemas.openxmlformats.org/officeDocument/2006/relationships/hyperlink" Target="http://www.thiruhospital.com/" TargetMode="External"/><Relationship Id="rId363" Type="http://schemas.openxmlformats.org/officeDocument/2006/relationships/hyperlink" Target="http://www.nathanspecialityhospital.com/about-us/" TargetMode="External"/><Relationship Id="rId202" Type="http://schemas.openxmlformats.org/officeDocument/2006/relationships/hyperlink" Target="https://www.narayanihospital.com/" TargetMode="External"/><Relationship Id="rId223" Type="http://schemas.openxmlformats.org/officeDocument/2006/relationships/hyperlink" Target="https://g.page/ntchospitals?share" TargetMode="External"/><Relationship Id="rId244" Type="http://schemas.openxmlformats.org/officeDocument/2006/relationships/hyperlink" Target="https://g.page/velanspeciality?share" TargetMode="External"/><Relationship Id="rId18" Type="http://schemas.openxmlformats.org/officeDocument/2006/relationships/hyperlink" Target="http://askapollo.com/" TargetMode="External"/><Relationship Id="rId39" Type="http://schemas.openxmlformats.org/officeDocument/2006/relationships/hyperlink" Target="https://goo.gl/maps/225LdyFr9X1YNbpV7" TargetMode="External"/><Relationship Id="rId265" Type="http://schemas.openxmlformats.org/officeDocument/2006/relationships/hyperlink" Target="https://goo.gl/maps/5Naorpe6jKCvDfDB7" TargetMode="External"/><Relationship Id="rId286" Type="http://schemas.openxmlformats.org/officeDocument/2006/relationships/hyperlink" Target="http://www.kavihospital.com/" TargetMode="External"/><Relationship Id="rId50" Type="http://schemas.openxmlformats.org/officeDocument/2006/relationships/hyperlink" Target="http://www.kkcth.org/" TargetMode="External"/><Relationship Id="rId104" Type="http://schemas.openxmlformats.org/officeDocument/2006/relationships/hyperlink" Target="https://www.apollohospitals.com/locations/india/karur" TargetMode="External"/><Relationship Id="rId125" Type="http://schemas.openxmlformats.org/officeDocument/2006/relationships/hyperlink" Target="https://goo.gl/maps/PjQm5kuYmtNs8f619" TargetMode="External"/><Relationship Id="rId146" Type="http://schemas.openxmlformats.org/officeDocument/2006/relationships/hyperlink" Target="https://goo.gl/maps/osVUZDJZJ8Xqkqvp8" TargetMode="External"/><Relationship Id="rId167" Type="http://schemas.openxmlformats.org/officeDocument/2006/relationships/hyperlink" Target="https://goo.gl/maps/ywACaE54HCBHaRQp9" TargetMode="External"/><Relationship Id="rId188" Type="http://schemas.openxmlformats.org/officeDocument/2006/relationships/hyperlink" Target="https://g.page/kauvery-hospital-tennur?share" TargetMode="External"/><Relationship Id="rId311" Type="http://schemas.openxmlformats.org/officeDocument/2006/relationships/hyperlink" Target="https://cdf-resort-hospital.business.site/" TargetMode="External"/><Relationship Id="rId332" Type="http://schemas.openxmlformats.org/officeDocument/2006/relationships/hyperlink" Target="https://goo.gl/maps/esodrbVBTMhy6m6m6" TargetMode="External"/><Relationship Id="rId353" Type="http://schemas.openxmlformats.org/officeDocument/2006/relationships/hyperlink" Target="https://www.vadamalayan.org/" TargetMode="External"/><Relationship Id="rId374" Type="http://schemas.openxmlformats.org/officeDocument/2006/relationships/hyperlink" Target="https://goo.gl/maps/EfmbYRpjG3AraPsb7" TargetMode="External"/><Relationship Id="rId71" Type="http://schemas.openxmlformats.org/officeDocument/2006/relationships/hyperlink" Target="https://g.page/Panimalarmedicalcollege?share" TargetMode="External"/><Relationship Id="rId92" Type="http://schemas.openxmlformats.org/officeDocument/2006/relationships/hyperlink" Target="https://psgimsr.ac.in/" TargetMode="External"/><Relationship Id="rId213" Type="http://schemas.openxmlformats.org/officeDocument/2006/relationships/hyperlink" Target="https://arogyahospital.org/" TargetMode="External"/><Relationship Id="rId234" Type="http://schemas.openxmlformats.org/officeDocument/2006/relationships/hyperlink" Target="https://shaaravemultispecialityhospital.com/" TargetMode="External"/><Relationship Id="rId2" Type="http://schemas.openxmlformats.org/officeDocument/2006/relationships/hyperlink" Target="http://ashospiitalariyalur.com/" TargetMode="External"/><Relationship Id="rId29" Type="http://schemas.openxmlformats.org/officeDocument/2006/relationships/hyperlink" Target="https://goo.gl/maps/VQcfxehkEMhtj6bd9" TargetMode="External"/><Relationship Id="rId255" Type="http://schemas.openxmlformats.org/officeDocument/2006/relationships/hyperlink" Target="https://goo.gl/maps/aPFXs4N5VNmyfmWW6" TargetMode="External"/><Relationship Id="rId276" Type="http://schemas.openxmlformats.org/officeDocument/2006/relationships/hyperlink" Target="https://goo.gl/maps/LYPN9kH9GqvQuoGn9" TargetMode="External"/><Relationship Id="rId297" Type="http://schemas.openxmlformats.org/officeDocument/2006/relationships/hyperlink" Target="https://g.page/dr_mehtas_hospitals?share" TargetMode="External"/><Relationship Id="rId40" Type="http://schemas.openxmlformats.org/officeDocument/2006/relationships/hyperlink" Target="http://www.chettinadhealthcity.com/" TargetMode="External"/><Relationship Id="rId115" Type="http://schemas.openxmlformats.org/officeDocument/2006/relationships/hyperlink" Target="https://goo.gl/maps/5DJvZb8bikyLonfY7" TargetMode="External"/><Relationship Id="rId136" Type="http://schemas.openxmlformats.org/officeDocument/2006/relationships/hyperlink" Target="https://www.dsmedicalcollege.org/" TargetMode="External"/><Relationship Id="rId157" Type="http://schemas.openxmlformats.org/officeDocument/2006/relationships/hyperlink" Target="https://priyamspecialityhospitals.com/" TargetMode="External"/><Relationship Id="rId178" Type="http://schemas.openxmlformats.org/officeDocument/2006/relationships/hyperlink" Target="https://goo.gl/maps/JcBSf1N5Q78K7isp8" TargetMode="External"/><Relationship Id="rId301" Type="http://schemas.openxmlformats.org/officeDocument/2006/relationships/hyperlink" Target="https://goo.gl/maps/krU4Q2nBjRLoHpEs9" TargetMode="External"/><Relationship Id="rId322" Type="http://schemas.openxmlformats.org/officeDocument/2006/relationships/hyperlink" Target="https://g.page/fims-hospitals?share" TargetMode="External"/><Relationship Id="rId343" Type="http://schemas.openxmlformats.org/officeDocument/2006/relationships/hyperlink" Target="https://goo.gl/maps/iujer9qEqB36CZBz8" TargetMode="External"/><Relationship Id="rId364" Type="http://schemas.openxmlformats.org/officeDocument/2006/relationships/hyperlink" Target="https://goo.gl/maps/os1GBPrmytNA4BqF6" TargetMode="External"/><Relationship Id="rId61" Type="http://schemas.openxmlformats.org/officeDocument/2006/relationships/hyperlink" Target="https://goo.gl/maps/UzMGLErFsaDAXkCu7" TargetMode="External"/><Relationship Id="rId82" Type="http://schemas.openxmlformats.org/officeDocument/2006/relationships/hyperlink" Target="http://www.karpagam.ac.in/" TargetMode="External"/><Relationship Id="rId199" Type="http://schemas.openxmlformats.org/officeDocument/2006/relationships/hyperlink" Target="https://goo.gl/maps/6As44YUUZPhxHM8R9" TargetMode="External"/><Relationship Id="rId203" Type="http://schemas.openxmlformats.org/officeDocument/2006/relationships/hyperlink" Target="https://goo.gl/maps/HN3GcE8oVRd6NVMe8" TargetMode="External"/><Relationship Id="rId19" Type="http://schemas.openxmlformats.org/officeDocument/2006/relationships/hyperlink" Target="https://g.page/appasamyhospitals?share" TargetMode="External"/><Relationship Id="rId224" Type="http://schemas.openxmlformats.org/officeDocument/2006/relationships/hyperlink" Target="https://www.ntchospitals.com/" TargetMode="External"/><Relationship Id="rId245" Type="http://schemas.openxmlformats.org/officeDocument/2006/relationships/hyperlink" Target="http://www.velanhospitals.com/" TargetMode="External"/><Relationship Id="rId266" Type="http://schemas.openxmlformats.org/officeDocument/2006/relationships/hyperlink" Target="http://www.bgmhospitals.com/contact-us" TargetMode="External"/><Relationship Id="rId287" Type="http://schemas.openxmlformats.org/officeDocument/2006/relationships/hyperlink" Target="https://g.page/mmm-multi-specialty-hospital?share" TargetMode="External"/><Relationship Id="rId30" Type="http://schemas.openxmlformats.org/officeDocument/2006/relationships/hyperlink" Target="http://www.brhospitals.in/" TargetMode="External"/><Relationship Id="rId105" Type="http://schemas.openxmlformats.org/officeDocument/2006/relationships/hyperlink" Target="https://g.page/devadosshospitals?share" TargetMode="External"/><Relationship Id="rId126" Type="http://schemas.openxmlformats.org/officeDocument/2006/relationships/hyperlink" Target="https://goo.gl/maps/69pSAvrDnNwWzGTJ7" TargetMode="External"/><Relationship Id="rId147" Type="http://schemas.openxmlformats.org/officeDocument/2006/relationships/hyperlink" Target="http://www.amch.in/" TargetMode="External"/><Relationship Id="rId168" Type="http://schemas.openxmlformats.org/officeDocument/2006/relationships/hyperlink" Target="http://www.meenakshihospital.com/" TargetMode="External"/><Relationship Id="rId312" Type="http://schemas.openxmlformats.org/officeDocument/2006/relationships/hyperlink" Target="https://goo.gl/maps/uDpzd9rKQsUUHMfi6" TargetMode="External"/><Relationship Id="rId333" Type="http://schemas.openxmlformats.org/officeDocument/2006/relationships/hyperlink" Target="https://goo.gl/maps/Z6wv7F5kDCQ2EnQn9" TargetMode="External"/><Relationship Id="rId354" Type="http://schemas.openxmlformats.org/officeDocument/2006/relationships/hyperlink" Target="https://goo.gl/maps/CiYXYQCxqy3qr8xWA" TargetMode="External"/><Relationship Id="rId51" Type="http://schemas.openxmlformats.org/officeDocument/2006/relationships/hyperlink" Target="https://goo.gl/maps/pY3eUQSFoGB7g2Wq6" TargetMode="External"/><Relationship Id="rId72" Type="http://schemas.openxmlformats.org/officeDocument/2006/relationships/hyperlink" Target="http://www.pmchri.ac.in/" TargetMode="External"/><Relationship Id="rId93" Type="http://schemas.openxmlformats.org/officeDocument/2006/relationships/hyperlink" Target="https://goo.gl/maps/kR6GNLE57WdVdHUe6" TargetMode="External"/><Relationship Id="rId189" Type="http://schemas.openxmlformats.org/officeDocument/2006/relationships/hyperlink" Target="https://www.kauveryhospital.com/" TargetMode="External"/><Relationship Id="rId375" Type="http://schemas.openxmlformats.org/officeDocument/2006/relationships/hyperlink" Target="https://www.nhp.gov.in/hospital/amar-speciality-hospital-virudhunagar-tamil_nadu" TargetMode="External"/><Relationship Id="rId3" Type="http://schemas.openxmlformats.org/officeDocument/2006/relationships/hyperlink" Target="https://goo.gl/maps/K6bp1DRefLwqDVA2A" TargetMode="External"/><Relationship Id="rId214" Type="http://schemas.openxmlformats.org/officeDocument/2006/relationships/hyperlink" Target="https://g.page/SHPL-PROFILE?share" TargetMode="External"/><Relationship Id="rId235" Type="http://schemas.openxmlformats.org/officeDocument/2006/relationships/hyperlink" Target="https://goo.gl/maps/RNgp8nR62umxWPAV8" TargetMode="External"/><Relationship Id="rId256" Type="http://schemas.openxmlformats.org/officeDocument/2006/relationships/hyperlink" Target="https://g.page/Saraswathy-hospital?share" TargetMode="External"/><Relationship Id="rId277" Type="http://schemas.openxmlformats.org/officeDocument/2006/relationships/hyperlink" Target="https://goo.gl/maps/yNNzjAdpNYpgr5my8" TargetMode="External"/><Relationship Id="rId298" Type="http://schemas.openxmlformats.org/officeDocument/2006/relationships/hyperlink" Target="https://mehtahospital.com/" TargetMode="External"/><Relationship Id="rId116" Type="http://schemas.openxmlformats.org/officeDocument/2006/relationships/hyperlink" Target="http://www.saravanahospital.org/" TargetMode="External"/><Relationship Id="rId137" Type="http://schemas.openxmlformats.org/officeDocument/2006/relationships/hyperlink" Target="https://goo.gl/maps/WUp4uquSMCnseNW69" TargetMode="External"/><Relationship Id="rId158" Type="http://schemas.openxmlformats.org/officeDocument/2006/relationships/hyperlink" Target="https://goo.gl/maps/nKMaHp2XW2ARUsReA" TargetMode="External"/><Relationship Id="rId302" Type="http://schemas.openxmlformats.org/officeDocument/2006/relationships/hyperlink" Target="http://www.skullbasesurgery.net/" TargetMode="External"/><Relationship Id="rId323" Type="http://schemas.openxmlformats.org/officeDocument/2006/relationships/hyperlink" Target="https://fimshospitals.com/" TargetMode="External"/><Relationship Id="rId344" Type="http://schemas.openxmlformats.org/officeDocument/2006/relationships/hyperlink" Target="https://goo.gl/maps/2cZWUPWvQLhbKp516" TargetMode="External"/><Relationship Id="rId20" Type="http://schemas.openxmlformats.org/officeDocument/2006/relationships/hyperlink" Target="http://appasamyhospitals.com/" TargetMode="External"/><Relationship Id="rId41" Type="http://schemas.openxmlformats.org/officeDocument/2006/relationships/hyperlink" Target="https://goo.gl/maps/WJQM18ytVGEVdB2b9" TargetMode="External"/><Relationship Id="rId62" Type="http://schemas.openxmlformats.org/officeDocument/2006/relationships/hyperlink" Target="http://mgmhealthcare.in/" TargetMode="External"/><Relationship Id="rId83" Type="http://schemas.openxmlformats.org/officeDocument/2006/relationships/hyperlink" Target="https://goo.gl/maps/cyG1nEfHih2BFRPFA" TargetMode="External"/><Relationship Id="rId179" Type="http://schemas.openxmlformats.org/officeDocument/2006/relationships/hyperlink" Target="https://www.revathimedicalcenter.com/" TargetMode="External"/><Relationship Id="rId365" Type="http://schemas.openxmlformats.org/officeDocument/2006/relationships/hyperlink" Target="https://goo.gl/maps/TFgReN7JHy8a1JHz7" TargetMode="External"/><Relationship Id="rId190" Type="http://schemas.openxmlformats.org/officeDocument/2006/relationships/hyperlink" Target="https://g.page/maruti-hospital-tiruchirappalli?share" TargetMode="External"/><Relationship Id="rId204" Type="http://schemas.openxmlformats.org/officeDocument/2006/relationships/hyperlink" Target="https://goo.gl/maps/Liho2qDe3yY8weeV8" TargetMode="External"/><Relationship Id="rId225" Type="http://schemas.openxmlformats.org/officeDocument/2006/relationships/hyperlink" Target="https://g.page/rakshospital?share" TargetMode="External"/><Relationship Id="rId246" Type="http://schemas.openxmlformats.org/officeDocument/2006/relationships/hyperlink" Target="https://goo.gl/maps/z6vkfFMZ7KpNWf8n7" TargetMode="External"/><Relationship Id="rId267" Type="http://schemas.openxmlformats.org/officeDocument/2006/relationships/hyperlink" Target="https://g.page/gkfmadurai?share" TargetMode="External"/><Relationship Id="rId288" Type="http://schemas.openxmlformats.org/officeDocument/2006/relationships/hyperlink" Target="http://mmmhospitaltrichy.com/" TargetMode="External"/><Relationship Id="rId106" Type="http://schemas.openxmlformats.org/officeDocument/2006/relationships/hyperlink" Target="https://www.devadosshospitals.com/" TargetMode="External"/><Relationship Id="rId127" Type="http://schemas.openxmlformats.org/officeDocument/2006/relationships/hyperlink" Target="https://g.page/m-m--hospital-namakkal?share" TargetMode="External"/><Relationship Id="rId313" Type="http://schemas.openxmlformats.org/officeDocument/2006/relationships/hyperlink" Target="https://mocdoc.in/hospital/manuel-orthopaedic-hospital" TargetMode="External"/><Relationship Id="rId10" Type="http://schemas.openxmlformats.org/officeDocument/2006/relationships/hyperlink" Target="https://sudarhospitals.com/" TargetMode="External"/><Relationship Id="rId31" Type="http://schemas.openxmlformats.org/officeDocument/2006/relationships/hyperlink" Target="https://g.page/billroth-hospitals-chennai?share" TargetMode="External"/><Relationship Id="rId52" Type="http://schemas.openxmlformats.org/officeDocument/2006/relationships/hyperlink" Target="http://www.kims.edu.in/" TargetMode="External"/><Relationship Id="rId73" Type="http://schemas.openxmlformats.org/officeDocument/2006/relationships/hyperlink" Target="https://goo.gl/maps/PpTKgXAEE7j11hp4A" TargetMode="External"/><Relationship Id="rId94" Type="http://schemas.openxmlformats.org/officeDocument/2006/relationships/hyperlink" Target="https://www.royalcarehospital.in/" TargetMode="External"/><Relationship Id="rId148" Type="http://schemas.openxmlformats.org/officeDocument/2006/relationships/hyperlink" Target="https://goo.gl/maps/aLAr12DhTnGzZB629" TargetMode="External"/><Relationship Id="rId169" Type="http://schemas.openxmlformats.org/officeDocument/2006/relationships/hyperlink" Target="https://g.page/peacockhospitals?share" TargetMode="External"/><Relationship Id="rId334" Type="http://schemas.openxmlformats.org/officeDocument/2006/relationships/hyperlink" Target="http://aishwaryamhospital.com/consultants.html" TargetMode="External"/><Relationship Id="rId355" Type="http://schemas.openxmlformats.org/officeDocument/2006/relationships/hyperlink" Target="http://thebesthospital.in/" TargetMode="External"/><Relationship Id="rId376" Type="http://schemas.openxmlformats.org/officeDocument/2006/relationships/hyperlink" Target="https://goo.gl/maps/pbUVfikj2zW3yJ7H7" TargetMode="External"/><Relationship Id="rId4" Type="http://schemas.openxmlformats.org/officeDocument/2006/relationships/hyperlink" Target="https://g.page/AnnaiArulHospital?share" TargetMode="External"/><Relationship Id="rId180" Type="http://schemas.openxmlformats.org/officeDocument/2006/relationships/hyperlink" Target="https://goo.gl/maps/g1gKrmVmwdo9sNfH8" TargetMode="External"/><Relationship Id="rId215" Type="http://schemas.openxmlformats.org/officeDocument/2006/relationships/hyperlink" Target="http://saravanahospitals.com/our_doctor.php" TargetMode="External"/><Relationship Id="rId236" Type="http://schemas.openxmlformats.org/officeDocument/2006/relationships/hyperlink" Target="http://jcbhospitals.com/" TargetMode="External"/><Relationship Id="rId257" Type="http://schemas.openxmlformats.org/officeDocument/2006/relationships/hyperlink" Target="https://goo.gl/maps/EK56GPpHnGET9FuB7" TargetMode="External"/><Relationship Id="rId278" Type="http://schemas.openxmlformats.org/officeDocument/2006/relationships/hyperlink" Target="https://goo.gl/maps/8rXo3vsWRndJ9V8s5" TargetMode="External"/><Relationship Id="rId303" Type="http://schemas.openxmlformats.org/officeDocument/2006/relationships/hyperlink" Target="https://goo.gl/maps/jRetVF28pPTNqg7j6" TargetMode="External"/><Relationship Id="rId42" Type="http://schemas.openxmlformats.org/officeDocument/2006/relationships/hyperlink" Target="http://www.csikalyanihospital.com/" TargetMode="External"/><Relationship Id="rId84" Type="http://schemas.openxmlformats.org/officeDocument/2006/relationships/hyperlink" Target="https://www.kghospital.com/" TargetMode="External"/><Relationship Id="rId138" Type="http://schemas.openxmlformats.org/officeDocument/2006/relationships/hyperlink" Target="https://goo.gl/maps/R6UPKe19iqTF984b7" TargetMode="External"/><Relationship Id="rId345" Type="http://schemas.openxmlformats.org/officeDocument/2006/relationships/hyperlink" Target="http://gchospital.in/" TargetMode="External"/><Relationship Id="rId191" Type="http://schemas.openxmlformats.org/officeDocument/2006/relationships/hyperlink" Target="https://www.marutihospital.in/" TargetMode="External"/><Relationship Id="rId205" Type="http://schemas.openxmlformats.org/officeDocument/2006/relationships/hyperlink" Target="http://www.srikrishnahospitals.com/" TargetMode="External"/><Relationship Id="rId247" Type="http://schemas.openxmlformats.org/officeDocument/2006/relationships/hyperlink" Target="https://goo.gl/maps/aLiFRQH38PiZKUBe7" TargetMode="External"/><Relationship Id="rId107" Type="http://schemas.openxmlformats.org/officeDocument/2006/relationships/hyperlink" Target="https://goo.gl/maps/8pgZ73NziwGijfyG9" TargetMode="External"/><Relationship Id="rId289" Type="http://schemas.openxmlformats.org/officeDocument/2006/relationships/hyperlink" Target="https://goo.gl/maps/8rbwTU89pW1oLzPh9" TargetMode="External"/><Relationship Id="rId11" Type="http://schemas.openxmlformats.org/officeDocument/2006/relationships/hyperlink" Target="https://goo.gl/maps/22F3QtTzHVydSZtE9" TargetMode="External"/><Relationship Id="rId53" Type="http://schemas.openxmlformats.org/officeDocument/2006/relationships/hyperlink" Target="https://goo.gl/maps/fiKozYDfPAdF72X56" TargetMode="External"/><Relationship Id="rId149" Type="http://schemas.openxmlformats.org/officeDocument/2006/relationships/hyperlink" Target="https://www.dharanhospital.com/contactus.php" TargetMode="External"/><Relationship Id="rId314" Type="http://schemas.openxmlformats.org/officeDocument/2006/relationships/hyperlink" Target="https://goo.gl/maps/rXiBhj54zwuFAgo88" TargetMode="External"/><Relationship Id="rId356" Type="http://schemas.openxmlformats.org/officeDocument/2006/relationships/hyperlink" Target="https://g.page/kasthuri-hospital?share" TargetMode="External"/><Relationship Id="rId95" Type="http://schemas.openxmlformats.org/officeDocument/2006/relationships/hyperlink" Target="https://goo.gl/maps/1k9NsoyRujw1UzU78" TargetMode="External"/><Relationship Id="rId160" Type="http://schemas.openxmlformats.org/officeDocument/2006/relationships/hyperlink" Target="https://goo.gl/maps/dzTLcWLPqQJCFNmU8" TargetMode="External"/><Relationship Id="rId216" Type="http://schemas.openxmlformats.org/officeDocument/2006/relationships/hyperlink" Target="https://goo.gl/maps/hkuwyd63zsFWm1QJA" TargetMode="External"/><Relationship Id="rId258" Type="http://schemas.openxmlformats.org/officeDocument/2006/relationships/hyperlink" Target="https://www.madrasmedicalmission.org.in/" TargetMode="External"/><Relationship Id="rId22" Type="http://schemas.openxmlformats.org/officeDocument/2006/relationships/hyperlink" Target="https://goo.gl/maps/2yCYnTuNccsmDfb7A" TargetMode="External"/><Relationship Id="rId64" Type="http://schemas.openxmlformats.org/officeDocument/2006/relationships/hyperlink" Target="http://www.maher.ac.in/" TargetMode="External"/><Relationship Id="rId118" Type="http://schemas.openxmlformats.org/officeDocument/2006/relationships/hyperlink" Target="http://www.shenbagamhospital.org/" TargetMode="External"/><Relationship Id="rId325" Type="http://schemas.openxmlformats.org/officeDocument/2006/relationships/hyperlink" Target="https://www.kghospital.com/about-us.html" TargetMode="External"/><Relationship Id="rId367" Type="http://schemas.openxmlformats.org/officeDocument/2006/relationships/hyperlink" Target="https://goo.gl/maps/ziNvqHHF7iqjurGY8" TargetMode="External"/><Relationship Id="rId171" Type="http://schemas.openxmlformats.org/officeDocument/2006/relationships/hyperlink" Target="https://goo.gl/maps/Pb8XtGhMiXSYDH3KA" TargetMode="External"/><Relationship Id="rId227" Type="http://schemas.openxmlformats.org/officeDocument/2006/relationships/hyperlink" Target="https://goo.gl/maps/NLFibmcegBFnWS718" TargetMode="External"/><Relationship Id="rId269" Type="http://schemas.openxmlformats.org/officeDocument/2006/relationships/hyperlink" Target="https://goo.gl/maps/swGUsnSwVhQPRD6X8" TargetMode="External"/><Relationship Id="rId33" Type="http://schemas.openxmlformats.org/officeDocument/2006/relationships/hyperlink" Target="https://goo.gl/maps/1aaVtaFWLhKMG3Xx8" TargetMode="External"/><Relationship Id="rId129" Type="http://schemas.openxmlformats.org/officeDocument/2006/relationships/hyperlink" Target="https://g.page/thangamhospitals?share" TargetMode="External"/><Relationship Id="rId280" Type="http://schemas.openxmlformats.org/officeDocument/2006/relationships/hyperlink" Target="https://goo.gl/maps/RbWc4qqsvKechmDw7" TargetMode="External"/><Relationship Id="rId336" Type="http://schemas.openxmlformats.org/officeDocument/2006/relationships/hyperlink" Target="https://www.deepamhospital.com/" TargetMode="External"/><Relationship Id="rId75" Type="http://schemas.openxmlformats.org/officeDocument/2006/relationships/hyperlink" Target="https://goo.gl/maps/dXENdsQzZ51N6hwZA" TargetMode="External"/><Relationship Id="rId140" Type="http://schemas.openxmlformats.org/officeDocument/2006/relationships/hyperlink" Target="https://muthumeenakshihospitals.com/" TargetMode="External"/><Relationship Id="rId182" Type="http://schemas.openxmlformats.org/officeDocument/2006/relationships/hyperlink" Target="https://goo.gl/maps/4B6aU8XsosUArRWQ7" TargetMode="External"/><Relationship Id="rId378" Type="http://schemas.openxmlformats.org/officeDocument/2006/relationships/hyperlink" Target="https://g.page/orthohospital?share" TargetMode="External"/><Relationship Id="rId6" Type="http://schemas.openxmlformats.org/officeDocument/2006/relationships/hyperlink" Target="https://chennaiemergency.com/" TargetMode="External"/><Relationship Id="rId238" Type="http://schemas.openxmlformats.org/officeDocument/2006/relationships/hyperlink" Target="https://goo.gl/maps/iUauxRtzrstTSJd87" TargetMode="External"/><Relationship Id="rId291" Type="http://schemas.openxmlformats.org/officeDocument/2006/relationships/hyperlink" Target="https://goo.gl/maps/yBRa8oafdVf27pzy6" TargetMode="External"/><Relationship Id="rId305" Type="http://schemas.openxmlformats.org/officeDocument/2006/relationships/hyperlink" Target="https://chennai.apollohospitals.com/hospitals/karaikudi" TargetMode="External"/><Relationship Id="rId347" Type="http://schemas.openxmlformats.org/officeDocument/2006/relationships/hyperlink" Target="https://srivivekanandahospitals.business.site/" TargetMode="External"/><Relationship Id="rId44" Type="http://schemas.openxmlformats.org/officeDocument/2006/relationships/hyperlink" Target="https://drkmh.com/" TargetMode="External"/><Relationship Id="rId86" Type="http://schemas.openxmlformats.org/officeDocument/2006/relationships/hyperlink" Target="http://kongunad.com/" TargetMode="External"/><Relationship Id="rId151" Type="http://schemas.openxmlformats.org/officeDocument/2006/relationships/hyperlink" Target="https://www.kauveryhospital.com/" TargetMode="External"/><Relationship Id="rId193" Type="http://schemas.openxmlformats.org/officeDocument/2006/relationships/hyperlink" Target="https://goo.gl/maps/Wt99dY5ySGBJmHDVA" TargetMode="External"/><Relationship Id="rId207" Type="http://schemas.openxmlformats.org/officeDocument/2006/relationships/hyperlink" Target="http://saifertilitycenter.com/" TargetMode="External"/><Relationship Id="rId249" Type="http://schemas.openxmlformats.org/officeDocument/2006/relationships/hyperlink" Target="https://goo.gl/maps/U14q5BZZgnNC2Dzw8" TargetMode="External"/><Relationship Id="rId13" Type="http://schemas.openxmlformats.org/officeDocument/2006/relationships/hyperlink" Target="https://g.page/DeepamHospital?share" TargetMode="External"/><Relationship Id="rId109" Type="http://schemas.openxmlformats.org/officeDocument/2006/relationships/hyperlink" Target="https://goo.gl/maps/79eJUpYLUv1NcUFv6" TargetMode="External"/><Relationship Id="rId260" Type="http://schemas.openxmlformats.org/officeDocument/2006/relationships/hyperlink" Target="https://goo.gl/maps/GNqwSXzUZHrWoowD8" TargetMode="External"/><Relationship Id="rId316" Type="http://schemas.openxmlformats.org/officeDocument/2006/relationships/hyperlink" Target="https://goo.gl/maps/eacUjFtA67SZZmUP8" TargetMode="External"/><Relationship Id="rId55" Type="http://schemas.openxmlformats.org/officeDocument/2006/relationships/hyperlink" Target="https://goo.gl/maps/7FBXh4rHUB59VUhg8" TargetMode="External"/><Relationship Id="rId97" Type="http://schemas.openxmlformats.org/officeDocument/2006/relationships/hyperlink" Target="https://g.page/sriramakrishnahospital?share" TargetMode="External"/><Relationship Id="rId120" Type="http://schemas.openxmlformats.org/officeDocument/2006/relationships/hyperlink" Target="https://sumathihospital.com/" TargetMode="External"/><Relationship Id="rId358" Type="http://schemas.openxmlformats.org/officeDocument/2006/relationships/hyperlink" Target="https://goo.gl/maps/oRsaQtauX3P5ro1M9" TargetMode="External"/><Relationship Id="rId162" Type="http://schemas.openxmlformats.org/officeDocument/2006/relationships/hyperlink" Target="https://goo.gl/maps/XkZXvhaJ36YJXRjH7" TargetMode="External"/><Relationship Id="rId218" Type="http://schemas.openxmlformats.org/officeDocument/2006/relationships/hyperlink" Target="https://goo.gl/maps/p6sCGNwppGRM7r4x8" TargetMode="External"/><Relationship Id="rId271" Type="http://schemas.openxmlformats.org/officeDocument/2006/relationships/hyperlink" Target="https://g.page/arunpriya-nursing-home---laparos?share" TargetMode="External"/><Relationship Id="rId24" Type="http://schemas.openxmlformats.org/officeDocument/2006/relationships/hyperlink" Target="https://goo.gl/maps/CcXEekhW1GYKUo1S6" TargetMode="External"/><Relationship Id="rId66" Type="http://schemas.openxmlformats.org/officeDocument/2006/relationships/hyperlink" Target="http://www.mapims.org/" TargetMode="External"/><Relationship Id="rId131" Type="http://schemas.openxmlformats.org/officeDocument/2006/relationships/hyperlink" Target="https://goo.gl/maps/7NbvnAaSkdGxiZ4t7" TargetMode="External"/><Relationship Id="rId327" Type="http://schemas.openxmlformats.org/officeDocument/2006/relationships/hyperlink" Target="http://www.kalpanamedicalcentre.in/contact.php" TargetMode="External"/><Relationship Id="rId369" Type="http://schemas.openxmlformats.org/officeDocument/2006/relationships/hyperlink" Target="https://g.page/onehealthhospital-chennai?share" TargetMode="External"/><Relationship Id="rId173" Type="http://schemas.openxmlformats.org/officeDocument/2006/relationships/hyperlink" Target="https://goo.gl/maps/iQJJ66AsNS2NvSfi8" TargetMode="External"/><Relationship Id="rId229" Type="http://schemas.openxmlformats.org/officeDocument/2006/relationships/hyperlink" Target="https://goo.gl/maps/HKxRNRgR9R9SQN7PA" TargetMode="External"/><Relationship Id="rId380" Type="http://schemas.openxmlformats.org/officeDocument/2006/relationships/hyperlink" Target="https://goo.gl/maps/a7bYt14xT1cKK8oK9" TargetMode="External"/><Relationship Id="rId240" Type="http://schemas.openxmlformats.org/officeDocument/2006/relationships/hyperlink" Target="http://rathnahospital.com/contact-us/" TargetMode="External"/><Relationship Id="rId35" Type="http://schemas.openxmlformats.org/officeDocument/2006/relationships/hyperlink" Target="https://goo.gl/maps/UWZofAzqZzcM3Aou7" TargetMode="External"/><Relationship Id="rId77" Type="http://schemas.openxmlformats.org/officeDocument/2006/relationships/hyperlink" Target="https://g.page/GKNMH?share" TargetMode="External"/><Relationship Id="rId100" Type="http://schemas.openxmlformats.org/officeDocument/2006/relationships/hyperlink" Target="https://kmchhospitals.com/kmch-kovilpalayam-hospital/" TargetMode="External"/><Relationship Id="rId282" Type="http://schemas.openxmlformats.org/officeDocument/2006/relationships/hyperlink" Target="https://goo.gl/maps/D9YFPT51cWdCfhTG6" TargetMode="External"/><Relationship Id="rId338" Type="http://schemas.openxmlformats.org/officeDocument/2006/relationships/hyperlink" Target="https://goo.gl/maps/dJLdKtyVuo1JFvCk6" TargetMode="External"/><Relationship Id="rId8" Type="http://schemas.openxmlformats.org/officeDocument/2006/relationships/hyperlink" Target="https://www.relainstitute.com/" TargetMode="External"/><Relationship Id="rId142" Type="http://schemas.openxmlformats.org/officeDocument/2006/relationships/hyperlink" Target="http://aasihospital.in/about.html" TargetMode="External"/><Relationship Id="rId184" Type="http://schemas.openxmlformats.org/officeDocument/2006/relationships/hyperlink" Target="http://www.neuroone.in/" TargetMode="External"/><Relationship Id="rId251" Type="http://schemas.openxmlformats.org/officeDocument/2006/relationships/hyperlink" Target="https://goo.gl/maps/J9XRJwnFvvrAnrw46" TargetMode="External"/><Relationship Id="rId46" Type="http://schemas.openxmlformats.org/officeDocument/2006/relationships/hyperlink" Target="http://girishwarihospital.com/" TargetMode="External"/><Relationship Id="rId293" Type="http://schemas.openxmlformats.org/officeDocument/2006/relationships/hyperlink" Target="https://goo.gl/maps/zj5gtJ8V8zmZKvuL7" TargetMode="External"/><Relationship Id="rId307" Type="http://schemas.openxmlformats.org/officeDocument/2006/relationships/hyperlink" Target="https://goo.gl/maps/hbCBHxdFU7joPfR37" TargetMode="External"/><Relationship Id="rId349" Type="http://schemas.openxmlformats.org/officeDocument/2006/relationships/hyperlink" Target="http://www.daisyhospitals.com/" TargetMode="External"/><Relationship Id="rId88" Type="http://schemas.openxmlformats.org/officeDocument/2006/relationships/hyperlink" Target="https://kmchihsr.edu.in/" TargetMode="External"/><Relationship Id="rId111" Type="http://schemas.openxmlformats.org/officeDocument/2006/relationships/hyperlink" Target="https://goo.gl/maps/mdDieAzR5yUQigvH6" TargetMode="External"/><Relationship Id="rId153" Type="http://schemas.openxmlformats.org/officeDocument/2006/relationships/hyperlink" Target="https://www.kurinjihospital.in/" TargetMode="External"/><Relationship Id="rId195" Type="http://schemas.openxmlformats.org/officeDocument/2006/relationships/hyperlink" Target="https://goo.gl/maps/mRNMyXZiYMX4bVEN7" TargetMode="External"/><Relationship Id="rId209" Type="http://schemas.openxmlformats.org/officeDocument/2006/relationships/hyperlink" Target="https://g.page/rajrajeswarihospitaldindigul?share" TargetMode="External"/><Relationship Id="rId360" Type="http://schemas.openxmlformats.org/officeDocument/2006/relationships/hyperlink" Target="https://goo.gl/maps/Y23kkVyvSXNHLwQK6" TargetMode="External"/><Relationship Id="rId220" Type="http://schemas.openxmlformats.org/officeDocument/2006/relationships/hyperlink" Target="https://g.page/kjs-hospital-corona-care?share" TargetMode="External"/><Relationship Id="rId15" Type="http://schemas.openxmlformats.org/officeDocument/2006/relationships/hyperlink" Target="https://goo.gl/maps/RjStFDzYzuzVrKaG7" TargetMode="External"/><Relationship Id="rId57" Type="http://schemas.openxmlformats.org/officeDocument/2006/relationships/hyperlink" Target="https://goo.gl/maps/YFCFG8SigTe3vrDn7" TargetMode="External"/><Relationship Id="rId262" Type="http://schemas.openxmlformats.org/officeDocument/2006/relationships/hyperlink" Target="https://goo.gl/maps/Hyz5DB8SMBrJjAJGA" TargetMode="External"/><Relationship Id="rId318" Type="http://schemas.openxmlformats.org/officeDocument/2006/relationships/hyperlink" Target="http://vinodhaganhospital.com/" TargetMode="External"/><Relationship Id="rId99" Type="http://schemas.openxmlformats.org/officeDocument/2006/relationships/hyperlink" Target="https://goo.gl/maps/9WJJGMsTajtsf5HGA" TargetMode="External"/><Relationship Id="rId122" Type="http://schemas.openxmlformats.org/officeDocument/2006/relationships/hyperlink" Target="https://g.page/VelammalHospital?share" TargetMode="External"/><Relationship Id="rId164" Type="http://schemas.openxmlformats.org/officeDocument/2006/relationships/hyperlink" Target="https://www.kauveryhospital.com/" TargetMode="External"/><Relationship Id="rId371" Type="http://schemas.openxmlformats.org/officeDocument/2006/relationships/hyperlink" Target="https://goo.gl/maps/zy55PqM8uBGLjcUh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Z397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.83203125" customWidth="1"/>
    <col min="2" max="2" width="12.5" customWidth="1"/>
    <col min="3" max="3" width="29.1640625" customWidth="1"/>
    <col min="5" max="5" width="18.6640625" customWidth="1"/>
    <col min="7" max="7" width="20.33203125" customWidth="1"/>
    <col min="8" max="8" width="27.5" customWidth="1"/>
    <col min="10" max="10" width="19" customWidth="1"/>
    <col min="11" max="11" width="17" customWidth="1"/>
    <col min="12" max="12" width="17.6640625" bestFit="1" customWidth="1"/>
    <col min="13" max="14" width="27.5" bestFit="1" customWidth="1"/>
    <col min="15" max="15" width="32.33203125" customWidth="1"/>
    <col min="16" max="16" width="36.33203125" bestFit="1" customWidth="1"/>
    <col min="22" max="22" width="13.5" customWidth="1"/>
    <col min="24" max="24" width="12" customWidth="1"/>
    <col min="25" max="25" width="73.83203125" customWidth="1"/>
    <col min="26" max="26" width="19.33203125" customWidth="1"/>
  </cols>
  <sheetData>
    <row r="1" spans="1:26" ht="15.75" customHeight="1" x14ac:dyDescent="0.15">
      <c r="A1" s="2" t="s">
        <v>36</v>
      </c>
      <c r="B1" s="3" t="s">
        <v>0</v>
      </c>
      <c r="C1" s="3" t="s">
        <v>37</v>
      </c>
      <c r="D1" s="4" t="s">
        <v>38</v>
      </c>
      <c r="E1" s="5" t="s">
        <v>39</v>
      </c>
      <c r="F1" s="3" t="s">
        <v>40</v>
      </c>
      <c r="G1" s="32" t="s">
        <v>1225</v>
      </c>
      <c r="H1" s="32" t="s">
        <v>1226</v>
      </c>
      <c r="I1" s="32" t="s">
        <v>1223</v>
      </c>
      <c r="J1" s="32" t="s">
        <v>1227</v>
      </c>
      <c r="K1" s="32" t="s">
        <v>1224</v>
      </c>
      <c r="L1" s="32" t="s">
        <v>1228</v>
      </c>
      <c r="M1" s="32" t="s">
        <v>1229</v>
      </c>
      <c r="N1" s="32" t="s">
        <v>1230</v>
      </c>
      <c r="O1" s="32" t="s">
        <v>1231</v>
      </c>
      <c r="P1" s="32" t="s">
        <v>1232</v>
      </c>
      <c r="Q1" s="32" t="s">
        <v>1233</v>
      </c>
      <c r="R1" s="32" t="s">
        <v>1234</v>
      </c>
      <c r="S1" s="32" t="s">
        <v>1235</v>
      </c>
      <c r="T1" s="32" t="s">
        <v>1236</v>
      </c>
      <c r="U1" s="32" t="s">
        <v>1237</v>
      </c>
      <c r="V1" s="6" t="s">
        <v>46</v>
      </c>
      <c r="W1" s="7" t="s">
        <v>47</v>
      </c>
      <c r="X1" s="7" t="s">
        <v>48</v>
      </c>
      <c r="Y1" s="8" t="s">
        <v>49</v>
      </c>
      <c r="Z1" s="4" t="s">
        <v>50</v>
      </c>
    </row>
    <row r="2" spans="1:26" ht="15.75" customHeight="1" x14ac:dyDescent="0.15">
      <c r="A2" s="3">
        <v>1</v>
      </c>
      <c r="B2" s="3" t="s">
        <v>1</v>
      </c>
      <c r="C2" s="3" t="s">
        <v>51</v>
      </c>
      <c r="D2" s="10">
        <f t="shared" ref="D2:D397" ca="1" si="0">(U2+L2+O2+R2)/(S2+J2+P2+M2)</f>
        <v>0.54</v>
      </c>
      <c r="E2" s="5">
        <f ca="1">VLOOKUP($B2&amp;$C2,data!$A:$U,20,FALSE)</f>
        <v>44305.412835648101</v>
      </c>
      <c r="F2" s="3" t="str">
        <f ca="1">VLOOKUP($B2&amp;$C2,data!$A:$U,21,FALSE)</f>
        <v>Report on 18.04.2021</v>
      </c>
      <c r="G2" s="3">
        <f ca="1">VLOOKUP($B2&amp;$C2,data!$A:$U,17,FALSE)</f>
        <v>2</v>
      </c>
      <c r="H2" s="3">
        <f ca="1">VLOOKUP($B2&amp;$C2,data!$A:$U,18,FALSE)</f>
        <v>0</v>
      </c>
      <c r="I2" s="3">
        <f ca="1">VLOOKUP($B2&amp;$C2,data!$A:$U,19,FALSE)</f>
        <v>2</v>
      </c>
      <c r="J2" s="3">
        <f ca="1">VLOOKUP($B2&amp;$C2,data!$A:$U,14,FALSE)</f>
        <v>5</v>
      </c>
      <c r="K2" s="3">
        <f ca="1">VLOOKUP($B2&amp;$C2,data!$A:$U,15,FALSE)</f>
        <v>0</v>
      </c>
      <c r="L2" s="3">
        <f ca="1">VLOOKUP($B2&amp;$C2,data!$A:$U,16,FALSE)</f>
        <v>5</v>
      </c>
      <c r="M2" s="3">
        <f ca="1">VLOOKUP($B2&amp;$C2,data!$A:$U,8,FALSE)</f>
        <v>12</v>
      </c>
      <c r="N2" s="3">
        <f ca="1">VLOOKUP($B2&amp;$C2,data!$A:$U,9,FALSE)</f>
        <v>5</v>
      </c>
      <c r="O2" s="3">
        <f ca="1">VLOOKUP($B2&amp;$C2,data!$A:$U,10,FALSE)</f>
        <v>7</v>
      </c>
      <c r="P2" s="3">
        <f ca="1">VLOOKUP($B2&amp;$C2,data!$A:$U,11,FALSE)</f>
        <v>8</v>
      </c>
      <c r="Q2" s="3">
        <f ca="1">VLOOKUP($B2&amp;$C2,data!$A:$U,12,FALSE)</f>
        <v>5</v>
      </c>
      <c r="R2" s="3">
        <f ca="1">VLOOKUP($B2&amp;$C2,data!$A:$U,13,FALSE)</f>
        <v>2</v>
      </c>
      <c r="S2" s="3">
        <f ca="1">VLOOKUP($B2&amp;$C2,data!$A:$U,5,FALSE)</f>
        <v>25</v>
      </c>
      <c r="T2" s="3">
        <f ca="1">VLOOKUP($B2&amp;$C2,data!$A:$U,6,FALSE)</f>
        <v>12</v>
      </c>
      <c r="U2" s="3">
        <f ca="1">VLOOKUP($B2&amp;$C2,data!$A:$U,7,FALSE)</f>
        <v>13</v>
      </c>
      <c r="V2" s="11">
        <v>8925422425</v>
      </c>
      <c r="W2" s="12" t="s">
        <v>52</v>
      </c>
      <c r="X2" s="12" t="s">
        <v>53</v>
      </c>
      <c r="Y2" s="3" t="s">
        <v>54</v>
      </c>
      <c r="Z2" s="13">
        <f t="shared" ref="Z2:Z395" ca="1" si="1">NOW()-E2</f>
        <v>0.67407280097540934</v>
      </c>
    </row>
    <row r="3" spans="1:26" ht="15.75" customHeight="1" x14ac:dyDescent="0.15">
      <c r="A3" s="3">
        <v>2</v>
      </c>
      <c r="B3" s="3" t="s">
        <v>1</v>
      </c>
      <c r="C3" s="3" t="s">
        <v>55</v>
      </c>
      <c r="D3" s="10">
        <f t="shared" ca="1" si="0"/>
        <v>0.66101694915254239</v>
      </c>
      <c r="E3" s="5">
        <f ca="1">VLOOKUP($B3&amp;$C3,data!$A:$U,20,FALSE)</f>
        <v>44305.3984837963</v>
      </c>
      <c r="F3" s="3" t="str">
        <f ca="1">VLOOKUP($B3&amp;$C3,data!$A:$U,21,FALSE)</f>
        <v>Report on 19.04.2021</v>
      </c>
      <c r="G3" s="3">
        <f ca="1">VLOOKUP($B3&amp;$C3,data!$A:$U,17,FALSE)</f>
        <v>5</v>
      </c>
      <c r="H3" s="3">
        <f ca="1">VLOOKUP($B3&amp;$C3,data!$A:$U,18,FALSE)</f>
        <v>0</v>
      </c>
      <c r="I3" s="3">
        <f ca="1">VLOOKUP($B3&amp;$C3,data!$A:$U,19,FALSE)</f>
        <v>5</v>
      </c>
      <c r="J3" s="3">
        <f ca="1">VLOOKUP($B3&amp;$C3,data!$A:$U,14,FALSE)</f>
        <v>5</v>
      </c>
      <c r="K3" s="3">
        <f ca="1">VLOOKUP($B3&amp;$C3,data!$A:$U,15,FALSE)</f>
        <v>0</v>
      </c>
      <c r="L3" s="3">
        <f ca="1">VLOOKUP($B3&amp;$C3,data!$A:$U,16,FALSE)</f>
        <v>5</v>
      </c>
      <c r="M3" s="3">
        <f ca="1">VLOOKUP($B3&amp;$C3,data!$A:$U,8,FALSE)</f>
        <v>23</v>
      </c>
      <c r="N3" s="3">
        <f ca="1">VLOOKUP($B3&amp;$C3,data!$A:$U,9,FALSE)</f>
        <v>10</v>
      </c>
      <c r="O3" s="3">
        <f ca="1">VLOOKUP($B3&amp;$C3,data!$A:$U,10,FALSE)</f>
        <v>13</v>
      </c>
      <c r="P3" s="3">
        <f ca="1">VLOOKUP($B3&amp;$C3,data!$A:$U,11,FALSE)</f>
        <v>0</v>
      </c>
      <c r="Q3" s="3">
        <f ca="1">VLOOKUP($B3&amp;$C3,data!$A:$U,12,FALSE)</f>
        <v>0</v>
      </c>
      <c r="R3" s="3">
        <f ca="1">VLOOKUP($B3&amp;$C3,data!$A:$U,13,FALSE)</f>
        <v>0</v>
      </c>
      <c r="S3" s="3">
        <f ca="1">VLOOKUP($B3&amp;$C3,data!$A:$U,5,FALSE)</f>
        <v>31</v>
      </c>
      <c r="T3" s="3">
        <f ca="1">VLOOKUP($B3&amp;$C3,data!$A:$U,6,FALSE)</f>
        <v>10</v>
      </c>
      <c r="U3" s="3">
        <f ca="1">VLOOKUP($B3&amp;$C3,data!$A:$U,7,FALSE)</f>
        <v>21</v>
      </c>
      <c r="V3" s="11">
        <v>9487576493</v>
      </c>
      <c r="W3" s="12" t="s">
        <v>56</v>
      </c>
      <c r="X3" s="14" t="s">
        <v>57</v>
      </c>
      <c r="Y3" s="3" t="s">
        <v>58</v>
      </c>
      <c r="Z3" s="13">
        <f t="shared" ca="1" si="1"/>
        <v>0.68842465277703013</v>
      </c>
    </row>
    <row r="4" spans="1:26" ht="15.75" customHeight="1" x14ac:dyDescent="0.15">
      <c r="A4" s="3">
        <v>3</v>
      </c>
      <c r="B4" s="3" t="s">
        <v>2</v>
      </c>
      <c r="C4" s="3" t="s">
        <v>59</v>
      </c>
      <c r="D4" s="10">
        <f t="shared" ca="1" si="0"/>
        <v>0</v>
      </c>
      <c r="E4" s="5">
        <f ca="1">VLOOKUP($B4&amp;$C4,data!$A:$U,20,FALSE)</f>
        <v>44305.387638888802</v>
      </c>
      <c r="F4" s="3" t="str">
        <f ca="1">VLOOKUP($B4&amp;$C4,data!$A:$U,21,FALSE)</f>
        <v>19.04.2021</v>
      </c>
      <c r="G4" s="3">
        <f ca="1">VLOOKUP($B4&amp;$C4,data!$A:$U,17,FALSE)</f>
        <v>2</v>
      </c>
      <c r="H4" s="3">
        <f ca="1">VLOOKUP($B4&amp;$C4,data!$A:$U,18,FALSE)</f>
        <v>1</v>
      </c>
      <c r="I4" s="3">
        <f ca="1">VLOOKUP($B4&amp;$C4,data!$A:$U,19,FALSE)</f>
        <v>1</v>
      </c>
      <c r="J4" s="3">
        <f ca="1">VLOOKUP($B4&amp;$C4,data!$A:$U,14,FALSE)</f>
        <v>2</v>
      </c>
      <c r="K4" s="3">
        <f ca="1">VLOOKUP($B4&amp;$C4,data!$A:$U,15,FALSE)</f>
        <v>2</v>
      </c>
      <c r="L4" s="3">
        <f ca="1">VLOOKUP($B4&amp;$C4,data!$A:$U,16,FALSE)</f>
        <v>0</v>
      </c>
      <c r="M4" s="3">
        <f ca="1">VLOOKUP($B4&amp;$C4,data!$A:$U,8,FALSE)</f>
        <v>38</v>
      </c>
      <c r="N4" s="3">
        <f ca="1">VLOOKUP($B4&amp;$C4,data!$A:$U,9,FALSE)</f>
        <v>34</v>
      </c>
      <c r="O4" s="3">
        <f ca="1">VLOOKUP($B4&amp;$C4,data!$A:$U,10,FALSE)</f>
        <v>0</v>
      </c>
      <c r="P4" s="3">
        <f ca="1">VLOOKUP($B4&amp;$C4,data!$A:$U,11,FALSE)</f>
        <v>0</v>
      </c>
      <c r="Q4" s="3">
        <f ca="1">VLOOKUP($B4&amp;$C4,data!$A:$U,12,FALSE)</f>
        <v>0</v>
      </c>
      <c r="R4" s="3">
        <f ca="1">VLOOKUP($B4&amp;$C4,data!$A:$U,13,FALSE)</f>
        <v>0</v>
      </c>
      <c r="S4" s="3">
        <f ca="1">VLOOKUP($B4&amp;$C4,data!$A:$U,5,FALSE)</f>
        <v>40</v>
      </c>
      <c r="T4" s="3">
        <f ca="1">VLOOKUP($B4&amp;$C4,data!$A:$U,6,FALSE)</f>
        <v>36</v>
      </c>
      <c r="U4" s="3">
        <f ca="1">VLOOKUP($B4&amp;$C4,data!$A:$U,7,FALSE)</f>
        <v>0</v>
      </c>
      <c r="V4" s="11">
        <v>8939599999</v>
      </c>
      <c r="W4" s="12" t="s">
        <v>60</v>
      </c>
      <c r="X4" s="14" t="s">
        <v>57</v>
      </c>
      <c r="Y4" s="3" t="s">
        <v>61</v>
      </c>
      <c r="Z4" s="13">
        <f t="shared" ca="1" si="1"/>
        <v>0.69926956027484266</v>
      </c>
    </row>
    <row r="5" spans="1:26" ht="15.75" customHeight="1" x14ac:dyDescent="0.15">
      <c r="A5" s="3">
        <v>4</v>
      </c>
      <c r="B5" s="3" t="s">
        <v>2</v>
      </c>
      <c r="C5" s="3" t="s">
        <v>62</v>
      </c>
      <c r="D5" s="10">
        <f t="shared" ca="1" si="0"/>
        <v>4.3478260869565216E-2</v>
      </c>
      <c r="E5" s="5">
        <f ca="1">VLOOKUP($B5&amp;$C5,data!$A:$U,20,FALSE)</f>
        <v>44305.320104166603</v>
      </c>
      <c r="F5" s="3" t="str">
        <f ca="1">VLOOKUP($B5&amp;$C5,data!$A:$U,21,FALSE)</f>
        <v>19.04.2021</v>
      </c>
      <c r="G5" s="3">
        <f ca="1">VLOOKUP($B5&amp;$C5,data!$A:$U,17,FALSE)</f>
        <v>0</v>
      </c>
      <c r="H5" s="3">
        <f ca="1">VLOOKUP($B5&amp;$C5,data!$A:$U,18,FALSE)</f>
        <v>0</v>
      </c>
      <c r="I5" s="3">
        <f ca="1">VLOOKUP($B5&amp;$C5,data!$A:$U,19,FALSE)</f>
        <v>0</v>
      </c>
      <c r="J5" s="3">
        <f ca="1">VLOOKUP($B5&amp;$C5,data!$A:$U,14,FALSE)</f>
        <v>0</v>
      </c>
      <c r="K5" s="3">
        <f ca="1">VLOOKUP($B5&amp;$C5,data!$A:$U,15,FALSE)</f>
        <v>0</v>
      </c>
      <c r="L5" s="3">
        <f ca="1">VLOOKUP($B5&amp;$C5,data!$A:$U,16,FALSE)</f>
        <v>0</v>
      </c>
      <c r="M5" s="3">
        <f ca="1">VLOOKUP($B5&amp;$C5,data!$A:$U,8,FALSE)</f>
        <v>9</v>
      </c>
      <c r="N5" s="3">
        <f ca="1">VLOOKUP($B5&amp;$C5,data!$A:$U,9,FALSE)</f>
        <v>9</v>
      </c>
      <c r="O5" s="3">
        <f ca="1">VLOOKUP($B5&amp;$C5,data!$A:$U,10,FALSE)</f>
        <v>0</v>
      </c>
      <c r="P5" s="3">
        <f ca="1">VLOOKUP($B5&amp;$C5,data!$A:$U,11,FALSE)</f>
        <v>2</v>
      </c>
      <c r="Q5" s="3">
        <f ca="1">VLOOKUP($B5&amp;$C5,data!$A:$U,12,FALSE)</f>
        <v>2</v>
      </c>
      <c r="R5" s="3">
        <f ca="1">VLOOKUP($B5&amp;$C5,data!$A:$U,13,FALSE)</f>
        <v>0</v>
      </c>
      <c r="S5" s="3">
        <f ca="1">VLOOKUP($B5&amp;$C5,data!$A:$U,5,FALSE)</f>
        <v>12</v>
      </c>
      <c r="T5" s="3">
        <f ca="1">VLOOKUP($B5&amp;$C5,data!$A:$U,6,FALSE)</f>
        <v>11</v>
      </c>
      <c r="U5" s="3">
        <f ca="1">VLOOKUP($B5&amp;$C5,data!$A:$U,7,FALSE)</f>
        <v>1</v>
      </c>
      <c r="V5" s="11" t="s">
        <v>63</v>
      </c>
      <c r="W5" s="12" t="s">
        <v>64</v>
      </c>
      <c r="X5" s="12" t="s">
        <v>65</v>
      </c>
      <c r="Y5" s="3" t="s">
        <v>66</v>
      </c>
      <c r="Z5" s="13">
        <f t="shared" ca="1" si="1"/>
        <v>0.76680428247345844</v>
      </c>
    </row>
    <row r="6" spans="1:26" ht="15.75" customHeight="1" x14ac:dyDescent="0.15">
      <c r="A6" s="3">
        <v>5</v>
      </c>
      <c r="B6" s="3" t="s">
        <v>2</v>
      </c>
      <c r="C6" s="3" t="s">
        <v>67</v>
      </c>
      <c r="D6" s="10">
        <f t="shared" ca="1" si="0"/>
        <v>0</v>
      </c>
      <c r="E6" s="5">
        <f ca="1">VLOOKUP($B6&amp;$C6,data!$A:$U,20,FALSE)</f>
        <v>44304.659328703703</v>
      </c>
      <c r="F6" s="3" t="str">
        <f ca="1">VLOOKUP($B6&amp;$C6,data!$A:$U,21,FALSE)</f>
        <v>18-4-21</v>
      </c>
      <c r="G6" s="3">
        <f ca="1">VLOOKUP($B6&amp;$C6,data!$A:$U,17,FALSE)</f>
        <v>6</v>
      </c>
      <c r="H6" s="3">
        <f ca="1">VLOOKUP($B6&amp;$C6,data!$A:$U,18,FALSE)</f>
        <v>6</v>
      </c>
      <c r="I6" s="3">
        <f ca="1">VLOOKUP($B6&amp;$C6,data!$A:$U,19,FALSE)</f>
        <v>0</v>
      </c>
      <c r="J6" s="3">
        <f ca="1">VLOOKUP($B6&amp;$C6,data!$A:$U,14,FALSE)</f>
        <v>20</v>
      </c>
      <c r="K6" s="3">
        <f ca="1">VLOOKUP($B6&amp;$C6,data!$A:$U,15,FALSE)</f>
        <v>20</v>
      </c>
      <c r="L6" s="3">
        <f ca="1">VLOOKUP($B6&amp;$C6,data!$A:$U,16,FALSE)</f>
        <v>0</v>
      </c>
      <c r="M6" s="3">
        <f ca="1">VLOOKUP($B6&amp;$C6,data!$A:$U,8,FALSE)</f>
        <v>114</v>
      </c>
      <c r="N6" s="3">
        <f ca="1">VLOOKUP($B6&amp;$C6,data!$A:$U,9,FALSE)</f>
        <v>114</v>
      </c>
      <c r="O6" s="3">
        <f ca="1">VLOOKUP($B6&amp;$C6,data!$A:$U,10,FALSE)</f>
        <v>0</v>
      </c>
      <c r="P6" s="3">
        <f ca="1">VLOOKUP($B6&amp;$C6,data!$A:$U,11,FALSE)</f>
        <v>0</v>
      </c>
      <c r="Q6" s="3">
        <f ca="1">VLOOKUP($B6&amp;$C6,data!$A:$U,12,FALSE)</f>
        <v>0</v>
      </c>
      <c r="R6" s="3">
        <f ca="1">VLOOKUP($B6&amp;$C6,data!$A:$U,13,FALSE)</f>
        <v>0</v>
      </c>
      <c r="S6" s="3">
        <f ca="1">VLOOKUP($B6&amp;$C6,data!$A:$U,5,FALSE)</f>
        <v>134</v>
      </c>
      <c r="T6" s="3">
        <f ca="1">VLOOKUP($B6&amp;$C6,data!$A:$U,6,FALSE)</f>
        <v>134</v>
      </c>
      <c r="U6" s="3">
        <f ca="1">VLOOKUP($B6&amp;$C6,data!$A:$U,7,FALSE)</f>
        <v>0</v>
      </c>
      <c r="V6" s="11">
        <v>9384681770</v>
      </c>
      <c r="W6" s="12" t="s">
        <v>68</v>
      </c>
      <c r="X6" s="12" t="s">
        <v>69</v>
      </c>
      <c r="Y6" s="3" t="s">
        <v>70</v>
      </c>
      <c r="Z6" s="13">
        <f t="shared" ca="1" si="1"/>
        <v>1.4275797453738051</v>
      </c>
    </row>
    <row r="7" spans="1:26" ht="15.75" customHeight="1" x14ac:dyDescent="0.15">
      <c r="A7" s="3">
        <v>6</v>
      </c>
      <c r="B7" s="3" t="s">
        <v>2</v>
      </c>
      <c r="C7" s="3" t="s">
        <v>71</v>
      </c>
      <c r="D7" s="10">
        <f t="shared" ca="1" si="0"/>
        <v>0.05</v>
      </c>
      <c r="E7" s="5">
        <f ca="1">VLOOKUP($B7&amp;$C7,data!$A:$U,20,FALSE)</f>
        <v>44301.278518518498</v>
      </c>
      <c r="F7" s="3" t="str">
        <f ca="1">VLOOKUP($B7&amp;$C7,data!$A:$U,21,FALSE)</f>
        <v>15.04.21</v>
      </c>
      <c r="G7" s="3">
        <f ca="1">VLOOKUP($B7&amp;$C7,data!$A:$U,17,FALSE)</f>
        <v>2</v>
      </c>
      <c r="H7" s="3">
        <f ca="1">VLOOKUP($B7&amp;$C7,data!$A:$U,18,FALSE)</f>
        <v>2</v>
      </c>
      <c r="I7" s="3">
        <f ca="1">VLOOKUP($B7&amp;$C7,data!$A:$U,19,FALSE)</f>
        <v>0</v>
      </c>
      <c r="J7" s="3">
        <f ca="1">VLOOKUP($B7&amp;$C7,data!$A:$U,14,FALSE)</f>
        <v>10</v>
      </c>
      <c r="K7" s="3">
        <f ca="1">VLOOKUP($B7&amp;$C7,data!$A:$U,15,FALSE)</f>
        <v>10</v>
      </c>
      <c r="L7" s="3">
        <f ca="1">VLOOKUP($B7&amp;$C7,data!$A:$U,16,FALSE)</f>
        <v>0</v>
      </c>
      <c r="M7" s="3">
        <f ca="1">VLOOKUP($B7&amp;$C7,data!$A:$U,8,FALSE)</f>
        <v>30</v>
      </c>
      <c r="N7" s="3">
        <f ca="1">VLOOKUP($B7&amp;$C7,data!$A:$U,9,FALSE)</f>
        <v>27</v>
      </c>
      <c r="O7" s="3">
        <f ca="1">VLOOKUP($B7&amp;$C7,data!$A:$U,10,FALSE)</f>
        <v>3</v>
      </c>
      <c r="P7" s="3">
        <f ca="1">VLOOKUP($B7&amp;$C7,data!$A:$U,11,FALSE)</f>
        <v>0</v>
      </c>
      <c r="Q7" s="3">
        <f ca="1">VLOOKUP($B7&amp;$C7,data!$A:$U,12,FALSE)</f>
        <v>0</v>
      </c>
      <c r="R7" s="3">
        <f ca="1">VLOOKUP($B7&amp;$C7,data!$A:$U,13,FALSE)</f>
        <v>0</v>
      </c>
      <c r="S7" s="3">
        <f ca="1">VLOOKUP($B7&amp;$C7,data!$A:$U,5,FALSE)</f>
        <v>20</v>
      </c>
      <c r="T7" s="3">
        <f ca="1">VLOOKUP($B7&amp;$C7,data!$A:$U,6,FALSE)</f>
        <v>10</v>
      </c>
      <c r="U7" s="3">
        <f ca="1">VLOOKUP($B7&amp;$C7,data!$A:$U,7,FALSE)</f>
        <v>0</v>
      </c>
      <c r="V7" s="11">
        <v>7358398203</v>
      </c>
      <c r="W7" s="12" t="s">
        <v>72</v>
      </c>
      <c r="X7" s="12" t="s">
        <v>73</v>
      </c>
      <c r="Y7" s="3" t="s">
        <v>74</v>
      </c>
      <c r="Z7" s="13">
        <f t="shared" ca="1" si="1"/>
        <v>4.8083899305784144</v>
      </c>
    </row>
    <row r="8" spans="1:26" ht="15.75" customHeight="1" x14ac:dyDescent="0.15">
      <c r="A8" s="3">
        <v>7</v>
      </c>
      <c r="B8" s="3" t="s">
        <v>2</v>
      </c>
      <c r="C8" s="3" t="s">
        <v>75</v>
      </c>
      <c r="D8" s="10">
        <f t="shared" ca="1" si="0"/>
        <v>0</v>
      </c>
      <c r="E8" s="5">
        <f ca="1">VLOOKUP($B8&amp;$C8,data!$A:$U,20,FALSE)</f>
        <v>44305.301249999997</v>
      </c>
      <c r="F8" s="3" t="str">
        <f ca="1">VLOOKUP($B8&amp;$C8,data!$A:$U,21,FALSE)</f>
        <v>19 . 04.2021</v>
      </c>
      <c r="G8" s="3">
        <f ca="1">VLOOKUP($B8&amp;$C8,data!$A:$U,17,FALSE)</f>
        <v>2</v>
      </c>
      <c r="H8" s="3">
        <f ca="1">VLOOKUP($B8&amp;$C8,data!$A:$U,18,FALSE)</f>
        <v>2</v>
      </c>
      <c r="I8" s="3">
        <f ca="1">VLOOKUP($B8&amp;$C8,data!$A:$U,19,FALSE)</f>
        <v>0</v>
      </c>
      <c r="J8" s="3">
        <f ca="1">VLOOKUP($B8&amp;$C8,data!$A:$U,14,FALSE)</f>
        <v>2</v>
      </c>
      <c r="K8" s="3">
        <f ca="1">VLOOKUP($B8&amp;$C8,data!$A:$U,15,FALSE)</f>
        <v>2</v>
      </c>
      <c r="L8" s="3">
        <f ca="1">VLOOKUP($B8&amp;$C8,data!$A:$U,16,FALSE)</f>
        <v>0</v>
      </c>
      <c r="M8" s="3">
        <f ca="1">VLOOKUP($B8&amp;$C8,data!$A:$U,8,FALSE)</f>
        <v>28</v>
      </c>
      <c r="N8" s="3">
        <f ca="1">VLOOKUP($B8&amp;$C8,data!$A:$U,9,FALSE)</f>
        <v>28</v>
      </c>
      <c r="O8" s="3">
        <f ca="1">VLOOKUP($B8&amp;$C8,data!$A:$U,10,FALSE)</f>
        <v>0</v>
      </c>
      <c r="P8" s="3">
        <f ca="1">VLOOKUP($B8&amp;$C8,data!$A:$U,11,FALSE)</f>
        <v>0</v>
      </c>
      <c r="Q8" s="3">
        <f ca="1">VLOOKUP($B8&amp;$C8,data!$A:$U,12,FALSE)</f>
        <v>0</v>
      </c>
      <c r="R8" s="3">
        <f ca="1">VLOOKUP($B8&amp;$C8,data!$A:$U,13,FALSE)</f>
        <v>0</v>
      </c>
      <c r="S8" s="3">
        <f ca="1">VLOOKUP($B8&amp;$C8,data!$A:$U,5,FALSE)</f>
        <v>30</v>
      </c>
      <c r="T8" s="3">
        <f ca="1">VLOOKUP($B8&amp;$C8,data!$A:$U,6,FALSE)</f>
        <v>30</v>
      </c>
      <c r="U8" s="3">
        <f ca="1">VLOOKUP($B8&amp;$C8,data!$A:$U,7,FALSE)</f>
        <v>0</v>
      </c>
      <c r="V8" s="11" t="s">
        <v>76</v>
      </c>
      <c r="W8" s="12" t="s">
        <v>77</v>
      </c>
      <c r="X8" s="15" t="s">
        <v>78</v>
      </c>
      <c r="Y8" s="3" t="s">
        <v>79</v>
      </c>
      <c r="Z8" s="13">
        <f t="shared" ca="1" si="1"/>
        <v>0.78565844908007421</v>
      </c>
    </row>
    <row r="9" spans="1:26" ht="15.75" customHeight="1" x14ac:dyDescent="0.15">
      <c r="A9" s="3">
        <v>8</v>
      </c>
      <c r="B9" s="3" t="s">
        <v>2</v>
      </c>
      <c r="C9" s="3" t="s">
        <v>80</v>
      </c>
      <c r="D9" s="10">
        <f t="shared" ca="1" si="0"/>
        <v>0</v>
      </c>
      <c r="E9" s="5">
        <f ca="1">VLOOKUP($B9&amp;$C9,data!$A:$U,20,FALSE)</f>
        <v>44305.029537037</v>
      </c>
      <c r="F9" s="3" t="str">
        <f ca="1">VLOOKUP($B9&amp;$C9,data!$A:$U,21,FALSE)</f>
        <v>19/04/2021</v>
      </c>
      <c r="G9" s="3">
        <f ca="1">VLOOKUP($B9&amp;$C9,data!$A:$U,17,FALSE)</f>
        <v>0</v>
      </c>
      <c r="H9" s="3">
        <f ca="1">VLOOKUP($B9&amp;$C9,data!$A:$U,18,FALSE)</f>
        <v>0</v>
      </c>
      <c r="I9" s="3">
        <f ca="1">VLOOKUP($B9&amp;$C9,data!$A:$U,19,FALSE)</f>
        <v>0</v>
      </c>
      <c r="J9" s="3">
        <f ca="1">VLOOKUP($B9&amp;$C9,data!$A:$U,14,FALSE)</f>
        <v>0</v>
      </c>
      <c r="K9" s="3">
        <f ca="1">VLOOKUP($B9&amp;$C9,data!$A:$U,15,FALSE)</f>
        <v>0</v>
      </c>
      <c r="L9" s="3">
        <f ca="1">VLOOKUP($B9&amp;$C9,data!$A:$U,16,FALSE)</f>
        <v>0</v>
      </c>
      <c r="M9" s="3">
        <f ca="1">VLOOKUP($B9&amp;$C9,data!$A:$U,8,FALSE)</f>
        <v>5</v>
      </c>
      <c r="N9" s="3">
        <f ca="1">VLOOKUP($B9&amp;$C9,data!$A:$U,9,FALSE)</f>
        <v>5</v>
      </c>
      <c r="O9" s="3">
        <f ca="1">VLOOKUP($B9&amp;$C9,data!$A:$U,10,FALSE)</f>
        <v>0</v>
      </c>
      <c r="P9" s="3">
        <f ca="1">VLOOKUP($B9&amp;$C9,data!$A:$U,11,FALSE)</f>
        <v>29</v>
      </c>
      <c r="Q9" s="3">
        <f ca="1">VLOOKUP($B9&amp;$C9,data!$A:$U,12,FALSE)</f>
        <v>29</v>
      </c>
      <c r="R9" s="3">
        <f ca="1">VLOOKUP($B9&amp;$C9,data!$A:$U,13,FALSE)</f>
        <v>0</v>
      </c>
      <c r="S9" s="3">
        <f ca="1">VLOOKUP($B9&amp;$C9,data!$A:$U,5,FALSE)</f>
        <v>34</v>
      </c>
      <c r="T9" s="3">
        <f ca="1">VLOOKUP($B9&amp;$C9,data!$A:$U,6,FALSE)</f>
        <v>34</v>
      </c>
      <c r="U9" s="3">
        <f ca="1">VLOOKUP($B9&amp;$C9,data!$A:$U,7,FALSE)</f>
        <v>0</v>
      </c>
      <c r="V9" s="11" t="s">
        <v>81</v>
      </c>
      <c r="W9" s="12" t="s">
        <v>82</v>
      </c>
      <c r="X9" s="12" t="s">
        <v>83</v>
      </c>
      <c r="Y9" s="3" t="s">
        <v>84</v>
      </c>
      <c r="Z9" s="13">
        <f t="shared" ca="1" si="1"/>
        <v>1.0573714120764635</v>
      </c>
    </row>
    <row r="10" spans="1:26" ht="15.75" customHeight="1" x14ac:dyDescent="0.15">
      <c r="A10" s="3">
        <v>9</v>
      </c>
      <c r="B10" s="3" t="s">
        <v>4</v>
      </c>
      <c r="C10" s="3" t="s">
        <v>85</v>
      </c>
      <c r="D10" s="10">
        <f t="shared" ca="1" si="0"/>
        <v>0</v>
      </c>
      <c r="E10" s="5">
        <f ca="1">VLOOKUP($B10&amp;$C10,data!$A:$U,20,FALSE)</f>
        <v>44305.328773148103</v>
      </c>
      <c r="F10" s="3" t="str">
        <f ca="1">VLOOKUP($B10&amp;$C10,data!$A:$U,21,FALSE)</f>
        <v>19.04.2021</v>
      </c>
      <c r="G10" s="3">
        <f ca="1">VLOOKUP($B10&amp;$C10,data!$A:$U,17,FALSE)</f>
        <v>20</v>
      </c>
      <c r="H10" s="3">
        <f ca="1">VLOOKUP($B10&amp;$C10,data!$A:$U,18,FALSE)</f>
        <v>20</v>
      </c>
      <c r="I10" s="3">
        <f ca="1">VLOOKUP($B10&amp;$C10,data!$A:$U,19,FALSE)</f>
        <v>0</v>
      </c>
      <c r="J10" s="3">
        <f ca="1">VLOOKUP($B10&amp;$C10,data!$A:$U,14,FALSE)</f>
        <v>20</v>
      </c>
      <c r="K10" s="3">
        <f ca="1">VLOOKUP($B10&amp;$C10,data!$A:$U,15,FALSE)</f>
        <v>20</v>
      </c>
      <c r="L10" s="3">
        <f ca="1">VLOOKUP($B10&amp;$C10,data!$A:$U,16,FALSE)</f>
        <v>0</v>
      </c>
      <c r="M10" s="3">
        <f ca="1">VLOOKUP($B10&amp;$C10,data!$A:$U,8,FALSE)</f>
        <v>40</v>
      </c>
      <c r="N10" s="3">
        <f ca="1">VLOOKUP($B10&amp;$C10,data!$A:$U,9,FALSE)</f>
        <v>40</v>
      </c>
      <c r="O10" s="3">
        <f ca="1">VLOOKUP($B10&amp;$C10,data!$A:$U,10,FALSE)</f>
        <v>0</v>
      </c>
      <c r="P10" s="3">
        <f ca="1">VLOOKUP($B10&amp;$C10,data!$A:$U,11,FALSE)</f>
        <v>40</v>
      </c>
      <c r="Q10" s="3">
        <f ca="1">VLOOKUP($B10&amp;$C10,data!$A:$U,12,FALSE)</f>
        <v>40</v>
      </c>
      <c r="R10" s="3">
        <f ca="1">VLOOKUP($B10&amp;$C10,data!$A:$U,13,FALSE)</f>
        <v>0</v>
      </c>
      <c r="S10" s="3">
        <f ca="1">VLOOKUP($B10&amp;$C10,data!$A:$U,5,FALSE)</f>
        <v>100</v>
      </c>
      <c r="T10" s="3">
        <f ca="1">VLOOKUP($B10&amp;$C10,data!$A:$U,6,FALSE)</f>
        <v>100</v>
      </c>
      <c r="U10" s="3">
        <f ca="1">VLOOKUP($B10&amp;$C10,data!$A:$U,7,FALSE)</f>
        <v>0</v>
      </c>
      <c r="V10" s="16">
        <f>914428293333</f>
        <v>914428293333</v>
      </c>
      <c r="W10" s="17" t="s">
        <v>86</v>
      </c>
      <c r="X10" s="17" t="s">
        <v>87</v>
      </c>
      <c r="Y10" s="3" t="s">
        <v>88</v>
      </c>
      <c r="Z10" s="13">
        <f t="shared" ca="1" si="1"/>
        <v>0.75813530097366311</v>
      </c>
    </row>
    <row r="11" spans="1:26" ht="15.75" customHeight="1" x14ac:dyDescent="0.15">
      <c r="A11" s="3">
        <v>10</v>
      </c>
      <c r="B11" s="3" t="s">
        <v>4</v>
      </c>
      <c r="C11" s="3" t="s">
        <v>89</v>
      </c>
      <c r="D11" s="10">
        <f t="shared" ca="1" si="0"/>
        <v>6.5934065934065936E-2</v>
      </c>
      <c r="E11" s="5">
        <f ca="1">VLOOKUP($B11&amp;$C11,data!$A:$U,20,FALSE)</f>
        <v>44305.383750000001</v>
      </c>
      <c r="F11" s="3">
        <f ca="1">VLOOKUP($B11&amp;$C11,data!$A:$U,21,FALSE)</f>
        <v>0</v>
      </c>
      <c r="G11" s="3">
        <f ca="1">VLOOKUP($B11&amp;$C11,data!$A:$U,17,FALSE)</f>
        <v>8</v>
      </c>
      <c r="H11" s="3">
        <f ca="1">VLOOKUP($B11&amp;$C11,data!$A:$U,18,FALSE)</f>
        <v>8</v>
      </c>
      <c r="I11" s="3">
        <f ca="1">VLOOKUP($B11&amp;$C11,data!$A:$U,19,FALSE)</f>
        <v>0</v>
      </c>
      <c r="J11" s="3">
        <f ca="1">VLOOKUP($B11&amp;$C11,data!$A:$U,14,FALSE)</f>
        <v>17</v>
      </c>
      <c r="K11" s="3">
        <f ca="1">VLOOKUP($B11&amp;$C11,data!$A:$U,15,FALSE)</f>
        <v>17</v>
      </c>
      <c r="L11" s="3">
        <f ca="1">VLOOKUP($B11&amp;$C11,data!$A:$U,16,FALSE)</f>
        <v>0</v>
      </c>
      <c r="M11" s="3">
        <f ca="1">VLOOKUP($B11&amp;$C11,data!$A:$U,8,FALSE)</f>
        <v>74</v>
      </c>
      <c r="N11" s="3">
        <f ca="1">VLOOKUP($B11&amp;$C11,data!$A:$U,9,FALSE)</f>
        <v>68</v>
      </c>
      <c r="O11" s="3">
        <f ca="1">VLOOKUP($B11&amp;$C11,data!$A:$U,10,FALSE)</f>
        <v>6</v>
      </c>
      <c r="P11" s="3">
        <f ca="1">VLOOKUP($B11&amp;$C11,data!$A:$U,11,FALSE)</f>
        <v>0</v>
      </c>
      <c r="Q11" s="3">
        <f ca="1">VLOOKUP($B11&amp;$C11,data!$A:$U,12,FALSE)</f>
        <v>0</v>
      </c>
      <c r="R11" s="3">
        <f ca="1">VLOOKUP($B11&amp;$C11,data!$A:$U,13,FALSE)</f>
        <v>0</v>
      </c>
      <c r="S11" s="3">
        <f ca="1">VLOOKUP($B11&amp;$C11,data!$A:$U,5,FALSE)</f>
        <v>91</v>
      </c>
      <c r="T11" s="3">
        <f ca="1">VLOOKUP($B11&amp;$C11,data!$A:$U,6,FALSE)</f>
        <v>85</v>
      </c>
      <c r="U11" s="3">
        <f ca="1">VLOOKUP($B11&amp;$C11,data!$A:$U,7,FALSE)</f>
        <v>6</v>
      </c>
      <c r="V11" s="16">
        <f>914430207777</f>
        <v>914430207777</v>
      </c>
      <c r="W11" s="17" t="s">
        <v>90</v>
      </c>
      <c r="X11" s="17" t="s">
        <v>87</v>
      </c>
      <c r="Y11" s="3" t="s">
        <v>91</v>
      </c>
      <c r="Z11" s="13">
        <f t="shared" ca="1" si="1"/>
        <v>0.70315844907599967</v>
      </c>
    </row>
    <row r="12" spans="1:26" ht="15.75" customHeight="1" x14ac:dyDescent="0.15">
      <c r="A12" s="3">
        <v>11</v>
      </c>
      <c r="B12" s="3" t="s">
        <v>4</v>
      </c>
      <c r="C12" s="3" t="s">
        <v>92</v>
      </c>
      <c r="D12" s="10">
        <f t="shared" ca="1" si="0"/>
        <v>0.11864406779661017</v>
      </c>
      <c r="E12" s="5">
        <f ca="1">VLOOKUP($B12&amp;$C12,data!$A:$U,20,FALSE)</f>
        <v>44305.483715277704</v>
      </c>
      <c r="F12" s="3" t="str">
        <f ca="1">VLOOKUP($B12&amp;$C12,data!$A:$U,21,FALSE)</f>
        <v>April 19th</v>
      </c>
      <c r="G12" s="3">
        <f ca="1">VLOOKUP($B12&amp;$C12,data!$A:$U,17,FALSE)</f>
        <v>4</v>
      </c>
      <c r="H12" s="3">
        <f ca="1">VLOOKUP($B12&amp;$C12,data!$A:$U,18,FALSE)</f>
        <v>4</v>
      </c>
      <c r="I12" s="3">
        <f ca="1">VLOOKUP($B12&amp;$C12,data!$A:$U,19,FALSE)</f>
        <v>0</v>
      </c>
      <c r="J12" s="3">
        <f ca="1">VLOOKUP($B12&amp;$C12,data!$A:$U,14,FALSE)</f>
        <v>5</v>
      </c>
      <c r="K12" s="3">
        <f ca="1">VLOOKUP($B12&amp;$C12,data!$A:$U,15,FALSE)</f>
        <v>5</v>
      </c>
      <c r="L12" s="3">
        <f ca="1">VLOOKUP($B12&amp;$C12,data!$A:$U,16,FALSE)</f>
        <v>0</v>
      </c>
      <c r="M12" s="3">
        <f ca="1">VLOOKUP($B12&amp;$C12,data!$A:$U,8,FALSE)</f>
        <v>55</v>
      </c>
      <c r="N12" s="3">
        <f ca="1">VLOOKUP($B12&amp;$C12,data!$A:$U,9,FALSE)</f>
        <v>61</v>
      </c>
      <c r="O12" s="3">
        <f ca="1">VLOOKUP($B12&amp;$C12,data!$A:$U,10,FALSE)</f>
        <v>7</v>
      </c>
      <c r="P12" s="3">
        <f ca="1">VLOOKUP($B12&amp;$C12,data!$A:$U,11,FALSE)</f>
        <v>0</v>
      </c>
      <c r="Q12" s="3">
        <f ca="1">VLOOKUP($B12&amp;$C12,data!$A:$U,12,FALSE)</f>
        <v>0</v>
      </c>
      <c r="R12" s="3">
        <f ca="1">VLOOKUP($B12&amp;$C12,data!$A:$U,13,FALSE)</f>
        <v>0</v>
      </c>
      <c r="S12" s="3">
        <f ca="1">VLOOKUP($B12&amp;$C12,data!$A:$U,5,FALSE)</f>
        <v>58</v>
      </c>
      <c r="T12" s="3">
        <f ca="1">VLOOKUP($B12&amp;$C12,data!$A:$U,6,FALSE)</f>
        <v>68</v>
      </c>
      <c r="U12" s="3">
        <f ca="1">VLOOKUP($B12&amp;$C12,data!$A:$U,7,FALSE)</f>
        <v>7</v>
      </c>
      <c r="V12" s="16">
        <f>917904299271</f>
        <v>917904299271</v>
      </c>
      <c r="W12" s="17" t="s">
        <v>93</v>
      </c>
      <c r="X12" s="12" t="s">
        <v>94</v>
      </c>
      <c r="Y12" s="3" t="s">
        <v>95</v>
      </c>
      <c r="Z12" s="13">
        <f t="shared" ca="1" si="1"/>
        <v>0.60319317137327744</v>
      </c>
    </row>
    <row r="13" spans="1:26" ht="15.75" customHeight="1" x14ac:dyDescent="0.15">
      <c r="A13" s="3">
        <v>12</v>
      </c>
      <c r="B13" s="3" t="s">
        <v>4</v>
      </c>
      <c r="C13" s="3" t="s">
        <v>96</v>
      </c>
      <c r="D13" s="10">
        <f t="shared" ca="1" si="0"/>
        <v>0.57777777777777772</v>
      </c>
      <c r="E13" s="5">
        <f ca="1">VLOOKUP($B13&amp;$C13,data!$A:$U,20,FALSE)</f>
        <v>44305.3619675925</v>
      </c>
      <c r="F13" s="3" t="str">
        <f ca="1">VLOOKUP($B13&amp;$C13,data!$A:$U,21,FALSE)</f>
        <v>19-04-2021</v>
      </c>
      <c r="G13" s="3">
        <f ca="1">VLOOKUP($B13&amp;$C13,data!$A:$U,17,FALSE)</f>
        <v>2</v>
      </c>
      <c r="H13" s="3">
        <f ca="1">VLOOKUP($B13&amp;$C13,data!$A:$U,18,FALSE)</f>
        <v>0</v>
      </c>
      <c r="I13" s="3">
        <f ca="1">VLOOKUP($B13&amp;$C13,data!$A:$U,19,FALSE)</f>
        <v>2</v>
      </c>
      <c r="J13" s="3">
        <f ca="1">VLOOKUP($B13&amp;$C13,data!$A:$U,14,FALSE)</f>
        <v>4</v>
      </c>
      <c r="K13" s="3">
        <f ca="1">VLOOKUP($B13&amp;$C13,data!$A:$U,15,FALSE)</f>
        <v>0</v>
      </c>
      <c r="L13" s="3">
        <f ca="1">VLOOKUP($B13&amp;$C13,data!$A:$U,16,FALSE)</f>
        <v>4</v>
      </c>
      <c r="M13" s="3">
        <f ca="1">VLOOKUP($B13&amp;$C13,data!$A:$U,8,FALSE)</f>
        <v>10</v>
      </c>
      <c r="N13" s="3">
        <f ca="1">VLOOKUP($B13&amp;$C13,data!$A:$U,9,FALSE)</f>
        <v>0</v>
      </c>
      <c r="O13" s="3">
        <f ca="1">VLOOKUP($B13&amp;$C13,data!$A:$U,10,FALSE)</f>
        <v>10</v>
      </c>
      <c r="P13" s="3">
        <f ca="1">VLOOKUP($B13&amp;$C13,data!$A:$U,11,FALSE)</f>
        <v>10</v>
      </c>
      <c r="Q13" s="3">
        <f ca="1">VLOOKUP($B13&amp;$C13,data!$A:$U,12,FALSE)</f>
        <v>6</v>
      </c>
      <c r="R13" s="3">
        <f ca="1">VLOOKUP($B13&amp;$C13,data!$A:$U,13,FALSE)</f>
        <v>0</v>
      </c>
      <c r="S13" s="3">
        <f ca="1">VLOOKUP($B13&amp;$C13,data!$A:$U,5,FALSE)</f>
        <v>21</v>
      </c>
      <c r="T13" s="3">
        <f ca="1">VLOOKUP($B13&amp;$C13,data!$A:$U,6,FALSE)</f>
        <v>16</v>
      </c>
      <c r="U13" s="3">
        <f ca="1">VLOOKUP($B13&amp;$C13,data!$A:$U,7,FALSE)</f>
        <v>12</v>
      </c>
      <c r="V13" s="16">
        <f>914423710250</f>
        <v>914423710250</v>
      </c>
      <c r="W13" s="17" t="s">
        <v>97</v>
      </c>
      <c r="X13" s="14" t="s">
        <v>57</v>
      </c>
      <c r="Y13" s="3" t="s">
        <v>98</v>
      </c>
      <c r="Z13" s="13">
        <f t="shared" ca="1" si="1"/>
        <v>0.72494085657672258</v>
      </c>
    </row>
    <row r="14" spans="1:26" ht="15.75" customHeight="1" x14ac:dyDescent="0.15">
      <c r="A14" s="3">
        <v>13</v>
      </c>
      <c r="B14" s="3" t="s">
        <v>4</v>
      </c>
      <c r="C14" s="3" t="s">
        <v>99</v>
      </c>
      <c r="D14" s="10">
        <f t="shared" ca="1" si="0"/>
        <v>0</v>
      </c>
      <c r="E14" s="5">
        <f ca="1">VLOOKUP($B14&amp;$C14,data!$A:$U,20,FALSE)</f>
        <v>44305.664270833302</v>
      </c>
      <c r="F14" s="3" t="str">
        <f ca="1">VLOOKUP($B14&amp;$C14,data!$A:$U,21,FALSE)</f>
        <v>19.04.2021</v>
      </c>
      <c r="G14" s="3">
        <f ca="1">VLOOKUP($B14&amp;$C14,data!$A:$U,17,FALSE)</f>
        <v>2</v>
      </c>
      <c r="H14" s="3">
        <f ca="1">VLOOKUP($B14&amp;$C14,data!$A:$U,18,FALSE)</f>
        <v>0</v>
      </c>
      <c r="I14" s="3">
        <f ca="1">VLOOKUP($B14&amp;$C14,data!$A:$U,19,FALSE)</f>
        <v>0</v>
      </c>
      <c r="J14" s="3">
        <f ca="1">VLOOKUP($B14&amp;$C14,data!$A:$U,14,FALSE)</f>
        <v>4</v>
      </c>
      <c r="K14" s="3">
        <f ca="1">VLOOKUP($B14&amp;$C14,data!$A:$U,15,FALSE)</f>
        <v>4</v>
      </c>
      <c r="L14" s="3">
        <f ca="1">VLOOKUP($B14&amp;$C14,data!$A:$U,16,FALSE)</f>
        <v>0</v>
      </c>
      <c r="M14" s="3">
        <f ca="1">VLOOKUP($B14&amp;$C14,data!$A:$U,8,FALSE)</f>
        <v>18</v>
      </c>
      <c r="N14" s="3">
        <f ca="1">VLOOKUP($B14&amp;$C14,data!$A:$U,9,FALSE)</f>
        <v>18</v>
      </c>
      <c r="O14" s="3">
        <f ca="1">VLOOKUP($B14&amp;$C14,data!$A:$U,10,FALSE)</f>
        <v>0</v>
      </c>
      <c r="P14" s="3">
        <f ca="1">VLOOKUP($B14&amp;$C14,data!$A:$U,11,FALSE)</f>
        <v>3</v>
      </c>
      <c r="Q14" s="3">
        <f ca="1">VLOOKUP($B14&amp;$C14,data!$A:$U,12,FALSE)</f>
        <v>0</v>
      </c>
      <c r="R14" s="3">
        <f ca="1">VLOOKUP($B14&amp;$C14,data!$A:$U,13,FALSE)</f>
        <v>0</v>
      </c>
      <c r="S14" s="3">
        <f ca="1">VLOOKUP($B14&amp;$C14,data!$A:$U,5,FALSE)</f>
        <v>20</v>
      </c>
      <c r="T14" s="3">
        <f ca="1">VLOOKUP($B14&amp;$C14,data!$A:$U,6,FALSE)</f>
        <v>20</v>
      </c>
      <c r="U14" s="3">
        <f ca="1">VLOOKUP($B14&amp;$C14,data!$A:$U,7,FALSE)</f>
        <v>0</v>
      </c>
      <c r="V14" s="16">
        <f>919677311333</f>
        <v>919677311333</v>
      </c>
      <c r="W14" s="17" t="s">
        <v>100</v>
      </c>
      <c r="X14" s="17" t="s">
        <v>101</v>
      </c>
      <c r="Y14" s="3" t="s">
        <v>102</v>
      </c>
      <c r="Z14" s="13">
        <f t="shared" ca="1" si="1"/>
        <v>0.42263761577487458</v>
      </c>
    </row>
    <row r="15" spans="1:26" ht="15.75" customHeight="1" x14ac:dyDescent="0.15">
      <c r="A15" s="3">
        <v>14</v>
      </c>
      <c r="B15" s="3" t="s">
        <v>4</v>
      </c>
      <c r="C15" s="3" t="s">
        <v>103</v>
      </c>
      <c r="D15" s="10">
        <f t="shared" ca="1" si="0"/>
        <v>0.4</v>
      </c>
      <c r="E15" s="5">
        <f ca="1">VLOOKUP($B15&amp;$C15,data!$A:$U,20,FALSE)</f>
        <v>44304.574513888801</v>
      </c>
      <c r="F15" s="3" t="str">
        <f ca="1">VLOOKUP($B15&amp;$C15,data!$A:$U,21,FALSE)</f>
        <v>4 New case reported in Aysha Hospitals Chennai</v>
      </c>
      <c r="G15" s="3">
        <f ca="1">VLOOKUP($B15&amp;$C15,data!$A:$U,17,FALSE)</f>
        <v>5</v>
      </c>
      <c r="H15" s="3">
        <f ca="1">VLOOKUP($B15&amp;$C15,data!$A:$U,18,FALSE)</f>
        <v>0</v>
      </c>
      <c r="I15" s="3">
        <f ca="1">VLOOKUP($B15&amp;$C15,data!$A:$U,19,FALSE)</f>
        <v>5</v>
      </c>
      <c r="J15" s="3">
        <f ca="1">VLOOKUP($B15&amp;$C15,data!$A:$U,14,FALSE)</f>
        <v>3</v>
      </c>
      <c r="K15" s="3">
        <f ca="1">VLOOKUP($B15&amp;$C15,data!$A:$U,15,FALSE)</f>
        <v>0</v>
      </c>
      <c r="L15" s="3">
        <f ca="1">VLOOKUP($B15&amp;$C15,data!$A:$U,16,FALSE)</f>
        <v>3</v>
      </c>
      <c r="M15" s="3">
        <f ca="1">VLOOKUP($B15&amp;$C15,data!$A:$U,8,FALSE)</f>
        <v>2</v>
      </c>
      <c r="N15" s="3">
        <f ca="1">VLOOKUP($B15&amp;$C15,data!$A:$U,9,FALSE)</f>
        <v>1</v>
      </c>
      <c r="O15" s="3">
        <f ca="1">VLOOKUP($B15&amp;$C15,data!$A:$U,10,FALSE)</f>
        <v>1</v>
      </c>
      <c r="P15" s="3">
        <f ca="1">VLOOKUP($B15&amp;$C15,data!$A:$U,11,FALSE)</f>
        <v>2</v>
      </c>
      <c r="Q15" s="3">
        <f ca="1">VLOOKUP($B15&amp;$C15,data!$A:$U,12,FALSE)</f>
        <v>0</v>
      </c>
      <c r="R15" s="3">
        <f ca="1">VLOOKUP($B15&amp;$C15,data!$A:$U,13,FALSE)</f>
        <v>2</v>
      </c>
      <c r="S15" s="3">
        <f ca="1">VLOOKUP($B15&amp;$C15,data!$A:$U,5,FALSE)</f>
        <v>8</v>
      </c>
      <c r="T15" s="3">
        <f ca="1">VLOOKUP($B15&amp;$C15,data!$A:$U,6,FALSE)</f>
        <v>8</v>
      </c>
      <c r="U15" s="3">
        <f ca="1">VLOOKUP($B15&amp;$C15,data!$A:$U,7,FALSE)</f>
        <v>0</v>
      </c>
      <c r="V15" s="16">
        <f>919884603333</f>
        <v>919884603333</v>
      </c>
      <c r="W15" s="17" t="s">
        <v>104</v>
      </c>
      <c r="X15" s="14" t="s">
        <v>57</v>
      </c>
      <c r="Y15" s="3" t="s">
        <v>105</v>
      </c>
      <c r="Z15" s="13">
        <f t="shared" ca="1" si="1"/>
        <v>1.5123945602754247</v>
      </c>
    </row>
    <row r="16" spans="1:26" ht="15.75" customHeight="1" x14ac:dyDescent="0.15">
      <c r="A16" s="3">
        <v>15</v>
      </c>
      <c r="B16" s="3" t="s">
        <v>4</v>
      </c>
      <c r="C16" s="3" t="s">
        <v>106</v>
      </c>
      <c r="D16" s="10">
        <f t="shared" ca="1" si="0"/>
        <v>8.5106382978723402E-2</v>
      </c>
      <c r="E16" s="5">
        <f ca="1">VLOOKUP($B16&amp;$C16,data!$A:$U,20,FALSE)</f>
        <v>44303.4498842592</v>
      </c>
      <c r="F16" s="3">
        <f ca="1">VLOOKUP($B16&amp;$C16,data!$A:$U,21,FALSE)</f>
        <v>18</v>
      </c>
      <c r="G16" s="3">
        <f ca="1">VLOOKUP($B16&amp;$C16,data!$A:$U,17,FALSE)</f>
        <v>2</v>
      </c>
      <c r="H16" s="3">
        <f ca="1">VLOOKUP($B16&amp;$C16,data!$A:$U,18,FALSE)</f>
        <v>0</v>
      </c>
      <c r="I16" s="3">
        <f ca="1">VLOOKUP($B16&amp;$C16,data!$A:$U,19,FALSE)</f>
        <v>2</v>
      </c>
      <c r="J16" s="3">
        <f ca="1">VLOOKUP($B16&amp;$C16,data!$A:$U,14,FALSE)</f>
        <v>3</v>
      </c>
      <c r="K16" s="3">
        <f ca="1">VLOOKUP($B16&amp;$C16,data!$A:$U,15,FALSE)</f>
        <v>3</v>
      </c>
      <c r="L16" s="3">
        <f ca="1">VLOOKUP($B16&amp;$C16,data!$A:$U,16,FALSE)</f>
        <v>0</v>
      </c>
      <c r="M16" s="3">
        <f ca="1">VLOOKUP($B16&amp;$C16,data!$A:$U,8,FALSE)</f>
        <v>18</v>
      </c>
      <c r="N16" s="3">
        <f ca="1">VLOOKUP($B16&amp;$C16,data!$A:$U,9,FALSE)</f>
        <v>6</v>
      </c>
      <c r="O16" s="3">
        <f ca="1">VLOOKUP($B16&amp;$C16,data!$A:$U,10,FALSE)</f>
        <v>4</v>
      </c>
      <c r="P16" s="3">
        <f ca="1">VLOOKUP($B16&amp;$C16,data!$A:$U,11,FALSE)</f>
        <v>8</v>
      </c>
      <c r="Q16" s="3">
        <f ca="1">VLOOKUP($B16&amp;$C16,data!$A:$U,12,FALSE)</f>
        <v>0</v>
      </c>
      <c r="R16" s="3">
        <f ca="1">VLOOKUP($B16&amp;$C16,data!$A:$U,13,FALSE)</f>
        <v>0</v>
      </c>
      <c r="S16" s="3">
        <f ca="1">VLOOKUP($B16&amp;$C16,data!$A:$U,5,FALSE)</f>
        <v>18</v>
      </c>
      <c r="T16" s="3">
        <f ca="1">VLOOKUP($B16&amp;$C16,data!$A:$U,6,FALSE)</f>
        <v>18</v>
      </c>
      <c r="U16" s="3">
        <f ca="1">VLOOKUP($B16&amp;$C16,data!$A:$U,7,FALSE)</f>
        <v>0</v>
      </c>
      <c r="V16" s="16">
        <f>919698300300</f>
        <v>919698300300</v>
      </c>
      <c r="W16" s="17" t="s">
        <v>107</v>
      </c>
      <c r="X16" s="17" t="s">
        <v>108</v>
      </c>
      <c r="Y16" s="3" t="s">
        <v>109</v>
      </c>
      <c r="Z16" s="13">
        <f t="shared" ca="1" si="1"/>
        <v>2.6370241898766835</v>
      </c>
    </row>
    <row r="17" spans="1:26" ht="15.75" customHeight="1" x14ac:dyDescent="0.15">
      <c r="A17" s="3">
        <v>16</v>
      </c>
      <c r="B17" s="3" t="s">
        <v>4</v>
      </c>
      <c r="C17" s="3" t="s">
        <v>110</v>
      </c>
      <c r="D17" s="10">
        <f t="shared" ca="1" si="0"/>
        <v>0.30909090909090908</v>
      </c>
      <c r="E17" s="5">
        <f ca="1">VLOOKUP($B17&amp;$C17,data!$A:$U,20,FALSE)</f>
        <v>44305.4132060185</v>
      </c>
      <c r="F17" s="3" t="str">
        <f ca="1">VLOOKUP($B17&amp;$C17,data!$A:$U,21,FALSE)</f>
        <v>19-04-2021</v>
      </c>
      <c r="G17" s="3">
        <f ca="1">VLOOKUP($B17&amp;$C17,data!$A:$U,17,FALSE)</f>
        <v>2</v>
      </c>
      <c r="H17" s="3">
        <f ca="1">VLOOKUP($B17&amp;$C17,data!$A:$U,18,FALSE)</f>
        <v>2</v>
      </c>
      <c r="I17" s="3">
        <f ca="1">VLOOKUP($B17&amp;$C17,data!$A:$U,19,FALSE)</f>
        <v>0</v>
      </c>
      <c r="J17" s="3">
        <f ca="1">VLOOKUP($B17&amp;$C17,data!$A:$U,14,FALSE)</f>
        <v>25</v>
      </c>
      <c r="K17" s="3">
        <f ca="1">VLOOKUP($B17&amp;$C17,data!$A:$U,15,FALSE)</f>
        <v>21</v>
      </c>
      <c r="L17" s="3">
        <f ca="1">VLOOKUP($B17&amp;$C17,data!$A:$U,16,FALSE)</f>
        <v>4</v>
      </c>
      <c r="M17" s="3">
        <f ca="1">VLOOKUP($B17&amp;$C17,data!$A:$U,8,FALSE)</f>
        <v>15</v>
      </c>
      <c r="N17" s="3">
        <f ca="1">VLOOKUP($B17&amp;$C17,data!$A:$U,9,FALSE)</f>
        <v>12</v>
      </c>
      <c r="O17" s="3">
        <f ca="1">VLOOKUP($B17&amp;$C17,data!$A:$U,10,FALSE)</f>
        <v>3</v>
      </c>
      <c r="P17" s="3">
        <f ca="1">VLOOKUP($B17&amp;$C17,data!$A:$U,11,FALSE)</f>
        <v>80</v>
      </c>
      <c r="Q17" s="3">
        <f ca="1">VLOOKUP($B17&amp;$C17,data!$A:$U,12,FALSE)</f>
        <v>43</v>
      </c>
      <c r="R17" s="3">
        <f ca="1">VLOOKUP($B17&amp;$C17,data!$A:$U,13,FALSE)</f>
        <v>37</v>
      </c>
      <c r="S17" s="3">
        <f ca="1">VLOOKUP($B17&amp;$C17,data!$A:$U,5,FALSE)</f>
        <v>100</v>
      </c>
      <c r="T17" s="3">
        <f ca="1">VLOOKUP($B17&amp;$C17,data!$A:$U,6,FALSE)</f>
        <v>76</v>
      </c>
      <c r="U17" s="3">
        <f ca="1">VLOOKUP($B17&amp;$C17,data!$A:$U,7,FALSE)</f>
        <v>24</v>
      </c>
      <c r="V17" s="18">
        <v>914422290247</v>
      </c>
      <c r="W17" s="15" t="s">
        <v>111</v>
      </c>
      <c r="X17" s="15" t="s">
        <v>112</v>
      </c>
      <c r="Y17" s="4" t="s">
        <v>113</v>
      </c>
      <c r="Z17" s="13">
        <f t="shared" ca="1" si="1"/>
        <v>0.67370243057666812</v>
      </c>
    </row>
    <row r="18" spans="1:26" ht="15.75" customHeight="1" x14ac:dyDescent="0.15">
      <c r="A18" s="3">
        <v>17</v>
      </c>
      <c r="B18" s="3" t="s">
        <v>4</v>
      </c>
      <c r="C18" s="3" t="s">
        <v>114</v>
      </c>
      <c r="D18" s="10">
        <f t="shared" ca="1" si="0"/>
        <v>0</v>
      </c>
      <c r="E18" s="5">
        <f ca="1">VLOOKUP($B18&amp;$C18,data!$A:$U,20,FALSE)</f>
        <v>44305.319525462903</v>
      </c>
      <c r="F18" s="3" t="str">
        <f ca="1">VLOOKUP($B18&amp;$C18,data!$A:$U,21,FALSE)</f>
        <v>19.04.2021</v>
      </c>
      <c r="G18" s="3">
        <f ca="1">VLOOKUP($B18&amp;$C18,data!$A:$U,17,FALSE)</f>
        <v>2</v>
      </c>
      <c r="H18" s="3">
        <f ca="1">VLOOKUP($B18&amp;$C18,data!$A:$U,18,FALSE)</f>
        <v>0</v>
      </c>
      <c r="I18" s="3">
        <f ca="1">VLOOKUP($B18&amp;$C18,data!$A:$U,19,FALSE)</f>
        <v>2</v>
      </c>
      <c r="J18" s="3">
        <f ca="1">VLOOKUP($B18&amp;$C18,data!$A:$U,14,FALSE)</f>
        <v>5</v>
      </c>
      <c r="K18" s="3">
        <f ca="1">VLOOKUP($B18&amp;$C18,data!$A:$U,15,FALSE)</f>
        <v>5</v>
      </c>
      <c r="L18" s="3">
        <f ca="1">VLOOKUP($B18&amp;$C18,data!$A:$U,16,FALSE)</f>
        <v>0</v>
      </c>
      <c r="M18" s="3">
        <f ca="1">VLOOKUP($B18&amp;$C18,data!$A:$U,8,FALSE)</f>
        <v>65</v>
      </c>
      <c r="N18" s="3">
        <f ca="1">VLOOKUP($B18&amp;$C18,data!$A:$U,9,FALSE)</f>
        <v>65</v>
      </c>
      <c r="O18" s="3">
        <f ca="1">VLOOKUP($B18&amp;$C18,data!$A:$U,10,FALSE)</f>
        <v>0</v>
      </c>
      <c r="P18" s="3">
        <f ca="1">VLOOKUP($B18&amp;$C18,data!$A:$U,11,FALSE)</f>
        <v>0</v>
      </c>
      <c r="Q18" s="3">
        <f ca="1">VLOOKUP($B18&amp;$C18,data!$A:$U,12,FALSE)</f>
        <v>0</v>
      </c>
      <c r="R18" s="3">
        <f ca="1">VLOOKUP($B18&amp;$C18,data!$A:$U,13,FALSE)</f>
        <v>0</v>
      </c>
      <c r="S18" s="3">
        <f ca="1">VLOOKUP($B18&amp;$C18,data!$A:$U,5,FALSE)</f>
        <v>70</v>
      </c>
      <c r="T18" s="3">
        <f ca="1">VLOOKUP($B18&amp;$C18,data!$A:$U,6,FALSE)</f>
        <v>70</v>
      </c>
      <c r="U18" s="3">
        <f ca="1">VLOOKUP($B18&amp;$C18,data!$A:$U,7,FALSE)</f>
        <v>0</v>
      </c>
      <c r="V18" s="16">
        <f>914462116211</f>
        <v>914462116211</v>
      </c>
      <c r="W18" s="12" t="s">
        <v>115</v>
      </c>
      <c r="X18" s="17" t="s">
        <v>116</v>
      </c>
      <c r="Y18" s="3" t="s">
        <v>117</v>
      </c>
      <c r="Z18" s="13">
        <f t="shared" ca="1" si="1"/>
        <v>0.76738298617419787</v>
      </c>
    </row>
    <row r="19" spans="1:26" ht="15.75" customHeight="1" x14ac:dyDescent="0.15">
      <c r="A19" s="3">
        <v>18</v>
      </c>
      <c r="B19" s="3" t="s">
        <v>4</v>
      </c>
      <c r="C19" s="3" t="s">
        <v>118</v>
      </c>
      <c r="D19" s="10">
        <f t="shared" ca="1" si="0"/>
        <v>0</v>
      </c>
      <c r="E19" s="5">
        <f ca="1">VLOOKUP($B19&amp;$C19,data!$A:$U,20,FALSE)</f>
        <v>44305.477708333303</v>
      </c>
      <c r="F19" s="3">
        <f ca="1">VLOOKUP($B19&amp;$C19,data!$A:$U,21,FALSE)</f>
        <v>0</v>
      </c>
      <c r="G19" s="3">
        <f ca="1">VLOOKUP($B19&amp;$C19,data!$A:$U,17,FALSE)</f>
        <v>5</v>
      </c>
      <c r="H19" s="3">
        <f ca="1">VLOOKUP($B19&amp;$C19,data!$A:$U,18,FALSE)</f>
        <v>2</v>
      </c>
      <c r="I19" s="3">
        <f ca="1">VLOOKUP($B19&amp;$C19,data!$A:$U,19,FALSE)</f>
        <v>3</v>
      </c>
      <c r="J19" s="3">
        <f ca="1">VLOOKUP($B19&amp;$C19,data!$A:$U,14,FALSE)</f>
        <v>20</v>
      </c>
      <c r="K19" s="3">
        <f ca="1">VLOOKUP($B19&amp;$C19,data!$A:$U,15,FALSE)</f>
        <v>20</v>
      </c>
      <c r="L19" s="3">
        <f ca="1">VLOOKUP($B19&amp;$C19,data!$A:$U,16,FALSE)</f>
        <v>0</v>
      </c>
      <c r="M19" s="3">
        <f ca="1">VLOOKUP($B19&amp;$C19,data!$A:$U,8,FALSE)</f>
        <v>130</v>
      </c>
      <c r="N19" s="3">
        <f ca="1">VLOOKUP($B19&amp;$C19,data!$A:$U,9,FALSE)</f>
        <v>130</v>
      </c>
      <c r="O19" s="3">
        <f ca="1">VLOOKUP($B19&amp;$C19,data!$A:$U,10,FALSE)</f>
        <v>0</v>
      </c>
      <c r="P19" s="3">
        <f ca="1">VLOOKUP($B19&amp;$C19,data!$A:$U,11,FALSE)</f>
        <v>20</v>
      </c>
      <c r="Q19" s="3">
        <f ca="1">VLOOKUP($B19&amp;$C19,data!$A:$U,12,FALSE)</f>
        <v>26</v>
      </c>
      <c r="R19" s="3">
        <f ca="1">VLOOKUP($B19&amp;$C19,data!$A:$U,13,FALSE)</f>
        <v>0</v>
      </c>
      <c r="S19" s="3">
        <f ca="1">VLOOKUP($B19&amp;$C19,data!$A:$U,5,FALSE)</f>
        <v>176</v>
      </c>
      <c r="T19" s="3">
        <f ca="1">VLOOKUP($B19&amp;$C19,data!$A:$U,6,FALSE)</f>
        <v>176</v>
      </c>
      <c r="U19" s="3">
        <f ca="1">VLOOKUP($B19&amp;$C19,data!$A:$U,7,FALSE)</f>
        <v>0</v>
      </c>
      <c r="V19" s="16">
        <f>917299404040</f>
        <v>917299404040</v>
      </c>
      <c r="W19" s="17" t="s">
        <v>119</v>
      </c>
      <c r="X19" s="17" t="s">
        <v>120</v>
      </c>
      <c r="Y19" s="3" t="s">
        <v>121</v>
      </c>
      <c r="Z19" s="13">
        <f t="shared" ca="1" si="1"/>
        <v>0.60920011577400146</v>
      </c>
    </row>
    <row r="20" spans="1:26" ht="15.75" customHeight="1" x14ac:dyDescent="0.15">
      <c r="A20" s="3">
        <v>19</v>
      </c>
      <c r="B20" s="3" t="s">
        <v>4</v>
      </c>
      <c r="C20" s="3" t="s">
        <v>122</v>
      </c>
      <c r="D20" s="10">
        <f t="shared" ca="1" si="0"/>
        <v>0.47368421052631576</v>
      </c>
      <c r="E20" s="5">
        <f ca="1">VLOOKUP($B20&amp;$C20,data!$A:$U,20,FALSE)</f>
        <v>44305.487384259199</v>
      </c>
      <c r="F20" s="3" t="str">
        <f ca="1">VLOOKUP($B20&amp;$C20,data!$A:$U,21,FALSE)</f>
        <v>today 19/04/2021 report</v>
      </c>
      <c r="G20" s="3">
        <f ca="1">VLOOKUP($B20&amp;$C20,data!$A:$U,17,FALSE)</f>
        <v>0</v>
      </c>
      <c r="H20" s="3">
        <f ca="1">VLOOKUP($B20&amp;$C20,data!$A:$U,18,FALSE)</f>
        <v>0</v>
      </c>
      <c r="I20" s="3">
        <f ca="1">VLOOKUP($B20&amp;$C20,data!$A:$U,19,FALSE)</f>
        <v>0</v>
      </c>
      <c r="J20" s="3">
        <f ca="1">VLOOKUP($B20&amp;$C20,data!$A:$U,14,FALSE)</f>
        <v>0</v>
      </c>
      <c r="K20" s="3">
        <f ca="1">VLOOKUP($B20&amp;$C20,data!$A:$U,15,FALSE)</f>
        <v>0</v>
      </c>
      <c r="L20" s="3">
        <f ca="1">VLOOKUP($B20&amp;$C20,data!$A:$U,16,FALSE)</f>
        <v>0</v>
      </c>
      <c r="M20" s="3">
        <f ca="1">VLOOKUP($B20&amp;$C20,data!$A:$U,8,FALSE)</f>
        <v>5</v>
      </c>
      <c r="N20" s="3">
        <f ca="1">VLOOKUP($B20&amp;$C20,data!$A:$U,9,FALSE)</f>
        <v>1</v>
      </c>
      <c r="O20" s="3">
        <f ca="1">VLOOKUP($B20&amp;$C20,data!$A:$U,10,FALSE)</f>
        <v>4</v>
      </c>
      <c r="P20" s="3">
        <f ca="1">VLOOKUP($B20&amp;$C20,data!$A:$U,11,FALSE)</f>
        <v>4</v>
      </c>
      <c r="Q20" s="3">
        <f ca="1">VLOOKUP($B20&amp;$C20,data!$A:$U,12,FALSE)</f>
        <v>0</v>
      </c>
      <c r="R20" s="3">
        <f ca="1">VLOOKUP($B20&amp;$C20,data!$A:$U,13,FALSE)</f>
        <v>0</v>
      </c>
      <c r="S20" s="3">
        <f ca="1">VLOOKUP($B20&amp;$C20,data!$A:$U,5,FALSE)</f>
        <v>10</v>
      </c>
      <c r="T20" s="3">
        <f ca="1">VLOOKUP($B20&amp;$C20,data!$A:$U,6,FALSE)</f>
        <v>5</v>
      </c>
      <c r="U20" s="3">
        <f ca="1">VLOOKUP($B20&amp;$C20,data!$A:$U,7,FALSE)</f>
        <v>5</v>
      </c>
      <c r="V20" s="16">
        <f>914440000009</f>
        <v>914440000009</v>
      </c>
      <c r="W20" s="17" t="s">
        <v>123</v>
      </c>
      <c r="X20" s="17" t="s">
        <v>124</v>
      </c>
      <c r="Y20" s="4" t="s">
        <v>125</v>
      </c>
      <c r="Z20" s="13">
        <f t="shared" ca="1" si="1"/>
        <v>0.59952418987813871</v>
      </c>
    </row>
    <row r="21" spans="1:26" ht="15.75" customHeight="1" x14ac:dyDescent="0.15">
      <c r="A21" s="3">
        <v>20</v>
      </c>
      <c r="B21" s="3" t="s">
        <v>4</v>
      </c>
      <c r="C21" s="3" t="s">
        <v>126</v>
      </c>
      <c r="D21" s="10">
        <f t="shared" ca="1" si="0"/>
        <v>0.91666666666666663</v>
      </c>
      <c r="E21" s="5">
        <f ca="1">VLOOKUP($B21&amp;$C21,data!$A:$U,20,FALSE)</f>
        <v>44305.452083333301</v>
      </c>
      <c r="F21" s="3" t="str">
        <f ca="1">VLOOKUP($B21&amp;$C21,data!$A:$U,21,FALSE)</f>
        <v>19.04.2021 Updated</v>
      </c>
      <c r="G21" s="3">
        <f ca="1">VLOOKUP($B21&amp;$C21,data!$A:$U,17,FALSE)</f>
        <v>1</v>
      </c>
      <c r="H21" s="3">
        <f ca="1">VLOOKUP($B21&amp;$C21,data!$A:$U,18,FALSE)</f>
        <v>0</v>
      </c>
      <c r="I21" s="3">
        <f ca="1">VLOOKUP($B21&amp;$C21,data!$A:$U,19,FALSE)</f>
        <v>1</v>
      </c>
      <c r="J21" s="3">
        <f ca="1">VLOOKUP($B21&amp;$C21,data!$A:$U,14,FALSE)</f>
        <v>2</v>
      </c>
      <c r="K21" s="3">
        <f ca="1">VLOOKUP($B21&amp;$C21,data!$A:$U,15,FALSE)</f>
        <v>0</v>
      </c>
      <c r="L21" s="3">
        <f ca="1">VLOOKUP($B21&amp;$C21,data!$A:$U,16,FALSE)</f>
        <v>2</v>
      </c>
      <c r="M21" s="3">
        <f ca="1">VLOOKUP($B21&amp;$C21,data!$A:$U,8,FALSE)</f>
        <v>10</v>
      </c>
      <c r="N21" s="3">
        <f ca="1">VLOOKUP($B21&amp;$C21,data!$A:$U,9,FALSE)</f>
        <v>1</v>
      </c>
      <c r="O21" s="3">
        <f ca="1">VLOOKUP($B21&amp;$C21,data!$A:$U,10,FALSE)</f>
        <v>9</v>
      </c>
      <c r="P21" s="3">
        <f ca="1">VLOOKUP($B21&amp;$C21,data!$A:$U,11,FALSE)</f>
        <v>0</v>
      </c>
      <c r="Q21" s="3">
        <f ca="1">VLOOKUP($B21&amp;$C21,data!$A:$U,12,FALSE)</f>
        <v>0</v>
      </c>
      <c r="R21" s="3">
        <f ca="1">VLOOKUP($B21&amp;$C21,data!$A:$U,13,FALSE)</f>
        <v>0</v>
      </c>
      <c r="S21" s="3">
        <f ca="1">VLOOKUP($B21&amp;$C21,data!$A:$U,5,FALSE)</f>
        <v>12</v>
      </c>
      <c r="T21" s="3">
        <f ca="1">VLOOKUP($B21&amp;$C21,data!$A:$U,6,FALSE)</f>
        <v>1</v>
      </c>
      <c r="U21" s="3">
        <f ca="1">VLOOKUP($B21&amp;$C21,data!$A:$U,7,FALSE)</f>
        <v>11</v>
      </c>
      <c r="V21" s="16">
        <f>914425957668</f>
        <v>914425957668</v>
      </c>
      <c r="W21" s="17" t="s">
        <v>127</v>
      </c>
      <c r="X21" s="17" t="s">
        <v>128</v>
      </c>
      <c r="Y21" s="4" t="s">
        <v>129</v>
      </c>
      <c r="Z21" s="13">
        <f t="shared" ca="1" si="1"/>
        <v>0.63482511577603873</v>
      </c>
    </row>
    <row r="22" spans="1:26" ht="15.75" customHeight="1" x14ac:dyDescent="0.15">
      <c r="A22" s="3">
        <v>21</v>
      </c>
      <c r="B22" s="3" t="s">
        <v>4</v>
      </c>
      <c r="C22" s="3" t="s">
        <v>130</v>
      </c>
      <c r="D22" s="10">
        <f t="shared" ca="1" si="0"/>
        <v>0.5</v>
      </c>
      <c r="E22" s="5">
        <f ca="1">VLOOKUP($B22&amp;$C22,data!$A:$U,20,FALSE)</f>
        <v>44305.331793981401</v>
      </c>
      <c r="F22" s="3" t="str">
        <f ca="1">VLOOKUP($B22&amp;$C22,data!$A:$U,21,FALSE)</f>
        <v>updated 01 19/04/2021</v>
      </c>
      <c r="G22" s="3">
        <f ca="1">VLOOKUP($B22&amp;$C22,data!$A:$U,17,FALSE)</f>
        <v>1</v>
      </c>
      <c r="H22" s="3">
        <f ca="1">VLOOKUP($B22&amp;$C22,data!$A:$U,18,FALSE)</f>
        <v>0</v>
      </c>
      <c r="I22" s="3">
        <f ca="1">VLOOKUP($B22&amp;$C22,data!$A:$U,19,FALSE)</f>
        <v>1</v>
      </c>
      <c r="J22" s="3">
        <f ca="1">VLOOKUP($B22&amp;$C22,data!$A:$U,14,FALSE)</f>
        <v>0</v>
      </c>
      <c r="K22" s="3">
        <f ca="1">VLOOKUP($B22&amp;$C22,data!$A:$U,15,FALSE)</f>
        <v>0</v>
      </c>
      <c r="L22" s="3">
        <f ca="1">VLOOKUP($B22&amp;$C22,data!$A:$U,16,FALSE)</f>
        <v>0</v>
      </c>
      <c r="M22" s="3">
        <f ca="1">VLOOKUP($B22&amp;$C22,data!$A:$U,8,FALSE)</f>
        <v>8</v>
      </c>
      <c r="N22" s="3">
        <f ca="1">VLOOKUP($B22&amp;$C22,data!$A:$U,9,FALSE)</f>
        <v>0</v>
      </c>
      <c r="O22" s="3">
        <f ca="1">VLOOKUP($B22&amp;$C22,data!$A:$U,10,FALSE)</f>
        <v>8</v>
      </c>
      <c r="P22" s="3">
        <f ca="1">VLOOKUP($B22&amp;$C22,data!$A:$U,11,FALSE)</f>
        <v>0</v>
      </c>
      <c r="Q22" s="3">
        <f ca="1">VLOOKUP($B22&amp;$C22,data!$A:$U,12,FALSE)</f>
        <v>0</v>
      </c>
      <c r="R22" s="3">
        <f ca="1">VLOOKUP($B22&amp;$C22,data!$A:$U,13,FALSE)</f>
        <v>0</v>
      </c>
      <c r="S22" s="3">
        <f ca="1">VLOOKUP($B22&amp;$C22,data!$A:$U,5,FALSE)</f>
        <v>8</v>
      </c>
      <c r="T22" s="3">
        <f ca="1">VLOOKUP($B22&amp;$C22,data!$A:$U,6,FALSE)</f>
        <v>8</v>
      </c>
      <c r="U22" s="3">
        <f ca="1">VLOOKUP($B22&amp;$C22,data!$A:$U,7,FALSE)</f>
        <v>0</v>
      </c>
      <c r="V22" s="16">
        <f>914424861660</f>
        <v>914424861660</v>
      </c>
      <c r="W22" s="12" t="s">
        <v>131</v>
      </c>
      <c r="X22" s="17" t="s">
        <v>132</v>
      </c>
      <c r="Y22" s="4" t="s">
        <v>133</v>
      </c>
      <c r="Z22" s="13">
        <f t="shared" ca="1" si="1"/>
        <v>0.75511446767632151</v>
      </c>
    </row>
    <row r="23" spans="1:26" ht="15.75" customHeight="1" x14ac:dyDescent="0.15">
      <c r="A23" s="3">
        <v>22</v>
      </c>
      <c r="B23" s="3" t="s">
        <v>4</v>
      </c>
      <c r="C23" s="3" t="s">
        <v>134</v>
      </c>
      <c r="D23" s="10">
        <f t="shared" ca="1" si="0"/>
        <v>0.32800000000000001</v>
      </c>
      <c r="E23" s="5">
        <f ca="1">VLOOKUP($B23&amp;$C23,data!$A:$U,20,FALSE)</f>
        <v>44305.3647106481</v>
      </c>
      <c r="F23" s="3" t="str">
        <f ca="1">VLOOKUP($B23&amp;$C23,data!$A:$U,21,FALSE)</f>
        <v>189 ( 168 positive + 21 Suspected )</v>
      </c>
      <c r="G23" s="3">
        <f ca="1">VLOOKUP($B23&amp;$C23,data!$A:$U,17,FALSE)</f>
        <v>5</v>
      </c>
      <c r="H23" s="3">
        <f ca="1">VLOOKUP($B23&amp;$C23,data!$A:$U,18,FALSE)</f>
        <v>2</v>
      </c>
      <c r="I23" s="3">
        <f ca="1">VLOOKUP($B23&amp;$C23,data!$A:$U,19,FALSE)</f>
        <v>3</v>
      </c>
      <c r="J23" s="3">
        <f ca="1">VLOOKUP($B23&amp;$C23,data!$A:$U,14,FALSE)</f>
        <v>14</v>
      </c>
      <c r="K23" s="3">
        <f ca="1">VLOOKUP($B23&amp;$C23,data!$A:$U,15,FALSE)</f>
        <v>14</v>
      </c>
      <c r="L23" s="3">
        <f ca="1">VLOOKUP($B23&amp;$C23,data!$A:$U,16,FALSE)</f>
        <v>0</v>
      </c>
      <c r="M23" s="3">
        <f ca="1">VLOOKUP($B23&amp;$C23,data!$A:$U,8,FALSE)</f>
        <v>91</v>
      </c>
      <c r="N23" s="3">
        <f ca="1">VLOOKUP($B23&amp;$C23,data!$A:$U,9,FALSE)</f>
        <v>91</v>
      </c>
      <c r="O23" s="3">
        <f ca="1">VLOOKUP($B23&amp;$C23,data!$A:$U,10,FALSE)</f>
        <v>0</v>
      </c>
      <c r="P23" s="3">
        <f ca="1">VLOOKUP($B23&amp;$C23,data!$A:$U,11,FALSE)</f>
        <v>145</v>
      </c>
      <c r="Q23" s="3">
        <f ca="1">VLOOKUP($B23&amp;$C23,data!$A:$U,12,FALSE)</f>
        <v>63</v>
      </c>
      <c r="R23" s="3">
        <f ca="1">VLOOKUP($B23&amp;$C23,data!$A:$U,13,FALSE)</f>
        <v>82</v>
      </c>
      <c r="S23" s="3">
        <f ca="1">VLOOKUP($B23&amp;$C23,data!$A:$U,5,FALSE)</f>
        <v>250</v>
      </c>
      <c r="T23" s="3">
        <f ca="1">VLOOKUP($B23&amp;$C23,data!$A:$U,6,FALSE)</f>
        <v>168</v>
      </c>
      <c r="U23" s="3">
        <f ca="1">VLOOKUP($B23&amp;$C23,data!$A:$U,7,FALSE)</f>
        <v>82</v>
      </c>
      <c r="V23" s="16">
        <f>914443402800</f>
        <v>914443402800</v>
      </c>
      <c r="W23" s="17" t="s">
        <v>135</v>
      </c>
      <c r="X23" s="17" t="s">
        <v>136</v>
      </c>
      <c r="Y23" s="4" t="s">
        <v>137</v>
      </c>
      <c r="Z23" s="13">
        <f t="shared" ca="1" si="1"/>
        <v>0.72219780097657349</v>
      </c>
    </row>
    <row r="24" spans="1:26" ht="15.75" customHeight="1" x14ac:dyDescent="0.15">
      <c r="A24" s="3">
        <v>23</v>
      </c>
      <c r="B24" s="3" t="s">
        <v>4</v>
      </c>
      <c r="C24" s="3" t="s">
        <v>138</v>
      </c>
      <c r="D24" s="10">
        <f t="shared" ca="1" si="0"/>
        <v>0.12307692307692308</v>
      </c>
      <c r="E24" s="5">
        <f ca="1">VLOOKUP($B24&amp;$C24,data!$A:$U,20,FALSE)</f>
        <v>44302.458483796298</v>
      </c>
      <c r="F24" s="3" t="str">
        <f ca="1">VLOOKUP($B24&amp;$C24,data!$A:$U,21,FALSE)</f>
        <v>16/04/2021</v>
      </c>
      <c r="G24" s="3">
        <f ca="1">VLOOKUP($B24&amp;$C24,data!$A:$U,17,FALSE)</f>
        <v>5</v>
      </c>
      <c r="H24" s="3">
        <f ca="1">VLOOKUP($B24&amp;$C24,data!$A:$U,18,FALSE)</f>
        <v>5</v>
      </c>
      <c r="I24" s="3">
        <f ca="1">VLOOKUP($B24&amp;$C24,data!$A:$U,19,FALSE)</f>
        <v>0</v>
      </c>
      <c r="J24" s="3">
        <f ca="1">VLOOKUP($B24&amp;$C24,data!$A:$U,14,FALSE)</f>
        <v>5</v>
      </c>
      <c r="K24" s="3">
        <f ca="1">VLOOKUP($B24&amp;$C24,data!$A:$U,15,FALSE)</f>
        <v>2</v>
      </c>
      <c r="L24" s="3">
        <f ca="1">VLOOKUP($B24&amp;$C24,data!$A:$U,16,FALSE)</f>
        <v>3</v>
      </c>
      <c r="M24" s="3">
        <f ca="1">VLOOKUP($B24&amp;$C24,data!$A:$U,8,FALSE)</f>
        <v>25</v>
      </c>
      <c r="N24" s="3">
        <f ca="1">VLOOKUP($B24&amp;$C24,data!$A:$U,9,FALSE)</f>
        <v>20</v>
      </c>
      <c r="O24" s="3">
        <f ca="1">VLOOKUP($B24&amp;$C24,data!$A:$U,10,FALSE)</f>
        <v>5</v>
      </c>
      <c r="P24" s="3">
        <f ca="1">VLOOKUP($B24&amp;$C24,data!$A:$U,11,FALSE)</f>
        <v>5</v>
      </c>
      <c r="Q24" s="3">
        <f ca="1">VLOOKUP($B24&amp;$C24,data!$A:$U,12,FALSE)</f>
        <v>0</v>
      </c>
      <c r="R24" s="3">
        <f ca="1">VLOOKUP($B24&amp;$C24,data!$A:$U,13,FALSE)</f>
        <v>0</v>
      </c>
      <c r="S24" s="3">
        <f ca="1">VLOOKUP($B24&amp;$C24,data!$A:$U,5,FALSE)</f>
        <v>30</v>
      </c>
      <c r="T24" s="3">
        <f ca="1">VLOOKUP($B24&amp;$C24,data!$A:$U,6,FALSE)</f>
        <v>30</v>
      </c>
      <c r="U24" s="3">
        <f ca="1">VLOOKUP($B24&amp;$C24,data!$A:$U,7,FALSE)</f>
        <v>0</v>
      </c>
      <c r="V24" s="16"/>
      <c r="W24" s="17" t="s">
        <v>139</v>
      </c>
      <c r="X24" s="12" t="s">
        <v>140</v>
      </c>
      <c r="Y24" s="4" t="s">
        <v>141</v>
      </c>
      <c r="Z24" s="13">
        <f t="shared" ca="1" si="1"/>
        <v>3.6284246527793584</v>
      </c>
    </row>
    <row r="25" spans="1:26" ht="15.75" customHeight="1" x14ac:dyDescent="0.15">
      <c r="A25" s="3">
        <v>24</v>
      </c>
      <c r="B25" s="3" t="s">
        <v>4</v>
      </c>
      <c r="C25" s="3" t="s">
        <v>142</v>
      </c>
      <c r="D25" s="10">
        <f t="shared" ca="1" si="0"/>
        <v>0</v>
      </c>
      <c r="E25" s="5">
        <f ca="1">VLOOKUP($B25&amp;$C25,data!$A:$U,20,FALSE)</f>
        <v>44305.337141203701</v>
      </c>
      <c r="F25" s="3" t="str">
        <f ca="1">VLOOKUP($B25&amp;$C25,data!$A:$U,21,FALSE)</f>
        <v>19/04/2021</v>
      </c>
      <c r="G25" s="3">
        <f ca="1">VLOOKUP($B25&amp;$C25,data!$A:$U,17,FALSE)</f>
        <v>5</v>
      </c>
      <c r="H25" s="3">
        <f ca="1">VLOOKUP($B25&amp;$C25,data!$A:$U,18,FALSE)</f>
        <v>5</v>
      </c>
      <c r="I25" s="3">
        <f ca="1">VLOOKUP($B25&amp;$C25,data!$A:$U,19,FALSE)</f>
        <v>0</v>
      </c>
      <c r="J25" s="3">
        <f ca="1">VLOOKUP($B25&amp;$C25,data!$A:$U,14,FALSE)</f>
        <v>15</v>
      </c>
      <c r="K25" s="3">
        <f ca="1">VLOOKUP($B25&amp;$C25,data!$A:$U,15,FALSE)</f>
        <v>15</v>
      </c>
      <c r="L25" s="3">
        <f ca="1">VLOOKUP($B25&amp;$C25,data!$A:$U,16,FALSE)</f>
        <v>0</v>
      </c>
      <c r="M25" s="3">
        <f ca="1">VLOOKUP($B25&amp;$C25,data!$A:$U,8,FALSE)</f>
        <v>165</v>
      </c>
      <c r="N25" s="3">
        <f ca="1">VLOOKUP($B25&amp;$C25,data!$A:$U,9,FALSE)</f>
        <v>165</v>
      </c>
      <c r="O25" s="3">
        <f ca="1">VLOOKUP($B25&amp;$C25,data!$A:$U,10,FALSE)</f>
        <v>0</v>
      </c>
      <c r="P25" s="3">
        <f ca="1">VLOOKUP($B25&amp;$C25,data!$A:$U,11,FALSE)</f>
        <v>0</v>
      </c>
      <c r="Q25" s="3">
        <f ca="1">VLOOKUP($B25&amp;$C25,data!$A:$U,12,FALSE)</f>
        <v>0</v>
      </c>
      <c r="R25" s="3">
        <f ca="1">VLOOKUP($B25&amp;$C25,data!$A:$U,13,FALSE)</f>
        <v>0</v>
      </c>
      <c r="S25" s="3">
        <f ca="1">VLOOKUP($B25&amp;$C25,data!$A:$U,5,FALSE)</f>
        <v>180</v>
      </c>
      <c r="T25" s="3">
        <f ca="1">VLOOKUP($B25&amp;$C25,data!$A:$U,6,FALSE)</f>
        <v>180</v>
      </c>
      <c r="U25" s="3">
        <f ca="1">VLOOKUP($B25&amp;$C25,data!$A:$U,7,FALSE)</f>
        <v>0</v>
      </c>
      <c r="V25" s="16">
        <f>914466300300</f>
        <v>914466300300</v>
      </c>
      <c r="W25" s="17" t="s">
        <v>143</v>
      </c>
      <c r="X25" s="17" t="s">
        <v>144</v>
      </c>
      <c r="Y25" s="19" t="s">
        <v>145</v>
      </c>
      <c r="Z25" s="13">
        <f t="shared" ca="1" si="1"/>
        <v>0.74976724537555128</v>
      </c>
    </row>
    <row r="26" spans="1:26" ht="15.75" customHeight="1" x14ac:dyDescent="0.15">
      <c r="A26" s="3">
        <v>25</v>
      </c>
      <c r="B26" s="3" t="s">
        <v>4</v>
      </c>
      <c r="C26" s="3" t="s">
        <v>146</v>
      </c>
      <c r="D26" s="10">
        <f t="shared" ca="1" si="0"/>
        <v>3.3333333333333333E-2</v>
      </c>
      <c r="E26" s="5">
        <f ca="1">VLOOKUP($B26&amp;$C26,data!$A:$U,20,FALSE)</f>
        <v>44303.522951388797</v>
      </c>
      <c r="F26" s="3" t="str">
        <f ca="1">VLOOKUP($B26&amp;$C26,data!$A:$U,21,FALSE)</f>
        <v>17-04-2021</v>
      </c>
      <c r="G26" s="3">
        <f ca="1">VLOOKUP($B26&amp;$C26,data!$A:$U,17,FALSE)</f>
        <v>8</v>
      </c>
      <c r="H26" s="3">
        <f ca="1">VLOOKUP($B26&amp;$C26,data!$A:$U,18,FALSE)</f>
        <v>8</v>
      </c>
      <c r="I26" s="3">
        <f ca="1">VLOOKUP($B26&amp;$C26,data!$A:$U,19,FALSE)</f>
        <v>0</v>
      </c>
      <c r="J26" s="3">
        <f ca="1">VLOOKUP($B26&amp;$C26,data!$A:$U,14,FALSE)</f>
        <v>8</v>
      </c>
      <c r="K26" s="3">
        <f ca="1">VLOOKUP($B26&amp;$C26,data!$A:$U,15,FALSE)</f>
        <v>8</v>
      </c>
      <c r="L26" s="3">
        <f ca="1">VLOOKUP($B26&amp;$C26,data!$A:$U,16,FALSE)</f>
        <v>0</v>
      </c>
      <c r="M26" s="3">
        <f ca="1">VLOOKUP($B26&amp;$C26,data!$A:$U,8,FALSE)</f>
        <v>22</v>
      </c>
      <c r="N26" s="3">
        <f ca="1">VLOOKUP($B26&amp;$C26,data!$A:$U,9,FALSE)</f>
        <v>22</v>
      </c>
      <c r="O26" s="3">
        <f ca="1">VLOOKUP($B26&amp;$C26,data!$A:$U,10,FALSE)</f>
        <v>0</v>
      </c>
      <c r="P26" s="3">
        <f ca="1">VLOOKUP($B26&amp;$C26,data!$A:$U,11,FALSE)</f>
        <v>0</v>
      </c>
      <c r="Q26" s="3">
        <f ca="1">VLOOKUP($B26&amp;$C26,data!$A:$U,12,FALSE)</f>
        <v>0</v>
      </c>
      <c r="R26" s="3">
        <f ca="1">VLOOKUP($B26&amp;$C26,data!$A:$U,13,FALSE)</f>
        <v>0</v>
      </c>
      <c r="S26" s="3">
        <f ca="1">VLOOKUP($B26&amp;$C26,data!$A:$U,5,FALSE)</f>
        <v>30</v>
      </c>
      <c r="T26" s="3">
        <f ca="1">VLOOKUP($B26&amp;$C26,data!$A:$U,6,FALSE)</f>
        <v>28</v>
      </c>
      <c r="U26" s="3">
        <f ca="1">VLOOKUP($B26&amp;$C26,data!$A:$U,7,FALSE)</f>
        <v>2</v>
      </c>
      <c r="V26" s="16"/>
      <c r="W26" s="9"/>
      <c r="X26" s="9"/>
      <c r="Y26" s="3"/>
      <c r="Z26" s="13">
        <f t="shared" ca="1" si="1"/>
        <v>2.5639570602797903</v>
      </c>
    </row>
    <row r="27" spans="1:26" ht="15.75" customHeight="1" x14ac:dyDescent="0.15">
      <c r="A27" s="3">
        <v>26</v>
      </c>
      <c r="B27" s="3" t="s">
        <v>4</v>
      </c>
      <c r="C27" s="3" t="s">
        <v>147</v>
      </c>
      <c r="D27" s="10">
        <f t="shared" ca="1" si="0"/>
        <v>0</v>
      </c>
      <c r="E27" s="5">
        <f ca="1">VLOOKUP($B27&amp;$C27,data!$A:$U,20,FALSE)</f>
        <v>44305.689004629603</v>
      </c>
      <c r="F27" s="3" t="str">
        <f ca="1">VLOOKUP($B27&amp;$C27,data!$A:$U,21,FALSE)</f>
        <v>C PAP - NIL CASES, BPAP - NIL CASES, Updated</v>
      </c>
      <c r="G27" s="3">
        <f ca="1">VLOOKUP($B27&amp;$C27,data!$A:$U,17,FALSE)</f>
        <v>2</v>
      </c>
      <c r="H27" s="3">
        <f ca="1">VLOOKUP($B27&amp;$C27,data!$A:$U,18,FALSE)</f>
        <v>2</v>
      </c>
      <c r="I27" s="3">
        <f ca="1">VLOOKUP($B27&amp;$C27,data!$A:$U,19,FALSE)</f>
        <v>0</v>
      </c>
      <c r="J27" s="3">
        <f ca="1">VLOOKUP($B27&amp;$C27,data!$A:$U,14,FALSE)</f>
        <v>10</v>
      </c>
      <c r="K27" s="3">
        <f ca="1">VLOOKUP($B27&amp;$C27,data!$A:$U,15,FALSE)</f>
        <v>10</v>
      </c>
      <c r="L27" s="3">
        <f ca="1">VLOOKUP($B27&amp;$C27,data!$A:$U,16,FALSE)</f>
        <v>0</v>
      </c>
      <c r="M27" s="3">
        <f ca="1">VLOOKUP($B27&amp;$C27,data!$A:$U,8,FALSE)</f>
        <v>4</v>
      </c>
      <c r="N27" s="3">
        <f ca="1">VLOOKUP($B27&amp;$C27,data!$A:$U,9,FALSE)</f>
        <v>4</v>
      </c>
      <c r="O27" s="3">
        <f ca="1">VLOOKUP($B27&amp;$C27,data!$A:$U,10,FALSE)</f>
        <v>0</v>
      </c>
      <c r="P27" s="3">
        <f ca="1">VLOOKUP($B27&amp;$C27,data!$A:$U,11,FALSE)</f>
        <v>0</v>
      </c>
      <c r="Q27" s="3">
        <f ca="1">VLOOKUP($B27&amp;$C27,data!$A:$U,12,FALSE)</f>
        <v>0</v>
      </c>
      <c r="R27" s="3">
        <f ca="1">VLOOKUP($B27&amp;$C27,data!$A:$U,13,FALSE)</f>
        <v>0</v>
      </c>
      <c r="S27" s="3">
        <f ca="1">VLOOKUP($B27&amp;$C27,data!$A:$U,5,FALSE)</f>
        <v>0</v>
      </c>
      <c r="T27" s="3">
        <f ca="1">VLOOKUP($B27&amp;$C27,data!$A:$U,6,FALSE)</f>
        <v>0</v>
      </c>
      <c r="U27" s="3">
        <f ca="1">VLOOKUP($B27&amp;$C27,data!$A:$U,7,FALSE)</f>
        <v>0</v>
      </c>
      <c r="V27" s="16"/>
      <c r="W27" s="9"/>
      <c r="X27" s="9"/>
      <c r="Y27" s="3"/>
      <c r="Z27" s="13">
        <f t="shared" ca="1" si="1"/>
        <v>0.39790381947386777</v>
      </c>
    </row>
    <row r="28" spans="1:26" ht="15.75" customHeight="1" x14ac:dyDescent="0.15">
      <c r="A28" s="3">
        <v>27</v>
      </c>
      <c r="B28" s="3" t="s">
        <v>4</v>
      </c>
      <c r="C28" s="3" t="s">
        <v>148</v>
      </c>
      <c r="D28" s="10">
        <f t="shared" ca="1" si="0"/>
        <v>1</v>
      </c>
      <c r="E28" s="5">
        <f ca="1">VLOOKUP($B28&amp;$C28,data!$A:$U,20,FALSE)</f>
        <v>44305.438946759197</v>
      </c>
      <c r="F28" s="3" t="str">
        <f ca="1">VLOOKUP($B28&amp;$C28,data!$A:$U,21,FALSE)</f>
        <v>19-04-2021</v>
      </c>
      <c r="G28" s="3">
        <f ca="1">VLOOKUP($B28&amp;$C28,data!$A:$U,17,FALSE)</f>
        <v>0</v>
      </c>
      <c r="H28" s="3">
        <f ca="1">VLOOKUP($B28&amp;$C28,data!$A:$U,18,FALSE)</f>
        <v>0</v>
      </c>
      <c r="I28" s="3">
        <f ca="1">VLOOKUP($B28&amp;$C28,data!$A:$U,19,FALSE)</f>
        <v>0</v>
      </c>
      <c r="J28" s="3">
        <f ca="1">VLOOKUP($B28&amp;$C28,data!$A:$U,14,FALSE)</f>
        <v>4</v>
      </c>
      <c r="K28" s="3">
        <f ca="1">VLOOKUP($B28&amp;$C28,data!$A:$U,15,FALSE)</f>
        <v>0</v>
      </c>
      <c r="L28" s="3">
        <f ca="1">VLOOKUP($B28&amp;$C28,data!$A:$U,16,FALSE)</f>
        <v>4</v>
      </c>
      <c r="M28" s="3">
        <f ca="1">VLOOKUP($B28&amp;$C28,data!$A:$U,8,FALSE)</f>
        <v>4</v>
      </c>
      <c r="N28" s="3">
        <f ca="1">VLOOKUP($B28&amp;$C28,data!$A:$U,9,FALSE)</f>
        <v>0</v>
      </c>
      <c r="O28" s="3">
        <f ca="1">VLOOKUP($B28&amp;$C28,data!$A:$U,10,FALSE)</f>
        <v>4</v>
      </c>
      <c r="P28" s="3">
        <f ca="1">VLOOKUP($B28&amp;$C28,data!$A:$U,11,FALSE)</f>
        <v>2</v>
      </c>
      <c r="Q28" s="3">
        <f ca="1">VLOOKUP($B28&amp;$C28,data!$A:$U,12,FALSE)</f>
        <v>0</v>
      </c>
      <c r="R28" s="3">
        <f ca="1">VLOOKUP($B28&amp;$C28,data!$A:$U,13,FALSE)</f>
        <v>2</v>
      </c>
      <c r="S28" s="3">
        <f ca="1">VLOOKUP($B28&amp;$C28,data!$A:$U,5,FALSE)</f>
        <v>10</v>
      </c>
      <c r="T28" s="3">
        <f ca="1">VLOOKUP($B28&amp;$C28,data!$A:$U,6,FALSE)</f>
        <v>0</v>
      </c>
      <c r="U28" s="3">
        <f ca="1">VLOOKUP($B28&amp;$C28,data!$A:$U,7,FALSE)</f>
        <v>10</v>
      </c>
      <c r="V28" s="16">
        <f>914424341790</f>
        <v>914424341790</v>
      </c>
      <c r="W28" s="17" t="s">
        <v>149</v>
      </c>
      <c r="X28" s="17" t="s">
        <v>150</v>
      </c>
      <c r="Y28" s="4" t="s">
        <v>151</v>
      </c>
      <c r="Z28" s="13">
        <f t="shared" ca="1" si="1"/>
        <v>0.64796168987959391</v>
      </c>
    </row>
    <row r="29" spans="1:26" ht="15.75" customHeight="1" x14ac:dyDescent="0.15">
      <c r="A29" s="3">
        <v>28</v>
      </c>
      <c r="B29" s="3" t="s">
        <v>4</v>
      </c>
      <c r="C29" s="3" t="s">
        <v>152</v>
      </c>
      <c r="D29" s="10">
        <f t="shared" ca="1" si="0"/>
        <v>0.9</v>
      </c>
      <c r="E29" s="5">
        <f ca="1">VLOOKUP($B29&amp;$C29,data!$A:$U,20,FALSE)</f>
        <v>44305.347627314797</v>
      </c>
      <c r="F29" s="3" t="str">
        <f ca="1">VLOOKUP($B29&amp;$C29,data!$A:$U,21,FALSE)</f>
        <v>19-04-2021</v>
      </c>
      <c r="G29" s="3">
        <f ca="1">VLOOKUP($B29&amp;$C29,data!$A:$U,17,FALSE)</f>
        <v>4</v>
      </c>
      <c r="H29" s="3">
        <f ca="1">VLOOKUP($B29&amp;$C29,data!$A:$U,18,FALSE)</f>
        <v>1</v>
      </c>
      <c r="I29" s="3">
        <f ca="1">VLOOKUP($B29&amp;$C29,data!$A:$U,19,FALSE)</f>
        <v>4</v>
      </c>
      <c r="J29" s="3">
        <f ca="1">VLOOKUP($B29&amp;$C29,data!$A:$U,14,FALSE)</f>
        <v>10</v>
      </c>
      <c r="K29" s="3">
        <f ca="1">VLOOKUP($B29&amp;$C29,data!$A:$U,15,FALSE)</f>
        <v>1</v>
      </c>
      <c r="L29" s="3">
        <f ca="1">VLOOKUP($B29&amp;$C29,data!$A:$U,16,FALSE)</f>
        <v>9</v>
      </c>
      <c r="M29" s="3">
        <f ca="1">VLOOKUP($B29&amp;$C29,data!$A:$U,8,FALSE)</f>
        <v>0</v>
      </c>
      <c r="N29" s="3">
        <f ca="1">VLOOKUP($B29&amp;$C29,data!$A:$U,9,FALSE)</f>
        <v>0</v>
      </c>
      <c r="O29" s="3">
        <f ca="1">VLOOKUP($B29&amp;$C29,data!$A:$U,10,FALSE)</f>
        <v>0</v>
      </c>
      <c r="P29" s="3">
        <f ca="1">VLOOKUP($B29&amp;$C29,data!$A:$U,11,FALSE)</f>
        <v>0</v>
      </c>
      <c r="Q29" s="3">
        <f ca="1">VLOOKUP($B29&amp;$C29,data!$A:$U,12,FALSE)</f>
        <v>0</v>
      </c>
      <c r="R29" s="3">
        <f ca="1">VLOOKUP($B29&amp;$C29,data!$A:$U,13,FALSE)</f>
        <v>0</v>
      </c>
      <c r="S29" s="3">
        <f ca="1">VLOOKUP($B29&amp;$C29,data!$A:$U,5,FALSE)</f>
        <v>10</v>
      </c>
      <c r="T29" s="3">
        <f ca="1">VLOOKUP($B29&amp;$C29,data!$A:$U,6,FALSE)</f>
        <v>1</v>
      </c>
      <c r="U29" s="3">
        <f ca="1">VLOOKUP($B29&amp;$C29,data!$A:$U,7,FALSE)</f>
        <v>9</v>
      </c>
      <c r="V29" s="16">
        <f>914443903333</f>
        <v>914443903333</v>
      </c>
      <c r="W29" s="17" t="s">
        <v>153</v>
      </c>
      <c r="X29" s="17" t="s">
        <v>154</v>
      </c>
      <c r="Y29" s="4" t="s">
        <v>155</v>
      </c>
      <c r="Z29" s="13">
        <f t="shared" ca="1" si="1"/>
        <v>0.73928113427973585</v>
      </c>
    </row>
    <row r="30" spans="1:26" ht="15.75" customHeight="1" x14ac:dyDescent="0.15">
      <c r="A30" s="3">
        <v>29</v>
      </c>
      <c r="B30" s="3" t="s">
        <v>4</v>
      </c>
      <c r="C30" s="3" t="s">
        <v>156</v>
      </c>
      <c r="D30" s="10">
        <f t="shared" ca="1" si="0"/>
        <v>1</v>
      </c>
      <c r="E30" s="5">
        <f ca="1">VLOOKUP($B30&amp;$C30,data!$A:$U,20,FALSE)</f>
        <v>44264.765300925901</v>
      </c>
      <c r="F30" s="3" t="str">
        <f ca="1">VLOOKUP($B30&amp;$C30,data!$A:$U,21,FALSE)</f>
        <v>09.03.2021</v>
      </c>
      <c r="G30" s="3">
        <f ca="1">VLOOKUP($B30&amp;$C30,data!$A:$U,17,FALSE)</f>
        <v>1</v>
      </c>
      <c r="H30" s="3">
        <f ca="1">VLOOKUP($B30&amp;$C30,data!$A:$U,18,FALSE)</f>
        <v>0</v>
      </c>
      <c r="I30" s="3">
        <f ca="1">VLOOKUP($B30&amp;$C30,data!$A:$U,19,FALSE)</f>
        <v>1</v>
      </c>
      <c r="J30" s="3">
        <f ca="1">VLOOKUP($B30&amp;$C30,data!$A:$U,14,FALSE)</f>
        <v>1</v>
      </c>
      <c r="K30" s="3">
        <f ca="1">VLOOKUP($B30&amp;$C30,data!$A:$U,15,FALSE)</f>
        <v>0</v>
      </c>
      <c r="L30" s="3">
        <f ca="1">VLOOKUP($B30&amp;$C30,data!$A:$U,16,FALSE)</f>
        <v>1</v>
      </c>
      <c r="M30" s="3">
        <f ca="1">VLOOKUP($B30&amp;$C30,data!$A:$U,8,FALSE)</f>
        <v>4</v>
      </c>
      <c r="N30" s="3">
        <f ca="1">VLOOKUP($B30&amp;$C30,data!$A:$U,9,FALSE)</f>
        <v>0</v>
      </c>
      <c r="O30" s="3">
        <f ca="1">VLOOKUP($B30&amp;$C30,data!$A:$U,10,FALSE)</f>
        <v>4</v>
      </c>
      <c r="P30" s="3">
        <f ca="1">VLOOKUP($B30&amp;$C30,data!$A:$U,11,FALSE)</f>
        <v>0</v>
      </c>
      <c r="Q30" s="3">
        <f ca="1">VLOOKUP($B30&amp;$C30,data!$A:$U,12,FALSE)</f>
        <v>0</v>
      </c>
      <c r="R30" s="3">
        <f ca="1">VLOOKUP($B30&amp;$C30,data!$A:$U,13,FALSE)</f>
        <v>0</v>
      </c>
      <c r="S30" s="3">
        <f ca="1">VLOOKUP($B30&amp;$C30,data!$A:$U,5,FALSE)</f>
        <v>4</v>
      </c>
      <c r="T30" s="3">
        <f ca="1">VLOOKUP($B30&amp;$C30,data!$A:$U,6,FALSE)</f>
        <v>0</v>
      </c>
      <c r="U30" s="3">
        <f ca="1">VLOOKUP($B30&amp;$C30,data!$A:$U,7,FALSE)</f>
        <v>4</v>
      </c>
      <c r="V30" s="16"/>
      <c r="W30" s="9"/>
      <c r="X30" s="9"/>
      <c r="Y30" s="3"/>
      <c r="Z30" s="13">
        <f t="shared" ca="1" si="1"/>
        <v>41.321607523175771</v>
      </c>
    </row>
    <row r="31" spans="1:26" ht="15.75" customHeight="1" x14ac:dyDescent="0.15">
      <c r="A31" s="3">
        <v>30</v>
      </c>
      <c r="B31" s="3" t="s">
        <v>4</v>
      </c>
      <c r="C31" s="3" t="s">
        <v>157</v>
      </c>
      <c r="D31" s="10">
        <f t="shared" ca="1" si="0"/>
        <v>4.4444444444444446E-2</v>
      </c>
      <c r="E31" s="5">
        <f ca="1">VLOOKUP($B31&amp;$C31,data!$A:$U,20,FALSE)</f>
        <v>44305.413460648102</v>
      </c>
      <c r="F31" s="3" t="str">
        <f ca="1">VLOOKUP($B31&amp;$C31,data!$A:$U,21,FALSE)</f>
        <v>19.04.21</v>
      </c>
      <c r="G31" s="3">
        <f ca="1">VLOOKUP($B31&amp;$C31,data!$A:$U,17,FALSE)</f>
        <v>5</v>
      </c>
      <c r="H31" s="3">
        <f ca="1">VLOOKUP($B31&amp;$C31,data!$A:$U,18,FALSE)</f>
        <v>3</v>
      </c>
      <c r="I31" s="3">
        <f ca="1">VLOOKUP($B31&amp;$C31,data!$A:$U,19,FALSE)</f>
        <v>0</v>
      </c>
      <c r="J31" s="3">
        <f ca="1">VLOOKUP($B31&amp;$C31,data!$A:$U,14,FALSE)</f>
        <v>10</v>
      </c>
      <c r="K31" s="3">
        <f ca="1">VLOOKUP($B31&amp;$C31,data!$A:$U,15,FALSE)</f>
        <v>9</v>
      </c>
      <c r="L31" s="3">
        <f ca="1">VLOOKUP($B31&amp;$C31,data!$A:$U,16,FALSE)</f>
        <v>1</v>
      </c>
      <c r="M31" s="3">
        <f ca="1">VLOOKUP($B31&amp;$C31,data!$A:$U,8,FALSE)</f>
        <v>25</v>
      </c>
      <c r="N31" s="3">
        <f ca="1">VLOOKUP($B31&amp;$C31,data!$A:$U,9,FALSE)</f>
        <v>25</v>
      </c>
      <c r="O31" s="3">
        <f ca="1">VLOOKUP($B31&amp;$C31,data!$A:$U,10,FALSE)</f>
        <v>0</v>
      </c>
      <c r="P31" s="3">
        <f ca="1">VLOOKUP($B31&amp;$C31,data!$A:$U,11,FALSE)</f>
        <v>10</v>
      </c>
      <c r="Q31" s="3">
        <f ca="1">VLOOKUP($B31&amp;$C31,data!$A:$U,12,FALSE)</f>
        <v>9</v>
      </c>
      <c r="R31" s="3">
        <f ca="1">VLOOKUP($B31&amp;$C31,data!$A:$U,13,FALSE)</f>
        <v>1</v>
      </c>
      <c r="S31" s="3">
        <f ca="1">VLOOKUP($B31&amp;$C31,data!$A:$U,5,FALSE)</f>
        <v>45</v>
      </c>
      <c r="T31" s="3">
        <f ca="1">VLOOKUP($B31&amp;$C31,data!$A:$U,6,FALSE)</f>
        <v>43</v>
      </c>
      <c r="U31" s="3">
        <f ca="1">VLOOKUP($B31&amp;$C31,data!$A:$U,7,FALSE)</f>
        <v>2</v>
      </c>
      <c r="V31" s="16"/>
      <c r="W31" s="9"/>
      <c r="X31" s="9"/>
      <c r="Y31" s="3"/>
      <c r="Z31" s="13">
        <f t="shared" ca="1" si="1"/>
        <v>0.67344780097482726</v>
      </c>
    </row>
    <row r="32" spans="1:26" ht="15.75" customHeight="1" x14ac:dyDescent="0.15">
      <c r="A32" s="3">
        <v>31</v>
      </c>
      <c r="B32" s="3" t="s">
        <v>4</v>
      </c>
      <c r="C32" s="3" t="s">
        <v>158</v>
      </c>
      <c r="D32" s="10">
        <f t="shared" ca="1" si="0"/>
        <v>0</v>
      </c>
      <c r="E32" s="5">
        <f ca="1">VLOOKUP($B32&amp;$C32,data!$A:$U,20,FALSE)</f>
        <v>44305.422453703701</v>
      </c>
      <c r="F32" s="3" t="str">
        <f ca="1">VLOOKUP($B32&amp;$C32,data!$A:$U,21,FALSE)</f>
        <v>19.04.2021</v>
      </c>
      <c r="G32" s="3">
        <f ca="1">VLOOKUP($B32&amp;$C32,data!$A:$U,17,FALSE)</f>
        <v>1</v>
      </c>
      <c r="H32" s="3">
        <f ca="1">VLOOKUP($B32&amp;$C32,data!$A:$U,18,FALSE)</f>
        <v>1</v>
      </c>
      <c r="I32" s="3">
        <f ca="1">VLOOKUP($B32&amp;$C32,data!$A:$U,19,FALSE)</f>
        <v>0</v>
      </c>
      <c r="J32" s="3">
        <f ca="1">VLOOKUP($B32&amp;$C32,data!$A:$U,14,FALSE)</f>
        <v>4</v>
      </c>
      <c r="K32" s="3">
        <f ca="1">VLOOKUP($B32&amp;$C32,data!$A:$U,15,FALSE)</f>
        <v>4</v>
      </c>
      <c r="L32" s="3">
        <f ca="1">VLOOKUP($B32&amp;$C32,data!$A:$U,16,FALSE)</f>
        <v>0</v>
      </c>
      <c r="M32" s="3">
        <f ca="1">VLOOKUP($B32&amp;$C32,data!$A:$U,8,FALSE)</f>
        <v>10</v>
      </c>
      <c r="N32" s="3">
        <f ca="1">VLOOKUP($B32&amp;$C32,data!$A:$U,9,FALSE)</f>
        <v>14</v>
      </c>
      <c r="O32" s="3">
        <f ca="1">VLOOKUP($B32&amp;$C32,data!$A:$U,10,FALSE)</f>
        <v>0</v>
      </c>
      <c r="P32" s="3">
        <f ca="1">VLOOKUP($B32&amp;$C32,data!$A:$U,11,FALSE)</f>
        <v>10</v>
      </c>
      <c r="Q32" s="3">
        <f ca="1">VLOOKUP($B32&amp;$C32,data!$A:$U,12,FALSE)</f>
        <v>6</v>
      </c>
      <c r="R32" s="3">
        <f ca="1">VLOOKUP($B32&amp;$C32,data!$A:$U,13,FALSE)</f>
        <v>0</v>
      </c>
      <c r="S32" s="3">
        <f ca="1">VLOOKUP($B32&amp;$C32,data!$A:$U,5,FALSE)</f>
        <v>14</v>
      </c>
      <c r="T32" s="3">
        <f ca="1">VLOOKUP($B32&amp;$C32,data!$A:$U,6,FALSE)</f>
        <v>14</v>
      </c>
      <c r="U32" s="3">
        <f ca="1">VLOOKUP($B32&amp;$C32,data!$A:$U,7,FALSE)</f>
        <v>0</v>
      </c>
      <c r="V32" s="16"/>
      <c r="W32" s="9"/>
      <c r="X32" s="9"/>
      <c r="Y32" s="3"/>
      <c r="Z32" s="13">
        <f t="shared" ca="1" si="1"/>
        <v>0.66445474537613336</v>
      </c>
    </row>
    <row r="33" spans="1:26" ht="15.75" customHeight="1" x14ac:dyDescent="0.15">
      <c r="A33" s="3">
        <v>32</v>
      </c>
      <c r="B33" s="3" t="s">
        <v>4</v>
      </c>
      <c r="C33" s="3" t="s">
        <v>159</v>
      </c>
      <c r="D33" s="10">
        <f t="shared" ca="1" si="0"/>
        <v>7.0000000000000007E-2</v>
      </c>
      <c r="E33" s="5">
        <f ca="1">VLOOKUP($B33&amp;$C33,data!$A:$U,20,FALSE)</f>
        <v>44305.438310185098</v>
      </c>
      <c r="F33" s="3" t="str">
        <f ca="1">VLOOKUP($B33&amp;$C33,data!$A:$U,21,FALSE)</f>
        <v>19/04/2021</v>
      </c>
      <c r="G33" s="3">
        <f ca="1">VLOOKUP($B33&amp;$C33,data!$A:$U,17,FALSE)</f>
        <v>3</v>
      </c>
      <c r="H33" s="3">
        <f ca="1">VLOOKUP($B33&amp;$C33,data!$A:$U,18,FALSE)</f>
        <v>1</v>
      </c>
      <c r="I33" s="3">
        <f ca="1">VLOOKUP($B33&amp;$C33,data!$A:$U,19,FALSE)</f>
        <v>2</v>
      </c>
      <c r="J33" s="3">
        <f ca="1">VLOOKUP($B33&amp;$C33,data!$A:$U,14,FALSE)</f>
        <v>5</v>
      </c>
      <c r="K33" s="3">
        <f ca="1">VLOOKUP($B33&amp;$C33,data!$A:$U,15,FALSE)</f>
        <v>5</v>
      </c>
      <c r="L33" s="3">
        <f ca="1">VLOOKUP($B33&amp;$C33,data!$A:$U,16,FALSE)</f>
        <v>0</v>
      </c>
      <c r="M33" s="3">
        <f ca="1">VLOOKUP($B33&amp;$C33,data!$A:$U,8,FALSE)</f>
        <v>35</v>
      </c>
      <c r="N33" s="3">
        <f ca="1">VLOOKUP($B33&amp;$C33,data!$A:$U,9,FALSE)</f>
        <v>35</v>
      </c>
      <c r="O33" s="3">
        <f ca="1">VLOOKUP($B33&amp;$C33,data!$A:$U,10,FALSE)</f>
        <v>0</v>
      </c>
      <c r="P33" s="3">
        <f ca="1">VLOOKUP($B33&amp;$C33,data!$A:$U,11,FALSE)</f>
        <v>10</v>
      </c>
      <c r="Q33" s="3">
        <f ca="1">VLOOKUP($B33&amp;$C33,data!$A:$U,12,FALSE)</f>
        <v>0</v>
      </c>
      <c r="R33" s="3">
        <f ca="1">VLOOKUP($B33&amp;$C33,data!$A:$U,13,FALSE)</f>
        <v>0</v>
      </c>
      <c r="S33" s="3">
        <f ca="1">VLOOKUP($B33&amp;$C33,data!$A:$U,5,FALSE)</f>
        <v>50</v>
      </c>
      <c r="T33" s="3">
        <f ca="1">VLOOKUP($B33&amp;$C33,data!$A:$U,6,FALSE)</f>
        <v>43</v>
      </c>
      <c r="U33" s="3">
        <f ca="1">VLOOKUP($B33&amp;$C33,data!$A:$U,7,FALSE)</f>
        <v>7</v>
      </c>
      <c r="V33" s="16"/>
      <c r="W33" s="9"/>
      <c r="X33" s="9"/>
      <c r="Y33" s="3"/>
      <c r="Z33" s="13">
        <f t="shared" ca="1" si="1"/>
        <v>0.64859826397878351</v>
      </c>
    </row>
    <row r="34" spans="1:26" ht="15.75" customHeight="1" x14ac:dyDescent="0.15">
      <c r="A34" s="3">
        <v>33</v>
      </c>
      <c r="B34" s="3" t="s">
        <v>4</v>
      </c>
      <c r="C34" s="3" t="s">
        <v>160</v>
      </c>
      <c r="D34" s="10">
        <f t="shared" ca="1" si="0"/>
        <v>0.18181818181818182</v>
      </c>
      <c r="E34" s="5">
        <f ca="1">VLOOKUP($B34&amp;$C34,data!$A:$U,20,FALSE)</f>
        <v>44305.4110069444</v>
      </c>
      <c r="F34" s="3">
        <f ca="1">VLOOKUP($B34&amp;$C34,data!$A:$U,21,FALSE)</f>
        <v>0</v>
      </c>
      <c r="G34" s="3">
        <f ca="1">VLOOKUP($B34&amp;$C34,data!$A:$U,17,FALSE)</f>
        <v>1</v>
      </c>
      <c r="H34" s="3">
        <f ca="1">VLOOKUP($B34&amp;$C34,data!$A:$U,18,FALSE)</f>
        <v>0</v>
      </c>
      <c r="I34" s="3">
        <f ca="1">VLOOKUP($B34&amp;$C34,data!$A:$U,19,FALSE)</f>
        <v>0</v>
      </c>
      <c r="J34" s="3">
        <f ca="1">VLOOKUP($B34&amp;$C34,data!$A:$U,14,FALSE)</f>
        <v>2</v>
      </c>
      <c r="K34" s="3">
        <f ca="1">VLOOKUP($B34&amp;$C34,data!$A:$U,15,FALSE)</f>
        <v>0</v>
      </c>
      <c r="L34" s="3">
        <f ca="1">VLOOKUP($B34&amp;$C34,data!$A:$U,16,FALSE)</f>
        <v>0</v>
      </c>
      <c r="M34" s="3">
        <f ca="1">VLOOKUP($B34&amp;$C34,data!$A:$U,8,FALSE)</f>
        <v>10</v>
      </c>
      <c r="N34" s="3">
        <f ca="1">VLOOKUP($B34&amp;$C34,data!$A:$U,9,FALSE)</f>
        <v>8</v>
      </c>
      <c r="O34" s="3">
        <f ca="1">VLOOKUP($B34&amp;$C34,data!$A:$U,10,FALSE)</f>
        <v>2</v>
      </c>
      <c r="P34" s="3">
        <f ca="1">VLOOKUP($B34&amp;$C34,data!$A:$U,11,FALSE)</f>
        <v>0</v>
      </c>
      <c r="Q34" s="3">
        <f ca="1">VLOOKUP($B34&amp;$C34,data!$A:$U,12,FALSE)</f>
        <v>0</v>
      </c>
      <c r="R34" s="3">
        <f ca="1">VLOOKUP($B34&amp;$C34,data!$A:$U,13,FALSE)</f>
        <v>0</v>
      </c>
      <c r="S34" s="3">
        <f ca="1">VLOOKUP($B34&amp;$C34,data!$A:$U,5,FALSE)</f>
        <v>10</v>
      </c>
      <c r="T34" s="3">
        <f ca="1">VLOOKUP($B34&amp;$C34,data!$A:$U,6,FALSE)</f>
        <v>8</v>
      </c>
      <c r="U34" s="3">
        <f ca="1">VLOOKUP($B34&amp;$C34,data!$A:$U,7,FALSE)</f>
        <v>2</v>
      </c>
      <c r="V34" s="16"/>
      <c r="W34" s="9"/>
      <c r="X34" s="9"/>
      <c r="Y34" s="3"/>
      <c r="Z34" s="13">
        <f t="shared" ca="1" si="1"/>
        <v>0.67590150467731291</v>
      </c>
    </row>
    <row r="35" spans="1:26" ht="15.75" customHeight="1" x14ac:dyDescent="0.15">
      <c r="A35" s="3">
        <v>34</v>
      </c>
      <c r="B35" s="3" t="s">
        <v>4</v>
      </c>
      <c r="C35" s="3" t="s">
        <v>161</v>
      </c>
      <c r="D35" s="10">
        <f t="shared" ca="1" si="0"/>
        <v>0.66666666666666663</v>
      </c>
      <c r="E35" s="5">
        <f ca="1">VLOOKUP($B35&amp;$C35,data!$A:$U,20,FALSE)</f>
        <v>44305.416412036997</v>
      </c>
      <c r="F35" s="3" t="str">
        <f ca="1">VLOOKUP($B35&amp;$C35,data!$A:$U,21,FALSE)</f>
        <v>19/04/2021</v>
      </c>
      <c r="G35" s="3">
        <f ca="1">VLOOKUP($B35&amp;$C35,data!$A:$U,17,FALSE)</f>
        <v>2</v>
      </c>
      <c r="H35" s="3">
        <f ca="1">VLOOKUP($B35&amp;$C35,data!$A:$U,18,FALSE)</f>
        <v>1</v>
      </c>
      <c r="I35" s="3">
        <f ca="1">VLOOKUP($B35&amp;$C35,data!$A:$U,19,FALSE)</f>
        <v>1</v>
      </c>
      <c r="J35" s="3">
        <f ca="1">VLOOKUP($B35&amp;$C35,data!$A:$U,14,FALSE)</f>
        <v>2</v>
      </c>
      <c r="K35" s="3">
        <f ca="1">VLOOKUP($B35&amp;$C35,data!$A:$U,15,FALSE)</f>
        <v>2</v>
      </c>
      <c r="L35" s="3">
        <f ca="1">VLOOKUP($B35&amp;$C35,data!$A:$U,16,FALSE)</f>
        <v>0</v>
      </c>
      <c r="M35" s="3">
        <f ca="1">VLOOKUP($B35&amp;$C35,data!$A:$U,8,FALSE)</f>
        <v>10</v>
      </c>
      <c r="N35" s="3">
        <f ca="1">VLOOKUP($B35&amp;$C35,data!$A:$U,9,FALSE)</f>
        <v>2</v>
      </c>
      <c r="O35" s="3">
        <f ca="1">VLOOKUP($B35&amp;$C35,data!$A:$U,10,FALSE)</f>
        <v>8</v>
      </c>
      <c r="P35" s="3">
        <f ca="1">VLOOKUP($B35&amp;$C35,data!$A:$U,11,FALSE)</f>
        <v>0</v>
      </c>
      <c r="Q35" s="3">
        <f ca="1">VLOOKUP($B35&amp;$C35,data!$A:$U,12,FALSE)</f>
        <v>0</v>
      </c>
      <c r="R35" s="3">
        <f ca="1">VLOOKUP($B35&amp;$C35,data!$A:$U,13,FALSE)</f>
        <v>0</v>
      </c>
      <c r="S35" s="3">
        <f ca="1">VLOOKUP($B35&amp;$C35,data!$A:$U,5,FALSE)</f>
        <v>12</v>
      </c>
      <c r="T35" s="3">
        <f ca="1">VLOOKUP($B35&amp;$C35,data!$A:$U,6,FALSE)</f>
        <v>4</v>
      </c>
      <c r="U35" s="3">
        <f ca="1">VLOOKUP($B35&amp;$C35,data!$A:$U,7,FALSE)</f>
        <v>8</v>
      </c>
      <c r="V35" s="16">
        <f>914442001800</f>
        <v>914442001800</v>
      </c>
      <c r="W35" s="17" t="s">
        <v>162</v>
      </c>
      <c r="X35" s="17" t="s">
        <v>163</v>
      </c>
      <c r="Y35" s="4" t="s">
        <v>164</v>
      </c>
      <c r="Z35" s="13">
        <f t="shared" ca="1" si="1"/>
        <v>0.67049641207995592</v>
      </c>
    </row>
    <row r="36" spans="1:26" ht="15.75" customHeight="1" x14ac:dyDescent="0.15">
      <c r="A36" s="3">
        <v>35</v>
      </c>
      <c r="B36" s="3" t="s">
        <v>4</v>
      </c>
      <c r="C36" s="3" t="s">
        <v>165</v>
      </c>
      <c r="D36" s="10">
        <f t="shared" ca="1" si="0"/>
        <v>0.910377358490566</v>
      </c>
      <c r="E36" s="5">
        <f ca="1">VLOOKUP($B36&amp;$C36,data!$A:$U,20,FALSE)</f>
        <v>44302.399733796199</v>
      </c>
      <c r="F36" s="3" t="str">
        <f ca="1">VLOOKUP($B36&amp;$C36,data!$A:$U,21,FALSE)</f>
        <v>9.4.2021</v>
      </c>
      <c r="G36" s="3">
        <f ca="1">VLOOKUP($B36&amp;$C36,data!$A:$U,17,FALSE)</f>
        <v>2</v>
      </c>
      <c r="H36" s="3">
        <f ca="1">VLOOKUP($B36&amp;$C36,data!$A:$U,18,FALSE)</f>
        <v>0</v>
      </c>
      <c r="I36" s="3">
        <f ca="1">VLOOKUP($B36&amp;$C36,data!$A:$U,19,FALSE)</f>
        <v>0</v>
      </c>
      <c r="J36" s="3">
        <f ca="1">VLOOKUP($B36&amp;$C36,data!$A:$U,14,FALSE)</f>
        <v>4</v>
      </c>
      <c r="K36" s="3">
        <f ca="1">VLOOKUP($B36&amp;$C36,data!$A:$U,15,FALSE)</f>
        <v>0</v>
      </c>
      <c r="L36" s="3">
        <f ca="1">VLOOKUP($B36&amp;$C36,data!$A:$U,16,FALSE)</f>
        <v>4</v>
      </c>
      <c r="M36" s="3">
        <f ca="1">VLOOKUP($B36&amp;$C36,data!$A:$U,8,FALSE)</f>
        <v>210</v>
      </c>
      <c r="N36" s="3">
        <f ca="1">VLOOKUP($B36&amp;$C36,data!$A:$U,9,FALSE)</f>
        <v>20</v>
      </c>
      <c r="O36" s="3">
        <f ca="1">VLOOKUP($B36&amp;$C36,data!$A:$U,10,FALSE)</f>
        <v>190</v>
      </c>
      <c r="P36" s="3">
        <f ca="1">VLOOKUP($B36&amp;$C36,data!$A:$U,11,FALSE)</f>
        <v>0</v>
      </c>
      <c r="Q36" s="3">
        <f ca="1">VLOOKUP($B36&amp;$C36,data!$A:$U,12,FALSE)</f>
        <v>0</v>
      </c>
      <c r="R36" s="3">
        <f ca="1">VLOOKUP($B36&amp;$C36,data!$A:$U,13,FALSE)</f>
        <v>0</v>
      </c>
      <c r="S36" s="3">
        <f ca="1">VLOOKUP($B36&amp;$C36,data!$A:$U,5,FALSE)</f>
        <v>210</v>
      </c>
      <c r="T36" s="3">
        <f ca="1">VLOOKUP($B36&amp;$C36,data!$A:$U,6,FALSE)</f>
        <v>20</v>
      </c>
      <c r="U36" s="3">
        <f ca="1">VLOOKUP($B36&amp;$C36,data!$A:$U,7,FALSE)</f>
        <v>192</v>
      </c>
      <c r="V36" s="16">
        <f>914471565100</f>
        <v>914471565100</v>
      </c>
      <c r="W36" s="17" t="s">
        <v>166</v>
      </c>
      <c r="X36" s="17" t="s">
        <v>167</v>
      </c>
      <c r="Y36" s="4" t="s">
        <v>168</v>
      </c>
      <c r="Z36" s="13">
        <f t="shared" ca="1" si="1"/>
        <v>3.6871746528777294</v>
      </c>
    </row>
    <row r="37" spans="1:26" ht="15.75" customHeight="1" x14ac:dyDescent="0.15">
      <c r="A37" s="3">
        <v>36</v>
      </c>
      <c r="B37" s="3" t="s">
        <v>4</v>
      </c>
      <c r="C37" s="3" t="s">
        <v>169</v>
      </c>
      <c r="D37" s="10">
        <f t="shared" ca="1" si="0"/>
        <v>0</v>
      </c>
      <c r="E37" s="5">
        <f ca="1">VLOOKUP($B37&amp;$C37,data!$A:$U,20,FALSE)</f>
        <v>44305.611481481399</v>
      </c>
      <c r="F37" s="3">
        <f ca="1">VLOOKUP($B37&amp;$C37,data!$A:$U,21,FALSE)</f>
        <v>0</v>
      </c>
      <c r="G37" s="3">
        <f ca="1">VLOOKUP($B37&amp;$C37,data!$A:$U,17,FALSE)</f>
        <v>6</v>
      </c>
      <c r="H37" s="3">
        <f ca="1">VLOOKUP($B37&amp;$C37,data!$A:$U,18,FALSE)</f>
        <v>1</v>
      </c>
      <c r="I37" s="3">
        <f ca="1">VLOOKUP($B37&amp;$C37,data!$A:$U,19,FALSE)</f>
        <v>5</v>
      </c>
      <c r="J37" s="3">
        <f ca="1">VLOOKUP($B37&amp;$C37,data!$A:$U,14,FALSE)</f>
        <v>8</v>
      </c>
      <c r="K37" s="3">
        <f ca="1">VLOOKUP($B37&amp;$C37,data!$A:$U,15,FALSE)</f>
        <v>8</v>
      </c>
      <c r="L37" s="3">
        <f ca="1">VLOOKUP($B37&amp;$C37,data!$A:$U,16,FALSE)</f>
        <v>0</v>
      </c>
      <c r="M37" s="3">
        <f ca="1">VLOOKUP($B37&amp;$C37,data!$A:$U,8,FALSE)</f>
        <v>30</v>
      </c>
      <c r="N37" s="3">
        <f ca="1">VLOOKUP($B37&amp;$C37,data!$A:$U,9,FALSE)</f>
        <v>30</v>
      </c>
      <c r="O37" s="3">
        <f ca="1">VLOOKUP($B37&amp;$C37,data!$A:$U,10,FALSE)</f>
        <v>0</v>
      </c>
      <c r="P37" s="3">
        <f ca="1">VLOOKUP($B37&amp;$C37,data!$A:$U,11,FALSE)</f>
        <v>33</v>
      </c>
      <c r="Q37" s="3">
        <f ca="1">VLOOKUP($B37&amp;$C37,data!$A:$U,12,FALSE)</f>
        <v>33</v>
      </c>
      <c r="R37" s="3">
        <f ca="1">VLOOKUP($B37&amp;$C37,data!$A:$U,13,FALSE)</f>
        <v>0</v>
      </c>
      <c r="S37" s="3">
        <f ca="1">VLOOKUP($B37&amp;$C37,data!$A:$U,5,FALSE)</f>
        <v>63</v>
      </c>
      <c r="T37" s="3">
        <f ca="1">VLOOKUP($B37&amp;$C37,data!$A:$U,6,FALSE)</f>
        <v>63</v>
      </c>
      <c r="U37" s="3">
        <f ca="1">VLOOKUP($B37&amp;$C37,data!$A:$U,7,FALSE)</f>
        <v>0</v>
      </c>
      <c r="V37" s="16">
        <f>917824868600</f>
        <v>917824868600</v>
      </c>
      <c r="W37" s="17" t="s">
        <v>170</v>
      </c>
      <c r="X37" s="17" t="s">
        <v>171</v>
      </c>
      <c r="Y37" s="4" t="s">
        <v>172</v>
      </c>
      <c r="Z37" s="13">
        <f t="shared" ca="1" si="1"/>
        <v>0.4754269676777767</v>
      </c>
    </row>
    <row r="38" spans="1:26" ht="15.75" customHeight="1" x14ac:dyDescent="0.15">
      <c r="A38" s="3">
        <v>37</v>
      </c>
      <c r="B38" s="3" t="s">
        <v>4</v>
      </c>
      <c r="C38" s="3" t="s">
        <v>173</v>
      </c>
      <c r="D38" s="10">
        <f t="shared" ca="1" si="0"/>
        <v>3.0769230769230771E-2</v>
      </c>
      <c r="E38" s="5">
        <f ca="1">VLOOKUP($B38&amp;$C38,data!$A:$U,20,FALSE)</f>
        <v>44300.397974537002</v>
      </c>
      <c r="F38" s="3" t="str">
        <f ca="1">VLOOKUP($B38&amp;$C38,data!$A:$U,21,FALSE)</f>
        <v>14/04/2013</v>
      </c>
      <c r="G38" s="3">
        <f ca="1">VLOOKUP($B38&amp;$C38,data!$A:$U,17,FALSE)</f>
        <v>6</v>
      </c>
      <c r="H38" s="3">
        <f ca="1">VLOOKUP($B38&amp;$C38,data!$A:$U,18,FALSE)</f>
        <v>6</v>
      </c>
      <c r="I38" s="3">
        <f ca="1">VLOOKUP($B38&amp;$C38,data!$A:$U,19,FALSE)</f>
        <v>0</v>
      </c>
      <c r="J38" s="3">
        <f ca="1">VLOOKUP($B38&amp;$C38,data!$A:$U,14,FALSE)</f>
        <v>10</v>
      </c>
      <c r="K38" s="3">
        <f ca="1">VLOOKUP($B38&amp;$C38,data!$A:$U,15,FALSE)</f>
        <v>10</v>
      </c>
      <c r="L38" s="3">
        <f ca="1">VLOOKUP($B38&amp;$C38,data!$A:$U,16,FALSE)</f>
        <v>0</v>
      </c>
      <c r="M38" s="3">
        <f ca="1">VLOOKUP($B38&amp;$C38,data!$A:$U,8,FALSE)</f>
        <v>60</v>
      </c>
      <c r="N38" s="3">
        <f ca="1">VLOOKUP($B38&amp;$C38,data!$A:$U,9,FALSE)</f>
        <v>58</v>
      </c>
      <c r="O38" s="3">
        <f ca="1">VLOOKUP($B38&amp;$C38,data!$A:$U,10,FALSE)</f>
        <v>2</v>
      </c>
      <c r="P38" s="3">
        <f ca="1">VLOOKUP($B38&amp;$C38,data!$A:$U,11,FALSE)</f>
        <v>0</v>
      </c>
      <c r="Q38" s="3">
        <f ca="1">VLOOKUP($B38&amp;$C38,data!$A:$U,12,FALSE)</f>
        <v>0</v>
      </c>
      <c r="R38" s="3">
        <f ca="1">VLOOKUP($B38&amp;$C38,data!$A:$U,13,FALSE)</f>
        <v>0</v>
      </c>
      <c r="S38" s="3">
        <f ca="1">VLOOKUP($B38&amp;$C38,data!$A:$U,5,FALSE)</f>
        <v>60</v>
      </c>
      <c r="T38" s="3">
        <f ca="1">VLOOKUP($B38&amp;$C38,data!$A:$U,6,FALSE)</f>
        <v>58</v>
      </c>
      <c r="U38" s="3">
        <f ca="1">VLOOKUP($B38&amp;$C38,data!$A:$U,7,FALSE)</f>
        <v>2</v>
      </c>
      <c r="V38" s="16">
        <f>919841004625</f>
        <v>919841004625</v>
      </c>
      <c r="W38" s="17" t="s">
        <v>174</v>
      </c>
      <c r="X38" s="12" t="s">
        <v>175</v>
      </c>
      <c r="Y38" s="4" t="s">
        <v>176</v>
      </c>
      <c r="Z38" s="13">
        <f t="shared" ca="1" si="1"/>
        <v>5.6889339120752993</v>
      </c>
    </row>
    <row r="39" spans="1:26" ht="15.75" customHeight="1" x14ac:dyDescent="0.15">
      <c r="A39" s="3">
        <v>38</v>
      </c>
      <c r="B39" s="3" t="s">
        <v>4</v>
      </c>
      <c r="C39" s="3" t="s">
        <v>177</v>
      </c>
      <c r="D39" s="10">
        <f t="shared" ca="1" si="0"/>
        <v>5.5555555555555552E-2</v>
      </c>
      <c r="E39" s="5">
        <f ca="1">VLOOKUP($B39&amp;$C39,data!$A:$U,20,FALSE)</f>
        <v>44305.428449074003</v>
      </c>
      <c r="F39" s="3" t="str">
        <f ca="1">VLOOKUP($B39&amp;$C39,data!$A:$U,21,FALSE)</f>
        <v>19.04.2021</v>
      </c>
      <c r="G39" s="3">
        <f ca="1">VLOOKUP($B39&amp;$C39,data!$A:$U,17,FALSE)</f>
        <v>1</v>
      </c>
      <c r="H39" s="3">
        <f ca="1">VLOOKUP($B39&amp;$C39,data!$A:$U,18,FALSE)</f>
        <v>1</v>
      </c>
      <c r="I39" s="3">
        <f ca="1">VLOOKUP($B39&amp;$C39,data!$A:$U,19,FALSE)</f>
        <v>0</v>
      </c>
      <c r="J39" s="3">
        <f ca="1">VLOOKUP($B39&amp;$C39,data!$A:$U,14,FALSE)</f>
        <v>8</v>
      </c>
      <c r="K39" s="3">
        <f ca="1">VLOOKUP($B39&amp;$C39,data!$A:$U,15,FALSE)</f>
        <v>7</v>
      </c>
      <c r="L39" s="3">
        <f ca="1">VLOOKUP($B39&amp;$C39,data!$A:$U,16,FALSE)</f>
        <v>1</v>
      </c>
      <c r="M39" s="3">
        <f ca="1">VLOOKUP($B39&amp;$C39,data!$A:$U,8,FALSE)</f>
        <v>0</v>
      </c>
      <c r="N39" s="3">
        <f ca="1">VLOOKUP($B39&amp;$C39,data!$A:$U,9,FALSE)</f>
        <v>0</v>
      </c>
      <c r="O39" s="3">
        <f ca="1">VLOOKUP($B39&amp;$C39,data!$A:$U,10,FALSE)</f>
        <v>0</v>
      </c>
      <c r="P39" s="3">
        <f ca="1">VLOOKUP($B39&amp;$C39,data!$A:$U,11,FALSE)</f>
        <v>19</v>
      </c>
      <c r="Q39" s="3">
        <f ca="1">VLOOKUP($B39&amp;$C39,data!$A:$U,12,FALSE)</f>
        <v>19</v>
      </c>
      <c r="R39" s="3">
        <f ca="1">VLOOKUP($B39&amp;$C39,data!$A:$U,13,FALSE)</f>
        <v>1</v>
      </c>
      <c r="S39" s="3">
        <f ca="1">VLOOKUP($B39&amp;$C39,data!$A:$U,5,FALSE)</f>
        <v>27</v>
      </c>
      <c r="T39" s="3">
        <f ca="1">VLOOKUP($B39&amp;$C39,data!$A:$U,6,FALSE)</f>
        <v>26</v>
      </c>
      <c r="U39" s="3">
        <f ca="1">VLOOKUP($B39&amp;$C39,data!$A:$U,7,FALSE)</f>
        <v>1</v>
      </c>
      <c r="V39" s="16">
        <f>914442834516</f>
        <v>914442834516</v>
      </c>
      <c r="W39" s="17" t="s">
        <v>178</v>
      </c>
      <c r="X39" s="17" t="s">
        <v>179</v>
      </c>
      <c r="Y39" s="4" t="s">
        <v>180</v>
      </c>
      <c r="Z39" s="13">
        <f t="shared" ca="1" si="1"/>
        <v>0.65845937507401686</v>
      </c>
    </row>
    <row r="40" spans="1:26" ht="15.75" customHeight="1" x14ac:dyDescent="0.15">
      <c r="A40" s="3">
        <v>39</v>
      </c>
      <c r="B40" s="3" t="s">
        <v>4</v>
      </c>
      <c r="C40" s="3" t="s">
        <v>181</v>
      </c>
      <c r="D40" s="10">
        <f t="shared" ca="1" si="0"/>
        <v>0.23</v>
      </c>
      <c r="E40" s="5">
        <f ca="1">VLOOKUP($B40&amp;$C40,data!$A:$U,20,FALSE)</f>
        <v>44299.603055555497</v>
      </c>
      <c r="F40" s="3" t="str">
        <f ca="1">VLOOKUP($B40&amp;$C40,data!$A:$U,21,FALSE)</f>
        <v>13.04.2021</v>
      </c>
      <c r="G40" s="3">
        <f ca="1">VLOOKUP($B40&amp;$C40,data!$A:$U,17,FALSE)</f>
        <v>2</v>
      </c>
      <c r="H40" s="3">
        <f ca="1">VLOOKUP($B40&amp;$C40,data!$A:$U,18,FALSE)</f>
        <v>0</v>
      </c>
      <c r="I40" s="3">
        <f ca="1">VLOOKUP($B40&amp;$C40,data!$A:$U,19,FALSE)</f>
        <v>2</v>
      </c>
      <c r="J40" s="3">
        <f ca="1">VLOOKUP($B40&amp;$C40,data!$A:$U,14,FALSE)</f>
        <v>10</v>
      </c>
      <c r="K40" s="3">
        <f ca="1">VLOOKUP($B40&amp;$C40,data!$A:$U,15,FALSE)</f>
        <v>7</v>
      </c>
      <c r="L40" s="3">
        <f ca="1">VLOOKUP($B40&amp;$C40,data!$A:$U,16,FALSE)</f>
        <v>3</v>
      </c>
      <c r="M40" s="3">
        <f ca="1">VLOOKUP($B40&amp;$C40,data!$A:$U,8,FALSE)</f>
        <v>30</v>
      </c>
      <c r="N40" s="3">
        <f ca="1">VLOOKUP($B40&amp;$C40,data!$A:$U,9,FALSE)</f>
        <v>11</v>
      </c>
      <c r="O40" s="3">
        <f ca="1">VLOOKUP($B40&amp;$C40,data!$A:$U,10,FALSE)</f>
        <v>19</v>
      </c>
      <c r="P40" s="3">
        <f ca="1">VLOOKUP($B40&amp;$C40,data!$A:$U,11,FALSE)</f>
        <v>30</v>
      </c>
      <c r="Q40" s="3">
        <f ca="1">VLOOKUP($B40&amp;$C40,data!$A:$U,12,FALSE)</f>
        <v>0</v>
      </c>
      <c r="R40" s="3">
        <f ca="1">VLOOKUP($B40&amp;$C40,data!$A:$U,13,FALSE)</f>
        <v>0</v>
      </c>
      <c r="S40" s="3">
        <f ca="1">VLOOKUP($B40&amp;$C40,data!$A:$U,5,FALSE)</f>
        <v>30</v>
      </c>
      <c r="T40" s="3">
        <f ca="1">VLOOKUP($B40&amp;$C40,data!$A:$U,6,FALSE)</f>
        <v>29</v>
      </c>
      <c r="U40" s="3">
        <f ca="1">VLOOKUP($B40&amp;$C40,data!$A:$U,7,FALSE)</f>
        <v>1</v>
      </c>
      <c r="V40" s="16">
        <f>919003055033</f>
        <v>919003055033</v>
      </c>
      <c r="W40" s="12" t="s">
        <v>182</v>
      </c>
      <c r="X40" s="12" t="s">
        <v>183</v>
      </c>
      <c r="Y40" s="4" t="s">
        <v>184</v>
      </c>
      <c r="Z40" s="13">
        <f t="shared" ca="1" si="1"/>
        <v>6.4838528935797513</v>
      </c>
    </row>
    <row r="41" spans="1:26" ht="15.75" customHeight="1" x14ac:dyDescent="0.15">
      <c r="A41" s="3">
        <v>40</v>
      </c>
      <c r="B41" s="3" t="s">
        <v>4</v>
      </c>
      <c r="C41" s="3" t="s">
        <v>185</v>
      </c>
      <c r="D41" s="10">
        <f t="shared" ca="1" si="0"/>
        <v>0.11764705882352941</v>
      </c>
      <c r="E41" s="5">
        <f ca="1">VLOOKUP($B41&amp;$C41,data!$A:$U,20,FALSE)</f>
        <v>44305.486782407403</v>
      </c>
      <c r="F41" s="3" t="str">
        <f ca="1">VLOOKUP($B41&amp;$C41,data!$A:$U,21,FALSE)</f>
        <v>19.4.2021</v>
      </c>
      <c r="G41" s="3">
        <f ca="1">VLOOKUP($B41&amp;$C41,data!$A:$U,17,FALSE)</f>
        <v>2</v>
      </c>
      <c r="H41" s="3">
        <f ca="1">VLOOKUP($B41&amp;$C41,data!$A:$U,18,FALSE)</f>
        <v>0</v>
      </c>
      <c r="I41" s="3">
        <f ca="1">VLOOKUP($B41&amp;$C41,data!$A:$U,19,FALSE)</f>
        <v>2</v>
      </c>
      <c r="J41" s="3">
        <f ca="1">VLOOKUP($B41&amp;$C41,data!$A:$U,14,FALSE)</f>
        <v>3</v>
      </c>
      <c r="K41" s="3">
        <f ca="1">VLOOKUP($B41&amp;$C41,data!$A:$U,15,FALSE)</f>
        <v>3</v>
      </c>
      <c r="L41" s="3">
        <f ca="1">VLOOKUP($B41&amp;$C41,data!$A:$U,16,FALSE)</f>
        <v>0</v>
      </c>
      <c r="M41" s="3">
        <f ca="1">VLOOKUP($B41&amp;$C41,data!$A:$U,8,FALSE)</f>
        <v>10</v>
      </c>
      <c r="N41" s="3">
        <f ca="1">VLOOKUP($B41&amp;$C41,data!$A:$U,9,FALSE)</f>
        <v>10</v>
      </c>
      <c r="O41" s="3">
        <f ca="1">VLOOKUP($B41&amp;$C41,data!$A:$U,10,FALSE)</f>
        <v>0</v>
      </c>
      <c r="P41" s="3">
        <f ca="1">VLOOKUP($B41&amp;$C41,data!$A:$U,11,FALSE)</f>
        <v>4</v>
      </c>
      <c r="Q41" s="3">
        <f ca="1">VLOOKUP($B41&amp;$C41,data!$A:$U,12,FALSE)</f>
        <v>2</v>
      </c>
      <c r="R41" s="3">
        <f ca="1">VLOOKUP($B41&amp;$C41,data!$A:$U,13,FALSE)</f>
        <v>2</v>
      </c>
      <c r="S41" s="3">
        <f ca="1">VLOOKUP($B41&amp;$C41,data!$A:$U,5,FALSE)</f>
        <v>17</v>
      </c>
      <c r="T41" s="3">
        <f ca="1">VLOOKUP($B41&amp;$C41,data!$A:$U,6,FALSE)</f>
        <v>15</v>
      </c>
      <c r="U41" s="3">
        <f ca="1">VLOOKUP($B41&amp;$C41,data!$A:$U,7,FALSE)</f>
        <v>2</v>
      </c>
      <c r="V41" s="16"/>
      <c r="W41" s="9"/>
      <c r="X41" s="9"/>
      <c r="Y41" s="3"/>
      <c r="Z41" s="13">
        <f t="shared" ca="1" si="1"/>
        <v>0.60012604167422978</v>
      </c>
    </row>
    <row r="42" spans="1:26" ht="15.75" customHeight="1" x14ac:dyDescent="0.15">
      <c r="A42" s="3">
        <v>41</v>
      </c>
      <c r="B42" s="3" t="s">
        <v>4</v>
      </c>
      <c r="C42" s="3" t="s">
        <v>186</v>
      </c>
      <c r="D42" s="10">
        <f t="shared" ca="1" si="0"/>
        <v>0</v>
      </c>
      <c r="E42" s="5">
        <f ca="1">VLOOKUP($B42&amp;$C42,data!$A:$U,20,FALSE)</f>
        <v>44305.357337962902</v>
      </c>
      <c r="F42" s="3" t="str">
        <f ca="1">VLOOKUP($B42&amp;$C42,data!$A:$U,21,FALSE)</f>
        <v>19.04.2021</v>
      </c>
      <c r="G42" s="3">
        <f ca="1">VLOOKUP($B42&amp;$C42,data!$A:$U,17,FALSE)</f>
        <v>1</v>
      </c>
      <c r="H42" s="3">
        <f ca="1">VLOOKUP($B42&amp;$C42,data!$A:$U,18,FALSE)</f>
        <v>0</v>
      </c>
      <c r="I42" s="3">
        <f ca="1">VLOOKUP($B42&amp;$C42,data!$A:$U,19,FALSE)</f>
        <v>1</v>
      </c>
      <c r="J42" s="3">
        <f ca="1">VLOOKUP($B42&amp;$C42,data!$A:$U,14,FALSE)</f>
        <v>0</v>
      </c>
      <c r="K42" s="3">
        <f ca="1">VLOOKUP($B42&amp;$C42,data!$A:$U,15,FALSE)</f>
        <v>0</v>
      </c>
      <c r="L42" s="3">
        <f ca="1">VLOOKUP($B42&amp;$C42,data!$A:$U,16,FALSE)</f>
        <v>0</v>
      </c>
      <c r="M42" s="3">
        <f ca="1">VLOOKUP($B42&amp;$C42,data!$A:$U,8,FALSE)</f>
        <v>10</v>
      </c>
      <c r="N42" s="3">
        <f ca="1">VLOOKUP($B42&amp;$C42,data!$A:$U,9,FALSE)</f>
        <v>10</v>
      </c>
      <c r="O42" s="3">
        <f ca="1">VLOOKUP($B42&amp;$C42,data!$A:$U,10,FALSE)</f>
        <v>0</v>
      </c>
      <c r="P42" s="3">
        <f ca="1">VLOOKUP($B42&amp;$C42,data!$A:$U,11,FALSE)</f>
        <v>20</v>
      </c>
      <c r="Q42" s="3">
        <f ca="1">VLOOKUP($B42&amp;$C42,data!$A:$U,12,FALSE)</f>
        <v>20</v>
      </c>
      <c r="R42" s="3">
        <f ca="1">VLOOKUP($B42&amp;$C42,data!$A:$U,13,FALSE)</f>
        <v>0</v>
      </c>
      <c r="S42" s="3">
        <f ca="1">VLOOKUP($B42&amp;$C42,data!$A:$U,5,FALSE)</f>
        <v>30</v>
      </c>
      <c r="T42" s="3">
        <f ca="1">VLOOKUP($B42&amp;$C42,data!$A:$U,6,FALSE)</f>
        <v>30</v>
      </c>
      <c r="U42" s="3">
        <f ca="1">VLOOKUP($B42&amp;$C42,data!$A:$U,7,FALSE)</f>
        <v>0</v>
      </c>
      <c r="V42" s="16"/>
      <c r="W42" s="9"/>
      <c r="X42" s="9"/>
      <c r="Y42" s="3"/>
      <c r="Z42" s="13">
        <f t="shared" ca="1" si="1"/>
        <v>0.72957048617536202</v>
      </c>
    </row>
    <row r="43" spans="1:26" ht="15.75" customHeight="1" x14ac:dyDescent="0.15">
      <c r="A43" s="3">
        <v>42</v>
      </c>
      <c r="B43" s="3" t="s">
        <v>4</v>
      </c>
      <c r="C43" s="3" t="s">
        <v>187</v>
      </c>
      <c r="D43" s="10">
        <f t="shared" ca="1" si="0"/>
        <v>7.8787878787878782E-2</v>
      </c>
      <c r="E43" s="5">
        <f ca="1">VLOOKUP($B43&amp;$C43,data!$A:$U,20,FALSE)</f>
        <v>44305.419675925899</v>
      </c>
      <c r="F43" s="3" t="str">
        <f ca="1">VLOOKUP($B43&amp;$C43,data!$A:$U,21,FALSE)</f>
        <v>19-04-2021</v>
      </c>
      <c r="G43" s="3">
        <f ca="1">VLOOKUP($B43&amp;$C43,data!$A:$U,17,FALSE)</f>
        <v>5</v>
      </c>
      <c r="H43" s="3">
        <f ca="1">VLOOKUP($B43&amp;$C43,data!$A:$U,18,FALSE)</f>
        <v>0</v>
      </c>
      <c r="I43" s="3">
        <f ca="1">VLOOKUP($B43&amp;$C43,data!$A:$U,19,FALSE)</f>
        <v>0</v>
      </c>
      <c r="J43" s="3">
        <f ca="1">VLOOKUP($B43&amp;$C43,data!$A:$U,14,FALSE)</f>
        <v>15</v>
      </c>
      <c r="K43" s="3">
        <f ca="1">VLOOKUP($B43&amp;$C43,data!$A:$U,15,FALSE)</f>
        <v>15</v>
      </c>
      <c r="L43" s="3">
        <f ca="1">VLOOKUP($B43&amp;$C43,data!$A:$U,16,FALSE)</f>
        <v>0</v>
      </c>
      <c r="M43" s="3">
        <f ca="1">VLOOKUP($B43&amp;$C43,data!$A:$U,8,FALSE)</f>
        <v>5</v>
      </c>
      <c r="N43" s="3">
        <f ca="1">VLOOKUP($B43&amp;$C43,data!$A:$U,9,FALSE)</f>
        <v>0</v>
      </c>
      <c r="O43" s="3">
        <f ca="1">VLOOKUP($B43&amp;$C43,data!$A:$U,10,FALSE)</f>
        <v>5</v>
      </c>
      <c r="P43" s="3">
        <f ca="1">VLOOKUP($B43&amp;$C43,data!$A:$U,11,FALSE)</f>
        <v>65</v>
      </c>
      <c r="Q43" s="3">
        <f ca="1">VLOOKUP($B43&amp;$C43,data!$A:$U,12,FALSE)</f>
        <v>61</v>
      </c>
      <c r="R43" s="3">
        <f ca="1">VLOOKUP($B43&amp;$C43,data!$A:$U,13,FALSE)</f>
        <v>4</v>
      </c>
      <c r="S43" s="3">
        <f ca="1">VLOOKUP($B43&amp;$C43,data!$A:$U,5,FALSE)</f>
        <v>80</v>
      </c>
      <c r="T43" s="3">
        <f ca="1">VLOOKUP($B43&amp;$C43,data!$A:$U,6,FALSE)</f>
        <v>76</v>
      </c>
      <c r="U43" s="3">
        <f ca="1">VLOOKUP($B43&amp;$C43,data!$A:$U,7,FALSE)</f>
        <v>4</v>
      </c>
      <c r="V43" s="16">
        <f>914445242407</f>
        <v>914445242407</v>
      </c>
      <c r="W43" s="17" t="s">
        <v>188</v>
      </c>
      <c r="X43" s="17" t="s">
        <v>189</v>
      </c>
      <c r="Y43" s="4" t="s">
        <v>190</v>
      </c>
      <c r="Z43" s="13">
        <f t="shared" ca="1" si="1"/>
        <v>0.66723252317751758</v>
      </c>
    </row>
    <row r="44" spans="1:26" ht="15.75" customHeight="1" x14ac:dyDescent="0.15">
      <c r="A44" s="3">
        <v>43</v>
      </c>
      <c r="B44" s="3" t="s">
        <v>4</v>
      </c>
      <c r="C44" s="3" t="s">
        <v>191</v>
      </c>
      <c r="D44" s="10">
        <f t="shared" ca="1" si="0"/>
        <v>0.14705882352941177</v>
      </c>
      <c r="E44" s="5">
        <f ca="1">VLOOKUP($B44&amp;$C44,data!$A:$U,20,FALSE)</f>
        <v>44305.308125000003</v>
      </c>
      <c r="F44" s="3" t="str">
        <f ca="1">VLOOKUP($B44&amp;$C44,data!$A:$U,21,FALSE)</f>
        <v>19.04.2021</v>
      </c>
      <c r="G44" s="3">
        <f ca="1">VLOOKUP($B44&amp;$C44,data!$A:$U,17,FALSE)</f>
        <v>2</v>
      </c>
      <c r="H44" s="3">
        <f ca="1">VLOOKUP($B44&amp;$C44,data!$A:$U,18,FALSE)</f>
        <v>0</v>
      </c>
      <c r="I44" s="3">
        <f ca="1">VLOOKUP($B44&amp;$C44,data!$A:$U,19,FALSE)</f>
        <v>2</v>
      </c>
      <c r="J44" s="3">
        <f ca="1">VLOOKUP($B44&amp;$C44,data!$A:$U,14,FALSE)</f>
        <v>4</v>
      </c>
      <c r="K44" s="3">
        <f ca="1">VLOOKUP($B44&amp;$C44,data!$A:$U,15,FALSE)</f>
        <v>3</v>
      </c>
      <c r="L44" s="3">
        <f ca="1">VLOOKUP($B44&amp;$C44,data!$A:$U,16,FALSE)</f>
        <v>1</v>
      </c>
      <c r="M44" s="3">
        <f ca="1">VLOOKUP($B44&amp;$C44,data!$A:$U,8,FALSE)</f>
        <v>15</v>
      </c>
      <c r="N44" s="3">
        <f ca="1">VLOOKUP($B44&amp;$C44,data!$A:$U,9,FALSE)</f>
        <v>13</v>
      </c>
      <c r="O44" s="3">
        <f ca="1">VLOOKUP($B44&amp;$C44,data!$A:$U,10,FALSE)</f>
        <v>2</v>
      </c>
      <c r="P44" s="3">
        <f ca="1">VLOOKUP($B44&amp;$C44,data!$A:$U,11,FALSE)</f>
        <v>0</v>
      </c>
      <c r="Q44" s="3">
        <f ca="1">VLOOKUP($B44&amp;$C44,data!$A:$U,12,FALSE)</f>
        <v>0</v>
      </c>
      <c r="R44" s="3">
        <f ca="1">VLOOKUP($B44&amp;$C44,data!$A:$U,13,FALSE)</f>
        <v>0</v>
      </c>
      <c r="S44" s="3">
        <f ca="1">VLOOKUP($B44&amp;$C44,data!$A:$U,5,FALSE)</f>
        <v>15</v>
      </c>
      <c r="T44" s="3">
        <f ca="1">VLOOKUP($B44&amp;$C44,data!$A:$U,6,FALSE)</f>
        <v>13</v>
      </c>
      <c r="U44" s="3">
        <f ca="1">VLOOKUP($B44&amp;$C44,data!$A:$U,7,FALSE)</f>
        <v>2</v>
      </c>
      <c r="V44" s="16"/>
      <c r="W44" s="9"/>
      <c r="X44" s="9"/>
      <c r="Y44" s="3"/>
      <c r="Z44" s="13">
        <f t="shared" ca="1" si="1"/>
        <v>0.77878344907367136</v>
      </c>
    </row>
    <row r="45" spans="1:26" ht="15.75" customHeight="1" x14ac:dyDescent="0.15">
      <c r="A45" s="3">
        <v>44</v>
      </c>
      <c r="B45" s="3" t="s">
        <v>4</v>
      </c>
      <c r="C45" s="3" t="s">
        <v>192</v>
      </c>
      <c r="D45" s="10">
        <f t="shared" ca="1" si="0"/>
        <v>6.25E-2</v>
      </c>
      <c r="E45" s="5">
        <f ca="1">VLOOKUP($B45&amp;$C45,data!$A:$U,20,FALSE)</f>
        <v>44300.374131944402</v>
      </c>
      <c r="F45" s="3" t="str">
        <f ca="1">VLOOKUP($B45&amp;$C45,data!$A:$U,21,FALSE)</f>
        <v>UPDATED</v>
      </c>
      <c r="G45" s="3">
        <f ca="1">VLOOKUP($B45&amp;$C45,data!$A:$U,17,FALSE)</f>
        <v>4</v>
      </c>
      <c r="H45" s="3">
        <f ca="1">VLOOKUP($B45&amp;$C45,data!$A:$U,18,FALSE)</f>
        <v>0</v>
      </c>
      <c r="I45" s="3">
        <f ca="1">VLOOKUP($B45&amp;$C45,data!$A:$U,19,FALSE)</f>
        <v>4</v>
      </c>
      <c r="J45" s="3">
        <f ca="1">VLOOKUP($B45&amp;$C45,data!$A:$U,14,FALSE)</f>
        <v>5</v>
      </c>
      <c r="K45" s="3">
        <f ca="1">VLOOKUP($B45&amp;$C45,data!$A:$U,15,FALSE)</f>
        <v>5</v>
      </c>
      <c r="L45" s="3">
        <f ca="1">VLOOKUP($B45&amp;$C45,data!$A:$U,16,FALSE)</f>
        <v>0</v>
      </c>
      <c r="M45" s="3">
        <f ca="1">VLOOKUP($B45&amp;$C45,data!$A:$U,8,FALSE)</f>
        <v>15</v>
      </c>
      <c r="N45" s="3">
        <f ca="1">VLOOKUP($B45&amp;$C45,data!$A:$U,9,FALSE)</f>
        <v>15</v>
      </c>
      <c r="O45" s="3">
        <f ca="1">VLOOKUP($B45&amp;$C45,data!$A:$U,10,FALSE)</f>
        <v>0</v>
      </c>
      <c r="P45" s="3">
        <f ca="1">VLOOKUP($B45&amp;$C45,data!$A:$U,11,FALSE)</f>
        <v>20</v>
      </c>
      <c r="Q45" s="3">
        <f ca="1">VLOOKUP($B45&amp;$C45,data!$A:$U,12,FALSE)</f>
        <v>0</v>
      </c>
      <c r="R45" s="3">
        <f ca="1">VLOOKUP($B45&amp;$C45,data!$A:$U,13,FALSE)</f>
        <v>5</v>
      </c>
      <c r="S45" s="3">
        <f ca="1">VLOOKUP($B45&amp;$C45,data!$A:$U,5,FALSE)</f>
        <v>40</v>
      </c>
      <c r="T45" s="3">
        <f ca="1">VLOOKUP($B45&amp;$C45,data!$A:$U,6,FALSE)</f>
        <v>40</v>
      </c>
      <c r="U45" s="3">
        <f ca="1">VLOOKUP($B45&amp;$C45,data!$A:$U,7,FALSE)</f>
        <v>0</v>
      </c>
      <c r="V45" s="16"/>
      <c r="W45" s="9"/>
      <c r="X45" s="9"/>
      <c r="Y45" s="3"/>
      <c r="Z45" s="13">
        <f t="shared" ca="1" si="1"/>
        <v>5.7127765046752756</v>
      </c>
    </row>
    <row r="46" spans="1:26" ht="15.75" customHeight="1" x14ac:dyDescent="0.15">
      <c r="A46" s="3">
        <v>45</v>
      </c>
      <c r="B46" s="3" t="s">
        <v>4</v>
      </c>
      <c r="C46" s="3" t="s">
        <v>193</v>
      </c>
      <c r="D46" s="10">
        <f t="shared" ca="1" si="0"/>
        <v>1</v>
      </c>
      <c r="E46" s="5">
        <f ca="1">VLOOKUP($B46&amp;$C46,data!$A:$U,20,FALSE)</f>
        <v>44305.442673611098</v>
      </c>
      <c r="F46" s="3" t="str">
        <f ca="1">VLOOKUP($B46&amp;$C46,data!$A:$U,21,FALSE)</f>
        <v>19.04.21</v>
      </c>
      <c r="G46" s="3">
        <f ca="1">VLOOKUP($B46&amp;$C46,data!$A:$U,17,FALSE)</f>
        <v>3</v>
      </c>
      <c r="H46" s="3">
        <f ca="1">VLOOKUP($B46&amp;$C46,data!$A:$U,18,FALSE)</f>
        <v>0</v>
      </c>
      <c r="I46" s="3">
        <f ca="1">VLOOKUP($B46&amp;$C46,data!$A:$U,19,FALSE)</f>
        <v>3</v>
      </c>
      <c r="J46" s="3">
        <f ca="1">VLOOKUP($B46&amp;$C46,data!$A:$U,14,FALSE)</f>
        <v>8</v>
      </c>
      <c r="K46" s="3">
        <f ca="1">VLOOKUP($B46&amp;$C46,data!$A:$U,15,FALSE)</f>
        <v>0</v>
      </c>
      <c r="L46" s="3">
        <f ca="1">VLOOKUP($B46&amp;$C46,data!$A:$U,16,FALSE)</f>
        <v>8</v>
      </c>
      <c r="M46" s="3">
        <f ca="1">VLOOKUP($B46&amp;$C46,data!$A:$U,8,FALSE)</f>
        <v>8</v>
      </c>
      <c r="N46" s="3">
        <f ca="1">VLOOKUP($B46&amp;$C46,data!$A:$U,9,FALSE)</f>
        <v>0</v>
      </c>
      <c r="O46" s="3">
        <f ca="1">VLOOKUP($B46&amp;$C46,data!$A:$U,10,FALSE)</f>
        <v>8</v>
      </c>
      <c r="P46" s="3">
        <f ca="1">VLOOKUP($B46&amp;$C46,data!$A:$U,11,FALSE)</f>
        <v>0</v>
      </c>
      <c r="Q46" s="3">
        <f ca="1">VLOOKUP($B46&amp;$C46,data!$A:$U,12,FALSE)</f>
        <v>0</v>
      </c>
      <c r="R46" s="3">
        <f ca="1">VLOOKUP($B46&amp;$C46,data!$A:$U,13,FALSE)</f>
        <v>0</v>
      </c>
      <c r="S46" s="3">
        <f ca="1">VLOOKUP($B46&amp;$C46,data!$A:$U,5,FALSE)</f>
        <v>35</v>
      </c>
      <c r="T46" s="3">
        <f ca="1">VLOOKUP($B46&amp;$C46,data!$A:$U,6,FALSE)</f>
        <v>0</v>
      </c>
      <c r="U46" s="3">
        <f ca="1">VLOOKUP($B46&amp;$C46,data!$A:$U,7,FALSE)</f>
        <v>35</v>
      </c>
      <c r="V46" s="16"/>
      <c r="W46" s="9"/>
      <c r="X46" s="9"/>
      <c r="Y46" s="3"/>
      <c r="Z46" s="13">
        <f t="shared" ca="1" si="1"/>
        <v>0.64423483797872905</v>
      </c>
    </row>
    <row r="47" spans="1:26" ht="15.75" customHeight="1" x14ac:dyDescent="0.15">
      <c r="A47" s="3">
        <v>46</v>
      </c>
      <c r="B47" s="3" t="s">
        <v>4</v>
      </c>
      <c r="C47" s="3" t="s">
        <v>194</v>
      </c>
      <c r="D47" s="10">
        <f t="shared" ca="1" si="0"/>
        <v>0.98750000000000004</v>
      </c>
      <c r="E47" s="5">
        <f ca="1">VLOOKUP($B47&amp;$C47,data!$A:$U,20,FALSE)</f>
        <v>44294.353460648097</v>
      </c>
      <c r="F47" s="3" t="str">
        <f ca="1">VLOOKUP($B47&amp;$C47,data!$A:$U,21,FALSE)</f>
        <v>Update</v>
      </c>
      <c r="G47" s="3">
        <f ca="1">VLOOKUP($B47&amp;$C47,data!$A:$U,17,FALSE)</f>
        <v>7</v>
      </c>
      <c r="H47" s="3">
        <f ca="1">VLOOKUP($B47&amp;$C47,data!$A:$U,18,FALSE)</f>
        <v>0</v>
      </c>
      <c r="I47" s="3">
        <f ca="1">VLOOKUP($B47&amp;$C47,data!$A:$U,19,FALSE)</f>
        <v>7</v>
      </c>
      <c r="J47" s="3">
        <f ca="1">VLOOKUP($B47&amp;$C47,data!$A:$U,14,FALSE)</f>
        <v>7</v>
      </c>
      <c r="K47" s="3">
        <f ca="1">VLOOKUP($B47&amp;$C47,data!$A:$U,15,FALSE)</f>
        <v>0</v>
      </c>
      <c r="L47" s="3">
        <f ca="1">VLOOKUP($B47&amp;$C47,data!$A:$U,16,FALSE)</f>
        <v>7</v>
      </c>
      <c r="M47" s="3">
        <f ca="1">VLOOKUP($B47&amp;$C47,data!$A:$U,8,FALSE)</f>
        <v>31</v>
      </c>
      <c r="N47" s="3">
        <f ca="1">VLOOKUP($B47&amp;$C47,data!$A:$U,9,FALSE)</f>
        <v>0</v>
      </c>
      <c r="O47" s="3">
        <f ca="1">VLOOKUP($B47&amp;$C47,data!$A:$U,10,FALSE)</f>
        <v>31</v>
      </c>
      <c r="P47" s="3">
        <f ca="1">VLOOKUP($B47&amp;$C47,data!$A:$U,11,FALSE)</f>
        <v>42</v>
      </c>
      <c r="Q47" s="3">
        <f ca="1">VLOOKUP($B47&amp;$C47,data!$A:$U,12,FALSE)</f>
        <v>1</v>
      </c>
      <c r="R47" s="3">
        <f ca="1">VLOOKUP($B47&amp;$C47,data!$A:$U,13,FALSE)</f>
        <v>41</v>
      </c>
      <c r="S47" s="3">
        <f ca="1">VLOOKUP($B47&amp;$C47,data!$A:$U,5,FALSE)</f>
        <v>80</v>
      </c>
      <c r="T47" s="3">
        <f ca="1">VLOOKUP($B47&amp;$C47,data!$A:$U,6,FALSE)</f>
        <v>1</v>
      </c>
      <c r="U47" s="3">
        <f ca="1">VLOOKUP($B47&amp;$C47,data!$A:$U,7,FALSE)</f>
        <v>79</v>
      </c>
      <c r="V47" s="16">
        <f>914427261096</f>
        <v>914427261096</v>
      </c>
      <c r="W47" s="17" t="s">
        <v>195</v>
      </c>
      <c r="X47" s="12" t="s">
        <v>196</v>
      </c>
      <c r="Y47" s="4" t="s">
        <v>197</v>
      </c>
      <c r="Z47" s="13">
        <f t="shared" ca="1" si="1"/>
        <v>11.733447800979775</v>
      </c>
    </row>
    <row r="48" spans="1:26" ht="15.75" customHeight="1" x14ac:dyDescent="0.15">
      <c r="A48" s="3">
        <v>47</v>
      </c>
      <c r="B48" s="3" t="s">
        <v>4</v>
      </c>
      <c r="C48" s="3" t="s">
        <v>198</v>
      </c>
      <c r="D48" s="10">
        <f t="shared" ca="1" si="0"/>
        <v>0.69599999999999995</v>
      </c>
      <c r="E48" s="5">
        <f ca="1">VLOOKUP($B48&amp;$C48,data!$A:$U,20,FALSE)</f>
        <v>44305.307164351798</v>
      </c>
      <c r="F48" s="3" t="str">
        <f ca="1">VLOOKUP($B48&amp;$C48,data!$A:$U,21,FALSE)</f>
        <v>19.04.2021 SUSPECT -29 ACTIVE COVID -76 TOTAL -105</v>
      </c>
      <c r="G48" s="3">
        <f ca="1">VLOOKUP($B48&amp;$C48,data!$A:$U,17,FALSE)</f>
        <v>12</v>
      </c>
      <c r="H48" s="3">
        <f ca="1">VLOOKUP($B48&amp;$C48,data!$A:$U,18,FALSE)</f>
        <v>10</v>
      </c>
      <c r="I48" s="3">
        <f ca="1">VLOOKUP($B48&amp;$C48,data!$A:$U,19,FALSE)</f>
        <v>2</v>
      </c>
      <c r="J48" s="3">
        <f ca="1">VLOOKUP($B48&amp;$C48,data!$A:$U,14,FALSE)</f>
        <v>45</v>
      </c>
      <c r="K48" s="3">
        <f ca="1">VLOOKUP($B48&amp;$C48,data!$A:$U,15,FALSE)</f>
        <v>22</v>
      </c>
      <c r="L48" s="3">
        <f ca="1">VLOOKUP($B48&amp;$C48,data!$A:$U,16,FALSE)</f>
        <v>23</v>
      </c>
      <c r="M48" s="3">
        <f ca="1">VLOOKUP($B48&amp;$C48,data!$A:$U,8,FALSE)</f>
        <v>30</v>
      </c>
      <c r="N48" s="3">
        <f ca="1">VLOOKUP($B48&amp;$C48,data!$A:$U,9,FALSE)</f>
        <v>27</v>
      </c>
      <c r="O48" s="3">
        <f ca="1">VLOOKUP($B48&amp;$C48,data!$A:$U,10,FALSE)</f>
        <v>3</v>
      </c>
      <c r="P48" s="3">
        <f ca="1">VLOOKUP($B48&amp;$C48,data!$A:$U,11,FALSE)</f>
        <v>175</v>
      </c>
      <c r="Q48" s="3">
        <f ca="1">VLOOKUP($B48&amp;$C48,data!$A:$U,12,FALSE)</f>
        <v>27</v>
      </c>
      <c r="R48" s="3">
        <f ca="1">VLOOKUP($B48&amp;$C48,data!$A:$U,13,FALSE)</f>
        <v>148</v>
      </c>
      <c r="S48" s="3">
        <f ca="1">VLOOKUP($B48&amp;$C48,data!$A:$U,5,FALSE)</f>
        <v>250</v>
      </c>
      <c r="T48" s="3">
        <f ca="1">VLOOKUP($B48&amp;$C48,data!$A:$U,6,FALSE)</f>
        <v>76</v>
      </c>
      <c r="U48" s="3">
        <f ca="1">VLOOKUP($B48&amp;$C48,data!$A:$U,7,FALSE)</f>
        <v>174</v>
      </c>
      <c r="V48" s="16">
        <f>914427529253</f>
        <v>914427529253</v>
      </c>
      <c r="W48" s="17" t="s">
        <v>199</v>
      </c>
      <c r="X48" s="17" t="s">
        <v>200</v>
      </c>
      <c r="Y48" s="4" t="s">
        <v>201</v>
      </c>
      <c r="Z48" s="13">
        <f t="shared" ca="1" si="1"/>
        <v>0.77974409727903549</v>
      </c>
    </row>
    <row r="49" spans="1:26" ht="15.75" customHeight="1" x14ac:dyDescent="0.15">
      <c r="A49" s="3">
        <v>48</v>
      </c>
      <c r="B49" s="3" t="s">
        <v>4</v>
      </c>
      <c r="C49" s="3" t="s">
        <v>202</v>
      </c>
      <c r="D49" s="10">
        <f t="shared" ca="1" si="0"/>
        <v>0</v>
      </c>
      <c r="E49" s="5">
        <f ca="1">VLOOKUP($B49&amp;$C49,data!$A:$U,20,FALSE)</f>
        <v>44302.342824074003</v>
      </c>
      <c r="F49" s="3" t="str">
        <f ca="1">VLOOKUP($B49&amp;$C49,data!$A:$U,21,FALSE)</f>
        <v>16.4.2021 06.30Am Updated</v>
      </c>
      <c r="G49" s="3">
        <f ca="1">VLOOKUP($B49&amp;$C49,data!$A:$U,17,FALSE)</f>
        <v>2</v>
      </c>
      <c r="H49" s="3">
        <f ca="1">VLOOKUP($B49&amp;$C49,data!$A:$U,18,FALSE)</f>
        <v>0</v>
      </c>
      <c r="I49" s="3">
        <f ca="1">VLOOKUP($B49&amp;$C49,data!$A:$U,19,FALSE)</f>
        <v>2</v>
      </c>
      <c r="J49" s="3">
        <f ca="1">VLOOKUP($B49&amp;$C49,data!$A:$U,14,FALSE)</f>
        <v>4</v>
      </c>
      <c r="K49" s="3">
        <f ca="1">VLOOKUP($B49&amp;$C49,data!$A:$U,15,FALSE)</f>
        <v>4</v>
      </c>
      <c r="L49" s="3">
        <f ca="1">VLOOKUP($B49&amp;$C49,data!$A:$U,16,FALSE)</f>
        <v>0</v>
      </c>
      <c r="M49" s="3">
        <f ca="1">VLOOKUP($B49&amp;$C49,data!$A:$U,8,FALSE)</f>
        <v>20</v>
      </c>
      <c r="N49" s="3">
        <f ca="1">VLOOKUP($B49&amp;$C49,data!$A:$U,9,FALSE)</f>
        <v>20</v>
      </c>
      <c r="O49" s="3">
        <f ca="1">VLOOKUP($B49&amp;$C49,data!$A:$U,10,FALSE)</f>
        <v>0</v>
      </c>
      <c r="P49" s="3">
        <f ca="1">VLOOKUP($B49&amp;$C49,data!$A:$U,11,FALSE)</f>
        <v>0</v>
      </c>
      <c r="Q49" s="3">
        <f ca="1">VLOOKUP($B49&amp;$C49,data!$A:$U,12,FALSE)</f>
        <v>0</v>
      </c>
      <c r="R49" s="3">
        <f ca="1">VLOOKUP($B49&amp;$C49,data!$A:$U,13,FALSE)</f>
        <v>0</v>
      </c>
      <c r="S49" s="3">
        <f ca="1">VLOOKUP($B49&amp;$C49,data!$A:$U,5,FALSE)</f>
        <v>24</v>
      </c>
      <c r="T49" s="3">
        <f ca="1">VLOOKUP($B49&amp;$C49,data!$A:$U,6,FALSE)</f>
        <v>24</v>
      </c>
      <c r="U49" s="3">
        <f ca="1">VLOOKUP($B49&amp;$C49,data!$A:$U,7,FALSE)</f>
        <v>0</v>
      </c>
      <c r="V49" s="16"/>
      <c r="W49" s="9"/>
      <c r="X49" s="9"/>
      <c r="Y49" s="3"/>
      <c r="Z49" s="13">
        <f t="shared" ca="1" si="1"/>
        <v>3.7440843750737258</v>
      </c>
    </row>
    <row r="50" spans="1:26" ht="15.75" customHeight="1" x14ac:dyDescent="0.15">
      <c r="A50" s="3">
        <v>49</v>
      </c>
      <c r="B50" s="3" t="s">
        <v>4</v>
      </c>
      <c r="C50" s="3" t="s">
        <v>203</v>
      </c>
      <c r="D50" s="10">
        <f t="shared" ca="1" si="0"/>
        <v>0.66333333333333333</v>
      </c>
      <c r="E50" s="5">
        <f ca="1">VLOOKUP($B50&amp;$C50,data!$A:$U,20,FALSE)</f>
        <v>44305.623495370302</v>
      </c>
      <c r="F50" s="3">
        <f ca="1">VLOOKUP($B50&amp;$C50,data!$A:$U,21,FALSE)</f>
        <v>0</v>
      </c>
      <c r="G50" s="3">
        <f ca="1">VLOOKUP($B50&amp;$C50,data!$A:$U,17,FALSE)</f>
        <v>10</v>
      </c>
      <c r="H50" s="3">
        <f ca="1">VLOOKUP($B50&amp;$C50,data!$A:$U,18,FALSE)</f>
        <v>1</v>
      </c>
      <c r="I50" s="3">
        <f ca="1">VLOOKUP($B50&amp;$C50,data!$A:$U,19,FALSE)</f>
        <v>9</v>
      </c>
      <c r="J50" s="3">
        <f ca="1">VLOOKUP($B50&amp;$C50,data!$A:$U,14,FALSE)</f>
        <v>33</v>
      </c>
      <c r="K50" s="3">
        <f ca="1">VLOOKUP($B50&amp;$C50,data!$A:$U,15,FALSE)</f>
        <v>9</v>
      </c>
      <c r="L50" s="3">
        <f ca="1">VLOOKUP($B50&amp;$C50,data!$A:$U,16,FALSE)</f>
        <v>24</v>
      </c>
      <c r="M50" s="3">
        <f ca="1">VLOOKUP($B50&amp;$C50,data!$A:$U,8,FALSE)</f>
        <v>70</v>
      </c>
      <c r="N50" s="3">
        <f ca="1">VLOOKUP($B50&amp;$C50,data!$A:$U,9,FALSE)</f>
        <v>0</v>
      </c>
      <c r="O50" s="3">
        <f ca="1">VLOOKUP($B50&amp;$C50,data!$A:$U,10,FALSE)</f>
        <v>0</v>
      </c>
      <c r="P50" s="3">
        <f ca="1">VLOOKUP($B50&amp;$C50,data!$A:$U,11,FALSE)</f>
        <v>197</v>
      </c>
      <c r="Q50" s="3">
        <f ca="1">VLOOKUP($B50&amp;$C50,data!$A:$U,12,FALSE)</f>
        <v>57</v>
      </c>
      <c r="R50" s="3">
        <f ca="1">VLOOKUP($B50&amp;$C50,data!$A:$U,13,FALSE)</f>
        <v>140</v>
      </c>
      <c r="S50" s="3">
        <f ca="1">VLOOKUP($B50&amp;$C50,data!$A:$U,5,FALSE)</f>
        <v>300</v>
      </c>
      <c r="T50" s="3">
        <f ca="1">VLOOKUP($B50&amp;$C50,data!$A:$U,6,FALSE)</f>
        <v>66</v>
      </c>
      <c r="U50" s="3">
        <f ca="1">VLOOKUP($B50&amp;$C50,data!$A:$U,7,FALSE)</f>
        <v>234</v>
      </c>
      <c r="V50" s="16">
        <f>914442002288</f>
        <v>914442002288</v>
      </c>
      <c r="W50" s="17" t="s">
        <v>204</v>
      </c>
      <c r="X50" s="17" t="s">
        <v>205</v>
      </c>
      <c r="Y50" s="4" t="s">
        <v>206</v>
      </c>
      <c r="Z50" s="13">
        <f t="shared" ca="1" si="1"/>
        <v>0.46341307877446525</v>
      </c>
    </row>
    <row r="51" spans="1:26" ht="15.75" customHeight="1" x14ac:dyDescent="0.15">
      <c r="A51" s="3">
        <v>50</v>
      </c>
      <c r="B51" s="3" t="s">
        <v>4</v>
      </c>
      <c r="C51" s="3" t="s">
        <v>207</v>
      </c>
      <c r="D51" s="10">
        <f t="shared" ca="1" si="0"/>
        <v>0</v>
      </c>
      <c r="E51" s="5">
        <f ca="1">VLOOKUP($B51&amp;$C51,data!$A:$U,20,FALSE)</f>
        <v>44305.308460648099</v>
      </c>
      <c r="F51" s="3" t="str">
        <f ca="1">VLOOKUP($B51&amp;$C51,data!$A:$U,21,FALSE)</f>
        <v>19/04/2021</v>
      </c>
      <c r="G51" s="3">
        <f ca="1">VLOOKUP($B51&amp;$C51,data!$A:$U,17,FALSE)</f>
        <v>4</v>
      </c>
      <c r="H51" s="3">
        <f ca="1">VLOOKUP($B51&amp;$C51,data!$A:$U,18,FALSE)</f>
        <v>4</v>
      </c>
      <c r="I51" s="3">
        <f ca="1">VLOOKUP($B51&amp;$C51,data!$A:$U,19,FALSE)</f>
        <v>0</v>
      </c>
      <c r="J51" s="3">
        <f ca="1">VLOOKUP($B51&amp;$C51,data!$A:$U,14,FALSE)</f>
        <v>30</v>
      </c>
      <c r="K51" s="3">
        <f ca="1">VLOOKUP($B51&amp;$C51,data!$A:$U,15,FALSE)</f>
        <v>30</v>
      </c>
      <c r="L51" s="3">
        <f ca="1">VLOOKUP($B51&amp;$C51,data!$A:$U,16,FALSE)</f>
        <v>0</v>
      </c>
      <c r="M51" s="3">
        <f ca="1">VLOOKUP($B51&amp;$C51,data!$A:$U,8,FALSE)</f>
        <v>20</v>
      </c>
      <c r="N51" s="3">
        <f ca="1">VLOOKUP($B51&amp;$C51,data!$A:$U,9,FALSE)</f>
        <v>20</v>
      </c>
      <c r="O51" s="3">
        <f ca="1">VLOOKUP($B51&amp;$C51,data!$A:$U,10,FALSE)</f>
        <v>0</v>
      </c>
      <c r="P51" s="3">
        <f ca="1">VLOOKUP($B51&amp;$C51,data!$A:$U,11,FALSE)</f>
        <v>0</v>
      </c>
      <c r="Q51" s="3">
        <f ca="1">VLOOKUP($B51&amp;$C51,data!$A:$U,12,FALSE)</f>
        <v>0</v>
      </c>
      <c r="R51" s="3">
        <f ca="1">VLOOKUP($B51&amp;$C51,data!$A:$U,13,FALSE)</f>
        <v>0</v>
      </c>
      <c r="S51" s="3">
        <f ca="1">VLOOKUP($B51&amp;$C51,data!$A:$U,5,FALSE)</f>
        <v>50</v>
      </c>
      <c r="T51" s="3">
        <f ca="1">VLOOKUP($B51&amp;$C51,data!$A:$U,6,FALSE)</f>
        <v>50</v>
      </c>
      <c r="U51" s="3">
        <f ca="1">VLOOKUP($B51&amp;$C51,data!$A:$U,7,FALSE)</f>
        <v>0</v>
      </c>
      <c r="V51" s="16"/>
      <c r="W51" s="9"/>
      <c r="X51" s="9"/>
      <c r="Y51" s="3"/>
      <c r="Z51" s="13">
        <f t="shared" ca="1" si="1"/>
        <v>0.77844780097802868</v>
      </c>
    </row>
    <row r="52" spans="1:26" ht="15.75" customHeight="1" x14ac:dyDescent="0.15">
      <c r="A52" s="3">
        <v>51</v>
      </c>
      <c r="B52" s="3" t="s">
        <v>4</v>
      </c>
      <c r="C52" s="3" t="s">
        <v>208</v>
      </c>
      <c r="D52" s="10">
        <f t="shared" ca="1" si="0"/>
        <v>0</v>
      </c>
      <c r="E52" s="5">
        <f ca="1">VLOOKUP($B52&amp;$C52,data!$A:$U,20,FALSE)</f>
        <v>44303.364849537</v>
      </c>
      <c r="F52" s="3" t="str">
        <f ca="1">VLOOKUP($B52&amp;$C52,data!$A:$U,21,FALSE)</f>
        <v>13-03-2021</v>
      </c>
      <c r="G52" s="3">
        <f ca="1">VLOOKUP($B52&amp;$C52,data!$A:$U,17,FALSE)</f>
        <v>2</v>
      </c>
      <c r="H52" s="3">
        <f ca="1">VLOOKUP($B52&amp;$C52,data!$A:$U,18,FALSE)</f>
        <v>0</v>
      </c>
      <c r="I52" s="3">
        <f ca="1">VLOOKUP($B52&amp;$C52,data!$A:$U,19,FALSE)</f>
        <v>2</v>
      </c>
      <c r="J52" s="3">
        <f ca="1">VLOOKUP($B52&amp;$C52,data!$A:$U,14,FALSE)</f>
        <v>3</v>
      </c>
      <c r="K52" s="3">
        <f ca="1">VLOOKUP($B52&amp;$C52,data!$A:$U,15,FALSE)</f>
        <v>3</v>
      </c>
      <c r="L52" s="3">
        <f ca="1">VLOOKUP($B52&amp;$C52,data!$A:$U,16,FALSE)</f>
        <v>0</v>
      </c>
      <c r="M52" s="3">
        <f ca="1">VLOOKUP($B52&amp;$C52,data!$A:$U,8,FALSE)</f>
        <v>10</v>
      </c>
      <c r="N52" s="3">
        <f ca="1">VLOOKUP($B52&amp;$C52,data!$A:$U,9,FALSE)</f>
        <v>10</v>
      </c>
      <c r="O52" s="3">
        <f ca="1">VLOOKUP($B52&amp;$C52,data!$A:$U,10,FALSE)</f>
        <v>0</v>
      </c>
      <c r="P52" s="3">
        <f ca="1">VLOOKUP($B52&amp;$C52,data!$A:$U,11,FALSE)</f>
        <v>10</v>
      </c>
      <c r="Q52" s="3">
        <f ca="1">VLOOKUP($B52&amp;$C52,data!$A:$U,12,FALSE)</f>
        <v>10</v>
      </c>
      <c r="R52" s="3">
        <f ca="1">VLOOKUP($B52&amp;$C52,data!$A:$U,13,FALSE)</f>
        <v>0</v>
      </c>
      <c r="S52" s="3">
        <f ca="1">VLOOKUP($B52&amp;$C52,data!$A:$U,5,FALSE)</f>
        <v>20</v>
      </c>
      <c r="T52" s="3">
        <f ca="1">VLOOKUP($B52&amp;$C52,data!$A:$U,6,FALSE)</f>
        <v>20</v>
      </c>
      <c r="U52" s="3">
        <f ca="1">VLOOKUP($B52&amp;$C52,data!$A:$U,7,FALSE)</f>
        <v>0</v>
      </c>
      <c r="V52" s="16"/>
      <c r="W52" s="9"/>
      <c r="X52" s="9"/>
      <c r="Y52" s="3"/>
      <c r="Z52" s="13">
        <f t="shared" ca="1" si="1"/>
        <v>2.7220589120770455</v>
      </c>
    </row>
    <row r="53" spans="1:26" ht="15.75" customHeight="1" x14ac:dyDescent="0.15">
      <c r="A53" s="3">
        <v>52</v>
      </c>
      <c r="B53" s="3" t="s">
        <v>4</v>
      </c>
      <c r="C53" s="3" t="s">
        <v>209</v>
      </c>
      <c r="D53" s="10">
        <f t="shared" ca="1" si="0"/>
        <v>0</v>
      </c>
      <c r="E53" s="5">
        <f ca="1">VLOOKUP($B53&amp;$C53,data!$A:$U,20,FALSE)</f>
        <v>44305.381203703699</v>
      </c>
      <c r="F53" s="3" t="str">
        <f ca="1">VLOOKUP($B53&amp;$C53,data!$A:$U,21,FALSE)</f>
        <v>19-04-2021</v>
      </c>
      <c r="G53" s="3">
        <f ca="1">VLOOKUP($B53&amp;$C53,data!$A:$U,17,FALSE)</f>
        <v>4</v>
      </c>
      <c r="H53" s="3">
        <f ca="1">VLOOKUP($B53&amp;$C53,data!$A:$U,18,FALSE)</f>
        <v>4</v>
      </c>
      <c r="I53" s="3">
        <f ca="1">VLOOKUP($B53&amp;$C53,data!$A:$U,19,FALSE)</f>
        <v>0</v>
      </c>
      <c r="J53" s="3">
        <f ca="1">VLOOKUP($B53&amp;$C53,data!$A:$U,14,FALSE)</f>
        <v>10</v>
      </c>
      <c r="K53" s="3">
        <f ca="1">VLOOKUP($B53&amp;$C53,data!$A:$U,15,FALSE)</f>
        <v>10</v>
      </c>
      <c r="L53" s="3">
        <f ca="1">VLOOKUP($B53&amp;$C53,data!$A:$U,16,FALSE)</f>
        <v>0</v>
      </c>
      <c r="M53" s="3">
        <f ca="1">VLOOKUP($B53&amp;$C53,data!$A:$U,8,FALSE)</f>
        <v>100</v>
      </c>
      <c r="N53" s="3">
        <f ca="1">VLOOKUP($B53&amp;$C53,data!$A:$U,9,FALSE)</f>
        <v>100</v>
      </c>
      <c r="O53" s="3">
        <f ca="1">VLOOKUP($B53&amp;$C53,data!$A:$U,10,FALSE)</f>
        <v>0</v>
      </c>
      <c r="P53" s="3">
        <f ca="1">VLOOKUP($B53&amp;$C53,data!$A:$U,11,FALSE)</f>
        <v>0</v>
      </c>
      <c r="Q53" s="3">
        <f ca="1">VLOOKUP($B53&amp;$C53,data!$A:$U,12,FALSE)</f>
        <v>0</v>
      </c>
      <c r="R53" s="3">
        <f ca="1">VLOOKUP($B53&amp;$C53,data!$A:$U,13,FALSE)</f>
        <v>0</v>
      </c>
      <c r="S53" s="3">
        <f ca="1">VLOOKUP($B53&amp;$C53,data!$A:$U,5,FALSE)</f>
        <v>100</v>
      </c>
      <c r="T53" s="3">
        <f ca="1">VLOOKUP($B53&amp;$C53,data!$A:$U,6,FALSE)</f>
        <v>100</v>
      </c>
      <c r="U53" s="3">
        <f ca="1">VLOOKUP($B53&amp;$C53,data!$A:$U,7,FALSE)</f>
        <v>0</v>
      </c>
      <c r="V53" s="16"/>
      <c r="W53" s="9"/>
      <c r="X53" s="9"/>
      <c r="Y53" s="3"/>
      <c r="Z53" s="13">
        <f t="shared" ca="1" si="1"/>
        <v>0.70570474537817063</v>
      </c>
    </row>
    <row r="54" spans="1:26" ht="15.75" customHeight="1" x14ac:dyDescent="0.15">
      <c r="A54" s="3">
        <v>53</v>
      </c>
      <c r="B54" s="3" t="s">
        <v>4</v>
      </c>
      <c r="C54" s="3" t="s">
        <v>210</v>
      </c>
      <c r="D54" s="10">
        <f t="shared" ca="1" si="0"/>
        <v>0.62745098039215685</v>
      </c>
      <c r="E54" s="5">
        <f ca="1">VLOOKUP($B54&amp;$C54,data!$A:$U,20,FALSE)</f>
        <v>44305.302523148101</v>
      </c>
      <c r="F54" s="3">
        <f ca="1">VLOOKUP($B54&amp;$C54,data!$A:$U,21,FALSE)</f>
        <v>0</v>
      </c>
      <c r="G54" s="3">
        <f ca="1">VLOOKUP($B54&amp;$C54,data!$A:$U,17,FALSE)</f>
        <v>0</v>
      </c>
      <c r="H54" s="3">
        <f ca="1">VLOOKUP($B54&amp;$C54,data!$A:$U,18,FALSE)</f>
        <v>0</v>
      </c>
      <c r="I54" s="3">
        <f ca="1">VLOOKUP($B54&amp;$C54,data!$A:$U,19,FALSE)</f>
        <v>0</v>
      </c>
      <c r="J54" s="3">
        <f ca="1">VLOOKUP($B54&amp;$C54,data!$A:$U,14,FALSE)</f>
        <v>0</v>
      </c>
      <c r="K54" s="3">
        <f ca="1">VLOOKUP($B54&amp;$C54,data!$A:$U,15,FALSE)</f>
        <v>0</v>
      </c>
      <c r="L54" s="3">
        <f ca="1">VLOOKUP($B54&amp;$C54,data!$A:$U,16,FALSE)</f>
        <v>0</v>
      </c>
      <c r="M54" s="3">
        <f ca="1">VLOOKUP($B54&amp;$C54,data!$A:$U,8,FALSE)</f>
        <v>20</v>
      </c>
      <c r="N54" s="3">
        <f ca="1">VLOOKUP($B54&amp;$C54,data!$A:$U,9,FALSE)</f>
        <v>11</v>
      </c>
      <c r="O54" s="3">
        <f ca="1">VLOOKUP($B54&amp;$C54,data!$A:$U,10,FALSE)</f>
        <v>14</v>
      </c>
      <c r="P54" s="3">
        <f ca="1">VLOOKUP($B54&amp;$C54,data!$A:$U,11,FALSE)</f>
        <v>11</v>
      </c>
      <c r="Q54" s="3">
        <f ca="1">VLOOKUP($B54&amp;$C54,data!$A:$U,12,FALSE)</f>
        <v>0</v>
      </c>
      <c r="R54" s="3">
        <f ca="1">VLOOKUP($B54&amp;$C54,data!$A:$U,13,FALSE)</f>
        <v>0</v>
      </c>
      <c r="S54" s="3">
        <f ca="1">VLOOKUP($B54&amp;$C54,data!$A:$U,5,FALSE)</f>
        <v>20</v>
      </c>
      <c r="T54" s="3">
        <f ca="1">VLOOKUP($B54&amp;$C54,data!$A:$U,6,FALSE)</f>
        <v>11</v>
      </c>
      <c r="U54" s="3">
        <f ca="1">VLOOKUP($B54&amp;$C54,data!$A:$U,7,FALSE)</f>
        <v>18</v>
      </c>
      <c r="V54" s="16">
        <f>914443441544</f>
        <v>914443441544</v>
      </c>
      <c r="W54" s="17" t="s">
        <v>211</v>
      </c>
      <c r="X54" s="17" t="s">
        <v>212</v>
      </c>
      <c r="Y54" s="4" t="s">
        <v>213</v>
      </c>
      <c r="Z54" s="13">
        <f t="shared" ca="1" si="1"/>
        <v>0.78438530097628245</v>
      </c>
    </row>
    <row r="55" spans="1:26" ht="15.75" customHeight="1" x14ac:dyDescent="0.15">
      <c r="A55" s="3">
        <v>54</v>
      </c>
      <c r="B55" s="3" t="s">
        <v>4</v>
      </c>
      <c r="C55" s="3" t="s">
        <v>214</v>
      </c>
      <c r="D55" s="10">
        <f t="shared" ca="1" si="0"/>
        <v>1</v>
      </c>
      <c r="E55" s="5">
        <f ca="1">VLOOKUP($B55&amp;$C55,data!$A:$U,20,FALSE)</f>
        <v>44305.442395833299</v>
      </c>
      <c r="F55" s="3" t="str">
        <f ca="1">VLOOKUP($B55&amp;$C55,data!$A:$U,21,FALSE)</f>
        <v>19-04-21</v>
      </c>
      <c r="G55" s="3">
        <f ca="1">VLOOKUP($B55&amp;$C55,data!$A:$U,17,FALSE)</f>
        <v>2</v>
      </c>
      <c r="H55" s="3">
        <f ca="1">VLOOKUP($B55&amp;$C55,data!$A:$U,18,FALSE)</f>
        <v>0</v>
      </c>
      <c r="I55" s="3">
        <f ca="1">VLOOKUP($B55&amp;$C55,data!$A:$U,19,FALSE)</f>
        <v>2</v>
      </c>
      <c r="J55" s="3">
        <f ca="1">VLOOKUP($B55&amp;$C55,data!$A:$U,14,FALSE)</f>
        <v>3</v>
      </c>
      <c r="K55" s="3">
        <f ca="1">VLOOKUP($B55&amp;$C55,data!$A:$U,15,FALSE)</f>
        <v>0</v>
      </c>
      <c r="L55" s="3">
        <f ca="1">VLOOKUP($B55&amp;$C55,data!$A:$U,16,FALSE)</f>
        <v>3</v>
      </c>
      <c r="M55" s="3">
        <f ca="1">VLOOKUP($B55&amp;$C55,data!$A:$U,8,FALSE)</f>
        <v>32</v>
      </c>
      <c r="N55" s="3">
        <f ca="1">VLOOKUP($B55&amp;$C55,data!$A:$U,9,FALSE)</f>
        <v>0</v>
      </c>
      <c r="O55" s="3">
        <f ca="1">VLOOKUP($B55&amp;$C55,data!$A:$U,10,FALSE)</f>
        <v>32</v>
      </c>
      <c r="P55" s="3">
        <f ca="1">VLOOKUP($B55&amp;$C55,data!$A:$U,11,FALSE)</f>
        <v>3</v>
      </c>
      <c r="Q55" s="3">
        <f ca="1">VLOOKUP($B55&amp;$C55,data!$A:$U,12,FALSE)</f>
        <v>0</v>
      </c>
      <c r="R55" s="3">
        <f ca="1">VLOOKUP($B55&amp;$C55,data!$A:$U,13,FALSE)</f>
        <v>3</v>
      </c>
      <c r="S55" s="3">
        <f ca="1">VLOOKUP($B55&amp;$C55,data!$A:$U,5,FALSE)</f>
        <v>35</v>
      </c>
      <c r="T55" s="3">
        <f ca="1">VLOOKUP($B55&amp;$C55,data!$A:$U,6,FALSE)</f>
        <v>0</v>
      </c>
      <c r="U55" s="3">
        <f ca="1">VLOOKUP($B55&amp;$C55,data!$A:$U,7,FALSE)</f>
        <v>35</v>
      </c>
      <c r="V55" s="16"/>
      <c r="W55" s="9"/>
      <c r="X55" s="9"/>
      <c r="Y55" s="3"/>
      <c r="Z55" s="13">
        <f t="shared" ca="1" si="1"/>
        <v>0.64451261577778496</v>
      </c>
    </row>
    <row r="56" spans="1:26" ht="15.75" customHeight="1" x14ac:dyDescent="0.15">
      <c r="A56" s="3">
        <v>55</v>
      </c>
      <c r="B56" s="3" t="s">
        <v>4</v>
      </c>
      <c r="C56" s="3" t="s">
        <v>215</v>
      </c>
      <c r="D56" s="10">
        <f t="shared" ca="1" si="0"/>
        <v>2.3255813953488372E-2</v>
      </c>
      <c r="E56" s="5">
        <f ca="1">VLOOKUP($B56&amp;$C56,data!$A:$U,20,FALSE)</f>
        <v>44305.373611111099</v>
      </c>
      <c r="F56" s="3" t="str">
        <f ca="1">VLOOKUP($B56&amp;$C56,data!$A:$U,21,FALSE)</f>
        <v>NIL</v>
      </c>
      <c r="G56" s="3">
        <f ca="1">VLOOKUP($B56&amp;$C56,data!$A:$U,17,FALSE)</f>
        <v>1</v>
      </c>
      <c r="H56" s="3">
        <f ca="1">VLOOKUP($B56&amp;$C56,data!$A:$U,18,FALSE)</f>
        <v>0</v>
      </c>
      <c r="I56" s="3">
        <f ca="1">VLOOKUP($B56&amp;$C56,data!$A:$U,19,FALSE)</f>
        <v>1</v>
      </c>
      <c r="J56" s="3">
        <f ca="1">VLOOKUP($B56&amp;$C56,data!$A:$U,14,FALSE)</f>
        <v>4</v>
      </c>
      <c r="K56" s="3">
        <f ca="1">VLOOKUP($B56&amp;$C56,data!$A:$U,15,FALSE)</f>
        <v>4</v>
      </c>
      <c r="L56" s="3">
        <f ca="1">VLOOKUP($B56&amp;$C56,data!$A:$U,16,FALSE)</f>
        <v>0</v>
      </c>
      <c r="M56" s="3">
        <f ca="1">VLOOKUP($B56&amp;$C56,data!$A:$U,8,FALSE)</f>
        <v>13</v>
      </c>
      <c r="N56" s="3">
        <f ca="1">VLOOKUP($B56&amp;$C56,data!$A:$U,9,FALSE)</f>
        <v>13</v>
      </c>
      <c r="O56" s="3">
        <f ca="1">VLOOKUP($B56&amp;$C56,data!$A:$U,10,FALSE)</f>
        <v>0</v>
      </c>
      <c r="P56" s="3">
        <f ca="1">VLOOKUP($B56&amp;$C56,data!$A:$U,11,FALSE)</f>
        <v>26</v>
      </c>
      <c r="Q56" s="3">
        <f ca="1">VLOOKUP($B56&amp;$C56,data!$A:$U,12,FALSE)</f>
        <v>26</v>
      </c>
      <c r="R56" s="3">
        <f ca="1">VLOOKUP($B56&amp;$C56,data!$A:$U,13,FALSE)</f>
        <v>0</v>
      </c>
      <c r="S56" s="3">
        <f ca="1">VLOOKUP($B56&amp;$C56,data!$A:$U,5,FALSE)</f>
        <v>43</v>
      </c>
      <c r="T56" s="3">
        <f ca="1">VLOOKUP($B56&amp;$C56,data!$A:$U,6,FALSE)</f>
        <v>43</v>
      </c>
      <c r="U56" s="3">
        <f ca="1">VLOOKUP($B56&amp;$C56,data!$A:$U,7,FALSE)</f>
        <v>2</v>
      </c>
      <c r="V56" s="16"/>
      <c r="W56" s="9"/>
      <c r="X56" s="9"/>
      <c r="Y56" s="3"/>
      <c r="Z56" s="13">
        <f t="shared" ca="1" si="1"/>
        <v>0.71329733797756489</v>
      </c>
    </row>
    <row r="57" spans="1:26" ht="13" x14ac:dyDescent="0.15">
      <c r="A57" s="3">
        <v>56</v>
      </c>
      <c r="B57" s="3" t="s">
        <v>4</v>
      </c>
      <c r="C57" s="3" t="s">
        <v>216</v>
      </c>
      <c r="D57" s="10">
        <f t="shared" ca="1" si="0"/>
        <v>0</v>
      </c>
      <c r="E57" s="5">
        <f ca="1">VLOOKUP($B57&amp;$C57,data!$A:$U,20,FALSE)</f>
        <v>44302.392789351798</v>
      </c>
      <c r="F57" s="3" t="str">
        <f ca="1">VLOOKUP($B57&amp;$C57,data!$A:$U,21,FALSE)</f>
        <v>..Nill</v>
      </c>
      <c r="G57" s="3">
        <f ca="1">VLOOKUP($B57&amp;$C57,data!$A:$U,17,FALSE)</f>
        <v>2</v>
      </c>
      <c r="H57" s="3">
        <f ca="1">VLOOKUP($B57&amp;$C57,data!$A:$U,18,FALSE)</f>
        <v>0</v>
      </c>
      <c r="I57" s="3">
        <f ca="1">VLOOKUP($B57&amp;$C57,data!$A:$U,19,FALSE)</f>
        <v>0</v>
      </c>
      <c r="J57" s="3">
        <f ca="1">VLOOKUP($B57&amp;$C57,data!$A:$U,14,FALSE)</f>
        <v>4</v>
      </c>
      <c r="K57" s="3">
        <f ca="1">VLOOKUP($B57&amp;$C57,data!$A:$U,15,FALSE)</f>
        <v>4</v>
      </c>
      <c r="L57" s="3">
        <f ca="1">VLOOKUP($B57&amp;$C57,data!$A:$U,16,FALSE)</f>
        <v>0</v>
      </c>
      <c r="M57" s="3">
        <f ca="1">VLOOKUP($B57&amp;$C57,data!$A:$U,8,FALSE)</f>
        <v>60</v>
      </c>
      <c r="N57" s="3">
        <f ca="1">VLOOKUP($B57&amp;$C57,data!$A:$U,9,FALSE)</f>
        <v>60</v>
      </c>
      <c r="O57" s="3">
        <f ca="1">VLOOKUP($B57&amp;$C57,data!$A:$U,10,FALSE)</f>
        <v>0</v>
      </c>
      <c r="P57" s="3">
        <f ca="1">VLOOKUP($B57&amp;$C57,data!$A:$U,11,FALSE)</f>
        <v>4</v>
      </c>
      <c r="Q57" s="3">
        <f ca="1">VLOOKUP($B57&amp;$C57,data!$A:$U,12,FALSE)</f>
        <v>4</v>
      </c>
      <c r="R57" s="3">
        <f ca="1">VLOOKUP($B57&amp;$C57,data!$A:$U,13,FALSE)</f>
        <v>0</v>
      </c>
      <c r="S57" s="3">
        <f ca="1">VLOOKUP($B57&amp;$C57,data!$A:$U,5,FALSE)</f>
        <v>60</v>
      </c>
      <c r="T57" s="3">
        <f ca="1">VLOOKUP($B57&amp;$C57,data!$A:$U,6,FALSE)</f>
        <v>60</v>
      </c>
      <c r="U57" s="3">
        <f ca="1">VLOOKUP($B57&amp;$C57,data!$A:$U,7,FALSE)</f>
        <v>0</v>
      </c>
      <c r="V57" s="16"/>
      <c r="W57" s="9"/>
      <c r="X57" s="9"/>
      <c r="Y57" s="3"/>
      <c r="Z57" s="13">
        <f t="shared" ca="1" si="1"/>
        <v>3.6941190972793265</v>
      </c>
    </row>
    <row r="58" spans="1:26" ht="13" x14ac:dyDescent="0.15">
      <c r="A58" s="3">
        <v>57</v>
      </c>
      <c r="B58" s="3" t="s">
        <v>4</v>
      </c>
      <c r="C58" s="3" t="s">
        <v>217</v>
      </c>
      <c r="D58" s="10">
        <f t="shared" ca="1" si="0"/>
        <v>0</v>
      </c>
      <c r="E58" s="5">
        <f ca="1">VLOOKUP($B58&amp;$C58,data!$A:$U,20,FALSE)</f>
        <v>44305.335509259203</v>
      </c>
      <c r="F58" s="3">
        <f ca="1">VLOOKUP($B58&amp;$C58,data!$A:$U,21,FALSE)</f>
        <v>0</v>
      </c>
      <c r="G58" s="3">
        <f ca="1">VLOOKUP($B58&amp;$C58,data!$A:$U,17,FALSE)</f>
        <v>3</v>
      </c>
      <c r="H58" s="3">
        <f ca="1">VLOOKUP($B58&amp;$C58,data!$A:$U,18,FALSE)</f>
        <v>3</v>
      </c>
      <c r="I58" s="3">
        <f ca="1">VLOOKUP($B58&amp;$C58,data!$A:$U,19,FALSE)</f>
        <v>0</v>
      </c>
      <c r="J58" s="3">
        <f ca="1">VLOOKUP($B58&amp;$C58,data!$A:$U,14,FALSE)</f>
        <v>10</v>
      </c>
      <c r="K58" s="3">
        <f ca="1">VLOOKUP($B58&amp;$C58,data!$A:$U,15,FALSE)</f>
        <v>10</v>
      </c>
      <c r="L58" s="3">
        <f ca="1">VLOOKUP($B58&amp;$C58,data!$A:$U,16,FALSE)</f>
        <v>0</v>
      </c>
      <c r="M58" s="3">
        <f ca="1">VLOOKUP($B58&amp;$C58,data!$A:$U,8,FALSE)</f>
        <v>45</v>
      </c>
      <c r="N58" s="3">
        <f ca="1">VLOOKUP($B58&amp;$C58,data!$A:$U,9,FALSE)</f>
        <v>45</v>
      </c>
      <c r="O58" s="3">
        <f ca="1">VLOOKUP($B58&amp;$C58,data!$A:$U,10,FALSE)</f>
        <v>0</v>
      </c>
      <c r="P58" s="3">
        <f ca="1">VLOOKUP($B58&amp;$C58,data!$A:$U,11,FALSE)</f>
        <v>0</v>
      </c>
      <c r="Q58" s="3">
        <f ca="1">VLOOKUP($B58&amp;$C58,data!$A:$U,12,FALSE)</f>
        <v>0</v>
      </c>
      <c r="R58" s="3">
        <f ca="1">VLOOKUP($B58&amp;$C58,data!$A:$U,13,FALSE)</f>
        <v>0</v>
      </c>
      <c r="S58" s="3">
        <f ca="1">VLOOKUP($B58&amp;$C58,data!$A:$U,5,FALSE)</f>
        <v>55</v>
      </c>
      <c r="T58" s="3">
        <f ca="1">VLOOKUP($B58&amp;$C58,data!$A:$U,6,FALSE)</f>
        <v>55</v>
      </c>
      <c r="U58" s="3">
        <f ca="1">VLOOKUP($B58&amp;$C58,data!$A:$U,7,FALSE)</f>
        <v>0</v>
      </c>
      <c r="V58" s="16"/>
      <c r="W58" s="9"/>
      <c r="X58" s="9"/>
      <c r="Y58" s="3"/>
      <c r="Z58" s="13">
        <f t="shared" ca="1" si="1"/>
        <v>0.75139918987406418</v>
      </c>
    </row>
    <row r="59" spans="1:26" ht="13" x14ac:dyDescent="0.15">
      <c r="A59" s="3">
        <v>58</v>
      </c>
      <c r="B59" s="3" t="s">
        <v>4</v>
      </c>
      <c r="C59" s="3" t="s">
        <v>218</v>
      </c>
      <c r="D59" s="10">
        <f t="shared" ca="1" si="0"/>
        <v>0</v>
      </c>
      <c r="E59" s="5">
        <f ca="1">VLOOKUP($B59&amp;$C59,data!$A:$U,20,FALSE)</f>
        <v>44305.297083333302</v>
      </c>
      <c r="F59" s="3" t="str">
        <f ca="1">VLOOKUP($B59&amp;$C59,data!$A:$U,21,FALSE)</f>
        <v>Update</v>
      </c>
      <c r="G59" s="3">
        <f ca="1">VLOOKUP($B59&amp;$C59,data!$A:$U,17,FALSE)</f>
        <v>1</v>
      </c>
      <c r="H59" s="3">
        <f ca="1">VLOOKUP($B59&amp;$C59,data!$A:$U,18,FALSE)</f>
        <v>1</v>
      </c>
      <c r="I59" s="3">
        <f ca="1">VLOOKUP($B59&amp;$C59,data!$A:$U,19,FALSE)</f>
        <v>0</v>
      </c>
      <c r="J59" s="3">
        <f ca="1">VLOOKUP($B59&amp;$C59,data!$A:$U,14,FALSE)</f>
        <v>5</v>
      </c>
      <c r="K59" s="3">
        <f ca="1">VLOOKUP($B59&amp;$C59,data!$A:$U,15,FALSE)</f>
        <v>5</v>
      </c>
      <c r="L59" s="3">
        <f ca="1">VLOOKUP($B59&amp;$C59,data!$A:$U,16,FALSE)</f>
        <v>0</v>
      </c>
      <c r="M59" s="3">
        <f ca="1">VLOOKUP($B59&amp;$C59,data!$A:$U,8,FALSE)</f>
        <v>35</v>
      </c>
      <c r="N59" s="3">
        <f ca="1">VLOOKUP($B59&amp;$C59,data!$A:$U,9,FALSE)</f>
        <v>25</v>
      </c>
      <c r="O59" s="3">
        <f ca="1">VLOOKUP($B59&amp;$C59,data!$A:$U,10,FALSE)</f>
        <v>0</v>
      </c>
      <c r="P59" s="3">
        <f ca="1">VLOOKUP($B59&amp;$C59,data!$A:$U,11,FALSE)</f>
        <v>0</v>
      </c>
      <c r="Q59" s="3">
        <f ca="1">VLOOKUP($B59&amp;$C59,data!$A:$U,12,FALSE)</f>
        <v>0</v>
      </c>
      <c r="R59" s="3">
        <f ca="1">VLOOKUP($B59&amp;$C59,data!$A:$U,13,FALSE)</f>
        <v>0</v>
      </c>
      <c r="S59" s="3">
        <f ca="1">VLOOKUP($B59&amp;$C59,data!$A:$U,5,FALSE)</f>
        <v>32</v>
      </c>
      <c r="T59" s="3">
        <f ca="1">VLOOKUP($B59&amp;$C59,data!$A:$U,6,FALSE)</f>
        <v>35</v>
      </c>
      <c r="U59" s="3">
        <f ca="1">VLOOKUP($B59&amp;$C59,data!$A:$U,7,FALSE)</f>
        <v>0</v>
      </c>
      <c r="V59" s="16"/>
      <c r="W59" s="9"/>
      <c r="X59" s="9"/>
      <c r="Y59" s="3"/>
      <c r="Z59" s="13">
        <f t="shared" ca="1" si="1"/>
        <v>0.78982511577487458</v>
      </c>
    </row>
    <row r="60" spans="1:26" ht="13" x14ac:dyDescent="0.15">
      <c r="A60" s="3">
        <v>59</v>
      </c>
      <c r="B60" s="3" t="s">
        <v>4</v>
      </c>
      <c r="C60" s="3" t="s">
        <v>219</v>
      </c>
      <c r="D60" s="10">
        <f t="shared" ca="1" si="0"/>
        <v>1</v>
      </c>
      <c r="E60" s="5">
        <f ca="1">VLOOKUP($B60&amp;$C60,data!$A:$U,20,FALSE)</f>
        <v>44305.652824074001</v>
      </c>
      <c r="F60" s="3">
        <f ca="1">VLOOKUP($B60&amp;$C60,data!$A:$U,21,FALSE)</f>
        <v>0</v>
      </c>
      <c r="G60" s="3">
        <f ca="1">VLOOKUP($B60&amp;$C60,data!$A:$U,17,FALSE)</f>
        <v>3</v>
      </c>
      <c r="H60" s="3">
        <f ca="1">VLOOKUP($B60&amp;$C60,data!$A:$U,18,FALSE)</f>
        <v>0</v>
      </c>
      <c r="I60" s="3">
        <f ca="1">VLOOKUP($B60&amp;$C60,data!$A:$U,19,FALSE)</f>
        <v>3</v>
      </c>
      <c r="J60" s="3">
        <f ca="1">VLOOKUP($B60&amp;$C60,data!$A:$U,14,FALSE)</f>
        <v>10</v>
      </c>
      <c r="K60" s="3">
        <f ca="1">VLOOKUP($B60&amp;$C60,data!$A:$U,15,FALSE)</f>
        <v>0</v>
      </c>
      <c r="L60" s="3">
        <f ca="1">VLOOKUP($B60&amp;$C60,data!$A:$U,16,FALSE)</f>
        <v>10</v>
      </c>
      <c r="M60" s="3">
        <f ca="1">VLOOKUP($B60&amp;$C60,data!$A:$U,8,FALSE)</f>
        <v>62</v>
      </c>
      <c r="N60" s="3">
        <f ca="1">VLOOKUP($B60&amp;$C60,data!$A:$U,9,FALSE)</f>
        <v>0</v>
      </c>
      <c r="O60" s="3">
        <f ca="1">VLOOKUP($B60&amp;$C60,data!$A:$U,10,FALSE)</f>
        <v>62</v>
      </c>
      <c r="P60" s="3">
        <f ca="1">VLOOKUP($B60&amp;$C60,data!$A:$U,11,FALSE)</f>
        <v>3</v>
      </c>
      <c r="Q60" s="3">
        <f ca="1">VLOOKUP($B60&amp;$C60,data!$A:$U,12,FALSE)</f>
        <v>0</v>
      </c>
      <c r="R60" s="3">
        <f ca="1">VLOOKUP($B60&amp;$C60,data!$A:$U,13,FALSE)</f>
        <v>3</v>
      </c>
      <c r="S60" s="3">
        <f ca="1">VLOOKUP($B60&amp;$C60,data!$A:$U,5,FALSE)</f>
        <v>75</v>
      </c>
      <c r="T60" s="3">
        <f ca="1">VLOOKUP($B60&amp;$C60,data!$A:$U,6,FALSE)</f>
        <v>0</v>
      </c>
      <c r="U60" s="3">
        <f ca="1">VLOOKUP($B60&amp;$C60,data!$A:$U,7,FALSE)</f>
        <v>75</v>
      </c>
      <c r="V60" s="16">
        <f>914461616161</f>
        <v>914461616161</v>
      </c>
      <c r="W60" s="17" t="s">
        <v>220</v>
      </c>
      <c r="X60" s="17" t="s">
        <v>221</v>
      </c>
      <c r="Y60" s="4" t="s">
        <v>222</v>
      </c>
      <c r="Z60" s="13">
        <f t="shared" ca="1" si="1"/>
        <v>0.43408437507605413</v>
      </c>
    </row>
    <row r="61" spans="1:26" ht="13" x14ac:dyDescent="0.15">
      <c r="A61" s="3">
        <v>60</v>
      </c>
      <c r="B61" s="3" t="s">
        <v>4</v>
      </c>
      <c r="C61" s="3" t="s">
        <v>223</v>
      </c>
      <c r="D61" s="10">
        <f t="shared" ca="1" si="0"/>
        <v>0</v>
      </c>
      <c r="E61" s="5">
        <f ca="1">VLOOKUP($B61&amp;$C61,data!$A:$U,20,FALSE)</f>
        <v>44305.3899537037</v>
      </c>
      <c r="F61" s="3" t="str">
        <f ca="1">VLOOKUP($B61&amp;$C61,data!$A:$U,21,FALSE)</f>
        <v>19/04/2021</v>
      </c>
      <c r="G61" s="3">
        <f ca="1">VLOOKUP($B61&amp;$C61,data!$A:$U,17,FALSE)</f>
        <v>4</v>
      </c>
      <c r="H61" s="3">
        <f ca="1">VLOOKUP($B61&amp;$C61,data!$A:$U,18,FALSE)</f>
        <v>4</v>
      </c>
      <c r="I61" s="3">
        <f ca="1">VLOOKUP($B61&amp;$C61,data!$A:$U,19,FALSE)</f>
        <v>0</v>
      </c>
      <c r="J61" s="3">
        <f ca="1">VLOOKUP($B61&amp;$C61,data!$A:$U,14,FALSE)</f>
        <v>8</v>
      </c>
      <c r="K61" s="3">
        <f ca="1">VLOOKUP($B61&amp;$C61,data!$A:$U,15,FALSE)</f>
        <v>8</v>
      </c>
      <c r="L61" s="3">
        <f ca="1">VLOOKUP($B61&amp;$C61,data!$A:$U,16,FALSE)</f>
        <v>0</v>
      </c>
      <c r="M61" s="3">
        <f ca="1">VLOOKUP($B61&amp;$C61,data!$A:$U,8,FALSE)</f>
        <v>42</v>
      </c>
      <c r="N61" s="3">
        <f ca="1">VLOOKUP($B61&amp;$C61,data!$A:$U,9,FALSE)</f>
        <v>42</v>
      </c>
      <c r="O61" s="3">
        <f ca="1">VLOOKUP($B61&amp;$C61,data!$A:$U,10,FALSE)</f>
        <v>0</v>
      </c>
      <c r="P61" s="3">
        <f ca="1">VLOOKUP($B61&amp;$C61,data!$A:$U,11,FALSE)</f>
        <v>0</v>
      </c>
      <c r="Q61" s="3">
        <f ca="1">VLOOKUP($B61&amp;$C61,data!$A:$U,12,FALSE)</f>
        <v>0</v>
      </c>
      <c r="R61" s="3">
        <f ca="1">VLOOKUP($B61&amp;$C61,data!$A:$U,13,FALSE)</f>
        <v>0</v>
      </c>
      <c r="S61" s="3">
        <f ca="1">VLOOKUP($B61&amp;$C61,data!$A:$U,5,FALSE)</f>
        <v>50</v>
      </c>
      <c r="T61" s="3">
        <f ca="1">VLOOKUP($B61&amp;$C61,data!$A:$U,6,FALSE)</f>
        <v>50</v>
      </c>
      <c r="U61" s="3">
        <f ca="1">VLOOKUP($B61&amp;$C61,data!$A:$U,7,FALSE)</f>
        <v>0</v>
      </c>
      <c r="V61" s="16"/>
      <c r="W61" s="9"/>
      <c r="X61" s="9"/>
      <c r="Y61" s="3"/>
      <c r="Z61" s="13">
        <f t="shared" ca="1" si="1"/>
        <v>0.69695474537729751</v>
      </c>
    </row>
    <row r="62" spans="1:26" ht="13" x14ac:dyDescent="0.15">
      <c r="A62" s="3">
        <v>61</v>
      </c>
      <c r="B62" s="3" t="s">
        <v>4</v>
      </c>
      <c r="C62" s="3" t="s">
        <v>224</v>
      </c>
      <c r="D62" s="10">
        <f t="shared" ca="1" si="0"/>
        <v>0.92500000000000004</v>
      </c>
      <c r="E62" s="5">
        <f ca="1">VLOOKUP($B62&amp;$C62,data!$A:$U,20,FALSE)</f>
        <v>44305.3023032407</v>
      </c>
      <c r="F62" s="3">
        <f ca="1">VLOOKUP($B62&amp;$C62,data!$A:$U,21,FALSE)</f>
        <v>0</v>
      </c>
      <c r="G62" s="3">
        <f ca="1">VLOOKUP($B62&amp;$C62,data!$A:$U,17,FALSE)</f>
        <v>0</v>
      </c>
      <c r="H62" s="3">
        <f ca="1">VLOOKUP($B62&amp;$C62,data!$A:$U,18,FALSE)</f>
        <v>0</v>
      </c>
      <c r="I62" s="3">
        <f ca="1">VLOOKUP($B62&amp;$C62,data!$A:$U,19,FALSE)</f>
        <v>0</v>
      </c>
      <c r="J62" s="3">
        <f ca="1">VLOOKUP($B62&amp;$C62,data!$A:$U,14,FALSE)</f>
        <v>0</v>
      </c>
      <c r="K62" s="3">
        <f ca="1">VLOOKUP($B62&amp;$C62,data!$A:$U,15,FALSE)</f>
        <v>0</v>
      </c>
      <c r="L62" s="3">
        <f ca="1">VLOOKUP($B62&amp;$C62,data!$A:$U,16,FALSE)</f>
        <v>0</v>
      </c>
      <c r="M62" s="3">
        <f ca="1">VLOOKUP($B62&amp;$C62,data!$A:$U,8,FALSE)</f>
        <v>20</v>
      </c>
      <c r="N62" s="3">
        <f ca="1">VLOOKUP($B62&amp;$C62,data!$A:$U,9,FALSE)</f>
        <v>10</v>
      </c>
      <c r="O62" s="3">
        <f ca="1">VLOOKUP($B62&amp;$C62,data!$A:$U,10,FALSE)</f>
        <v>19</v>
      </c>
      <c r="P62" s="3">
        <f ca="1">VLOOKUP($B62&amp;$C62,data!$A:$U,11,FALSE)</f>
        <v>0</v>
      </c>
      <c r="Q62" s="3">
        <f ca="1">VLOOKUP($B62&amp;$C62,data!$A:$U,12,FALSE)</f>
        <v>0</v>
      </c>
      <c r="R62" s="3">
        <f ca="1">VLOOKUP($B62&amp;$C62,data!$A:$U,13,FALSE)</f>
        <v>0</v>
      </c>
      <c r="S62" s="3">
        <f ca="1">VLOOKUP($B62&amp;$C62,data!$A:$U,5,FALSE)</f>
        <v>20</v>
      </c>
      <c r="T62" s="3">
        <f ca="1">VLOOKUP($B62&amp;$C62,data!$A:$U,6,FALSE)</f>
        <v>10</v>
      </c>
      <c r="U62" s="3">
        <f ca="1">VLOOKUP($B62&amp;$C62,data!$A:$U,7,FALSE)</f>
        <v>18</v>
      </c>
      <c r="V62" s="16"/>
      <c r="W62" s="9"/>
      <c r="X62" s="9"/>
      <c r="Y62" s="3"/>
      <c r="Z62" s="13">
        <f t="shared" ca="1" si="1"/>
        <v>0.78460520837688819</v>
      </c>
    </row>
    <row r="63" spans="1:26" ht="13" x14ac:dyDescent="0.15">
      <c r="A63" s="3">
        <v>62</v>
      </c>
      <c r="B63" s="3" t="s">
        <v>4</v>
      </c>
      <c r="C63" s="3" t="s">
        <v>225</v>
      </c>
      <c r="D63" s="10">
        <f t="shared" ca="1" si="0"/>
        <v>0.5</v>
      </c>
      <c r="E63" s="5">
        <f ca="1">VLOOKUP($B63&amp;$C63,data!$A:$U,20,FALSE)</f>
        <v>44305.531631944403</v>
      </c>
      <c r="F63" s="3" t="str">
        <f ca="1">VLOOKUP($B63&amp;$C63,data!$A:$U,21,FALSE)</f>
        <v>19.04.2021</v>
      </c>
      <c r="G63" s="3">
        <f ca="1">VLOOKUP($B63&amp;$C63,data!$A:$U,17,FALSE)</f>
        <v>3</v>
      </c>
      <c r="H63" s="3">
        <f ca="1">VLOOKUP($B63&amp;$C63,data!$A:$U,18,FALSE)</f>
        <v>0</v>
      </c>
      <c r="I63" s="3">
        <f ca="1">VLOOKUP($B63&amp;$C63,data!$A:$U,19,FALSE)</f>
        <v>3</v>
      </c>
      <c r="J63" s="3">
        <f ca="1">VLOOKUP($B63&amp;$C63,data!$A:$U,14,FALSE)</f>
        <v>4</v>
      </c>
      <c r="K63" s="3">
        <f ca="1">VLOOKUP($B63&amp;$C63,data!$A:$U,15,FALSE)</f>
        <v>0</v>
      </c>
      <c r="L63" s="3">
        <f ca="1">VLOOKUP($B63&amp;$C63,data!$A:$U,16,FALSE)</f>
        <v>4</v>
      </c>
      <c r="M63" s="3">
        <f ca="1">VLOOKUP($B63&amp;$C63,data!$A:$U,8,FALSE)</f>
        <v>10</v>
      </c>
      <c r="N63" s="3">
        <f ca="1">VLOOKUP($B63&amp;$C63,data!$A:$U,9,FALSE)</f>
        <v>1</v>
      </c>
      <c r="O63" s="3">
        <f ca="1">VLOOKUP($B63&amp;$C63,data!$A:$U,10,FALSE)</f>
        <v>9</v>
      </c>
      <c r="P63" s="3">
        <f ca="1">VLOOKUP($B63&amp;$C63,data!$A:$U,11,FALSE)</f>
        <v>2</v>
      </c>
      <c r="Q63" s="3">
        <f ca="1">VLOOKUP($B63&amp;$C63,data!$A:$U,12,FALSE)</f>
        <v>0</v>
      </c>
      <c r="R63" s="3">
        <f ca="1">VLOOKUP($B63&amp;$C63,data!$A:$U,13,FALSE)</f>
        <v>2</v>
      </c>
      <c r="S63" s="3">
        <f ca="1">VLOOKUP($B63&amp;$C63,data!$A:$U,5,FALSE)</f>
        <v>22</v>
      </c>
      <c r="T63" s="3">
        <f ca="1">VLOOKUP($B63&amp;$C63,data!$A:$U,6,FALSE)</f>
        <v>18</v>
      </c>
      <c r="U63" s="3">
        <f ca="1">VLOOKUP($B63&amp;$C63,data!$A:$U,7,FALSE)</f>
        <v>4</v>
      </c>
      <c r="V63" s="16"/>
      <c r="W63" s="9"/>
      <c r="X63" s="9"/>
      <c r="Y63" s="3"/>
      <c r="Z63" s="13">
        <f t="shared" ca="1" si="1"/>
        <v>0.55527650467411149</v>
      </c>
    </row>
    <row r="64" spans="1:26" ht="13" x14ac:dyDescent="0.15">
      <c r="A64" s="3">
        <v>63</v>
      </c>
      <c r="B64" s="3" t="s">
        <v>4</v>
      </c>
      <c r="C64" s="3" t="s">
        <v>226</v>
      </c>
      <c r="D64" s="10">
        <f t="shared" ca="1" si="0"/>
        <v>1.9230769230769232E-2</v>
      </c>
      <c r="E64" s="5">
        <f ca="1">VLOOKUP($B64&amp;$C64,data!$A:$U,20,FALSE)</f>
        <v>44303.466805555501</v>
      </c>
      <c r="F64" s="3" t="str">
        <f ca="1">VLOOKUP($B64&amp;$C64,data!$A:$U,21,FALSE)</f>
        <v>17/04/21</v>
      </c>
      <c r="G64" s="3">
        <f ca="1">VLOOKUP($B64&amp;$C64,data!$A:$U,17,FALSE)</f>
        <v>1</v>
      </c>
      <c r="H64" s="3">
        <f ca="1">VLOOKUP($B64&amp;$C64,data!$A:$U,18,FALSE)</f>
        <v>1</v>
      </c>
      <c r="I64" s="3">
        <f ca="1">VLOOKUP($B64&amp;$C64,data!$A:$U,19,FALSE)</f>
        <v>0</v>
      </c>
      <c r="J64" s="3">
        <f ca="1">VLOOKUP($B64&amp;$C64,data!$A:$U,14,FALSE)</f>
        <v>2</v>
      </c>
      <c r="K64" s="3">
        <f ca="1">VLOOKUP($B64&amp;$C64,data!$A:$U,15,FALSE)</f>
        <v>1</v>
      </c>
      <c r="L64" s="3">
        <f ca="1">VLOOKUP($B64&amp;$C64,data!$A:$U,16,FALSE)</f>
        <v>1</v>
      </c>
      <c r="M64" s="3">
        <f ca="1">VLOOKUP($B64&amp;$C64,data!$A:$U,8,FALSE)</f>
        <v>15</v>
      </c>
      <c r="N64" s="3">
        <f ca="1">VLOOKUP($B64&amp;$C64,data!$A:$U,9,FALSE)</f>
        <v>15</v>
      </c>
      <c r="O64" s="3">
        <f ca="1">VLOOKUP($B64&amp;$C64,data!$A:$U,10,FALSE)</f>
        <v>0</v>
      </c>
      <c r="P64" s="3">
        <f ca="1">VLOOKUP($B64&amp;$C64,data!$A:$U,11,FALSE)</f>
        <v>10</v>
      </c>
      <c r="Q64" s="3">
        <f ca="1">VLOOKUP($B64&amp;$C64,data!$A:$U,12,FALSE)</f>
        <v>10</v>
      </c>
      <c r="R64" s="3">
        <f ca="1">VLOOKUP($B64&amp;$C64,data!$A:$U,13,FALSE)</f>
        <v>0</v>
      </c>
      <c r="S64" s="3">
        <f ca="1">VLOOKUP($B64&amp;$C64,data!$A:$U,5,FALSE)</f>
        <v>25</v>
      </c>
      <c r="T64" s="3">
        <f ca="1">VLOOKUP($B64&amp;$C64,data!$A:$U,6,FALSE)</f>
        <v>25</v>
      </c>
      <c r="U64" s="3">
        <f ca="1">VLOOKUP($B64&amp;$C64,data!$A:$U,7,FALSE)</f>
        <v>0</v>
      </c>
      <c r="V64" s="16"/>
      <c r="W64" s="9"/>
      <c r="X64" s="9"/>
      <c r="Y64" s="3"/>
      <c r="Z64" s="13">
        <f t="shared" ca="1" si="1"/>
        <v>2.6201028935756767</v>
      </c>
    </row>
    <row r="65" spans="1:26" ht="13" x14ac:dyDescent="0.15">
      <c r="A65" s="3">
        <v>64</v>
      </c>
      <c r="B65" s="3" t="s">
        <v>4</v>
      </c>
      <c r="C65" s="3" t="s">
        <v>227</v>
      </c>
      <c r="D65" s="10">
        <f t="shared" ca="1" si="0"/>
        <v>5.7142857142857141E-2</v>
      </c>
      <c r="E65" s="5">
        <f ca="1">VLOOKUP($B65&amp;$C65,data!$A:$U,20,FALSE)</f>
        <v>44305.451874999999</v>
      </c>
      <c r="F65" s="3" t="str">
        <f ca="1">VLOOKUP($B65&amp;$C65,data!$A:$U,21,FALSE)</f>
        <v>Updated as on 19/04/2021</v>
      </c>
      <c r="G65" s="3">
        <f ca="1">VLOOKUP($B65&amp;$C65,data!$A:$U,17,FALSE)</f>
        <v>2</v>
      </c>
      <c r="H65" s="3">
        <f ca="1">VLOOKUP($B65&amp;$C65,data!$A:$U,18,FALSE)</f>
        <v>0</v>
      </c>
      <c r="I65" s="3">
        <f ca="1">VLOOKUP($B65&amp;$C65,data!$A:$U,19,FALSE)</f>
        <v>2</v>
      </c>
      <c r="J65" s="3">
        <f ca="1">VLOOKUP($B65&amp;$C65,data!$A:$U,14,FALSE)</f>
        <v>2</v>
      </c>
      <c r="K65" s="3">
        <f ca="1">VLOOKUP($B65&amp;$C65,data!$A:$U,15,FALSE)</f>
        <v>0</v>
      </c>
      <c r="L65" s="3">
        <f ca="1">VLOOKUP($B65&amp;$C65,data!$A:$U,16,FALSE)</f>
        <v>2</v>
      </c>
      <c r="M65" s="3">
        <f ca="1">VLOOKUP($B65&amp;$C65,data!$A:$U,8,FALSE)</f>
        <v>11</v>
      </c>
      <c r="N65" s="3">
        <f ca="1">VLOOKUP($B65&amp;$C65,data!$A:$U,9,FALSE)</f>
        <v>5</v>
      </c>
      <c r="O65" s="3">
        <f ca="1">VLOOKUP($B65&amp;$C65,data!$A:$U,10,FALSE)</f>
        <v>0</v>
      </c>
      <c r="P65" s="3">
        <f ca="1">VLOOKUP($B65&amp;$C65,data!$A:$U,11,FALSE)</f>
        <v>11</v>
      </c>
      <c r="Q65" s="3">
        <f ca="1">VLOOKUP($B65&amp;$C65,data!$A:$U,12,FALSE)</f>
        <v>6</v>
      </c>
      <c r="R65" s="3">
        <f ca="1">VLOOKUP($B65&amp;$C65,data!$A:$U,13,FALSE)</f>
        <v>0</v>
      </c>
      <c r="S65" s="3">
        <f ca="1">VLOOKUP($B65&amp;$C65,data!$A:$U,5,FALSE)</f>
        <v>11</v>
      </c>
      <c r="T65" s="3">
        <f ca="1">VLOOKUP($B65&amp;$C65,data!$A:$U,6,FALSE)</f>
        <v>11</v>
      </c>
      <c r="U65" s="3">
        <f ca="1">VLOOKUP($B65&amp;$C65,data!$A:$U,7,FALSE)</f>
        <v>0</v>
      </c>
      <c r="V65" s="16">
        <f>919840077508</f>
        <v>919840077508</v>
      </c>
      <c r="W65" s="17" t="s">
        <v>228</v>
      </c>
      <c r="X65" s="17" t="s">
        <v>229</v>
      </c>
      <c r="Y65" s="4" t="s">
        <v>230</v>
      </c>
      <c r="Z65" s="13">
        <f t="shared" ca="1" si="1"/>
        <v>0.63503344907803694</v>
      </c>
    </row>
    <row r="66" spans="1:26" ht="13" x14ac:dyDescent="0.15">
      <c r="A66" s="3">
        <v>65</v>
      </c>
      <c r="B66" s="3" t="s">
        <v>4</v>
      </c>
      <c r="C66" s="3" t="s">
        <v>231</v>
      </c>
      <c r="D66" s="10">
        <f t="shared" ca="1" si="0"/>
        <v>0</v>
      </c>
      <c r="E66" s="5">
        <f ca="1">VLOOKUP($B66&amp;$C66,data!$A:$U,20,FALSE)</f>
        <v>44305.703368055503</v>
      </c>
      <c r="F66" s="3" t="str">
        <f ca="1">VLOOKUP($B66&amp;$C66,data!$A:$U,21,FALSE)</f>
        <v>19.04.2021</v>
      </c>
      <c r="G66" s="3">
        <f ca="1">VLOOKUP($B66&amp;$C66,data!$A:$U,17,FALSE)</f>
        <v>0</v>
      </c>
      <c r="H66" s="3">
        <f ca="1">VLOOKUP($B66&amp;$C66,data!$A:$U,18,FALSE)</f>
        <v>0</v>
      </c>
      <c r="I66" s="3">
        <f ca="1">VLOOKUP($B66&amp;$C66,data!$A:$U,19,FALSE)</f>
        <v>0</v>
      </c>
      <c r="J66" s="3">
        <f ca="1">VLOOKUP($B66&amp;$C66,data!$A:$U,14,FALSE)</f>
        <v>6</v>
      </c>
      <c r="K66" s="3">
        <f ca="1">VLOOKUP($B66&amp;$C66,data!$A:$U,15,FALSE)</f>
        <v>6</v>
      </c>
      <c r="L66" s="3">
        <f ca="1">VLOOKUP($B66&amp;$C66,data!$A:$U,16,FALSE)</f>
        <v>0</v>
      </c>
      <c r="M66" s="3">
        <f ca="1">VLOOKUP($B66&amp;$C66,data!$A:$U,8,FALSE)</f>
        <v>15</v>
      </c>
      <c r="N66" s="3">
        <f ca="1">VLOOKUP($B66&amp;$C66,data!$A:$U,9,FALSE)</f>
        <v>17</v>
      </c>
      <c r="O66" s="3">
        <f ca="1">VLOOKUP($B66&amp;$C66,data!$A:$U,10,FALSE)</f>
        <v>0</v>
      </c>
      <c r="P66" s="3">
        <f ca="1">VLOOKUP($B66&amp;$C66,data!$A:$U,11,FALSE)</f>
        <v>30</v>
      </c>
      <c r="Q66" s="3">
        <f ca="1">VLOOKUP($B66&amp;$C66,data!$A:$U,12,FALSE)</f>
        <v>30</v>
      </c>
      <c r="R66" s="3">
        <f ca="1">VLOOKUP($B66&amp;$C66,data!$A:$U,13,FALSE)</f>
        <v>0</v>
      </c>
      <c r="S66" s="3">
        <f ca="1">VLOOKUP($B66&amp;$C66,data!$A:$U,5,FALSE)</f>
        <v>53</v>
      </c>
      <c r="T66" s="3">
        <f ca="1">VLOOKUP($B66&amp;$C66,data!$A:$U,6,FALSE)</f>
        <v>53</v>
      </c>
      <c r="U66" s="3">
        <f ca="1">VLOOKUP($B66&amp;$C66,data!$A:$U,7,FALSE)</f>
        <v>0</v>
      </c>
      <c r="V66" s="16"/>
      <c r="W66" s="9"/>
      <c r="X66" s="9"/>
      <c r="Y66" s="3"/>
      <c r="Z66" s="13">
        <f t="shared" ca="1" si="1"/>
        <v>0.38354039357363945</v>
      </c>
    </row>
    <row r="67" spans="1:26" ht="13" x14ac:dyDescent="0.15">
      <c r="A67" s="3">
        <v>66</v>
      </c>
      <c r="B67" s="3" t="s">
        <v>4</v>
      </c>
      <c r="C67" s="3" t="s">
        <v>232</v>
      </c>
      <c r="D67" s="10">
        <f t="shared" ca="1" si="0"/>
        <v>0.51</v>
      </c>
      <c r="E67" s="5">
        <f ca="1">VLOOKUP($B67&amp;$C67,data!$A:$U,20,FALSE)</f>
        <v>44305.350856481396</v>
      </c>
      <c r="F67" s="3">
        <f ca="1">VLOOKUP($B67&amp;$C67,data!$A:$U,21,FALSE)</f>
        <v>0</v>
      </c>
      <c r="G67" s="3">
        <f ca="1">VLOOKUP($B67&amp;$C67,data!$A:$U,17,FALSE)</f>
        <v>15</v>
      </c>
      <c r="H67" s="3">
        <f ca="1">VLOOKUP($B67&amp;$C67,data!$A:$U,18,FALSE)</f>
        <v>6</v>
      </c>
      <c r="I67" s="3">
        <f ca="1">VLOOKUP($B67&amp;$C67,data!$A:$U,19,FALSE)</f>
        <v>9</v>
      </c>
      <c r="J67" s="3">
        <f ca="1">VLOOKUP($B67&amp;$C67,data!$A:$U,14,FALSE)</f>
        <v>15</v>
      </c>
      <c r="K67" s="3">
        <f ca="1">VLOOKUP($B67&amp;$C67,data!$A:$U,15,FALSE)</f>
        <v>15</v>
      </c>
      <c r="L67" s="3">
        <f ca="1">VLOOKUP($B67&amp;$C67,data!$A:$U,16,FALSE)</f>
        <v>0</v>
      </c>
      <c r="M67" s="3">
        <f ca="1">VLOOKUP($B67&amp;$C67,data!$A:$U,8,FALSE)</f>
        <v>250</v>
      </c>
      <c r="N67" s="3">
        <f ca="1">VLOOKUP($B67&amp;$C67,data!$A:$U,9,FALSE)</f>
        <v>108</v>
      </c>
      <c r="O67" s="3">
        <f ca="1">VLOOKUP($B67&amp;$C67,data!$A:$U,10,FALSE)</f>
        <v>142</v>
      </c>
      <c r="P67" s="3">
        <f ca="1">VLOOKUP($B67&amp;$C67,data!$A:$U,11,FALSE)</f>
        <v>135</v>
      </c>
      <c r="Q67" s="3">
        <f ca="1">VLOOKUP($B67&amp;$C67,data!$A:$U,12,FALSE)</f>
        <v>73</v>
      </c>
      <c r="R67" s="3">
        <f ca="1">VLOOKUP($B67&amp;$C67,data!$A:$U,13,FALSE)</f>
        <v>62</v>
      </c>
      <c r="S67" s="3">
        <f ca="1">VLOOKUP($B67&amp;$C67,data!$A:$U,5,FALSE)</f>
        <v>400</v>
      </c>
      <c r="T67" s="3">
        <f ca="1">VLOOKUP($B67&amp;$C67,data!$A:$U,6,FALSE)</f>
        <v>1196</v>
      </c>
      <c r="U67" s="3">
        <f ca="1">VLOOKUP($B67&amp;$C67,data!$A:$U,7,FALSE)</f>
        <v>204</v>
      </c>
      <c r="V67" s="16">
        <f>914466726611</f>
        <v>914466726611</v>
      </c>
      <c r="W67" s="17" t="s">
        <v>233</v>
      </c>
      <c r="X67" s="17" t="s">
        <v>234</v>
      </c>
      <c r="Y67" s="4" t="s">
        <v>235</v>
      </c>
      <c r="Z67" s="13">
        <f t="shared" ca="1" si="1"/>
        <v>0.73605196768039605</v>
      </c>
    </row>
    <row r="68" spans="1:26" ht="13" x14ac:dyDescent="0.15">
      <c r="A68" s="3">
        <v>67</v>
      </c>
      <c r="B68" s="3" t="s">
        <v>4</v>
      </c>
      <c r="C68" s="3" t="s">
        <v>236</v>
      </c>
      <c r="D68" s="10">
        <f t="shared" ca="1" si="0"/>
        <v>1.6759776536312849E-2</v>
      </c>
      <c r="E68" s="5">
        <f ca="1">VLOOKUP($B68&amp;$C68,data!$A:$U,20,FALSE)</f>
        <v>44305.3982986111</v>
      </c>
      <c r="F68" s="3">
        <f ca="1">VLOOKUP($B68&amp;$C68,data!$A:$U,21,FALSE)</f>
        <v>0</v>
      </c>
      <c r="G68" s="3">
        <f ca="1">VLOOKUP($B68&amp;$C68,data!$A:$U,17,FALSE)</f>
        <v>2</v>
      </c>
      <c r="H68" s="3">
        <f ca="1">VLOOKUP($B68&amp;$C68,data!$A:$U,18,FALSE)</f>
        <v>0</v>
      </c>
      <c r="I68" s="3">
        <f ca="1">VLOOKUP($B68&amp;$C68,data!$A:$U,19,FALSE)</f>
        <v>0</v>
      </c>
      <c r="J68" s="3">
        <f ca="1">VLOOKUP($B68&amp;$C68,data!$A:$U,14,FALSE)</f>
        <v>2</v>
      </c>
      <c r="K68" s="3">
        <f ca="1">VLOOKUP($B68&amp;$C68,data!$A:$U,15,FALSE)</f>
        <v>2</v>
      </c>
      <c r="L68" s="3">
        <f ca="1">VLOOKUP($B68&amp;$C68,data!$A:$U,16,FALSE)</f>
        <v>0</v>
      </c>
      <c r="M68" s="3">
        <f ca="1">VLOOKUP($B68&amp;$C68,data!$A:$U,8,FALSE)</f>
        <v>118</v>
      </c>
      <c r="N68" s="3">
        <f ca="1">VLOOKUP($B68&amp;$C68,data!$A:$U,9,FALSE)</f>
        <v>115</v>
      </c>
      <c r="O68" s="3">
        <f ca="1">VLOOKUP($B68&amp;$C68,data!$A:$U,10,FALSE)</f>
        <v>3</v>
      </c>
      <c r="P68" s="3">
        <f ca="1">VLOOKUP($B68&amp;$C68,data!$A:$U,11,FALSE)</f>
        <v>118</v>
      </c>
      <c r="Q68" s="3">
        <f ca="1">VLOOKUP($B68&amp;$C68,data!$A:$U,12,FALSE)</f>
        <v>0</v>
      </c>
      <c r="R68" s="3">
        <f ca="1">VLOOKUP($B68&amp;$C68,data!$A:$U,13,FALSE)</f>
        <v>0</v>
      </c>
      <c r="S68" s="3">
        <f ca="1">VLOOKUP($B68&amp;$C68,data!$A:$U,5,FALSE)</f>
        <v>120</v>
      </c>
      <c r="T68" s="3">
        <f ca="1">VLOOKUP($B68&amp;$C68,data!$A:$U,6,FALSE)</f>
        <v>117</v>
      </c>
      <c r="U68" s="3">
        <f ca="1">VLOOKUP($B68&amp;$C68,data!$A:$U,7,FALSE)</f>
        <v>3</v>
      </c>
      <c r="V68" s="16"/>
      <c r="W68" s="9"/>
      <c r="X68" s="9"/>
      <c r="Y68" s="3"/>
      <c r="Z68" s="13">
        <f t="shared" ca="1" si="1"/>
        <v>0.68860983797640074</v>
      </c>
    </row>
    <row r="69" spans="1:26" ht="13" x14ac:dyDescent="0.15">
      <c r="A69" s="3">
        <v>68</v>
      </c>
      <c r="B69" s="3" t="s">
        <v>4</v>
      </c>
      <c r="C69" s="3" t="s">
        <v>237</v>
      </c>
      <c r="D69" s="10">
        <f t="shared" ca="1" si="0"/>
        <v>1</v>
      </c>
      <c r="E69" s="5">
        <f ca="1">VLOOKUP($B69&amp;$C69,data!$A:$U,20,FALSE)</f>
        <v>44302.461643518502</v>
      </c>
      <c r="F69" s="3" t="str">
        <f ca="1">VLOOKUP($B69&amp;$C69,data!$A:$U,21,FALSE)</f>
        <v>16.04.2021</v>
      </c>
      <c r="G69" s="3">
        <f ca="1">VLOOKUP($B69&amp;$C69,data!$A:$U,17,FALSE)</f>
        <v>3</v>
      </c>
      <c r="H69" s="3">
        <f ca="1">VLOOKUP($B69&amp;$C69,data!$A:$U,18,FALSE)</f>
        <v>0</v>
      </c>
      <c r="I69" s="3">
        <f ca="1">VLOOKUP($B69&amp;$C69,data!$A:$U,19,FALSE)</f>
        <v>3</v>
      </c>
      <c r="J69" s="3">
        <f ca="1">VLOOKUP($B69&amp;$C69,data!$A:$U,14,FALSE)</f>
        <v>7</v>
      </c>
      <c r="K69" s="3">
        <f ca="1">VLOOKUP($B69&amp;$C69,data!$A:$U,15,FALSE)</f>
        <v>0</v>
      </c>
      <c r="L69" s="3">
        <f ca="1">VLOOKUP($B69&amp;$C69,data!$A:$U,16,FALSE)</f>
        <v>7</v>
      </c>
      <c r="M69" s="3">
        <f ca="1">VLOOKUP($B69&amp;$C69,data!$A:$U,8,FALSE)</f>
        <v>10</v>
      </c>
      <c r="N69" s="3">
        <f ca="1">VLOOKUP($B69&amp;$C69,data!$A:$U,9,FALSE)</f>
        <v>0</v>
      </c>
      <c r="O69" s="3">
        <f ca="1">VLOOKUP($B69&amp;$C69,data!$A:$U,10,FALSE)</f>
        <v>10</v>
      </c>
      <c r="P69" s="3">
        <f ca="1">VLOOKUP($B69&amp;$C69,data!$A:$U,11,FALSE)</f>
        <v>10</v>
      </c>
      <c r="Q69" s="3">
        <f ca="1">VLOOKUP($B69&amp;$C69,data!$A:$U,12,FALSE)</f>
        <v>0</v>
      </c>
      <c r="R69" s="3">
        <f ca="1">VLOOKUP($B69&amp;$C69,data!$A:$U,13,FALSE)</f>
        <v>10</v>
      </c>
      <c r="S69" s="3">
        <f ca="1">VLOOKUP($B69&amp;$C69,data!$A:$U,5,FALSE)</f>
        <v>20</v>
      </c>
      <c r="T69" s="3">
        <f ca="1">VLOOKUP($B69&amp;$C69,data!$A:$U,6,FALSE)</f>
        <v>0</v>
      </c>
      <c r="U69" s="3">
        <f ca="1">VLOOKUP($B69&amp;$C69,data!$A:$U,7,FALSE)</f>
        <v>20</v>
      </c>
      <c r="V69" s="16"/>
      <c r="W69" s="9"/>
      <c r="X69" s="9"/>
      <c r="Y69" s="3"/>
      <c r="Z69" s="13">
        <f t="shared" ca="1" si="1"/>
        <v>3.6252649305752129</v>
      </c>
    </row>
    <row r="70" spans="1:26" ht="13" x14ac:dyDescent="0.15">
      <c r="A70" s="3">
        <v>69</v>
      </c>
      <c r="B70" s="3" t="s">
        <v>4</v>
      </c>
      <c r="C70" s="3" t="s">
        <v>238</v>
      </c>
      <c r="D70" s="10">
        <f t="shared" ca="1" si="0"/>
        <v>0.10666666666666667</v>
      </c>
      <c r="E70" s="5">
        <f ca="1">VLOOKUP($B70&amp;$C70,data!$A:$U,20,FALSE)</f>
        <v>44305.360937500001</v>
      </c>
      <c r="F70" s="3" t="str">
        <f ca="1">VLOOKUP($B70&amp;$C70,data!$A:$U,21,FALSE)</f>
        <v>1904.21 status</v>
      </c>
      <c r="G70" s="3">
        <f ca="1">VLOOKUP($B70&amp;$C70,data!$A:$U,17,FALSE)</f>
        <v>4</v>
      </c>
      <c r="H70" s="3">
        <f ca="1">VLOOKUP($B70&amp;$C70,data!$A:$U,18,FALSE)</f>
        <v>0</v>
      </c>
      <c r="I70" s="3">
        <f ca="1">VLOOKUP($B70&amp;$C70,data!$A:$U,19,FALSE)</f>
        <v>4</v>
      </c>
      <c r="J70" s="3">
        <f ca="1">VLOOKUP($B70&amp;$C70,data!$A:$U,14,FALSE)</f>
        <v>11</v>
      </c>
      <c r="K70" s="3">
        <f ca="1">VLOOKUP($B70&amp;$C70,data!$A:$U,15,FALSE)</f>
        <v>10</v>
      </c>
      <c r="L70" s="3">
        <f ca="1">VLOOKUP($B70&amp;$C70,data!$A:$U,16,FALSE)</f>
        <v>1</v>
      </c>
      <c r="M70" s="3">
        <f ca="1">VLOOKUP($B70&amp;$C70,data!$A:$U,8,FALSE)</f>
        <v>64</v>
      </c>
      <c r="N70" s="3">
        <f ca="1">VLOOKUP($B70&amp;$C70,data!$A:$U,9,FALSE)</f>
        <v>57</v>
      </c>
      <c r="O70" s="3">
        <f ca="1">VLOOKUP($B70&amp;$C70,data!$A:$U,10,FALSE)</f>
        <v>7</v>
      </c>
      <c r="P70" s="3">
        <f ca="1">VLOOKUP($B70&amp;$C70,data!$A:$U,11,FALSE)</f>
        <v>0</v>
      </c>
      <c r="Q70" s="3">
        <f ca="1">VLOOKUP($B70&amp;$C70,data!$A:$U,12,FALSE)</f>
        <v>0</v>
      </c>
      <c r="R70" s="3">
        <f ca="1">VLOOKUP($B70&amp;$C70,data!$A:$U,13,FALSE)</f>
        <v>0</v>
      </c>
      <c r="S70" s="3">
        <f ca="1">VLOOKUP($B70&amp;$C70,data!$A:$U,5,FALSE)</f>
        <v>75</v>
      </c>
      <c r="T70" s="3">
        <f ca="1">VLOOKUP($B70&amp;$C70,data!$A:$U,6,FALSE)</f>
        <v>67</v>
      </c>
      <c r="U70" s="3">
        <f ca="1">VLOOKUP($B70&amp;$C70,data!$A:$U,7,FALSE)</f>
        <v>8</v>
      </c>
      <c r="V70" s="16"/>
      <c r="W70" s="9"/>
      <c r="X70" s="9"/>
      <c r="Y70" s="3"/>
      <c r="Z70" s="13">
        <f t="shared" ca="1" si="1"/>
        <v>0.72597094907541759</v>
      </c>
    </row>
    <row r="71" spans="1:26" ht="13" x14ac:dyDescent="0.15">
      <c r="A71" s="3">
        <v>70</v>
      </c>
      <c r="B71" s="3" t="s">
        <v>4</v>
      </c>
      <c r="C71" s="3" t="s">
        <v>239</v>
      </c>
      <c r="D71" s="10">
        <f t="shared" ca="1" si="0"/>
        <v>0.77500000000000002</v>
      </c>
      <c r="E71" s="5">
        <f ca="1">VLOOKUP($B71&amp;$C71,data!$A:$U,20,FALSE)</f>
        <v>44305.370509259199</v>
      </c>
      <c r="F71" s="3">
        <f ca="1">VLOOKUP($B71&amp;$C71,data!$A:$U,21,FALSE)</f>
        <v>0</v>
      </c>
      <c r="G71" s="3">
        <f ca="1">VLOOKUP($B71&amp;$C71,data!$A:$U,17,FALSE)</f>
        <v>5</v>
      </c>
      <c r="H71" s="3">
        <f ca="1">VLOOKUP($B71&amp;$C71,data!$A:$U,18,FALSE)</f>
        <v>2</v>
      </c>
      <c r="I71" s="3">
        <f ca="1">VLOOKUP($B71&amp;$C71,data!$A:$U,19,FALSE)</f>
        <v>3</v>
      </c>
      <c r="J71" s="3">
        <f ca="1">VLOOKUP($B71&amp;$C71,data!$A:$U,14,FALSE)</f>
        <v>5</v>
      </c>
      <c r="K71" s="3">
        <f ca="1">VLOOKUP($B71&amp;$C71,data!$A:$U,15,FALSE)</f>
        <v>5</v>
      </c>
      <c r="L71" s="3">
        <f ca="1">VLOOKUP($B71&amp;$C71,data!$A:$U,16,FALSE)</f>
        <v>0</v>
      </c>
      <c r="M71" s="3">
        <f ca="1">VLOOKUP($B71&amp;$C71,data!$A:$U,8,FALSE)</f>
        <v>60</v>
      </c>
      <c r="N71" s="3">
        <f ca="1">VLOOKUP($B71&amp;$C71,data!$A:$U,9,FALSE)</f>
        <v>13</v>
      </c>
      <c r="O71" s="3">
        <f ca="1">VLOOKUP($B71&amp;$C71,data!$A:$U,10,FALSE)</f>
        <v>47</v>
      </c>
      <c r="P71" s="3">
        <f ca="1">VLOOKUP($B71&amp;$C71,data!$A:$U,11,FALSE)</f>
        <v>135</v>
      </c>
      <c r="Q71" s="3">
        <f ca="1">VLOOKUP($B71&amp;$C71,data!$A:$U,12,FALSE)</f>
        <v>27</v>
      </c>
      <c r="R71" s="3">
        <f ca="1">VLOOKUP($B71&amp;$C71,data!$A:$U,13,FALSE)</f>
        <v>108</v>
      </c>
      <c r="S71" s="3">
        <f ca="1">VLOOKUP($B71&amp;$C71,data!$A:$U,5,FALSE)</f>
        <v>200</v>
      </c>
      <c r="T71" s="3">
        <f ca="1">VLOOKUP($B71&amp;$C71,data!$A:$U,6,FALSE)</f>
        <v>45</v>
      </c>
      <c r="U71" s="3">
        <f ca="1">VLOOKUP($B71&amp;$C71,data!$A:$U,7,FALSE)</f>
        <v>155</v>
      </c>
      <c r="V71" s="16"/>
      <c r="W71" s="9"/>
      <c r="X71" s="9"/>
      <c r="Y71" s="3"/>
      <c r="Z71" s="13">
        <f t="shared" ca="1" si="1"/>
        <v>0.71639918987784768</v>
      </c>
    </row>
    <row r="72" spans="1:26" ht="13" x14ac:dyDescent="0.15">
      <c r="A72" s="3">
        <v>71</v>
      </c>
      <c r="B72" s="3" t="s">
        <v>4</v>
      </c>
      <c r="C72" s="3" t="s">
        <v>240</v>
      </c>
      <c r="D72" s="10">
        <f t="shared" ca="1" si="0"/>
        <v>1</v>
      </c>
      <c r="E72" s="5">
        <f ca="1">VLOOKUP($B72&amp;$C72,data!$A:$U,20,FALSE)</f>
        <v>44270.596666666599</v>
      </c>
      <c r="F72" s="3" t="str">
        <f ca="1">VLOOKUP($B72&amp;$C72,data!$A:$U,21,FALSE)</f>
        <v>15.03.2021</v>
      </c>
      <c r="G72" s="3">
        <f ca="1">VLOOKUP($B72&amp;$C72,data!$A:$U,17,FALSE)</f>
        <v>2</v>
      </c>
      <c r="H72" s="3">
        <f ca="1">VLOOKUP($B72&amp;$C72,data!$A:$U,18,FALSE)</f>
        <v>0</v>
      </c>
      <c r="I72" s="3">
        <f ca="1">VLOOKUP($B72&amp;$C72,data!$A:$U,19,FALSE)</f>
        <v>2</v>
      </c>
      <c r="J72" s="3">
        <f ca="1">VLOOKUP($B72&amp;$C72,data!$A:$U,14,FALSE)</f>
        <v>4</v>
      </c>
      <c r="K72" s="3">
        <f ca="1">VLOOKUP($B72&amp;$C72,data!$A:$U,15,FALSE)</f>
        <v>0</v>
      </c>
      <c r="L72" s="3">
        <f ca="1">VLOOKUP($B72&amp;$C72,data!$A:$U,16,FALSE)</f>
        <v>4</v>
      </c>
      <c r="M72" s="3">
        <f ca="1">VLOOKUP($B72&amp;$C72,data!$A:$U,8,FALSE)</f>
        <v>10</v>
      </c>
      <c r="N72" s="3">
        <f ca="1">VLOOKUP($B72&amp;$C72,data!$A:$U,9,FALSE)</f>
        <v>0</v>
      </c>
      <c r="O72" s="3">
        <f ca="1">VLOOKUP($B72&amp;$C72,data!$A:$U,10,FALSE)</f>
        <v>10</v>
      </c>
      <c r="P72" s="3">
        <f ca="1">VLOOKUP($B72&amp;$C72,data!$A:$U,11,FALSE)</f>
        <v>0</v>
      </c>
      <c r="Q72" s="3">
        <f ca="1">VLOOKUP($B72&amp;$C72,data!$A:$U,12,FALSE)</f>
        <v>0</v>
      </c>
      <c r="R72" s="3">
        <f ca="1">VLOOKUP($B72&amp;$C72,data!$A:$U,13,FALSE)</f>
        <v>0</v>
      </c>
      <c r="S72" s="3">
        <f ca="1">VLOOKUP($B72&amp;$C72,data!$A:$U,5,FALSE)</f>
        <v>14</v>
      </c>
      <c r="T72" s="3">
        <f ca="1">VLOOKUP($B72&amp;$C72,data!$A:$U,6,FALSE)</f>
        <v>0</v>
      </c>
      <c r="U72" s="3">
        <f ca="1">VLOOKUP($B72&amp;$C72,data!$A:$U,7,FALSE)</f>
        <v>14</v>
      </c>
      <c r="V72" s="16"/>
      <c r="W72" s="9"/>
      <c r="X72" s="9"/>
      <c r="Y72" s="3"/>
      <c r="Z72" s="13">
        <f t="shared" ca="1" si="1"/>
        <v>35.490241782477824</v>
      </c>
    </row>
    <row r="73" spans="1:26" ht="13" x14ac:dyDescent="0.15">
      <c r="A73" s="3">
        <v>72</v>
      </c>
      <c r="B73" s="3" t="s">
        <v>4</v>
      </c>
      <c r="C73" s="3" t="s">
        <v>241</v>
      </c>
      <c r="D73" s="10">
        <f t="shared" ca="1" si="0"/>
        <v>0.73773584905660372</v>
      </c>
      <c r="E73" s="5">
        <f ca="1">VLOOKUP($B73&amp;$C73,data!$A:$U,20,FALSE)</f>
        <v>44305.379641203697</v>
      </c>
      <c r="F73" s="3">
        <f ca="1">VLOOKUP($B73&amp;$C73,data!$A:$U,21,FALSE)</f>
        <v>0</v>
      </c>
      <c r="G73" s="3">
        <f ca="1">VLOOKUP($B73&amp;$C73,data!$A:$U,17,FALSE)</f>
        <v>6</v>
      </c>
      <c r="H73" s="3">
        <f ca="1">VLOOKUP($B73&amp;$C73,data!$A:$U,18,FALSE)</f>
        <v>5</v>
      </c>
      <c r="I73" s="3">
        <f ca="1">VLOOKUP($B73&amp;$C73,data!$A:$U,19,FALSE)</f>
        <v>1</v>
      </c>
      <c r="J73" s="3">
        <f ca="1">VLOOKUP($B73&amp;$C73,data!$A:$U,14,FALSE)</f>
        <v>10</v>
      </c>
      <c r="K73" s="3">
        <f ca="1">VLOOKUP($B73&amp;$C73,data!$A:$U,15,FALSE)</f>
        <v>9</v>
      </c>
      <c r="L73" s="3">
        <f ca="1">VLOOKUP($B73&amp;$C73,data!$A:$U,16,FALSE)</f>
        <v>1</v>
      </c>
      <c r="M73" s="3">
        <f ca="1">VLOOKUP($B73&amp;$C73,data!$A:$U,8,FALSE)</f>
        <v>260</v>
      </c>
      <c r="N73" s="3">
        <f ca="1">VLOOKUP($B73&amp;$C73,data!$A:$U,9,FALSE)</f>
        <v>65</v>
      </c>
      <c r="O73" s="3">
        <f ca="1">VLOOKUP($B73&amp;$C73,data!$A:$U,10,FALSE)</f>
        <v>195</v>
      </c>
      <c r="P73" s="3">
        <f ca="1">VLOOKUP($B73&amp;$C73,data!$A:$U,11,FALSE)</f>
        <v>0</v>
      </c>
      <c r="Q73" s="3">
        <f ca="1">VLOOKUP($B73&amp;$C73,data!$A:$U,12,FALSE)</f>
        <v>0</v>
      </c>
      <c r="R73" s="3">
        <f ca="1">VLOOKUP($B73&amp;$C73,data!$A:$U,13,FALSE)</f>
        <v>0</v>
      </c>
      <c r="S73" s="3">
        <f ca="1">VLOOKUP($B73&amp;$C73,data!$A:$U,5,FALSE)</f>
        <v>260</v>
      </c>
      <c r="T73" s="3">
        <f ca="1">VLOOKUP($B73&amp;$C73,data!$A:$U,6,FALSE)</f>
        <v>65</v>
      </c>
      <c r="U73" s="3">
        <f ca="1">VLOOKUP($B73&amp;$C73,data!$A:$U,7,FALSE)</f>
        <v>195</v>
      </c>
      <c r="V73" s="16"/>
      <c r="W73" s="9"/>
      <c r="X73" s="9"/>
      <c r="Y73" s="3"/>
      <c r="Z73" s="13">
        <f t="shared" ca="1" si="1"/>
        <v>0.70726724537962582</v>
      </c>
    </row>
    <row r="74" spans="1:26" ht="13" x14ac:dyDescent="0.15">
      <c r="A74" s="3">
        <v>73</v>
      </c>
      <c r="B74" s="3" t="s">
        <v>4</v>
      </c>
      <c r="C74" s="3" t="s">
        <v>242</v>
      </c>
      <c r="D74" s="10">
        <f t="shared" ca="1" si="0"/>
        <v>0.97540983606557374</v>
      </c>
      <c r="E74" s="5">
        <f ca="1">VLOOKUP($B74&amp;$C74,data!$A:$U,20,FALSE)</f>
        <v>44305.355162036998</v>
      </c>
      <c r="F74" s="3" t="str">
        <f ca="1">VLOOKUP($B74&amp;$C74,data!$A:$U,21,FALSE)</f>
        <v>1904.2021 - 6positive cases</v>
      </c>
      <c r="G74" s="3">
        <f ca="1">VLOOKUP($B74&amp;$C74,data!$A:$U,17,FALSE)</f>
        <v>10</v>
      </c>
      <c r="H74" s="3">
        <f ca="1">VLOOKUP($B74&amp;$C74,data!$A:$U,18,FALSE)</f>
        <v>0</v>
      </c>
      <c r="I74" s="3">
        <f ca="1">VLOOKUP($B74&amp;$C74,data!$A:$U,19,FALSE)</f>
        <v>10</v>
      </c>
      <c r="J74" s="3">
        <f ca="1">VLOOKUP($B74&amp;$C74,data!$A:$U,14,FALSE)</f>
        <v>20</v>
      </c>
      <c r="K74" s="3">
        <f ca="1">VLOOKUP($B74&amp;$C74,data!$A:$U,15,FALSE)</f>
        <v>0</v>
      </c>
      <c r="L74" s="3">
        <f ca="1">VLOOKUP($B74&amp;$C74,data!$A:$U,16,FALSE)</f>
        <v>20</v>
      </c>
      <c r="M74" s="3">
        <f ca="1">VLOOKUP($B74&amp;$C74,data!$A:$U,8,FALSE)</f>
        <v>24</v>
      </c>
      <c r="N74" s="3">
        <f ca="1">VLOOKUP($B74&amp;$C74,data!$A:$U,9,FALSE)</f>
        <v>0</v>
      </c>
      <c r="O74" s="3">
        <f ca="1">VLOOKUP($B74&amp;$C74,data!$A:$U,10,FALSE)</f>
        <v>24</v>
      </c>
      <c r="P74" s="3">
        <f ca="1">VLOOKUP($B74&amp;$C74,data!$A:$U,11,FALSE)</f>
        <v>200</v>
      </c>
      <c r="Q74" s="3">
        <f ca="1">VLOOKUP($B74&amp;$C74,data!$A:$U,12,FALSE)</f>
        <v>6</v>
      </c>
      <c r="R74" s="3">
        <f ca="1">VLOOKUP($B74&amp;$C74,data!$A:$U,13,FALSE)</f>
        <v>194</v>
      </c>
      <c r="S74" s="3">
        <f ca="1">VLOOKUP($B74&amp;$C74,data!$A:$U,5,FALSE)</f>
        <v>244</v>
      </c>
      <c r="T74" s="3">
        <f ca="1">VLOOKUP($B74&amp;$C74,data!$A:$U,6,FALSE)</f>
        <v>6</v>
      </c>
      <c r="U74" s="3">
        <f ca="1">VLOOKUP($B74&amp;$C74,data!$A:$U,7,FALSE)</f>
        <v>238</v>
      </c>
      <c r="V74" s="16"/>
      <c r="W74" s="9"/>
      <c r="X74" s="9"/>
      <c r="Y74" s="3"/>
      <c r="Z74" s="13">
        <f t="shared" ca="1" si="1"/>
        <v>0.73174641207879176</v>
      </c>
    </row>
    <row r="75" spans="1:26" ht="13" x14ac:dyDescent="0.15">
      <c r="A75" s="3">
        <v>74</v>
      </c>
      <c r="B75" s="3" t="s">
        <v>4</v>
      </c>
      <c r="C75" s="3" t="s">
        <v>243</v>
      </c>
      <c r="D75" s="10">
        <f t="shared" ca="1" si="0"/>
        <v>0.38095238095238093</v>
      </c>
      <c r="E75" s="5">
        <f ca="1">VLOOKUP($B75&amp;$C75,data!$A:$U,20,FALSE)</f>
        <v>44305.472395833298</v>
      </c>
      <c r="F75" s="3" t="str">
        <f ca="1">VLOOKUP($B75&amp;$C75,data!$A:$U,21,FALSE)</f>
        <v>19.04.2021</v>
      </c>
      <c r="G75" s="3">
        <f ca="1">VLOOKUP($B75&amp;$C75,data!$A:$U,17,FALSE)</f>
        <v>1</v>
      </c>
      <c r="H75" s="3">
        <f ca="1">VLOOKUP($B75&amp;$C75,data!$A:$U,18,FALSE)</f>
        <v>1</v>
      </c>
      <c r="I75" s="3">
        <f ca="1">VLOOKUP($B75&amp;$C75,data!$A:$U,19,FALSE)</f>
        <v>0</v>
      </c>
      <c r="J75" s="3">
        <f ca="1">VLOOKUP($B75&amp;$C75,data!$A:$U,14,FALSE)</f>
        <v>2</v>
      </c>
      <c r="K75" s="3">
        <f ca="1">VLOOKUP($B75&amp;$C75,data!$A:$U,15,FALSE)</f>
        <v>2</v>
      </c>
      <c r="L75" s="3">
        <f ca="1">VLOOKUP($B75&amp;$C75,data!$A:$U,16,FALSE)</f>
        <v>0</v>
      </c>
      <c r="M75" s="3">
        <f ca="1">VLOOKUP($B75&amp;$C75,data!$A:$U,8,FALSE)</f>
        <v>20</v>
      </c>
      <c r="N75" s="3">
        <f ca="1">VLOOKUP($B75&amp;$C75,data!$A:$U,9,FALSE)</f>
        <v>12</v>
      </c>
      <c r="O75" s="3">
        <f ca="1">VLOOKUP($B75&amp;$C75,data!$A:$U,10,FALSE)</f>
        <v>8</v>
      </c>
      <c r="P75" s="3">
        <f ca="1">VLOOKUP($B75&amp;$C75,data!$A:$U,11,FALSE)</f>
        <v>0</v>
      </c>
      <c r="Q75" s="3">
        <f ca="1">VLOOKUP($B75&amp;$C75,data!$A:$U,12,FALSE)</f>
        <v>0</v>
      </c>
      <c r="R75" s="3">
        <f ca="1">VLOOKUP($B75&amp;$C75,data!$A:$U,13,FALSE)</f>
        <v>0</v>
      </c>
      <c r="S75" s="3">
        <f ca="1">VLOOKUP($B75&amp;$C75,data!$A:$U,5,FALSE)</f>
        <v>20</v>
      </c>
      <c r="T75" s="3">
        <f ca="1">VLOOKUP($B75&amp;$C75,data!$A:$U,6,FALSE)</f>
        <v>12</v>
      </c>
      <c r="U75" s="3">
        <f ca="1">VLOOKUP($B75&amp;$C75,data!$A:$U,7,FALSE)</f>
        <v>8</v>
      </c>
      <c r="V75" s="16"/>
      <c r="W75" s="9"/>
      <c r="X75" s="9"/>
      <c r="Y75" s="3"/>
      <c r="Z75" s="13">
        <f t="shared" ca="1" si="1"/>
        <v>0.61451261577894911</v>
      </c>
    </row>
    <row r="76" spans="1:26" ht="13" x14ac:dyDescent="0.15">
      <c r="A76" s="3">
        <v>75</v>
      </c>
      <c r="B76" s="3" t="s">
        <v>4</v>
      </c>
      <c r="C76" s="3" t="s">
        <v>244</v>
      </c>
      <c r="D76" s="10">
        <f t="shared" ca="1" si="0"/>
        <v>0.15</v>
      </c>
      <c r="E76" s="5">
        <f ca="1">VLOOKUP($B76&amp;$C76,data!$A:$U,20,FALSE)</f>
        <v>44305.341446759201</v>
      </c>
      <c r="F76" s="3" t="str">
        <f ca="1">VLOOKUP($B76&amp;$C76,data!$A:$U,21,FALSE)</f>
        <v>19.04.2021</v>
      </c>
      <c r="G76" s="3">
        <f ca="1">VLOOKUP($B76&amp;$C76,data!$A:$U,17,FALSE)</f>
        <v>3</v>
      </c>
      <c r="H76" s="3">
        <f ca="1">VLOOKUP($B76&amp;$C76,data!$A:$U,18,FALSE)</f>
        <v>3</v>
      </c>
      <c r="I76" s="3">
        <f ca="1">VLOOKUP($B76&amp;$C76,data!$A:$U,19,FALSE)</f>
        <v>0</v>
      </c>
      <c r="J76" s="3">
        <f ca="1">VLOOKUP($B76&amp;$C76,data!$A:$U,14,FALSE)</f>
        <v>5</v>
      </c>
      <c r="K76" s="3">
        <f ca="1">VLOOKUP($B76&amp;$C76,data!$A:$U,15,FALSE)</f>
        <v>5</v>
      </c>
      <c r="L76" s="3">
        <f ca="1">VLOOKUP($B76&amp;$C76,data!$A:$U,16,FALSE)</f>
        <v>0</v>
      </c>
      <c r="M76" s="3">
        <f ca="1">VLOOKUP($B76&amp;$C76,data!$A:$U,8,FALSE)</f>
        <v>35</v>
      </c>
      <c r="N76" s="3">
        <f ca="1">VLOOKUP($B76&amp;$C76,data!$A:$U,9,FALSE)</f>
        <v>29</v>
      </c>
      <c r="O76" s="3">
        <f ca="1">VLOOKUP($B76&amp;$C76,data!$A:$U,10,FALSE)</f>
        <v>6</v>
      </c>
      <c r="P76" s="3">
        <f ca="1">VLOOKUP($B76&amp;$C76,data!$A:$U,11,FALSE)</f>
        <v>0</v>
      </c>
      <c r="Q76" s="3">
        <f ca="1">VLOOKUP($B76&amp;$C76,data!$A:$U,12,FALSE)</f>
        <v>0</v>
      </c>
      <c r="R76" s="3">
        <f ca="1">VLOOKUP($B76&amp;$C76,data!$A:$U,13,FALSE)</f>
        <v>0</v>
      </c>
      <c r="S76" s="3">
        <f ca="1">VLOOKUP($B76&amp;$C76,data!$A:$U,5,FALSE)</f>
        <v>40</v>
      </c>
      <c r="T76" s="3">
        <f ca="1">VLOOKUP($B76&amp;$C76,data!$A:$U,6,FALSE)</f>
        <v>34</v>
      </c>
      <c r="U76" s="3">
        <f ca="1">VLOOKUP($B76&amp;$C76,data!$A:$U,7,FALSE)</f>
        <v>6</v>
      </c>
      <c r="V76" s="16"/>
      <c r="W76" s="9"/>
      <c r="X76" s="9"/>
      <c r="Y76" s="3"/>
      <c r="Z76" s="13">
        <f t="shared" ca="1" si="1"/>
        <v>0.74546168987581041</v>
      </c>
    </row>
    <row r="77" spans="1:26" ht="13" x14ac:dyDescent="0.15">
      <c r="A77" s="3">
        <v>76</v>
      </c>
      <c r="B77" s="3" t="s">
        <v>4</v>
      </c>
      <c r="C77" s="3" t="s">
        <v>245</v>
      </c>
      <c r="D77" s="10">
        <f t="shared" ca="1" si="0"/>
        <v>0.59951456310679607</v>
      </c>
      <c r="E77" s="5">
        <f ca="1">VLOOKUP($B77&amp;$C77,data!$A:$U,20,FALSE)</f>
        <v>44305.383877314802</v>
      </c>
      <c r="F77" s="3" t="str">
        <f ca="1">VLOOKUP($B77&amp;$C77,data!$A:$U,21,FALSE)</f>
        <v>SRM MCH &amp; RC</v>
      </c>
      <c r="G77" s="3">
        <f ca="1">VLOOKUP($B77&amp;$C77,data!$A:$U,17,FALSE)</f>
        <v>7</v>
      </c>
      <c r="H77" s="3">
        <f ca="1">VLOOKUP($B77&amp;$C77,data!$A:$U,18,FALSE)</f>
        <v>0</v>
      </c>
      <c r="I77" s="3">
        <f ca="1">VLOOKUP($B77&amp;$C77,data!$A:$U,19,FALSE)</f>
        <v>7</v>
      </c>
      <c r="J77" s="3">
        <f ca="1">VLOOKUP($B77&amp;$C77,data!$A:$U,14,FALSE)</f>
        <v>6</v>
      </c>
      <c r="K77" s="3">
        <f ca="1">VLOOKUP($B77&amp;$C77,data!$A:$U,15,FALSE)</f>
        <v>6</v>
      </c>
      <c r="L77" s="3">
        <f ca="1">VLOOKUP($B77&amp;$C77,data!$A:$U,16,FALSE)</f>
        <v>1</v>
      </c>
      <c r="M77" s="3">
        <f ca="1">VLOOKUP($B77&amp;$C77,data!$A:$U,8,FALSE)</f>
        <v>50</v>
      </c>
      <c r="N77" s="3">
        <f ca="1">VLOOKUP($B77&amp;$C77,data!$A:$U,9,FALSE)</f>
        <v>13</v>
      </c>
      <c r="O77" s="3">
        <f ca="1">VLOOKUP($B77&amp;$C77,data!$A:$U,10,FALSE)</f>
        <v>37</v>
      </c>
      <c r="P77" s="3">
        <f ca="1">VLOOKUP($B77&amp;$C77,data!$A:$U,11,FALSE)</f>
        <v>150</v>
      </c>
      <c r="Q77" s="3">
        <f ca="1">VLOOKUP($B77&amp;$C77,data!$A:$U,12,FALSE)</f>
        <v>64</v>
      </c>
      <c r="R77" s="3">
        <f ca="1">VLOOKUP($B77&amp;$C77,data!$A:$U,13,FALSE)</f>
        <v>86</v>
      </c>
      <c r="S77" s="3">
        <f ca="1">VLOOKUP($B77&amp;$C77,data!$A:$U,5,FALSE)</f>
        <v>206</v>
      </c>
      <c r="T77" s="3">
        <f ca="1">VLOOKUP($B77&amp;$C77,data!$A:$U,6,FALSE)</f>
        <v>83</v>
      </c>
      <c r="U77" s="3">
        <f ca="1">VLOOKUP($B77&amp;$C77,data!$A:$U,7,FALSE)</f>
        <v>123</v>
      </c>
      <c r="V77" s="16"/>
      <c r="W77" s="9"/>
      <c r="X77" s="9"/>
      <c r="Y77" s="3"/>
      <c r="Z77" s="13">
        <f t="shared" ca="1" si="1"/>
        <v>0.70303113427507924</v>
      </c>
    </row>
    <row r="78" spans="1:26" ht="13" x14ac:dyDescent="0.15">
      <c r="A78" s="3">
        <v>77</v>
      </c>
      <c r="B78" s="3" t="s">
        <v>4</v>
      </c>
      <c r="C78" s="3" t="s">
        <v>246</v>
      </c>
      <c r="D78" s="10">
        <f t="shared" ca="1" si="0"/>
        <v>0</v>
      </c>
      <c r="E78" s="5">
        <f ca="1">VLOOKUP($B78&amp;$C78,data!$A:$U,20,FALSE)</f>
        <v>44305.356666666601</v>
      </c>
      <c r="F78" s="3" t="str">
        <f ca="1">VLOOKUP($B78&amp;$C78,data!$A:$U,21,FALSE)</f>
        <v>19.04.2021</v>
      </c>
      <c r="G78" s="3">
        <f ca="1">VLOOKUP($B78&amp;$C78,data!$A:$U,17,FALSE)</f>
        <v>0</v>
      </c>
      <c r="H78" s="3">
        <f ca="1">VLOOKUP($B78&amp;$C78,data!$A:$U,18,FALSE)</f>
        <v>0</v>
      </c>
      <c r="I78" s="3">
        <f ca="1">VLOOKUP($B78&amp;$C78,data!$A:$U,19,FALSE)</f>
        <v>0</v>
      </c>
      <c r="J78" s="3">
        <f ca="1">VLOOKUP($B78&amp;$C78,data!$A:$U,14,FALSE)</f>
        <v>0</v>
      </c>
      <c r="K78" s="3">
        <f ca="1">VLOOKUP($B78&amp;$C78,data!$A:$U,15,FALSE)</f>
        <v>0</v>
      </c>
      <c r="L78" s="3">
        <f ca="1">VLOOKUP($B78&amp;$C78,data!$A:$U,16,FALSE)</f>
        <v>0</v>
      </c>
      <c r="M78" s="3">
        <f ca="1">VLOOKUP($B78&amp;$C78,data!$A:$U,8,FALSE)</f>
        <v>10</v>
      </c>
      <c r="N78" s="3">
        <f ca="1">VLOOKUP($B78&amp;$C78,data!$A:$U,9,FALSE)</f>
        <v>10</v>
      </c>
      <c r="O78" s="3">
        <f ca="1">VLOOKUP($B78&amp;$C78,data!$A:$U,10,FALSE)</f>
        <v>0</v>
      </c>
      <c r="P78" s="3">
        <f ca="1">VLOOKUP($B78&amp;$C78,data!$A:$U,11,FALSE)</f>
        <v>37</v>
      </c>
      <c r="Q78" s="3">
        <f ca="1">VLOOKUP($B78&amp;$C78,data!$A:$U,12,FALSE)</f>
        <v>37</v>
      </c>
      <c r="R78" s="3">
        <f ca="1">VLOOKUP($B78&amp;$C78,data!$A:$U,13,FALSE)</f>
        <v>0</v>
      </c>
      <c r="S78" s="3">
        <f ca="1">VLOOKUP($B78&amp;$C78,data!$A:$U,5,FALSE)</f>
        <v>47</v>
      </c>
      <c r="T78" s="3">
        <f ca="1">VLOOKUP($B78&amp;$C78,data!$A:$U,6,FALSE)</f>
        <v>47</v>
      </c>
      <c r="U78" s="3">
        <f ca="1">VLOOKUP($B78&amp;$C78,data!$A:$U,7,FALSE)</f>
        <v>0</v>
      </c>
      <c r="V78" s="16"/>
      <c r="W78" s="9"/>
      <c r="X78" s="9"/>
      <c r="Y78" s="3"/>
      <c r="Z78" s="13">
        <f t="shared" ca="1" si="1"/>
        <v>0.73024178247578675</v>
      </c>
    </row>
    <row r="79" spans="1:26" ht="13" x14ac:dyDescent="0.15">
      <c r="A79" s="3">
        <v>78</v>
      </c>
      <c r="B79" s="3" t="s">
        <v>4</v>
      </c>
      <c r="C79" s="3" t="s">
        <v>247</v>
      </c>
      <c r="D79" s="10">
        <f t="shared" ca="1" si="0"/>
        <v>0.15</v>
      </c>
      <c r="E79" s="5">
        <f ca="1">VLOOKUP($B79&amp;$C79,data!$A:$U,20,FALSE)</f>
        <v>44305.374884259203</v>
      </c>
      <c r="F79" s="3" t="str">
        <f ca="1">VLOOKUP($B79&amp;$C79,data!$A:$U,21,FALSE)</f>
        <v>-</v>
      </c>
      <c r="G79" s="3">
        <f ca="1">VLOOKUP($B79&amp;$C79,data!$A:$U,17,FALSE)</f>
        <v>5</v>
      </c>
      <c r="H79" s="3">
        <f ca="1">VLOOKUP($B79&amp;$C79,data!$A:$U,18,FALSE)</f>
        <v>5</v>
      </c>
      <c r="I79" s="3">
        <f ca="1">VLOOKUP($B79&amp;$C79,data!$A:$U,19,FALSE)</f>
        <v>0</v>
      </c>
      <c r="J79" s="3">
        <f ca="1">VLOOKUP($B79&amp;$C79,data!$A:$U,14,FALSE)</f>
        <v>6</v>
      </c>
      <c r="K79" s="3">
        <f ca="1">VLOOKUP($B79&amp;$C79,data!$A:$U,15,FALSE)</f>
        <v>6</v>
      </c>
      <c r="L79" s="3">
        <f ca="1">VLOOKUP($B79&amp;$C79,data!$A:$U,16,FALSE)</f>
        <v>0</v>
      </c>
      <c r="M79" s="3">
        <f ca="1">VLOOKUP($B79&amp;$C79,data!$A:$U,8,FALSE)</f>
        <v>14</v>
      </c>
      <c r="N79" s="3">
        <f ca="1">VLOOKUP($B79&amp;$C79,data!$A:$U,9,FALSE)</f>
        <v>11</v>
      </c>
      <c r="O79" s="3">
        <f ca="1">VLOOKUP($B79&amp;$C79,data!$A:$U,10,FALSE)</f>
        <v>3</v>
      </c>
      <c r="P79" s="3">
        <f ca="1">VLOOKUP($B79&amp;$C79,data!$A:$U,11,FALSE)</f>
        <v>0</v>
      </c>
      <c r="Q79" s="3">
        <f ca="1">VLOOKUP($B79&amp;$C79,data!$A:$U,12,FALSE)</f>
        <v>0</v>
      </c>
      <c r="R79" s="3">
        <f ca="1">VLOOKUP($B79&amp;$C79,data!$A:$U,13,FALSE)</f>
        <v>0</v>
      </c>
      <c r="S79" s="3">
        <f ca="1">VLOOKUP($B79&amp;$C79,data!$A:$U,5,FALSE)</f>
        <v>20</v>
      </c>
      <c r="T79" s="3">
        <f ca="1">VLOOKUP($B79&amp;$C79,data!$A:$U,6,FALSE)</f>
        <v>17</v>
      </c>
      <c r="U79" s="3">
        <f ca="1">VLOOKUP($B79&amp;$C79,data!$A:$U,7,FALSE)</f>
        <v>3</v>
      </c>
      <c r="V79" s="16"/>
      <c r="W79" s="9"/>
      <c r="X79" s="9"/>
      <c r="Y79" s="3"/>
      <c r="Z79" s="13">
        <f t="shared" ca="1" si="1"/>
        <v>0.71202418987377314</v>
      </c>
    </row>
    <row r="80" spans="1:26" ht="13" x14ac:dyDescent="0.15">
      <c r="A80" s="3">
        <v>79</v>
      </c>
      <c r="B80" s="3" t="s">
        <v>4</v>
      </c>
      <c r="C80" s="3" t="s">
        <v>248</v>
      </c>
      <c r="D80" s="10">
        <f t="shared" ca="1" si="0"/>
        <v>0.81736526946107779</v>
      </c>
      <c r="E80" s="5">
        <f ca="1">VLOOKUP($B80&amp;$C80,data!$A:$U,20,FALSE)</f>
        <v>44303.456631944398</v>
      </c>
      <c r="F80" s="3" t="str">
        <f ca="1">VLOOKUP($B80&amp;$C80,data!$A:$U,21,FALSE)</f>
        <v>17-4-2021</v>
      </c>
      <c r="G80" s="3">
        <f ca="1">VLOOKUP($B80&amp;$C80,data!$A:$U,17,FALSE)</f>
        <v>4</v>
      </c>
      <c r="H80" s="3">
        <f ca="1">VLOOKUP($B80&amp;$C80,data!$A:$U,18,FALSE)</f>
        <v>0</v>
      </c>
      <c r="I80" s="3">
        <f ca="1">VLOOKUP($B80&amp;$C80,data!$A:$U,19,FALSE)</f>
        <v>4</v>
      </c>
      <c r="J80" s="3">
        <f ca="1">VLOOKUP($B80&amp;$C80,data!$A:$U,14,FALSE)</f>
        <v>12</v>
      </c>
      <c r="K80" s="3">
        <f ca="1">VLOOKUP($B80&amp;$C80,data!$A:$U,15,FALSE)</f>
        <v>7</v>
      </c>
      <c r="L80" s="3">
        <f ca="1">VLOOKUP($B80&amp;$C80,data!$A:$U,16,FALSE)</f>
        <v>5</v>
      </c>
      <c r="M80" s="3">
        <f ca="1">VLOOKUP($B80&amp;$C80,data!$A:$U,8,FALSE)</f>
        <v>80</v>
      </c>
      <c r="N80" s="3">
        <f ca="1">VLOOKUP($B80&amp;$C80,data!$A:$U,9,FALSE)</f>
        <v>13</v>
      </c>
      <c r="O80" s="3">
        <f ca="1">VLOOKUP($B80&amp;$C80,data!$A:$U,10,FALSE)</f>
        <v>67</v>
      </c>
      <c r="P80" s="3">
        <f ca="1">VLOOKUP($B80&amp;$C80,data!$A:$U,11,FALSE)</f>
        <v>162</v>
      </c>
      <c r="Q80" s="3">
        <f ca="1">VLOOKUP($B80&amp;$C80,data!$A:$U,12,FALSE)</f>
        <v>41</v>
      </c>
      <c r="R80" s="3">
        <f ca="1">VLOOKUP($B80&amp;$C80,data!$A:$U,13,FALSE)</f>
        <v>121</v>
      </c>
      <c r="S80" s="3">
        <f ca="1">VLOOKUP($B80&amp;$C80,data!$A:$U,5,FALSE)</f>
        <v>80</v>
      </c>
      <c r="T80" s="3">
        <f ca="1">VLOOKUP($B80&amp;$C80,data!$A:$U,6,FALSE)</f>
        <v>0</v>
      </c>
      <c r="U80" s="3">
        <f ca="1">VLOOKUP($B80&amp;$C80,data!$A:$U,7,FALSE)</f>
        <v>80</v>
      </c>
      <c r="V80" s="16"/>
      <c r="W80" s="9"/>
      <c r="X80" s="9"/>
      <c r="Y80" s="3"/>
      <c r="Z80" s="13">
        <f t="shared" ca="1" si="1"/>
        <v>2.6302765046784771</v>
      </c>
    </row>
    <row r="81" spans="1:26" ht="13" x14ac:dyDescent="0.15">
      <c r="A81" s="3">
        <v>80</v>
      </c>
      <c r="B81" s="3" t="s">
        <v>4</v>
      </c>
      <c r="C81" s="3" t="s">
        <v>249</v>
      </c>
      <c r="D81" s="10">
        <f t="shared" ca="1" si="0"/>
        <v>4.1666666666666664E-2</v>
      </c>
      <c r="E81" s="5">
        <f ca="1">VLOOKUP($B81&amp;$C81,data!$A:$U,20,FALSE)</f>
        <v>44305.353252314802</v>
      </c>
      <c r="F81" s="3" t="str">
        <f ca="1">VLOOKUP($B81&amp;$C81,data!$A:$U,21,FALSE)</f>
        <v>19/04/2021</v>
      </c>
      <c r="G81" s="3">
        <f ca="1">VLOOKUP($B81&amp;$C81,data!$A:$U,17,FALSE)</f>
        <v>0</v>
      </c>
      <c r="H81" s="3">
        <f ca="1">VLOOKUP($B81&amp;$C81,data!$A:$U,18,FALSE)</f>
        <v>0</v>
      </c>
      <c r="I81" s="3">
        <f ca="1">VLOOKUP($B81&amp;$C81,data!$A:$U,19,FALSE)</f>
        <v>0</v>
      </c>
      <c r="J81" s="3">
        <f ca="1">VLOOKUP($B81&amp;$C81,data!$A:$U,14,FALSE)</f>
        <v>2</v>
      </c>
      <c r="K81" s="3">
        <f ca="1">VLOOKUP($B81&amp;$C81,data!$A:$U,15,FALSE)</f>
        <v>2</v>
      </c>
      <c r="L81" s="3">
        <f ca="1">VLOOKUP($B81&amp;$C81,data!$A:$U,16,FALSE)</f>
        <v>0</v>
      </c>
      <c r="M81" s="3">
        <f ca="1">VLOOKUP($B81&amp;$C81,data!$A:$U,8,FALSE)</f>
        <v>23</v>
      </c>
      <c r="N81" s="3">
        <f ca="1">VLOOKUP($B81&amp;$C81,data!$A:$U,9,FALSE)</f>
        <v>22</v>
      </c>
      <c r="O81" s="3">
        <f ca="1">VLOOKUP($B81&amp;$C81,data!$A:$U,10,FALSE)</f>
        <v>1</v>
      </c>
      <c r="P81" s="3">
        <f ca="1">VLOOKUP($B81&amp;$C81,data!$A:$U,11,FALSE)</f>
        <v>0</v>
      </c>
      <c r="Q81" s="3">
        <f ca="1">VLOOKUP($B81&amp;$C81,data!$A:$U,12,FALSE)</f>
        <v>0</v>
      </c>
      <c r="R81" s="3">
        <f ca="1">VLOOKUP($B81&amp;$C81,data!$A:$U,13,FALSE)</f>
        <v>0</v>
      </c>
      <c r="S81" s="3">
        <f ca="1">VLOOKUP($B81&amp;$C81,data!$A:$U,5,FALSE)</f>
        <v>23</v>
      </c>
      <c r="T81" s="3">
        <f ca="1">VLOOKUP($B81&amp;$C81,data!$A:$U,6,FALSE)</f>
        <v>22</v>
      </c>
      <c r="U81" s="3">
        <f ca="1">VLOOKUP($B81&amp;$C81,data!$A:$U,7,FALSE)</f>
        <v>1</v>
      </c>
      <c r="V81" s="16"/>
      <c r="W81" s="9"/>
      <c r="X81" s="9"/>
      <c r="Y81" s="3"/>
      <c r="Z81" s="13">
        <f t="shared" ca="1" si="1"/>
        <v>0.73365613427449716</v>
      </c>
    </row>
    <row r="82" spans="1:26" ht="13" x14ac:dyDescent="0.15">
      <c r="A82" s="3">
        <v>81</v>
      </c>
      <c r="B82" s="3" t="s">
        <v>4</v>
      </c>
      <c r="C82" s="3" t="s">
        <v>250</v>
      </c>
      <c r="D82" s="10">
        <f t="shared" ca="1" si="0"/>
        <v>0.26923076923076922</v>
      </c>
      <c r="E82" s="5">
        <f ca="1">VLOOKUP($B82&amp;$C82,data!$A:$U,20,FALSE)</f>
        <v>44304.336111111101</v>
      </c>
      <c r="F82" s="3" t="str">
        <f ca="1">VLOOKUP($B82&amp;$C82,data!$A:$U,21,FALSE)</f>
        <v>18-04-2021</v>
      </c>
      <c r="G82" s="3">
        <f ca="1">VLOOKUP($B82&amp;$C82,data!$A:$U,17,FALSE)</f>
        <v>1</v>
      </c>
      <c r="H82" s="3">
        <f ca="1">VLOOKUP($B82&amp;$C82,data!$A:$U,18,FALSE)</f>
        <v>0</v>
      </c>
      <c r="I82" s="3">
        <f ca="1">VLOOKUP($B82&amp;$C82,data!$A:$U,19,FALSE)</f>
        <v>1</v>
      </c>
      <c r="J82" s="3">
        <f ca="1">VLOOKUP($B82&amp;$C82,data!$A:$U,14,FALSE)</f>
        <v>4</v>
      </c>
      <c r="K82" s="3">
        <f ca="1">VLOOKUP($B82&amp;$C82,data!$A:$U,15,FALSE)</f>
        <v>0</v>
      </c>
      <c r="L82" s="3">
        <f ca="1">VLOOKUP($B82&amp;$C82,data!$A:$U,16,FALSE)</f>
        <v>4</v>
      </c>
      <c r="M82" s="3">
        <f ca="1">VLOOKUP($B82&amp;$C82,data!$A:$U,8,FALSE)</f>
        <v>22</v>
      </c>
      <c r="N82" s="3">
        <f ca="1">VLOOKUP($B82&amp;$C82,data!$A:$U,9,FALSE)</f>
        <v>19</v>
      </c>
      <c r="O82" s="3">
        <f ca="1">VLOOKUP($B82&amp;$C82,data!$A:$U,10,FALSE)</f>
        <v>3</v>
      </c>
      <c r="P82" s="3">
        <f ca="1">VLOOKUP($B82&amp;$C82,data!$A:$U,11,FALSE)</f>
        <v>0</v>
      </c>
      <c r="Q82" s="3">
        <f ca="1">VLOOKUP($B82&amp;$C82,data!$A:$U,12,FALSE)</f>
        <v>0</v>
      </c>
      <c r="R82" s="3">
        <f ca="1">VLOOKUP($B82&amp;$C82,data!$A:$U,13,FALSE)</f>
        <v>0</v>
      </c>
      <c r="S82" s="3">
        <f ca="1">VLOOKUP($B82&amp;$C82,data!$A:$U,5,FALSE)</f>
        <v>26</v>
      </c>
      <c r="T82" s="3">
        <f ca="1">VLOOKUP($B82&amp;$C82,data!$A:$U,6,FALSE)</f>
        <v>19</v>
      </c>
      <c r="U82" s="3">
        <f ca="1">VLOOKUP($B82&amp;$C82,data!$A:$U,7,FALSE)</f>
        <v>7</v>
      </c>
      <c r="V82" s="16"/>
      <c r="W82" s="9"/>
      <c r="X82" s="9"/>
      <c r="Y82" s="3"/>
      <c r="Z82" s="13">
        <f t="shared" ca="1" si="1"/>
        <v>1.7507973379761097</v>
      </c>
    </row>
    <row r="83" spans="1:26" ht="13" x14ac:dyDescent="0.15">
      <c r="A83" s="3">
        <v>82</v>
      </c>
      <c r="B83" s="3" t="s">
        <v>4</v>
      </c>
      <c r="C83" s="3" t="s">
        <v>251</v>
      </c>
      <c r="D83" s="10">
        <f t="shared" ca="1" si="0"/>
        <v>0</v>
      </c>
      <c r="E83" s="5">
        <f ca="1">VLOOKUP($B83&amp;$C83,data!$A:$U,20,FALSE)</f>
        <v>44305.386284722197</v>
      </c>
      <c r="F83" s="3" t="str">
        <f ca="1">VLOOKUP($B83&amp;$C83,data!$A:$U,21,FALSE)</f>
        <v>19/04/2021</v>
      </c>
      <c r="G83" s="3">
        <f ca="1">VLOOKUP($B83&amp;$C83,data!$A:$U,17,FALSE)</f>
        <v>4</v>
      </c>
      <c r="H83" s="3">
        <f ca="1">VLOOKUP($B83&amp;$C83,data!$A:$U,18,FALSE)</f>
        <v>0</v>
      </c>
      <c r="I83" s="3">
        <f ca="1">VLOOKUP($B83&amp;$C83,data!$A:$U,19,FALSE)</f>
        <v>4</v>
      </c>
      <c r="J83" s="3">
        <f ca="1">VLOOKUP($B83&amp;$C83,data!$A:$U,14,FALSE)</f>
        <v>4</v>
      </c>
      <c r="K83" s="3">
        <f ca="1">VLOOKUP($B83&amp;$C83,data!$A:$U,15,FALSE)</f>
        <v>4</v>
      </c>
      <c r="L83" s="3">
        <f ca="1">VLOOKUP($B83&amp;$C83,data!$A:$U,16,FALSE)</f>
        <v>0</v>
      </c>
      <c r="M83" s="3">
        <f ca="1">VLOOKUP($B83&amp;$C83,data!$A:$U,8,FALSE)</f>
        <v>20</v>
      </c>
      <c r="N83" s="3">
        <f ca="1">VLOOKUP($B83&amp;$C83,data!$A:$U,9,FALSE)</f>
        <v>20</v>
      </c>
      <c r="O83" s="3">
        <f ca="1">VLOOKUP($B83&amp;$C83,data!$A:$U,10,FALSE)</f>
        <v>0</v>
      </c>
      <c r="P83" s="3">
        <f ca="1">VLOOKUP($B83&amp;$C83,data!$A:$U,11,FALSE)</f>
        <v>0</v>
      </c>
      <c r="Q83" s="3">
        <f ca="1">VLOOKUP($B83&amp;$C83,data!$A:$U,12,FALSE)</f>
        <v>0</v>
      </c>
      <c r="R83" s="3">
        <f ca="1">VLOOKUP($B83&amp;$C83,data!$A:$U,13,FALSE)</f>
        <v>0</v>
      </c>
      <c r="S83" s="3">
        <f ca="1">VLOOKUP($B83&amp;$C83,data!$A:$U,5,FALSE)</f>
        <v>24</v>
      </c>
      <c r="T83" s="3">
        <f ca="1">VLOOKUP($B83&amp;$C83,data!$A:$U,6,FALSE)</f>
        <v>20</v>
      </c>
      <c r="U83" s="3">
        <f ca="1">VLOOKUP($B83&amp;$C83,data!$A:$U,7,FALSE)</f>
        <v>0</v>
      </c>
      <c r="V83" s="16"/>
      <c r="W83" s="9"/>
      <c r="X83" s="9"/>
      <c r="Y83" s="3"/>
      <c r="Z83" s="13">
        <f t="shared" ca="1" si="1"/>
        <v>0.70062372687971219</v>
      </c>
    </row>
    <row r="84" spans="1:26" ht="13" x14ac:dyDescent="0.15">
      <c r="A84" s="3">
        <v>83</v>
      </c>
      <c r="B84" s="3" t="s">
        <v>4</v>
      </c>
      <c r="C84" s="3" t="s">
        <v>252</v>
      </c>
      <c r="D84" s="10">
        <f t="shared" ca="1" si="0"/>
        <v>0</v>
      </c>
      <c r="E84" s="5">
        <f ca="1">VLOOKUP($B84&amp;$C84,data!$A:$U,20,FALSE)</f>
        <v>44305.404421296298</v>
      </c>
      <c r="F84" s="3" t="str">
        <f ca="1">VLOOKUP($B84&amp;$C84,data!$A:$U,21,FALSE)</f>
        <v>19/04/2021</v>
      </c>
      <c r="G84" s="3">
        <f ca="1">VLOOKUP($B84&amp;$C84,data!$A:$U,17,FALSE)</f>
        <v>6</v>
      </c>
      <c r="H84" s="3">
        <f ca="1">VLOOKUP($B84&amp;$C84,data!$A:$U,18,FALSE)</f>
        <v>2</v>
      </c>
      <c r="I84" s="3">
        <f ca="1">VLOOKUP($B84&amp;$C84,data!$A:$U,19,FALSE)</f>
        <v>4</v>
      </c>
      <c r="J84" s="3">
        <f ca="1">VLOOKUP($B84&amp;$C84,data!$A:$U,14,FALSE)</f>
        <v>6</v>
      </c>
      <c r="K84" s="3">
        <f ca="1">VLOOKUP($B84&amp;$C84,data!$A:$U,15,FALSE)</f>
        <v>6</v>
      </c>
      <c r="L84" s="3">
        <f ca="1">VLOOKUP($B84&amp;$C84,data!$A:$U,16,FALSE)</f>
        <v>0</v>
      </c>
      <c r="M84" s="3">
        <f ca="1">VLOOKUP($B84&amp;$C84,data!$A:$U,8,FALSE)</f>
        <v>43</v>
      </c>
      <c r="N84" s="3">
        <f ca="1">VLOOKUP($B84&amp;$C84,data!$A:$U,9,FALSE)</f>
        <v>43</v>
      </c>
      <c r="O84" s="3">
        <f ca="1">VLOOKUP($B84&amp;$C84,data!$A:$U,10,FALSE)</f>
        <v>0</v>
      </c>
      <c r="P84" s="3">
        <f ca="1">VLOOKUP($B84&amp;$C84,data!$A:$U,11,FALSE)</f>
        <v>0</v>
      </c>
      <c r="Q84" s="3">
        <f ca="1">VLOOKUP($B84&amp;$C84,data!$A:$U,12,FALSE)</f>
        <v>0</v>
      </c>
      <c r="R84" s="3">
        <f ca="1">VLOOKUP($B84&amp;$C84,data!$A:$U,13,FALSE)</f>
        <v>0</v>
      </c>
      <c r="S84" s="3">
        <f ca="1">VLOOKUP($B84&amp;$C84,data!$A:$U,5,FALSE)</f>
        <v>49</v>
      </c>
      <c r="T84" s="3">
        <f ca="1">VLOOKUP($B84&amp;$C84,data!$A:$U,6,FALSE)</f>
        <v>49</v>
      </c>
      <c r="U84" s="3">
        <f ca="1">VLOOKUP($B84&amp;$C84,data!$A:$U,7,FALSE)</f>
        <v>0</v>
      </c>
      <c r="V84" s="16"/>
      <c r="W84" s="9"/>
      <c r="X84" s="9"/>
      <c r="Y84" s="3"/>
      <c r="Z84" s="13">
        <f t="shared" ca="1" si="1"/>
        <v>0.68248715277877636</v>
      </c>
    </row>
    <row r="85" spans="1:26" ht="13" x14ac:dyDescent="0.15">
      <c r="A85" s="3">
        <v>84</v>
      </c>
      <c r="B85" s="3" t="s">
        <v>4</v>
      </c>
      <c r="C85" s="3" t="s">
        <v>253</v>
      </c>
      <c r="D85" s="10">
        <f t="shared" ca="1" si="0"/>
        <v>0</v>
      </c>
      <c r="E85" s="5">
        <f ca="1">VLOOKUP($B85&amp;$C85,data!$A:$U,20,FALSE)</f>
        <v>44305.439131944397</v>
      </c>
      <c r="F85" s="3" t="str">
        <f ca="1">VLOOKUP($B85&amp;$C85,data!$A:$U,21,FALSE)</f>
        <v>19.04.2021</v>
      </c>
      <c r="G85" s="3">
        <f ca="1">VLOOKUP($B85&amp;$C85,data!$A:$U,17,FALSE)</f>
        <v>10</v>
      </c>
      <c r="H85" s="3">
        <f ca="1">VLOOKUP($B85&amp;$C85,data!$A:$U,18,FALSE)</f>
        <v>10</v>
      </c>
      <c r="I85" s="3">
        <f ca="1">VLOOKUP($B85&amp;$C85,data!$A:$U,19,FALSE)</f>
        <v>0</v>
      </c>
      <c r="J85" s="3">
        <f ca="1">VLOOKUP($B85&amp;$C85,data!$A:$U,14,FALSE)</f>
        <v>20</v>
      </c>
      <c r="K85" s="3">
        <f ca="1">VLOOKUP($B85&amp;$C85,data!$A:$U,15,FALSE)</f>
        <v>20</v>
      </c>
      <c r="L85" s="3">
        <f ca="1">VLOOKUP($B85&amp;$C85,data!$A:$U,16,FALSE)</f>
        <v>0</v>
      </c>
      <c r="M85" s="3">
        <f ca="1">VLOOKUP($B85&amp;$C85,data!$A:$U,8,FALSE)</f>
        <v>100</v>
      </c>
      <c r="N85" s="3">
        <f ca="1">VLOOKUP($B85&amp;$C85,data!$A:$U,9,FALSE)</f>
        <v>100</v>
      </c>
      <c r="O85" s="3">
        <f ca="1">VLOOKUP($B85&amp;$C85,data!$A:$U,10,FALSE)</f>
        <v>0</v>
      </c>
      <c r="P85" s="3">
        <f ca="1">VLOOKUP($B85&amp;$C85,data!$A:$U,11,FALSE)</f>
        <v>0</v>
      </c>
      <c r="Q85" s="3">
        <f ca="1">VLOOKUP($B85&amp;$C85,data!$A:$U,12,FALSE)</f>
        <v>0</v>
      </c>
      <c r="R85" s="3">
        <f ca="1">VLOOKUP($B85&amp;$C85,data!$A:$U,13,FALSE)</f>
        <v>0</v>
      </c>
      <c r="S85" s="3">
        <f ca="1">VLOOKUP($B85&amp;$C85,data!$A:$U,5,FALSE)</f>
        <v>100</v>
      </c>
      <c r="T85" s="3">
        <f ca="1">VLOOKUP($B85&amp;$C85,data!$A:$U,6,FALSE)</f>
        <v>100</v>
      </c>
      <c r="U85" s="3">
        <f ca="1">VLOOKUP($B85&amp;$C85,data!$A:$U,7,FALSE)</f>
        <v>0</v>
      </c>
      <c r="V85" s="16"/>
      <c r="W85" s="9"/>
      <c r="X85" s="9"/>
      <c r="Y85" s="3"/>
      <c r="Z85" s="13">
        <f t="shared" ca="1" si="1"/>
        <v>0.6477765046802233</v>
      </c>
    </row>
    <row r="86" spans="1:26" ht="13" x14ac:dyDescent="0.15">
      <c r="A86" s="3">
        <v>85</v>
      </c>
      <c r="B86" s="3" t="s">
        <v>4</v>
      </c>
      <c r="C86" s="3" t="s">
        <v>254</v>
      </c>
      <c r="D86" s="10">
        <f t="shared" ca="1" si="0"/>
        <v>0.1951219512195122</v>
      </c>
      <c r="E86" s="5">
        <f ca="1">VLOOKUP($B86&amp;$C86,data!$A:$U,20,FALSE)</f>
        <v>44305.550844907397</v>
      </c>
      <c r="F86" s="3">
        <f ca="1">VLOOKUP($B86&amp;$C86,data!$A:$U,21,FALSE)</f>
        <v>0</v>
      </c>
      <c r="G86" s="3">
        <f ca="1">VLOOKUP($B86&amp;$C86,data!$A:$U,17,FALSE)</f>
        <v>11</v>
      </c>
      <c r="H86" s="3">
        <f ca="1">VLOOKUP($B86&amp;$C86,data!$A:$U,18,FALSE)</f>
        <v>11</v>
      </c>
      <c r="I86" s="3">
        <f ca="1">VLOOKUP($B86&amp;$C86,data!$A:$U,19,FALSE)</f>
        <v>0</v>
      </c>
      <c r="J86" s="3">
        <f ca="1">VLOOKUP($B86&amp;$C86,data!$A:$U,14,FALSE)</f>
        <v>24</v>
      </c>
      <c r="K86" s="3">
        <f ca="1">VLOOKUP($B86&amp;$C86,data!$A:$U,15,FALSE)</f>
        <v>20</v>
      </c>
      <c r="L86" s="3">
        <f ca="1">VLOOKUP($B86&amp;$C86,data!$A:$U,16,FALSE)</f>
        <v>4</v>
      </c>
      <c r="M86" s="3">
        <f ca="1">VLOOKUP($B86&amp;$C86,data!$A:$U,8,FALSE)</f>
        <v>70</v>
      </c>
      <c r="N86" s="3">
        <f ca="1">VLOOKUP($B86&amp;$C86,data!$A:$U,9,FALSE)</f>
        <v>56</v>
      </c>
      <c r="O86" s="3">
        <f ca="1">VLOOKUP($B86&amp;$C86,data!$A:$U,10,FALSE)</f>
        <v>14</v>
      </c>
      <c r="P86" s="3">
        <f ca="1">VLOOKUP($B86&amp;$C86,data!$A:$U,11,FALSE)</f>
        <v>0</v>
      </c>
      <c r="Q86" s="3">
        <f ca="1">VLOOKUP($B86&amp;$C86,data!$A:$U,12,FALSE)</f>
        <v>0</v>
      </c>
      <c r="R86" s="3">
        <f ca="1">VLOOKUP($B86&amp;$C86,data!$A:$U,13,FALSE)</f>
        <v>0</v>
      </c>
      <c r="S86" s="3">
        <f ca="1">VLOOKUP($B86&amp;$C86,data!$A:$U,5,FALSE)</f>
        <v>70</v>
      </c>
      <c r="T86" s="3">
        <f ca="1">VLOOKUP($B86&amp;$C86,data!$A:$U,6,FALSE)</f>
        <v>56</v>
      </c>
      <c r="U86" s="3">
        <f ca="1">VLOOKUP($B86&amp;$C86,data!$A:$U,7,FALSE)</f>
        <v>14</v>
      </c>
      <c r="V86" s="16"/>
      <c r="W86" s="9"/>
      <c r="X86" s="9"/>
      <c r="Y86" s="3"/>
      <c r="Z86" s="13">
        <f t="shared" ca="1" si="1"/>
        <v>0.53606354168005055</v>
      </c>
    </row>
    <row r="87" spans="1:26" ht="13" x14ac:dyDescent="0.15">
      <c r="A87" s="3">
        <v>86</v>
      </c>
      <c r="B87" s="3" t="s">
        <v>4</v>
      </c>
      <c r="C87" s="3" t="s">
        <v>255</v>
      </c>
      <c r="D87" s="10">
        <f t="shared" ca="1" si="0"/>
        <v>0</v>
      </c>
      <c r="E87" s="5">
        <f ca="1">VLOOKUP($B87&amp;$C87,data!$A:$U,20,FALSE)</f>
        <v>44305.336747685098</v>
      </c>
      <c r="F87" s="3" t="str">
        <f ca="1">VLOOKUP($B87&amp;$C87,data!$A:$U,21,FALSE)</f>
        <v>19/04/2021</v>
      </c>
      <c r="G87" s="3">
        <f ca="1">VLOOKUP($B87&amp;$C87,data!$A:$U,17,FALSE)</f>
        <v>2</v>
      </c>
      <c r="H87" s="3">
        <f ca="1">VLOOKUP($B87&amp;$C87,data!$A:$U,18,FALSE)</f>
        <v>0</v>
      </c>
      <c r="I87" s="3">
        <f ca="1">VLOOKUP($B87&amp;$C87,data!$A:$U,19,FALSE)</f>
        <v>2</v>
      </c>
      <c r="J87" s="3">
        <f ca="1">VLOOKUP($B87&amp;$C87,data!$A:$U,14,FALSE)</f>
        <v>0</v>
      </c>
      <c r="K87" s="3">
        <f ca="1">VLOOKUP($B87&amp;$C87,data!$A:$U,15,FALSE)</f>
        <v>0</v>
      </c>
      <c r="L87" s="3">
        <f ca="1">VLOOKUP($B87&amp;$C87,data!$A:$U,16,FALSE)</f>
        <v>0</v>
      </c>
      <c r="M87" s="3">
        <f ca="1">VLOOKUP($B87&amp;$C87,data!$A:$U,8,FALSE)</f>
        <v>30</v>
      </c>
      <c r="N87" s="3">
        <f ca="1">VLOOKUP($B87&amp;$C87,data!$A:$U,9,FALSE)</f>
        <v>28</v>
      </c>
      <c r="O87" s="3">
        <f ca="1">VLOOKUP($B87&amp;$C87,data!$A:$U,10,FALSE)</f>
        <v>0</v>
      </c>
      <c r="P87" s="3">
        <f ca="1">VLOOKUP($B87&amp;$C87,data!$A:$U,11,FALSE)</f>
        <v>0</v>
      </c>
      <c r="Q87" s="3">
        <f ca="1">VLOOKUP($B87&amp;$C87,data!$A:$U,12,FALSE)</f>
        <v>0</v>
      </c>
      <c r="R87" s="3">
        <f ca="1">VLOOKUP($B87&amp;$C87,data!$A:$U,13,FALSE)</f>
        <v>0</v>
      </c>
      <c r="S87" s="3">
        <f ca="1">VLOOKUP($B87&amp;$C87,data!$A:$U,5,FALSE)</f>
        <v>30</v>
      </c>
      <c r="T87" s="3">
        <f ca="1">VLOOKUP($B87&amp;$C87,data!$A:$U,6,FALSE)</f>
        <v>28</v>
      </c>
      <c r="U87" s="3">
        <f ca="1">VLOOKUP($B87&amp;$C87,data!$A:$U,7,FALSE)</f>
        <v>0</v>
      </c>
      <c r="V87" s="16"/>
      <c r="W87" s="9"/>
      <c r="X87" s="9"/>
      <c r="Y87" s="3"/>
      <c r="Z87" s="13">
        <f t="shared" ca="1" si="1"/>
        <v>0.75016076397878351</v>
      </c>
    </row>
    <row r="88" spans="1:26" ht="13" x14ac:dyDescent="0.15">
      <c r="A88" s="3">
        <v>87</v>
      </c>
      <c r="B88" s="3" t="s">
        <v>4</v>
      </c>
      <c r="C88" s="3" t="s">
        <v>256</v>
      </c>
      <c r="D88" s="10">
        <f t="shared" ca="1" si="0"/>
        <v>8.8888888888888892E-2</v>
      </c>
      <c r="E88" s="5">
        <f ca="1">VLOOKUP($B88&amp;$C88,data!$A:$U,20,FALSE)</f>
        <v>44305.678437499999</v>
      </c>
      <c r="F88" s="3" t="str">
        <f ca="1">VLOOKUP($B88&amp;$C88,data!$A:$U,21,FALSE)</f>
        <v>19/04/2021</v>
      </c>
      <c r="G88" s="3">
        <f ca="1">VLOOKUP($B88&amp;$C88,data!$A:$U,17,FALSE)</f>
        <v>6</v>
      </c>
      <c r="H88" s="3">
        <f ca="1">VLOOKUP($B88&amp;$C88,data!$A:$U,18,FALSE)</f>
        <v>2</v>
      </c>
      <c r="I88" s="3">
        <f ca="1">VLOOKUP($B88&amp;$C88,data!$A:$U,19,FALSE)</f>
        <v>4</v>
      </c>
      <c r="J88" s="3">
        <f ca="1">VLOOKUP($B88&amp;$C88,data!$A:$U,14,FALSE)</f>
        <v>10</v>
      </c>
      <c r="K88" s="3">
        <f ca="1">VLOOKUP($B88&amp;$C88,data!$A:$U,15,FALSE)</f>
        <v>10</v>
      </c>
      <c r="L88" s="3">
        <f ca="1">VLOOKUP($B88&amp;$C88,data!$A:$U,16,FALSE)</f>
        <v>0</v>
      </c>
      <c r="M88" s="3">
        <f ca="1">VLOOKUP($B88&amp;$C88,data!$A:$U,8,FALSE)</f>
        <v>80</v>
      </c>
      <c r="N88" s="3">
        <f ca="1">VLOOKUP($B88&amp;$C88,data!$A:$U,9,FALSE)</f>
        <v>70</v>
      </c>
      <c r="O88" s="3">
        <f ca="1">VLOOKUP($B88&amp;$C88,data!$A:$U,10,FALSE)</f>
        <v>10</v>
      </c>
      <c r="P88" s="3">
        <f ca="1">VLOOKUP($B88&amp;$C88,data!$A:$U,11,FALSE)</f>
        <v>0</v>
      </c>
      <c r="Q88" s="3">
        <f ca="1">VLOOKUP($B88&amp;$C88,data!$A:$U,12,FALSE)</f>
        <v>0</v>
      </c>
      <c r="R88" s="3">
        <f ca="1">VLOOKUP($B88&amp;$C88,data!$A:$U,13,FALSE)</f>
        <v>0</v>
      </c>
      <c r="S88" s="3">
        <f ca="1">VLOOKUP($B88&amp;$C88,data!$A:$U,5,FALSE)</f>
        <v>90</v>
      </c>
      <c r="T88" s="3">
        <f ca="1">VLOOKUP($B88&amp;$C88,data!$A:$U,6,FALSE)</f>
        <v>84</v>
      </c>
      <c r="U88" s="3">
        <f ca="1">VLOOKUP($B88&amp;$C88,data!$A:$U,7,FALSE)</f>
        <v>6</v>
      </c>
      <c r="V88" s="16"/>
      <c r="W88" s="9"/>
      <c r="X88" s="9"/>
      <c r="Y88" s="3"/>
      <c r="Z88" s="13">
        <f t="shared" ca="1" si="1"/>
        <v>0.40847094907803694</v>
      </c>
    </row>
    <row r="89" spans="1:26" ht="13" x14ac:dyDescent="0.15">
      <c r="A89" s="3">
        <v>88</v>
      </c>
      <c r="B89" s="3" t="s">
        <v>4</v>
      </c>
      <c r="C89" s="3" t="s">
        <v>257</v>
      </c>
      <c r="D89" s="10">
        <f t="shared" ca="1" si="0"/>
        <v>2.8571428571428571E-2</v>
      </c>
      <c r="E89" s="5">
        <f ca="1">VLOOKUP($B89&amp;$C89,data!$A:$U,20,FALSE)</f>
        <v>44305.3977199074</v>
      </c>
      <c r="F89" s="3">
        <f ca="1">VLOOKUP($B89&amp;$C89,data!$A:$U,21,FALSE)</f>
        <v>0</v>
      </c>
      <c r="G89" s="3">
        <f ca="1">VLOOKUP($B89&amp;$C89,data!$A:$U,17,FALSE)</f>
        <v>6</v>
      </c>
      <c r="H89" s="3">
        <f ca="1">VLOOKUP($B89&amp;$C89,data!$A:$U,18,FALSE)</f>
        <v>1</v>
      </c>
      <c r="I89" s="3">
        <f ca="1">VLOOKUP($B89&amp;$C89,data!$A:$U,19,FALSE)</f>
        <v>5</v>
      </c>
      <c r="J89" s="3">
        <f ca="1">VLOOKUP($B89&amp;$C89,data!$A:$U,14,FALSE)</f>
        <v>8</v>
      </c>
      <c r="K89" s="3">
        <f ca="1">VLOOKUP($B89&amp;$C89,data!$A:$U,15,FALSE)</f>
        <v>8</v>
      </c>
      <c r="L89" s="3">
        <f ca="1">VLOOKUP($B89&amp;$C89,data!$A:$U,16,FALSE)</f>
        <v>0</v>
      </c>
      <c r="M89" s="3">
        <f ca="1">VLOOKUP($B89&amp;$C89,data!$A:$U,8,FALSE)</f>
        <v>62</v>
      </c>
      <c r="N89" s="3">
        <f ca="1">VLOOKUP($B89&amp;$C89,data!$A:$U,9,FALSE)</f>
        <v>61</v>
      </c>
      <c r="O89" s="3">
        <f ca="1">VLOOKUP($B89&amp;$C89,data!$A:$U,10,FALSE)</f>
        <v>3</v>
      </c>
      <c r="P89" s="3">
        <f ca="1">VLOOKUP($B89&amp;$C89,data!$A:$U,11,FALSE)</f>
        <v>0</v>
      </c>
      <c r="Q89" s="3">
        <f ca="1">VLOOKUP($B89&amp;$C89,data!$A:$U,12,FALSE)</f>
        <v>0</v>
      </c>
      <c r="R89" s="3">
        <f ca="1">VLOOKUP($B89&amp;$C89,data!$A:$U,13,FALSE)</f>
        <v>0</v>
      </c>
      <c r="S89" s="3">
        <f ca="1">VLOOKUP($B89&amp;$C89,data!$A:$U,5,FALSE)</f>
        <v>70</v>
      </c>
      <c r="T89" s="3">
        <f ca="1">VLOOKUP($B89&amp;$C89,data!$A:$U,6,FALSE)</f>
        <v>69</v>
      </c>
      <c r="U89" s="3">
        <f ca="1">VLOOKUP($B89&amp;$C89,data!$A:$U,7,FALSE)</f>
        <v>1</v>
      </c>
      <c r="V89" s="16"/>
      <c r="W89" s="9"/>
      <c r="X89" s="9"/>
      <c r="Y89" s="3"/>
      <c r="Z89" s="13">
        <f t="shared" ca="1" si="1"/>
        <v>0.68918854167714017</v>
      </c>
    </row>
    <row r="90" spans="1:26" ht="13" x14ac:dyDescent="0.15">
      <c r="A90" s="3">
        <v>89</v>
      </c>
      <c r="B90" s="3" t="s">
        <v>4</v>
      </c>
      <c r="C90" s="3" t="s">
        <v>258</v>
      </c>
      <c r="D90" s="10">
        <f t="shared" ca="1" si="0"/>
        <v>0.48333333333333334</v>
      </c>
      <c r="E90" s="5">
        <f ca="1">VLOOKUP($B90&amp;$C90,data!$A:$U,20,FALSE)</f>
        <v>44298.719803240703</v>
      </c>
      <c r="F90" s="3">
        <f ca="1">VLOOKUP($B90&amp;$C90,data!$A:$U,21,FALSE)</f>
        <v>44298</v>
      </c>
      <c r="G90" s="3">
        <f ca="1">VLOOKUP($B90&amp;$C90,data!$A:$U,17,FALSE)</f>
        <v>2</v>
      </c>
      <c r="H90" s="3">
        <f ca="1">VLOOKUP($B90&amp;$C90,data!$A:$U,18,FALSE)</f>
        <v>1</v>
      </c>
      <c r="I90" s="3">
        <f ca="1">VLOOKUP($B90&amp;$C90,data!$A:$U,19,FALSE)</f>
        <v>1</v>
      </c>
      <c r="J90" s="3">
        <f ca="1">VLOOKUP($B90&amp;$C90,data!$A:$U,14,FALSE)</f>
        <v>10</v>
      </c>
      <c r="K90" s="3">
        <f ca="1">VLOOKUP($B90&amp;$C90,data!$A:$U,15,FALSE)</f>
        <v>5</v>
      </c>
      <c r="L90" s="3">
        <f ca="1">VLOOKUP($B90&amp;$C90,data!$A:$U,16,FALSE)</f>
        <v>5</v>
      </c>
      <c r="M90" s="3">
        <f ca="1">VLOOKUP($B90&amp;$C90,data!$A:$U,8,FALSE)</f>
        <v>10</v>
      </c>
      <c r="N90" s="3">
        <f ca="1">VLOOKUP($B90&amp;$C90,data!$A:$U,9,FALSE)</f>
        <v>10</v>
      </c>
      <c r="O90" s="3">
        <f ca="1">VLOOKUP($B90&amp;$C90,data!$A:$U,10,FALSE)</f>
        <v>0</v>
      </c>
      <c r="P90" s="3">
        <f ca="1">VLOOKUP($B90&amp;$C90,data!$A:$U,11,FALSE)</f>
        <v>10</v>
      </c>
      <c r="Q90" s="3">
        <f ca="1">VLOOKUP($B90&amp;$C90,data!$A:$U,12,FALSE)</f>
        <v>0</v>
      </c>
      <c r="R90" s="3">
        <f ca="1">VLOOKUP($B90&amp;$C90,data!$A:$U,13,FALSE)</f>
        <v>10</v>
      </c>
      <c r="S90" s="3">
        <f ca="1">VLOOKUP($B90&amp;$C90,data!$A:$U,5,FALSE)</f>
        <v>30</v>
      </c>
      <c r="T90" s="3">
        <f ca="1">VLOOKUP($B90&amp;$C90,data!$A:$U,6,FALSE)</f>
        <v>16</v>
      </c>
      <c r="U90" s="3">
        <f ca="1">VLOOKUP($B90&amp;$C90,data!$A:$U,7,FALSE)</f>
        <v>14</v>
      </c>
      <c r="V90" s="16"/>
      <c r="W90" s="9"/>
      <c r="X90" s="9"/>
      <c r="Y90" s="3"/>
      <c r="Z90" s="13">
        <f t="shared" ca="1" si="1"/>
        <v>7.3671052083736868</v>
      </c>
    </row>
    <row r="91" spans="1:26" ht="13" x14ac:dyDescent="0.15">
      <c r="A91" s="3">
        <v>90</v>
      </c>
      <c r="B91" s="3" t="s">
        <v>4</v>
      </c>
      <c r="C91" s="3" t="s">
        <v>259</v>
      </c>
      <c r="D91" s="10">
        <f t="shared" ca="1" si="0"/>
        <v>1</v>
      </c>
      <c r="E91" s="5">
        <f ca="1">VLOOKUP($B91&amp;$C91,data!$A:$U,20,FALSE)</f>
        <v>44305.380474537</v>
      </c>
      <c r="F91" s="3" t="str">
        <f ca="1">VLOOKUP($B91&amp;$C91,data!$A:$U,21,FALSE)</f>
        <v>19/4/2021 - 0</v>
      </c>
      <c r="G91" s="3">
        <f ca="1">VLOOKUP($B91&amp;$C91,data!$A:$U,17,FALSE)</f>
        <v>1</v>
      </c>
      <c r="H91" s="3">
        <f ca="1">VLOOKUP($B91&amp;$C91,data!$A:$U,18,FALSE)</f>
        <v>0</v>
      </c>
      <c r="I91" s="3">
        <f ca="1">VLOOKUP($B91&amp;$C91,data!$A:$U,19,FALSE)</f>
        <v>1</v>
      </c>
      <c r="J91" s="3">
        <f ca="1">VLOOKUP($B91&amp;$C91,data!$A:$U,14,FALSE)</f>
        <v>1</v>
      </c>
      <c r="K91" s="3">
        <f ca="1">VLOOKUP($B91&amp;$C91,data!$A:$U,15,FALSE)</f>
        <v>0</v>
      </c>
      <c r="L91" s="3">
        <f ca="1">VLOOKUP($B91&amp;$C91,data!$A:$U,16,FALSE)</f>
        <v>1</v>
      </c>
      <c r="M91" s="3">
        <f ca="1">VLOOKUP($B91&amp;$C91,data!$A:$U,8,FALSE)</f>
        <v>5</v>
      </c>
      <c r="N91" s="3">
        <f ca="1">VLOOKUP($B91&amp;$C91,data!$A:$U,9,FALSE)</f>
        <v>0</v>
      </c>
      <c r="O91" s="3">
        <f ca="1">VLOOKUP($B91&amp;$C91,data!$A:$U,10,FALSE)</f>
        <v>5</v>
      </c>
      <c r="P91" s="3">
        <f ca="1">VLOOKUP($B91&amp;$C91,data!$A:$U,11,FALSE)</f>
        <v>20</v>
      </c>
      <c r="Q91" s="3">
        <f ca="1">VLOOKUP($B91&amp;$C91,data!$A:$U,12,FALSE)</f>
        <v>0</v>
      </c>
      <c r="R91" s="3">
        <f ca="1">VLOOKUP($B91&amp;$C91,data!$A:$U,13,FALSE)</f>
        <v>20</v>
      </c>
      <c r="S91" s="3">
        <f ca="1">VLOOKUP($B91&amp;$C91,data!$A:$U,5,FALSE)</f>
        <v>30</v>
      </c>
      <c r="T91" s="3">
        <f ca="1">VLOOKUP($B91&amp;$C91,data!$A:$U,6,FALSE)</f>
        <v>0</v>
      </c>
      <c r="U91" s="3">
        <f ca="1">VLOOKUP($B91&amp;$C91,data!$A:$U,7,FALSE)</f>
        <v>30</v>
      </c>
      <c r="V91" s="16"/>
      <c r="W91" s="9"/>
      <c r="X91" s="9"/>
      <c r="Y91" s="3"/>
      <c r="Z91" s="13">
        <f t="shared" ca="1" si="1"/>
        <v>0.70643391207704553</v>
      </c>
    </row>
    <row r="92" spans="1:26" ht="13" x14ac:dyDescent="0.15">
      <c r="A92" s="3">
        <v>91</v>
      </c>
      <c r="B92" s="3" t="s">
        <v>4</v>
      </c>
      <c r="C92" s="3" t="s">
        <v>260</v>
      </c>
      <c r="D92" s="10">
        <f t="shared" ca="1" si="0"/>
        <v>0.18681318681318682</v>
      </c>
      <c r="E92" s="5">
        <f ca="1">VLOOKUP($B92&amp;$C92,data!$A:$U,20,FALSE)</f>
        <v>44305.376006944403</v>
      </c>
      <c r="F92" s="3" t="str">
        <f ca="1">VLOOKUP($B92&amp;$C92,data!$A:$U,21,FALSE)</f>
        <v>19/04/2021</v>
      </c>
      <c r="G92" s="3">
        <f ca="1">VLOOKUP($B92&amp;$C92,data!$A:$U,17,FALSE)</f>
        <v>2</v>
      </c>
      <c r="H92" s="3">
        <f ca="1">VLOOKUP($B92&amp;$C92,data!$A:$U,18,FALSE)</f>
        <v>0</v>
      </c>
      <c r="I92" s="3">
        <f ca="1">VLOOKUP($B92&amp;$C92,data!$A:$U,19,FALSE)</f>
        <v>0</v>
      </c>
      <c r="J92" s="3">
        <f ca="1">VLOOKUP($B92&amp;$C92,data!$A:$U,14,FALSE)</f>
        <v>3</v>
      </c>
      <c r="K92" s="3">
        <f ca="1">VLOOKUP($B92&amp;$C92,data!$A:$U,15,FALSE)</f>
        <v>3</v>
      </c>
      <c r="L92" s="3">
        <f ca="1">VLOOKUP($B92&amp;$C92,data!$A:$U,16,FALSE)</f>
        <v>0</v>
      </c>
      <c r="M92" s="3">
        <f ca="1">VLOOKUP($B92&amp;$C92,data!$A:$U,8,FALSE)</f>
        <v>43</v>
      </c>
      <c r="N92" s="3">
        <f ca="1">VLOOKUP($B92&amp;$C92,data!$A:$U,9,FALSE)</f>
        <v>34</v>
      </c>
      <c r="O92" s="3">
        <f ca="1">VLOOKUP($B92&amp;$C92,data!$A:$U,10,FALSE)</f>
        <v>9</v>
      </c>
      <c r="P92" s="3">
        <f ca="1">VLOOKUP($B92&amp;$C92,data!$A:$U,11,FALSE)</f>
        <v>0</v>
      </c>
      <c r="Q92" s="3">
        <f ca="1">VLOOKUP($B92&amp;$C92,data!$A:$U,12,FALSE)</f>
        <v>0</v>
      </c>
      <c r="R92" s="3">
        <f ca="1">VLOOKUP($B92&amp;$C92,data!$A:$U,13,FALSE)</f>
        <v>0</v>
      </c>
      <c r="S92" s="3">
        <f ca="1">VLOOKUP($B92&amp;$C92,data!$A:$U,5,FALSE)</f>
        <v>45</v>
      </c>
      <c r="T92" s="3">
        <f ca="1">VLOOKUP($B92&amp;$C92,data!$A:$U,6,FALSE)</f>
        <v>37</v>
      </c>
      <c r="U92" s="3">
        <f ca="1">VLOOKUP($B92&amp;$C92,data!$A:$U,7,FALSE)</f>
        <v>8</v>
      </c>
      <c r="V92" s="16"/>
      <c r="W92" s="9"/>
      <c r="X92" s="9"/>
      <c r="Y92" s="3"/>
      <c r="Z92" s="13">
        <f t="shared" ca="1" si="1"/>
        <v>0.71090150467352942</v>
      </c>
    </row>
    <row r="93" spans="1:26" ht="14" x14ac:dyDescent="0.15">
      <c r="A93" s="3">
        <v>92</v>
      </c>
      <c r="B93" s="3" t="s">
        <v>5</v>
      </c>
      <c r="C93" s="3" t="s">
        <v>261</v>
      </c>
      <c r="D93" s="10">
        <f t="shared" ca="1" si="0"/>
        <v>0.45454545454545453</v>
      </c>
      <c r="E93" s="5">
        <f ca="1">VLOOKUP($B93&amp;$C93,data!$A:$U,20,FALSE)</f>
        <v>44305.425057870299</v>
      </c>
      <c r="F93" s="3" t="str">
        <f ca="1">VLOOKUP($B93&amp;$C93,data!$A:$U,21,FALSE)</f>
        <v>GKNM Cbe</v>
      </c>
      <c r="G93" s="3">
        <f ca="1">VLOOKUP($B93&amp;$C93,data!$A:$U,17,FALSE)</f>
        <v>0</v>
      </c>
      <c r="H93" s="3">
        <f ca="1">VLOOKUP($B93&amp;$C93,data!$A:$U,18,FALSE)</f>
        <v>0</v>
      </c>
      <c r="I93" s="3">
        <f ca="1">VLOOKUP($B93&amp;$C93,data!$A:$U,19,FALSE)</f>
        <v>0</v>
      </c>
      <c r="J93" s="3">
        <f ca="1">VLOOKUP($B93&amp;$C93,data!$A:$U,14,FALSE)</f>
        <v>10</v>
      </c>
      <c r="K93" s="3">
        <f ca="1">VLOOKUP($B93&amp;$C93,data!$A:$U,15,FALSE)</f>
        <v>10</v>
      </c>
      <c r="L93" s="3">
        <f ca="1">VLOOKUP($B93&amp;$C93,data!$A:$U,16,FALSE)</f>
        <v>0</v>
      </c>
      <c r="M93" s="3">
        <f ca="1">VLOOKUP($B93&amp;$C93,data!$A:$U,8,FALSE)</f>
        <v>120</v>
      </c>
      <c r="N93" s="3">
        <f ca="1">VLOOKUP($B93&amp;$C93,data!$A:$U,9,FALSE)</f>
        <v>73</v>
      </c>
      <c r="O93" s="3">
        <f ca="1">VLOOKUP($B93&amp;$C93,data!$A:$U,10,FALSE)</f>
        <v>47</v>
      </c>
      <c r="P93" s="3">
        <f ca="1">VLOOKUP($B93&amp;$C93,data!$A:$U,11,FALSE)</f>
        <v>24</v>
      </c>
      <c r="Q93" s="3">
        <f ca="1">VLOOKUP($B93&amp;$C93,data!$A:$U,12,FALSE)</f>
        <v>1</v>
      </c>
      <c r="R93" s="3">
        <f ca="1">VLOOKUP($B93&amp;$C93,data!$A:$U,13,FALSE)</f>
        <v>23</v>
      </c>
      <c r="S93" s="3">
        <f ca="1">VLOOKUP($B93&amp;$C93,data!$A:$U,5,FALSE)</f>
        <v>154</v>
      </c>
      <c r="T93" s="3">
        <f ca="1">VLOOKUP($B93&amp;$C93,data!$A:$U,6,FALSE)</f>
        <v>84</v>
      </c>
      <c r="U93" s="3">
        <f ca="1">VLOOKUP($B93&amp;$C93,data!$A:$U,7,FALSE)</f>
        <v>70</v>
      </c>
      <c r="V93" s="11" t="s">
        <v>262</v>
      </c>
      <c r="W93" s="12" t="s">
        <v>263</v>
      </c>
      <c r="X93" s="12" t="s">
        <v>264</v>
      </c>
      <c r="Y93" s="20" t="s">
        <v>265</v>
      </c>
      <c r="Z93" s="13">
        <f t="shared" ca="1" si="1"/>
        <v>0.66185057877737563</v>
      </c>
    </row>
    <row r="94" spans="1:26" ht="14" x14ac:dyDescent="0.15">
      <c r="A94" s="3">
        <v>93</v>
      </c>
      <c r="B94" s="3" t="s">
        <v>5</v>
      </c>
      <c r="C94" s="3" t="s">
        <v>266</v>
      </c>
      <c r="D94" s="10">
        <f t="shared" ca="1" si="0"/>
        <v>0.17985611510791366</v>
      </c>
      <c r="E94" s="5">
        <f ca="1">VLOOKUP($B94&amp;$C94,data!$A:$U,20,FALSE)</f>
        <v>44305.419918981403</v>
      </c>
      <c r="F94" s="3" t="str">
        <f ca="1">VLOOKUP($B94&amp;$C94,data!$A:$U,21,FALSE)</f>
        <v>Hindusthan 19.04.2021</v>
      </c>
      <c r="G94" s="3">
        <f ca="1">VLOOKUP($B94&amp;$C94,data!$A:$U,17,FALSE)</f>
        <v>4</v>
      </c>
      <c r="H94" s="3">
        <f ca="1">VLOOKUP($B94&amp;$C94,data!$A:$U,18,FALSE)</f>
        <v>2</v>
      </c>
      <c r="I94" s="3">
        <f ca="1">VLOOKUP($B94&amp;$C94,data!$A:$U,19,FALSE)</f>
        <v>2</v>
      </c>
      <c r="J94" s="3">
        <f ca="1">VLOOKUP($B94&amp;$C94,data!$A:$U,14,FALSE)</f>
        <v>4</v>
      </c>
      <c r="K94" s="3">
        <f ca="1">VLOOKUP($B94&amp;$C94,data!$A:$U,15,FALSE)</f>
        <v>2</v>
      </c>
      <c r="L94" s="3">
        <f ca="1">VLOOKUP($B94&amp;$C94,data!$A:$U,16,FALSE)</f>
        <v>2</v>
      </c>
      <c r="M94" s="3">
        <f ca="1">VLOOKUP($B94&amp;$C94,data!$A:$U,8,FALSE)</f>
        <v>45</v>
      </c>
      <c r="N94" s="3">
        <f ca="1">VLOOKUP($B94&amp;$C94,data!$A:$U,9,FALSE)</f>
        <v>45</v>
      </c>
      <c r="O94" s="3">
        <f ca="1">VLOOKUP($B94&amp;$C94,data!$A:$U,10,FALSE)</f>
        <v>0</v>
      </c>
      <c r="P94" s="3">
        <f ca="1">VLOOKUP($B94&amp;$C94,data!$A:$U,11,FALSE)</f>
        <v>20</v>
      </c>
      <c r="Q94" s="3">
        <f ca="1">VLOOKUP($B94&amp;$C94,data!$A:$U,12,FALSE)</f>
        <v>6</v>
      </c>
      <c r="R94" s="3">
        <f ca="1">VLOOKUP($B94&amp;$C94,data!$A:$U,13,FALSE)</f>
        <v>14</v>
      </c>
      <c r="S94" s="3">
        <f ca="1">VLOOKUP($B94&amp;$C94,data!$A:$U,5,FALSE)</f>
        <v>70</v>
      </c>
      <c r="T94" s="3">
        <f ca="1">VLOOKUP($B94&amp;$C94,data!$A:$U,6,FALSE)</f>
        <v>61</v>
      </c>
      <c r="U94" s="3">
        <f ca="1">VLOOKUP($B94&amp;$C94,data!$A:$U,7,FALSE)</f>
        <v>9</v>
      </c>
      <c r="V94" s="11" t="s">
        <v>267</v>
      </c>
      <c r="W94" s="12" t="s">
        <v>268</v>
      </c>
      <c r="X94" s="12" t="s">
        <v>269</v>
      </c>
      <c r="Y94" s="20" t="s">
        <v>270</v>
      </c>
      <c r="Z94" s="13">
        <f t="shared" ca="1" si="1"/>
        <v>0.66698946767428424</v>
      </c>
    </row>
    <row r="95" spans="1:26" ht="14" x14ac:dyDescent="0.15">
      <c r="A95" s="3">
        <v>94</v>
      </c>
      <c r="B95" s="3" t="s">
        <v>5</v>
      </c>
      <c r="C95" s="3" t="s">
        <v>271</v>
      </c>
      <c r="D95" s="10">
        <f t="shared" ca="1" si="0"/>
        <v>0.88</v>
      </c>
      <c r="E95" s="5">
        <f ca="1">VLOOKUP($B95&amp;$C95,data!$A:$U,20,FALSE)</f>
        <v>44305.416203703702</v>
      </c>
      <c r="F95" s="3" t="str">
        <f ca="1">VLOOKUP($B95&amp;$C95,data!$A:$U,21,FALSE)</f>
        <v>30 POSITIVE + 6 SUSPECTS</v>
      </c>
      <c r="G95" s="3">
        <f ca="1">VLOOKUP($B95&amp;$C95,data!$A:$U,17,FALSE)</f>
        <v>2</v>
      </c>
      <c r="H95" s="3">
        <f ca="1">VLOOKUP($B95&amp;$C95,data!$A:$U,18,FALSE)</f>
        <v>0</v>
      </c>
      <c r="I95" s="3">
        <f ca="1">VLOOKUP($B95&amp;$C95,data!$A:$U,19,FALSE)</f>
        <v>2</v>
      </c>
      <c r="J95" s="3">
        <f ca="1">VLOOKUP($B95&amp;$C95,data!$A:$U,14,FALSE)</f>
        <v>3</v>
      </c>
      <c r="K95" s="3">
        <f ca="1">VLOOKUP($B95&amp;$C95,data!$A:$U,15,FALSE)</f>
        <v>0</v>
      </c>
      <c r="L95" s="3">
        <f ca="1">VLOOKUP($B95&amp;$C95,data!$A:$U,16,FALSE)</f>
        <v>3</v>
      </c>
      <c r="M95" s="3">
        <f ca="1">VLOOKUP($B95&amp;$C95,data!$A:$U,8,FALSE)</f>
        <v>30</v>
      </c>
      <c r="N95" s="3">
        <f ca="1">VLOOKUP($B95&amp;$C95,data!$A:$U,9,FALSE)</f>
        <v>5</v>
      </c>
      <c r="O95" s="3">
        <f ca="1">VLOOKUP($B95&amp;$C95,data!$A:$U,10,FALSE)</f>
        <v>25</v>
      </c>
      <c r="P95" s="3">
        <f ca="1">VLOOKUP($B95&amp;$C95,data!$A:$U,11,FALSE)</f>
        <v>217</v>
      </c>
      <c r="Q95" s="3">
        <f ca="1">VLOOKUP($B95&amp;$C95,data!$A:$U,12,FALSE)</f>
        <v>25</v>
      </c>
      <c r="R95" s="3">
        <f ca="1">VLOOKUP($B95&amp;$C95,data!$A:$U,13,FALSE)</f>
        <v>192</v>
      </c>
      <c r="S95" s="3">
        <f ca="1">VLOOKUP($B95&amp;$C95,data!$A:$U,5,FALSE)</f>
        <v>250</v>
      </c>
      <c r="T95" s="3">
        <f ca="1">VLOOKUP($B95&amp;$C95,data!$A:$U,6,FALSE)</f>
        <v>30</v>
      </c>
      <c r="U95" s="3">
        <f ca="1">VLOOKUP($B95&amp;$C95,data!$A:$U,7,FALSE)</f>
        <v>220</v>
      </c>
      <c r="V95" s="11" t="s">
        <v>272</v>
      </c>
      <c r="W95" s="12" t="s">
        <v>273</v>
      </c>
      <c r="X95" s="12" t="s">
        <v>274</v>
      </c>
      <c r="Y95" s="20" t="s">
        <v>275</v>
      </c>
      <c r="Z95" s="13">
        <f t="shared" ca="1" si="1"/>
        <v>0.67070474537467817</v>
      </c>
    </row>
    <row r="96" spans="1:26" ht="13" x14ac:dyDescent="0.15">
      <c r="A96" s="3">
        <v>95</v>
      </c>
      <c r="B96" s="3" t="s">
        <v>5</v>
      </c>
      <c r="C96" s="3" t="s">
        <v>276</v>
      </c>
      <c r="D96" s="10">
        <f t="shared" ca="1" si="0"/>
        <v>0</v>
      </c>
      <c r="E96" s="5">
        <f ca="1">VLOOKUP($B96&amp;$C96,data!$A:$U,20,FALSE)</f>
        <v>44305.473622685102</v>
      </c>
      <c r="F96" s="3" t="str">
        <f ca="1">VLOOKUP($B96&amp;$C96,data!$A:$U,21,FALSE)</f>
        <v>KG HOSPITAL RACE COURSE Coimbatore</v>
      </c>
      <c r="G96" s="3">
        <f ca="1">VLOOKUP($B96&amp;$C96,data!$A:$U,17,FALSE)</f>
        <v>24</v>
      </c>
      <c r="H96" s="3">
        <f ca="1">VLOOKUP($B96&amp;$C96,data!$A:$U,18,FALSE)</f>
        <v>24</v>
      </c>
      <c r="I96" s="3">
        <f ca="1">VLOOKUP($B96&amp;$C96,data!$A:$U,19,FALSE)</f>
        <v>0</v>
      </c>
      <c r="J96" s="3">
        <f ca="1">VLOOKUP($B96&amp;$C96,data!$A:$U,14,FALSE)</f>
        <v>24</v>
      </c>
      <c r="K96" s="3">
        <f ca="1">VLOOKUP($B96&amp;$C96,data!$A:$U,15,FALSE)</f>
        <v>24</v>
      </c>
      <c r="L96" s="3">
        <f ca="1">VLOOKUP($B96&amp;$C96,data!$A:$U,16,FALSE)</f>
        <v>0</v>
      </c>
      <c r="M96" s="3">
        <f ca="1">VLOOKUP($B96&amp;$C96,data!$A:$U,8,FALSE)</f>
        <v>71</v>
      </c>
      <c r="N96" s="3">
        <f ca="1">VLOOKUP($B96&amp;$C96,data!$A:$U,9,FALSE)</f>
        <v>71</v>
      </c>
      <c r="O96" s="3">
        <f ca="1">VLOOKUP($B96&amp;$C96,data!$A:$U,10,FALSE)</f>
        <v>0</v>
      </c>
      <c r="P96" s="3">
        <f ca="1">VLOOKUP($B96&amp;$C96,data!$A:$U,11,FALSE)</f>
        <v>0</v>
      </c>
      <c r="Q96" s="3">
        <f ca="1">VLOOKUP($B96&amp;$C96,data!$A:$U,12,FALSE)</f>
        <v>0</v>
      </c>
      <c r="R96" s="3">
        <f ca="1">VLOOKUP($B96&amp;$C96,data!$A:$U,13,FALSE)</f>
        <v>0</v>
      </c>
      <c r="S96" s="3">
        <f ca="1">VLOOKUP($B96&amp;$C96,data!$A:$U,5,FALSE)</f>
        <v>71</v>
      </c>
      <c r="T96" s="3">
        <f ca="1">VLOOKUP($B96&amp;$C96,data!$A:$U,6,FALSE)</f>
        <v>71</v>
      </c>
      <c r="U96" s="3">
        <f ca="1">VLOOKUP($B96&amp;$C96,data!$A:$U,7,FALSE)</f>
        <v>0</v>
      </c>
      <c r="V96" s="18" t="s">
        <v>277</v>
      </c>
      <c r="W96" s="12" t="s">
        <v>278</v>
      </c>
      <c r="X96" s="12" t="s">
        <v>279</v>
      </c>
      <c r="Y96" s="4" t="s">
        <v>280</v>
      </c>
      <c r="Z96" s="13">
        <f t="shared" ca="1" si="1"/>
        <v>0.61328576397500001</v>
      </c>
    </row>
    <row r="97" spans="1:26" ht="14" x14ac:dyDescent="0.15">
      <c r="A97" s="3">
        <v>96</v>
      </c>
      <c r="B97" s="3" t="s">
        <v>5</v>
      </c>
      <c r="C97" s="3" t="s">
        <v>281</v>
      </c>
      <c r="D97" s="10">
        <f t="shared" ca="1" si="0"/>
        <v>2.5000000000000001E-2</v>
      </c>
      <c r="E97" s="5">
        <f ca="1">VLOOKUP($B97&amp;$C97,data!$A:$U,20,FALSE)</f>
        <v>44305.421967592498</v>
      </c>
      <c r="F97" s="3" t="str">
        <f ca="1">VLOOKUP($B97&amp;$C97,data!$A:$U,21,FALSE)</f>
        <v>Kongunad Hospitals Pvt ltd</v>
      </c>
      <c r="G97" s="3">
        <f ca="1">VLOOKUP($B97&amp;$C97,data!$A:$U,17,FALSE)</f>
        <v>5</v>
      </c>
      <c r="H97" s="3">
        <f ca="1">VLOOKUP($B97&amp;$C97,data!$A:$U,18,FALSE)</f>
        <v>5</v>
      </c>
      <c r="I97" s="3">
        <f ca="1">VLOOKUP($B97&amp;$C97,data!$A:$U,19,FALSE)</f>
        <v>0</v>
      </c>
      <c r="J97" s="3">
        <f ca="1">VLOOKUP($B97&amp;$C97,data!$A:$U,14,FALSE)</f>
        <v>15</v>
      </c>
      <c r="K97" s="3">
        <f ca="1">VLOOKUP($B97&amp;$C97,data!$A:$U,15,FALSE)</f>
        <v>15</v>
      </c>
      <c r="L97" s="3">
        <f ca="1">VLOOKUP($B97&amp;$C97,data!$A:$U,16,FALSE)</f>
        <v>0</v>
      </c>
      <c r="M97" s="3">
        <f ca="1">VLOOKUP($B97&amp;$C97,data!$A:$U,8,FALSE)</f>
        <v>165</v>
      </c>
      <c r="N97" s="3">
        <f ca="1">VLOOKUP($B97&amp;$C97,data!$A:$U,9,FALSE)</f>
        <v>165</v>
      </c>
      <c r="O97" s="3">
        <f ca="1">VLOOKUP($B97&amp;$C97,data!$A:$U,10,FALSE)</f>
        <v>0</v>
      </c>
      <c r="P97" s="3">
        <f ca="1">VLOOKUP($B97&amp;$C97,data!$A:$U,11,FALSE)</f>
        <v>20</v>
      </c>
      <c r="Q97" s="3">
        <f ca="1">VLOOKUP($B97&amp;$C97,data!$A:$U,12,FALSE)</f>
        <v>15</v>
      </c>
      <c r="R97" s="3">
        <f ca="1">VLOOKUP($B97&amp;$C97,data!$A:$U,13,FALSE)</f>
        <v>5</v>
      </c>
      <c r="S97" s="3">
        <f ca="1">VLOOKUP($B97&amp;$C97,data!$A:$U,5,FALSE)</f>
        <v>200</v>
      </c>
      <c r="T97" s="3">
        <f ca="1">VLOOKUP($B97&amp;$C97,data!$A:$U,6,FALSE)</f>
        <v>195</v>
      </c>
      <c r="U97" s="3">
        <f ca="1">VLOOKUP($B97&amp;$C97,data!$A:$U,7,FALSE)</f>
        <v>5</v>
      </c>
      <c r="V97" s="11" t="s">
        <v>282</v>
      </c>
      <c r="W97" s="12" t="s">
        <v>283</v>
      </c>
      <c r="X97" s="12" t="s">
        <v>284</v>
      </c>
      <c r="Y97" s="20" t="s">
        <v>285</v>
      </c>
      <c r="Z97" s="13">
        <f t="shared" ca="1" si="1"/>
        <v>0.66494085657905089</v>
      </c>
    </row>
    <row r="98" spans="1:26" ht="14" x14ac:dyDescent="0.15">
      <c r="A98" s="3">
        <v>97</v>
      </c>
      <c r="B98" s="3" t="s">
        <v>5</v>
      </c>
      <c r="C98" s="3" t="s">
        <v>286</v>
      </c>
      <c r="D98" s="10">
        <f t="shared" ca="1" si="0"/>
        <v>1.8404907975460124E-2</v>
      </c>
      <c r="E98" s="5">
        <f ca="1">VLOOKUP($B98&amp;$C98,data!$A:$U,20,FALSE)</f>
        <v>44305.402638888801</v>
      </c>
      <c r="F98" s="3">
        <f ca="1">VLOOKUP($B98&amp;$C98,data!$A:$U,21,FALSE)</f>
        <v>0</v>
      </c>
      <c r="G98" s="3">
        <f ca="1">VLOOKUP($B98&amp;$C98,data!$A:$U,17,FALSE)</f>
        <v>8</v>
      </c>
      <c r="H98" s="3">
        <f ca="1">VLOOKUP($B98&amp;$C98,data!$A:$U,18,FALSE)</f>
        <v>8</v>
      </c>
      <c r="I98" s="3">
        <f ca="1">VLOOKUP($B98&amp;$C98,data!$A:$U,19,FALSE)</f>
        <v>0</v>
      </c>
      <c r="J98" s="3">
        <f ca="1">VLOOKUP($B98&amp;$C98,data!$A:$U,14,FALSE)</f>
        <v>16</v>
      </c>
      <c r="K98" s="3">
        <f ca="1">VLOOKUP($B98&amp;$C98,data!$A:$U,15,FALSE)</f>
        <v>16</v>
      </c>
      <c r="L98" s="3">
        <f ca="1">VLOOKUP($B98&amp;$C98,data!$A:$U,16,FALSE)</f>
        <v>0</v>
      </c>
      <c r="M98" s="3">
        <f ca="1">VLOOKUP($B98&amp;$C98,data!$A:$U,8,FALSE)</f>
        <v>40</v>
      </c>
      <c r="N98" s="3">
        <f ca="1">VLOOKUP($B98&amp;$C98,data!$A:$U,9,FALSE)</f>
        <v>40</v>
      </c>
      <c r="O98" s="3">
        <f ca="1">VLOOKUP($B98&amp;$C98,data!$A:$U,10,FALSE)</f>
        <v>0</v>
      </c>
      <c r="P98" s="3">
        <f ca="1">VLOOKUP($B98&amp;$C98,data!$A:$U,11,FALSE)</f>
        <v>107</v>
      </c>
      <c r="Q98" s="3">
        <f ca="1">VLOOKUP($B98&amp;$C98,data!$A:$U,12,FALSE)</f>
        <v>104</v>
      </c>
      <c r="R98" s="3">
        <f ca="1">VLOOKUP($B98&amp;$C98,data!$A:$U,13,FALSE)</f>
        <v>3</v>
      </c>
      <c r="S98" s="3">
        <f ca="1">VLOOKUP($B98&amp;$C98,data!$A:$U,5,FALSE)</f>
        <v>163</v>
      </c>
      <c r="T98" s="3">
        <f ca="1">VLOOKUP($B98&amp;$C98,data!$A:$U,6,FALSE)</f>
        <v>160</v>
      </c>
      <c r="U98" s="3">
        <f ca="1">VLOOKUP($B98&amp;$C98,data!$A:$U,7,FALSE)</f>
        <v>3</v>
      </c>
      <c r="V98" s="18" t="s">
        <v>287</v>
      </c>
      <c r="W98" s="12" t="s">
        <v>288</v>
      </c>
      <c r="X98" s="12" t="s">
        <v>289</v>
      </c>
      <c r="Y98" s="20" t="s">
        <v>290</v>
      </c>
      <c r="Z98" s="13">
        <f t="shared" ca="1" si="1"/>
        <v>0.68426956027542474</v>
      </c>
    </row>
    <row r="99" spans="1:26" ht="14" x14ac:dyDescent="0.15">
      <c r="A99" s="3">
        <v>98</v>
      </c>
      <c r="B99" s="3" t="s">
        <v>5</v>
      </c>
      <c r="C99" s="3" t="s">
        <v>291</v>
      </c>
      <c r="D99" s="10">
        <f t="shared" ca="1" si="0"/>
        <v>0.14634146341463414</v>
      </c>
      <c r="E99" s="5">
        <f ca="1">VLOOKUP($B99&amp;$C99,data!$A:$U,20,FALSE)</f>
        <v>44305.360266203701</v>
      </c>
      <c r="F99" s="3" t="str">
        <f ca="1">VLOOKUP($B99&amp;$C99,data!$A:$U,21,FALSE)</f>
        <v>19/04/2021</v>
      </c>
      <c r="G99" s="3">
        <f ca="1">VLOOKUP($B99&amp;$C99,data!$A:$U,17,FALSE)</f>
        <v>3</v>
      </c>
      <c r="H99" s="3">
        <f ca="1">VLOOKUP($B99&amp;$C99,data!$A:$U,18,FALSE)</f>
        <v>3</v>
      </c>
      <c r="I99" s="3">
        <f ca="1">VLOOKUP($B99&amp;$C99,data!$A:$U,19,FALSE)</f>
        <v>0</v>
      </c>
      <c r="J99" s="3">
        <f ca="1">VLOOKUP($B99&amp;$C99,data!$A:$U,14,FALSE)</f>
        <v>6</v>
      </c>
      <c r="K99" s="3">
        <f ca="1">VLOOKUP($B99&amp;$C99,data!$A:$U,15,FALSE)</f>
        <v>6</v>
      </c>
      <c r="L99" s="3">
        <f ca="1">VLOOKUP($B99&amp;$C99,data!$A:$U,16,FALSE)</f>
        <v>0</v>
      </c>
      <c r="M99" s="3">
        <f ca="1">VLOOKUP($B99&amp;$C99,data!$A:$U,8,FALSE)</f>
        <v>38</v>
      </c>
      <c r="N99" s="3">
        <f ca="1">VLOOKUP($B99&amp;$C99,data!$A:$U,9,FALSE)</f>
        <v>32</v>
      </c>
      <c r="O99" s="3">
        <f ca="1">VLOOKUP($B99&amp;$C99,data!$A:$U,10,FALSE)</f>
        <v>6</v>
      </c>
      <c r="P99" s="3">
        <f ca="1">VLOOKUP($B99&amp;$C99,data!$A:$U,11,FALSE)</f>
        <v>0</v>
      </c>
      <c r="Q99" s="3">
        <f ca="1">VLOOKUP($B99&amp;$C99,data!$A:$U,12,FALSE)</f>
        <v>0</v>
      </c>
      <c r="R99" s="3">
        <f ca="1">VLOOKUP($B99&amp;$C99,data!$A:$U,13,FALSE)</f>
        <v>0</v>
      </c>
      <c r="S99" s="3">
        <f ca="1">VLOOKUP($B99&amp;$C99,data!$A:$U,5,FALSE)</f>
        <v>38</v>
      </c>
      <c r="T99" s="3">
        <f ca="1">VLOOKUP($B99&amp;$C99,data!$A:$U,6,FALSE)</f>
        <v>32</v>
      </c>
      <c r="U99" s="3">
        <f ca="1">VLOOKUP($B99&amp;$C99,data!$A:$U,7,FALSE)</f>
        <v>6</v>
      </c>
      <c r="V99" s="11" t="s">
        <v>292</v>
      </c>
      <c r="W99" s="12" t="s">
        <v>293</v>
      </c>
      <c r="X99" s="12" t="s">
        <v>294</v>
      </c>
      <c r="Y99" s="20" t="s">
        <v>295</v>
      </c>
      <c r="Z99" s="13">
        <f t="shared" ca="1" si="1"/>
        <v>0.72664224537584232</v>
      </c>
    </row>
    <row r="100" spans="1:26" ht="13" x14ac:dyDescent="0.15">
      <c r="A100" s="3">
        <v>99</v>
      </c>
      <c r="B100" s="3" t="s">
        <v>5</v>
      </c>
      <c r="C100" s="3" t="s">
        <v>296</v>
      </c>
      <c r="D100" s="10">
        <f t="shared" ca="1" si="0"/>
        <v>0.25</v>
      </c>
      <c r="E100" s="5">
        <f ca="1">VLOOKUP($B100&amp;$C100,data!$A:$U,20,FALSE)</f>
        <v>44305.449560185101</v>
      </c>
      <c r="F100" s="3" t="str">
        <f ca="1">VLOOKUP($B100&amp;$C100,data!$A:$U,21,FALSE)</f>
        <v>19th APRIL</v>
      </c>
      <c r="G100" s="3">
        <f ca="1">VLOOKUP($B100&amp;$C100,data!$A:$U,17,FALSE)</f>
        <v>15</v>
      </c>
      <c r="H100" s="3">
        <f ca="1">VLOOKUP($B100&amp;$C100,data!$A:$U,18,FALSE)</f>
        <v>10</v>
      </c>
      <c r="I100" s="3">
        <f ca="1">VLOOKUP($B100&amp;$C100,data!$A:$U,19,FALSE)</f>
        <v>5</v>
      </c>
      <c r="J100" s="3">
        <f ca="1">VLOOKUP($B100&amp;$C100,data!$A:$U,14,FALSE)</f>
        <v>30</v>
      </c>
      <c r="K100" s="3">
        <f ca="1">VLOOKUP($B100&amp;$C100,data!$A:$U,15,FALSE)</f>
        <v>27</v>
      </c>
      <c r="L100" s="3">
        <f ca="1">VLOOKUP($B100&amp;$C100,data!$A:$U,16,FALSE)</f>
        <v>3</v>
      </c>
      <c r="M100" s="3">
        <f ca="1">VLOOKUP($B100&amp;$C100,data!$A:$U,8,FALSE)</f>
        <v>145</v>
      </c>
      <c r="N100" s="3">
        <f ca="1">VLOOKUP($B100&amp;$C100,data!$A:$U,9,FALSE)</f>
        <v>139</v>
      </c>
      <c r="O100" s="3">
        <f ca="1">VLOOKUP($B100&amp;$C100,data!$A:$U,10,FALSE)</f>
        <v>6</v>
      </c>
      <c r="P100" s="3">
        <f ca="1">VLOOKUP($B100&amp;$C100,data!$A:$U,11,FALSE)</f>
        <v>265</v>
      </c>
      <c r="Q100" s="3">
        <f ca="1">VLOOKUP($B100&amp;$C100,data!$A:$U,12,FALSE)</f>
        <v>164</v>
      </c>
      <c r="R100" s="3">
        <f ca="1">VLOOKUP($B100&amp;$C100,data!$A:$U,13,FALSE)</f>
        <v>101</v>
      </c>
      <c r="S100" s="3">
        <f ca="1">VLOOKUP($B100&amp;$C100,data!$A:$U,5,FALSE)</f>
        <v>440</v>
      </c>
      <c r="T100" s="3">
        <f ca="1">VLOOKUP($B100&amp;$C100,data!$A:$U,6,FALSE)</f>
        <v>330</v>
      </c>
      <c r="U100" s="3">
        <f ca="1">VLOOKUP($B100&amp;$C100,data!$A:$U,7,FALSE)</f>
        <v>110</v>
      </c>
      <c r="V100" s="11" t="s">
        <v>297</v>
      </c>
      <c r="W100" s="12" t="s">
        <v>298</v>
      </c>
      <c r="X100" s="12" t="s">
        <v>299</v>
      </c>
      <c r="Y100" s="4" t="s">
        <v>300</v>
      </c>
      <c r="Z100" s="13">
        <f t="shared" ca="1" si="1"/>
        <v>0.63734826397558209</v>
      </c>
    </row>
    <row r="101" spans="1:26" ht="14" x14ac:dyDescent="0.15">
      <c r="A101" s="3">
        <v>100</v>
      </c>
      <c r="B101" s="3" t="s">
        <v>5</v>
      </c>
      <c r="C101" s="3" t="s">
        <v>301</v>
      </c>
      <c r="D101" s="10">
        <f t="shared" ca="1" si="0"/>
        <v>0</v>
      </c>
      <c r="E101" s="5">
        <f ca="1">VLOOKUP($B101&amp;$C101,data!$A:$U,20,FALSE)</f>
        <v>44305.286689814799</v>
      </c>
      <c r="F101" s="3" t="str">
        <f ca="1">VLOOKUP($B101&amp;$C101,data!$A:$U,21,FALSE)</f>
        <v>Neelambur unit 19.04.2021</v>
      </c>
      <c r="G101" s="3">
        <f ca="1">VLOOKUP($B101&amp;$C101,data!$A:$U,17,FALSE)</f>
        <v>3</v>
      </c>
      <c r="H101" s="3">
        <f ca="1">VLOOKUP($B101&amp;$C101,data!$A:$U,18,FALSE)</f>
        <v>3</v>
      </c>
      <c r="I101" s="3">
        <f ca="1">VLOOKUP($B101&amp;$C101,data!$A:$U,19,FALSE)</f>
        <v>0</v>
      </c>
      <c r="J101" s="3">
        <f ca="1">VLOOKUP($B101&amp;$C101,data!$A:$U,14,FALSE)</f>
        <v>6</v>
      </c>
      <c r="K101" s="3">
        <f ca="1">VLOOKUP($B101&amp;$C101,data!$A:$U,15,FALSE)</f>
        <v>6</v>
      </c>
      <c r="L101" s="3">
        <f ca="1">VLOOKUP($B101&amp;$C101,data!$A:$U,16,FALSE)</f>
        <v>0</v>
      </c>
      <c r="M101" s="3">
        <f ca="1">VLOOKUP($B101&amp;$C101,data!$A:$U,8,FALSE)</f>
        <v>44</v>
      </c>
      <c r="N101" s="3">
        <f ca="1">VLOOKUP($B101&amp;$C101,data!$A:$U,9,FALSE)</f>
        <v>44</v>
      </c>
      <c r="O101" s="3">
        <f ca="1">VLOOKUP($B101&amp;$C101,data!$A:$U,10,FALSE)</f>
        <v>0</v>
      </c>
      <c r="P101" s="3">
        <f ca="1">VLOOKUP($B101&amp;$C101,data!$A:$U,11,FALSE)</f>
        <v>0</v>
      </c>
      <c r="Q101" s="3">
        <f ca="1">VLOOKUP($B101&amp;$C101,data!$A:$U,12,FALSE)</f>
        <v>0</v>
      </c>
      <c r="R101" s="3">
        <f ca="1">VLOOKUP($B101&amp;$C101,data!$A:$U,13,FALSE)</f>
        <v>0</v>
      </c>
      <c r="S101" s="3">
        <f ca="1">VLOOKUP($B101&amp;$C101,data!$A:$U,5,FALSE)</f>
        <v>50</v>
      </c>
      <c r="T101" s="3">
        <f ca="1">VLOOKUP($B101&amp;$C101,data!$A:$U,6,FALSE)</f>
        <v>50</v>
      </c>
      <c r="U101" s="3">
        <f ca="1">VLOOKUP($B101&amp;$C101,data!$A:$U,7,FALSE)</f>
        <v>0</v>
      </c>
      <c r="V101" s="11" t="s">
        <v>302</v>
      </c>
      <c r="W101" s="12" t="s">
        <v>303</v>
      </c>
      <c r="X101" s="12" t="s">
        <v>304</v>
      </c>
      <c r="Y101" s="20" t="s">
        <v>305</v>
      </c>
      <c r="Z101" s="13">
        <f t="shared" ca="1" si="1"/>
        <v>0.80021863427828066</v>
      </c>
    </row>
    <row r="102" spans="1:26" ht="13" x14ac:dyDescent="0.15">
      <c r="A102" s="3">
        <v>101</v>
      </c>
      <c r="B102" s="3" t="s">
        <v>5</v>
      </c>
      <c r="C102" s="3" t="s">
        <v>306</v>
      </c>
      <c r="D102" s="10" t="e">
        <f t="shared" ca="1" si="0"/>
        <v>#DIV/0!</v>
      </c>
      <c r="E102" s="5">
        <f ca="1">VLOOKUP($B102&amp;$C102,data!$A:$U,20,FALSE)</f>
        <v>44305.287164351801</v>
      </c>
      <c r="F102" s="3" t="str">
        <f ca="1">VLOOKUP($B102&amp;$C102,data!$A:$U,21,FALSE)</f>
        <v>Gandhipuram unit - 19.04.2021</v>
      </c>
      <c r="G102" s="3">
        <f ca="1">VLOOKUP($B102&amp;$C102,data!$A:$U,17,FALSE)</f>
        <v>0</v>
      </c>
      <c r="H102" s="3">
        <f ca="1">VLOOKUP($B102&amp;$C102,data!$A:$U,18,FALSE)</f>
        <v>0</v>
      </c>
      <c r="I102" s="3">
        <f ca="1">VLOOKUP($B102&amp;$C102,data!$A:$U,19,FALSE)</f>
        <v>0</v>
      </c>
      <c r="J102" s="3">
        <f ca="1">VLOOKUP($B102&amp;$C102,data!$A:$U,14,FALSE)</f>
        <v>0</v>
      </c>
      <c r="K102" s="3">
        <f ca="1">VLOOKUP($B102&amp;$C102,data!$A:$U,15,FALSE)</f>
        <v>0</v>
      </c>
      <c r="L102" s="3">
        <f ca="1">VLOOKUP($B102&amp;$C102,data!$A:$U,16,FALSE)</f>
        <v>0</v>
      </c>
      <c r="M102" s="3">
        <f ca="1">VLOOKUP($B102&amp;$C102,data!$A:$U,8,FALSE)</f>
        <v>0</v>
      </c>
      <c r="N102" s="3">
        <f ca="1">VLOOKUP($B102&amp;$C102,data!$A:$U,9,FALSE)</f>
        <v>0</v>
      </c>
      <c r="O102" s="3">
        <f ca="1">VLOOKUP($B102&amp;$C102,data!$A:$U,10,FALSE)</f>
        <v>0</v>
      </c>
      <c r="P102" s="3">
        <f ca="1">VLOOKUP($B102&amp;$C102,data!$A:$U,11,FALSE)</f>
        <v>0</v>
      </c>
      <c r="Q102" s="3">
        <f ca="1">VLOOKUP($B102&amp;$C102,data!$A:$U,12,FALSE)</f>
        <v>0</v>
      </c>
      <c r="R102" s="3">
        <f ca="1">VLOOKUP($B102&amp;$C102,data!$A:$U,13,FALSE)</f>
        <v>0</v>
      </c>
      <c r="S102" s="3">
        <f ca="1">VLOOKUP($B102&amp;$C102,data!$A:$U,5,FALSE)</f>
        <v>0</v>
      </c>
      <c r="T102" s="3">
        <f ca="1">VLOOKUP($B102&amp;$C102,data!$A:$U,6,FALSE)</f>
        <v>0</v>
      </c>
      <c r="U102" s="3">
        <f ca="1">VLOOKUP($B102&amp;$C102,data!$A:$U,7,FALSE)</f>
        <v>0</v>
      </c>
      <c r="V102" s="11" t="s">
        <v>307</v>
      </c>
      <c r="W102" s="12" t="s">
        <v>308</v>
      </c>
      <c r="X102" s="12" t="s">
        <v>309</v>
      </c>
      <c r="Y102" s="4" t="s">
        <v>310</v>
      </c>
      <c r="Z102" s="13">
        <f t="shared" ca="1" si="1"/>
        <v>0.79974409727583406</v>
      </c>
    </row>
    <row r="103" spans="1:26" ht="13" x14ac:dyDescent="0.15">
      <c r="A103" s="3">
        <v>102</v>
      </c>
      <c r="B103" s="3" t="s">
        <v>5</v>
      </c>
      <c r="C103" s="3" t="s">
        <v>311</v>
      </c>
      <c r="D103" s="10">
        <f t="shared" ca="1" si="0"/>
        <v>0</v>
      </c>
      <c r="E103" s="5">
        <f ca="1">VLOOKUP($B103&amp;$C103,data!$A:$U,20,FALSE)</f>
        <v>44305.3903125</v>
      </c>
      <c r="F103" s="3" t="str">
        <f ca="1">VLOOKUP($B103&amp;$C103,data!$A:$U,21,FALSE)</f>
        <v>19.04.2021</v>
      </c>
      <c r="G103" s="3">
        <f ca="1">VLOOKUP($B103&amp;$C103,data!$A:$U,17,FALSE)</f>
        <v>5</v>
      </c>
      <c r="H103" s="3">
        <f ca="1">VLOOKUP($B103&amp;$C103,data!$A:$U,18,FALSE)</f>
        <v>2</v>
      </c>
      <c r="I103" s="3">
        <f ca="1">VLOOKUP($B103&amp;$C103,data!$A:$U,19,FALSE)</f>
        <v>3</v>
      </c>
      <c r="J103" s="3">
        <f ca="1">VLOOKUP($B103&amp;$C103,data!$A:$U,14,FALSE)</f>
        <v>5</v>
      </c>
      <c r="K103" s="3">
        <f ca="1">VLOOKUP($B103&amp;$C103,data!$A:$U,15,FALSE)</f>
        <v>5</v>
      </c>
      <c r="L103" s="3">
        <f ca="1">VLOOKUP($B103&amp;$C103,data!$A:$U,16,FALSE)</f>
        <v>0</v>
      </c>
      <c r="M103" s="3">
        <f ca="1">VLOOKUP($B103&amp;$C103,data!$A:$U,8,FALSE)</f>
        <v>64</v>
      </c>
      <c r="N103" s="3">
        <f ca="1">VLOOKUP($B103&amp;$C103,data!$A:$U,9,FALSE)</f>
        <v>64</v>
      </c>
      <c r="O103" s="3">
        <f ca="1">VLOOKUP($B103&amp;$C103,data!$A:$U,10,FALSE)</f>
        <v>0</v>
      </c>
      <c r="P103" s="3">
        <f ca="1">VLOOKUP($B103&amp;$C103,data!$A:$U,11,FALSE)</f>
        <v>11</v>
      </c>
      <c r="Q103" s="3">
        <f ca="1">VLOOKUP($B103&amp;$C103,data!$A:$U,12,FALSE)</f>
        <v>11</v>
      </c>
      <c r="R103" s="3">
        <f ca="1">VLOOKUP($B103&amp;$C103,data!$A:$U,13,FALSE)</f>
        <v>0</v>
      </c>
      <c r="S103" s="3">
        <f ca="1">VLOOKUP($B103&amp;$C103,data!$A:$U,5,FALSE)</f>
        <v>80</v>
      </c>
      <c r="T103" s="3">
        <f ca="1">VLOOKUP($B103&amp;$C103,data!$A:$U,6,FALSE)</f>
        <v>80</v>
      </c>
      <c r="U103" s="3">
        <f ca="1">VLOOKUP($B103&amp;$C103,data!$A:$U,7,FALSE)</f>
        <v>0</v>
      </c>
      <c r="V103" s="11" t="s">
        <v>312</v>
      </c>
      <c r="W103" s="12" t="s">
        <v>313</v>
      </c>
      <c r="X103" s="12" t="s">
        <v>314</v>
      </c>
      <c r="Y103" s="4" t="s">
        <v>315</v>
      </c>
      <c r="Z103" s="13">
        <f t="shared" ca="1" si="1"/>
        <v>0.69659594907716382</v>
      </c>
    </row>
    <row r="104" spans="1:26" ht="13" x14ac:dyDescent="0.15">
      <c r="A104" s="3">
        <v>103</v>
      </c>
      <c r="B104" s="3" t="s">
        <v>5</v>
      </c>
      <c r="C104" s="3" t="s">
        <v>316</v>
      </c>
      <c r="D104" s="10">
        <f t="shared" ca="1" si="0"/>
        <v>0</v>
      </c>
      <c r="E104" s="5">
        <f ca="1">VLOOKUP($B104&amp;$C104,data!$A:$U,20,FALSE)</f>
        <v>44305.468888888798</v>
      </c>
      <c r="F104" s="3" t="str">
        <f ca="1">VLOOKUP($B104&amp;$C104,data!$A:$U,21,FALSE)</f>
        <v>19.04.2021</v>
      </c>
      <c r="G104" s="3">
        <f ca="1">VLOOKUP($B104&amp;$C104,data!$A:$U,17,FALSE)</f>
        <v>10</v>
      </c>
      <c r="H104" s="3">
        <f ca="1">VLOOKUP($B104&amp;$C104,data!$A:$U,18,FALSE)</f>
        <v>0</v>
      </c>
      <c r="I104" s="3">
        <f ca="1">VLOOKUP($B104&amp;$C104,data!$A:$U,19,FALSE)</f>
        <v>10</v>
      </c>
      <c r="J104" s="3">
        <f ca="1">VLOOKUP($B104&amp;$C104,data!$A:$U,14,FALSE)</f>
        <v>0</v>
      </c>
      <c r="K104" s="3">
        <f ca="1">VLOOKUP($B104&amp;$C104,data!$A:$U,15,FALSE)</f>
        <v>0</v>
      </c>
      <c r="L104" s="3">
        <f ca="1">VLOOKUP($B104&amp;$C104,data!$A:$U,16,FALSE)</f>
        <v>0</v>
      </c>
      <c r="M104" s="3">
        <f ca="1">VLOOKUP($B104&amp;$C104,data!$A:$U,8,FALSE)</f>
        <v>50</v>
      </c>
      <c r="N104" s="3">
        <f ca="1">VLOOKUP($B104&amp;$C104,data!$A:$U,9,FALSE)</f>
        <v>50</v>
      </c>
      <c r="O104" s="3">
        <f ca="1">VLOOKUP($B104&amp;$C104,data!$A:$U,10,FALSE)</f>
        <v>0</v>
      </c>
      <c r="P104" s="3">
        <f ca="1">VLOOKUP($B104&amp;$C104,data!$A:$U,11,FALSE)</f>
        <v>0</v>
      </c>
      <c r="Q104" s="3">
        <f ca="1">VLOOKUP($B104&amp;$C104,data!$A:$U,12,FALSE)</f>
        <v>0</v>
      </c>
      <c r="R104" s="3">
        <f ca="1">VLOOKUP($B104&amp;$C104,data!$A:$U,13,FALSE)</f>
        <v>0</v>
      </c>
      <c r="S104" s="3">
        <f ca="1">VLOOKUP($B104&amp;$C104,data!$A:$U,5,FALSE)</f>
        <v>50</v>
      </c>
      <c r="T104" s="3">
        <f ca="1">VLOOKUP($B104&amp;$C104,data!$A:$U,6,FALSE)</f>
        <v>50</v>
      </c>
      <c r="U104" s="3">
        <f ca="1">VLOOKUP($B104&amp;$C104,data!$A:$U,7,FALSE)</f>
        <v>0</v>
      </c>
      <c r="V104" s="18" t="s">
        <v>317</v>
      </c>
      <c r="W104" s="12" t="s">
        <v>318</v>
      </c>
      <c r="X104" s="12" t="s">
        <v>319</v>
      </c>
      <c r="Y104" s="4" t="s">
        <v>320</v>
      </c>
      <c r="Z104" s="13">
        <f t="shared" ca="1" si="1"/>
        <v>0.61801956027920824</v>
      </c>
    </row>
    <row r="105" spans="1:26" ht="13" x14ac:dyDescent="0.15">
      <c r="A105" s="3">
        <v>104</v>
      </c>
      <c r="B105" s="3" t="s">
        <v>6</v>
      </c>
      <c r="C105" s="3" t="s">
        <v>321</v>
      </c>
      <c r="D105" s="10">
        <f t="shared" ca="1" si="0"/>
        <v>0.16304347826086957</v>
      </c>
      <c r="E105" s="5">
        <f ca="1">VLOOKUP($B105&amp;$C105,data!$A:$U,20,FALSE)</f>
        <v>44305.306932870299</v>
      </c>
      <c r="F105" s="3" t="str">
        <f ca="1">VLOOKUP($B105&amp;$C105,data!$A:$U,21,FALSE)</f>
        <v>As on 19-04-2021 Ventilator beds are in ICU for Emergency sick patients,)</v>
      </c>
      <c r="G105" s="3">
        <f ca="1">VLOOKUP($B105&amp;$C105,data!$A:$U,17,FALSE)</f>
        <v>2</v>
      </c>
      <c r="H105" s="3">
        <f ca="1">VLOOKUP($B105&amp;$C105,data!$A:$U,18,FALSE)</f>
        <v>0</v>
      </c>
      <c r="I105" s="3">
        <f ca="1">VLOOKUP($B105&amp;$C105,data!$A:$U,19,FALSE)</f>
        <v>2</v>
      </c>
      <c r="J105" s="3">
        <f ca="1">VLOOKUP($B105&amp;$C105,data!$A:$U,14,FALSE)</f>
        <v>2</v>
      </c>
      <c r="K105" s="3">
        <f ca="1">VLOOKUP($B105&amp;$C105,data!$A:$U,15,FALSE)</f>
        <v>0</v>
      </c>
      <c r="L105" s="3">
        <f ca="1">VLOOKUP($B105&amp;$C105,data!$A:$U,16,FALSE)</f>
        <v>2</v>
      </c>
      <c r="M105" s="3">
        <f ca="1">VLOOKUP($B105&amp;$C105,data!$A:$U,8,FALSE)</f>
        <v>10</v>
      </c>
      <c r="N105" s="3">
        <f ca="1">VLOOKUP($B105&amp;$C105,data!$A:$U,9,FALSE)</f>
        <v>2</v>
      </c>
      <c r="O105" s="3">
        <f ca="1">VLOOKUP($B105&amp;$C105,data!$A:$U,10,FALSE)</f>
        <v>8</v>
      </c>
      <c r="P105" s="3">
        <f ca="1">VLOOKUP($B105&amp;$C105,data!$A:$U,11,FALSE)</f>
        <v>80</v>
      </c>
      <c r="Q105" s="3">
        <f ca="1">VLOOKUP($B105&amp;$C105,data!$A:$U,12,FALSE)</f>
        <v>75</v>
      </c>
      <c r="R105" s="3">
        <f ca="1">VLOOKUP($B105&amp;$C105,data!$A:$U,13,FALSE)</f>
        <v>5</v>
      </c>
      <c r="S105" s="3">
        <f ca="1">VLOOKUP($B105&amp;$C105,data!$A:$U,5,FALSE)</f>
        <v>92</v>
      </c>
      <c r="T105" s="3">
        <f ca="1">VLOOKUP($B105&amp;$C105,data!$A:$U,6,FALSE)</f>
        <v>77</v>
      </c>
      <c r="U105" s="3">
        <f ca="1">VLOOKUP($B105&amp;$C105,data!$A:$U,7,FALSE)</f>
        <v>15</v>
      </c>
      <c r="V105" s="18" t="s">
        <v>322</v>
      </c>
      <c r="W105" s="12" t="s">
        <v>323</v>
      </c>
      <c r="X105" s="14" t="s">
        <v>57</v>
      </c>
      <c r="Y105" s="4" t="s">
        <v>324</v>
      </c>
      <c r="Z105" s="13">
        <f t="shared" ca="1" si="1"/>
        <v>0.77997557877824875</v>
      </c>
    </row>
    <row r="106" spans="1:26" ht="13" x14ac:dyDescent="0.15">
      <c r="A106" s="3">
        <v>105</v>
      </c>
      <c r="B106" s="3" t="s">
        <v>7</v>
      </c>
      <c r="C106" s="3" t="s">
        <v>325</v>
      </c>
      <c r="D106" s="10">
        <f t="shared" ca="1" si="0"/>
        <v>1</v>
      </c>
      <c r="E106" s="5">
        <f ca="1">VLOOKUP($B106&amp;$C106,data!$A:$U,20,FALSE)</f>
        <v>44305.303090277703</v>
      </c>
      <c r="F106" s="3" t="str">
        <f ca="1">VLOOKUP($B106&amp;$C106,data!$A:$U,21,FALSE)</f>
        <v>19/04/2021</v>
      </c>
      <c r="G106" s="3">
        <f ca="1">VLOOKUP($B106&amp;$C106,data!$A:$U,17,FALSE)</f>
        <v>0</v>
      </c>
      <c r="H106" s="3">
        <f ca="1">VLOOKUP($B106&amp;$C106,data!$A:$U,18,FALSE)</f>
        <v>0</v>
      </c>
      <c r="I106" s="3">
        <f ca="1">VLOOKUP($B106&amp;$C106,data!$A:$U,19,FALSE)</f>
        <v>0</v>
      </c>
      <c r="J106" s="3">
        <f ca="1">VLOOKUP($B106&amp;$C106,data!$A:$U,14,FALSE)</f>
        <v>0</v>
      </c>
      <c r="K106" s="3">
        <f ca="1">VLOOKUP($B106&amp;$C106,data!$A:$U,15,FALSE)</f>
        <v>0</v>
      </c>
      <c r="L106" s="3">
        <f ca="1">VLOOKUP($B106&amp;$C106,data!$A:$U,16,FALSE)</f>
        <v>0</v>
      </c>
      <c r="M106" s="3">
        <f ca="1">VLOOKUP($B106&amp;$C106,data!$A:$U,8,FALSE)</f>
        <v>3</v>
      </c>
      <c r="N106" s="3">
        <f ca="1">VLOOKUP($B106&amp;$C106,data!$A:$U,9,FALSE)</f>
        <v>0</v>
      </c>
      <c r="O106" s="3">
        <f ca="1">VLOOKUP($B106&amp;$C106,data!$A:$U,10,FALSE)</f>
        <v>3</v>
      </c>
      <c r="P106" s="3">
        <f ca="1">VLOOKUP($B106&amp;$C106,data!$A:$U,11,FALSE)</f>
        <v>47</v>
      </c>
      <c r="Q106" s="3">
        <f ca="1">VLOOKUP($B106&amp;$C106,data!$A:$U,12,FALSE)</f>
        <v>0</v>
      </c>
      <c r="R106" s="3">
        <f ca="1">VLOOKUP($B106&amp;$C106,data!$A:$U,13,FALSE)</f>
        <v>47</v>
      </c>
      <c r="S106" s="3">
        <f ca="1">VLOOKUP($B106&amp;$C106,data!$A:$U,5,FALSE)</f>
        <v>50</v>
      </c>
      <c r="T106" s="3">
        <f ca="1">VLOOKUP($B106&amp;$C106,data!$A:$U,6,FALSE)</f>
        <v>0</v>
      </c>
      <c r="U106" s="3">
        <f ca="1">VLOOKUP($B106&amp;$C106,data!$A:$U,7,FALSE)</f>
        <v>50</v>
      </c>
      <c r="V106" s="21"/>
      <c r="Z106" s="13">
        <f t="shared" ca="1" si="1"/>
        <v>0.78381817137415055</v>
      </c>
    </row>
    <row r="107" spans="1:26" ht="13" x14ac:dyDescent="0.15">
      <c r="A107" s="3">
        <v>106</v>
      </c>
      <c r="B107" s="3" t="s">
        <v>7</v>
      </c>
      <c r="C107" s="3" t="s">
        <v>326</v>
      </c>
      <c r="D107" s="10">
        <f t="shared" ca="1" si="0"/>
        <v>1</v>
      </c>
      <c r="E107" s="5">
        <f ca="1">VLOOKUP($B107&amp;$C107,data!$A:$U,20,FALSE)</f>
        <v>44305.321018518502</v>
      </c>
      <c r="F107" s="3" t="str">
        <f ca="1">VLOOKUP($B107&amp;$C107,data!$A:$U,21,FALSE)</f>
        <v>19.04.2021</v>
      </c>
      <c r="G107" s="3">
        <f ca="1">VLOOKUP($B107&amp;$C107,data!$A:$U,17,FALSE)</f>
        <v>0</v>
      </c>
      <c r="H107" s="3">
        <f ca="1">VLOOKUP($B107&amp;$C107,data!$A:$U,18,FALSE)</f>
        <v>0</v>
      </c>
      <c r="I107" s="3">
        <f ca="1">VLOOKUP($B107&amp;$C107,data!$A:$U,19,FALSE)</f>
        <v>0</v>
      </c>
      <c r="J107" s="3">
        <f ca="1">VLOOKUP($B107&amp;$C107,data!$A:$U,14,FALSE)</f>
        <v>0</v>
      </c>
      <c r="K107" s="3">
        <f ca="1">VLOOKUP($B107&amp;$C107,data!$A:$U,15,FALSE)</f>
        <v>0</v>
      </c>
      <c r="L107" s="3">
        <f ca="1">VLOOKUP($B107&amp;$C107,data!$A:$U,16,FALSE)</f>
        <v>0</v>
      </c>
      <c r="M107" s="3">
        <f ca="1">VLOOKUP($B107&amp;$C107,data!$A:$U,8,FALSE)</f>
        <v>4</v>
      </c>
      <c r="N107" s="3">
        <f ca="1">VLOOKUP($B107&amp;$C107,data!$A:$U,9,FALSE)</f>
        <v>0</v>
      </c>
      <c r="O107" s="3">
        <f ca="1">VLOOKUP($B107&amp;$C107,data!$A:$U,10,FALSE)</f>
        <v>4</v>
      </c>
      <c r="P107" s="3">
        <f ca="1">VLOOKUP($B107&amp;$C107,data!$A:$U,11,FALSE)</f>
        <v>12</v>
      </c>
      <c r="Q107" s="3">
        <f ca="1">VLOOKUP($B107&amp;$C107,data!$A:$U,12,FALSE)</f>
        <v>0</v>
      </c>
      <c r="R107" s="3">
        <f ca="1">VLOOKUP($B107&amp;$C107,data!$A:$U,13,FALSE)</f>
        <v>12</v>
      </c>
      <c r="S107" s="3">
        <f ca="1">VLOOKUP($B107&amp;$C107,data!$A:$U,5,FALSE)</f>
        <v>16</v>
      </c>
      <c r="T107" s="3">
        <f ca="1">VLOOKUP($B107&amp;$C107,data!$A:$U,6,FALSE)</f>
        <v>0</v>
      </c>
      <c r="U107" s="3">
        <f ca="1">VLOOKUP($B107&amp;$C107,data!$A:$U,7,FALSE)</f>
        <v>16</v>
      </c>
      <c r="V107" s="11" t="s">
        <v>327</v>
      </c>
      <c r="W107" s="12" t="s">
        <v>328</v>
      </c>
      <c r="X107" s="12" t="s">
        <v>329</v>
      </c>
      <c r="Y107" s="4" t="s">
        <v>330</v>
      </c>
      <c r="Z107" s="13">
        <f t="shared" ca="1" si="1"/>
        <v>0.76588993057521293</v>
      </c>
    </row>
    <row r="108" spans="1:26" ht="13" x14ac:dyDescent="0.15">
      <c r="A108" s="3">
        <v>107</v>
      </c>
      <c r="B108" s="3" t="s">
        <v>7</v>
      </c>
      <c r="C108" s="3" t="s">
        <v>331</v>
      </c>
      <c r="D108" s="10">
        <f t="shared" ca="1" si="0"/>
        <v>0.98</v>
      </c>
      <c r="E108" s="5">
        <f ca="1">VLOOKUP($B108&amp;$C108,data!$A:$U,20,FALSE)</f>
        <v>44305.330706018503</v>
      </c>
      <c r="F108" s="3" t="str">
        <f ca="1">VLOOKUP($B108&amp;$C108,data!$A:$U,21,FALSE)</f>
        <v>19.04.2021</v>
      </c>
      <c r="G108" s="3">
        <f ca="1">VLOOKUP($B108&amp;$C108,data!$A:$U,17,FALSE)</f>
        <v>0</v>
      </c>
      <c r="H108" s="3">
        <f ca="1">VLOOKUP($B108&amp;$C108,data!$A:$U,18,FALSE)</f>
        <v>0</v>
      </c>
      <c r="I108" s="3">
        <f ca="1">VLOOKUP($B108&amp;$C108,data!$A:$U,19,FALSE)</f>
        <v>0</v>
      </c>
      <c r="J108" s="3">
        <f ca="1">VLOOKUP($B108&amp;$C108,data!$A:$U,14,FALSE)</f>
        <v>0</v>
      </c>
      <c r="K108" s="3">
        <f ca="1">VLOOKUP($B108&amp;$C108,data!$A:$U,15,FALSE)</f>
        <v>0</v>
      </c>
      <c r="L108" s="3">
        <f ca="1">VLOOKUP($B108&amp;$C108,data!$A:$U,16,FALSE)</f>
        <v>0</v>
      </c>
      <c r="M108" s="3">
        <f ca="1">VLOOKUP($B108&amp;$C108,data!$A:$U,8,FALSE)</f>
        <v>10</v>
      </c>
      <c r="N108" s="3">
        <f ca="1">VLOOKUP($B108&amp;$C108,data!$A:$U,9,FALSE)</f>
        <v>0</v>
      </c>
      <c r="O108" s="3">
        <f ca="1">VLOOKUP($B108&amp;$C108,data!$A:$U,10,FALSE)</f>
        <v>10</v>
      </c>
      <c r="P108" s="3">
        <f ca="1">VLOOKUP($B108&amp;$C108,data!$A:$U,11,FALSE)</f>
        <v>40</v>
      </c>
      <c r="Q108" s="3">
        <f ca="1">VLOOKUP($B108&amp;$C108,data!$A:$U,12,FALSE)</f>
        <v>0</v>
      </c>
      <c r="R108" s="3">
        <f ca="1">VLOOKUP($B108&amp;$C108,data!$A:$U,13,FALSE)</f>
        <v>39</v>
      </c>
      <c r="S108" s="3">
        <f ca="1">VLOOKUP($B108&amp;$C108,data!$A:$U,5,FALSE)</f>
        <v>50</v>
      </c>
      <c r="T108" s="3">
        <f ca="1">VLOOKUP($B108&amp;$C108,data!$A:$U,6,FALSE)</f>
        <v>1</v>
      </c>
      <c r="U108" s="3">
        <f ca="1">VLOOKUP($B108&amp;$C108,data!$A:$U,7,FALSE)</f>
        <v>49</v>
      </c>
      <c r="V108" s="16"/>
      <c r="W108" s="9"/>
      <c r="X108" s="9"/>
      <c r="Y108" s="3"/>
      <c r="Z108" s="13">
        <f t="shared" ca="1" si="1"/>
        <v>0.7562024305734667</v>
      </c>
    </row>
    <row r="109" spans="1:26" ht="13" x14ac:dyDescent="0.15">
      <c r="A109" s="3">
        <v>108</v>
      </c>
      <c r="B109" s="3" t="s">
        <v>7</v>
      </c>
      <c r="C109" s="3" t="s">
        <v>332</v>
      </c>
      <c r="D109" s="10">
        <f t="shared" ca="1" si="0"/>
        <v>0.12</v>
      </c>
      <c r="E109" s="5">
        <f ca="1">VLOOKUP($B109&amp;$C109,data!$A:$U,20,FALSE)</f>
        <v>44305.301874999997</v>
      </c>
      <c r="F109" s="3" t="str">
        <f ca="1">VLOOKUP($B109&amp;$C109,data!$A:$U,21,FALSE)</f>
        <v>19.04.2021</v>
      </c>
      <c r="G109" s="3">
        <f ca="1">VLOOKUP($B109&amp;$C109,data!$A:$U,17,FALSE)</f>
        <v>0</v>
      </c>
      <c r="H109" s="3">
        <f ca="1">VLOOKUP($B109&amp;$C109,data!$A:$U,18,FALSE)</f>
        <v>0</v>
      </c>
      <c r="I109" s="3">
        <f ca="1">VLOOKUP($B109&amp;$C109,data!$A:$U,19,FALSE)</f>
        <v>0</v>
      </c>
      <c r="J109" s="3">
        <f ca="1">VLOOKUP($B109&amp;$C109,data!$A:$U,14,FALSE)</f>
        <v>0</v>
      </c>
      <c r="K109" s="3">
        <f ca="1">VLOOKUP($B109&amp;$C109,data!$A:$U,15,FALSE)</f>
        <v>0</v>
      </c>
      <c r="L109" s="3">
        <f ca="1">VLOOKUP($B109&amp;$C109,data!$A:$U,16,FALSE)</f>
        <v>0</v>
      </c>
      <c r="M109" s="3">
        <f ca="1">VLOOKUP($B109&amp;$C109,data!$A:$U,8,FALSE)</f>
        <v>50</v>
      </c>
      <c r="N109" s="3">
        <f ca="1">VLOOKUP($B109&amp;$C109,data!$A:$U,9,FALSE)</f>
        <v>44</v>
      </c>
      <c r="O109" s="3">
        <f ca="1">VLOOKUP($B109&amp;$C109,data!$A:$U,10,FALSE)</f>
        <v>6</v>
      </c>
      <c r="P109" s="3">
        <f ca="1">VLOOKUP($B109&amp;$C109,data!$A:$U,11,FALSE)</f>
        <v>0</v>
      </c>
      <c r="Q109" s="3">
        <f ca="1">VLOOKUP($B109&amp;$C109,data!$A:$U,12,FALSE)</f>
        <v>0</v>
      </c>
      <c r="R109" s="3">
        <f ca="1">VLOOKUP($B109&amp;$C109,data!$A:$U,13,FALSE)</f>
        <v>0</v>
      </c>
      <c r="S109" s="3">
        <f ca="1">VLOOKUP($B109&amp;$C109,data!$A:$U,5,FALSE)</f>
        <v>50</v>
      </c>
      <c r="T109" s="3">
        <f ca="1">VLOOKUP($B109&amp;$C109,data!$A:$U,6,FALSE)</f>
        <v>44</v>
      </c>
      <c r="U109" s="3">
        <f ca="1">VLOOKUP($B109&amp;$C109,data!$A:$U,7,FALSE)</f>
        <v>6</v>
      </c>
      <c r="V109" s="16"/>
      <c r="W109" s="9"/>
      <c r="X109" s="9"/>
      <c r="Y109" s="3"/>
      <c r="Z109" s="13">
        <f t="shared" ca="1" si="1"/>
        <v>0.78503344907949213</v>
      </c>
    </row>
    <row r="110" spans="1:26" ht="13" x14ac:dyDescent="0.15">
      <c r="A110" s="3">
        <v>109</v>
      </c>
      <c r="B110" s="3" t="s">
        <v>7</v>
      </c>
      <c r="C110" s="3" t="s">
        <v>333</v>
      </c>
      <c r="D110" s="10">
        <f t="shared" ca="1" si="0"/>
        <v>0.18</v>
      </c>
      <c r="E110" s="5">
        <f ca="1">VLOOKUP($B110&amp;$C110,data!$A:$U,20,FALSE)</f>
        <v>44305.607638888803</v>
      </c>
      <c r="F110" s="3">
        <f ca="1">VLOOKUP($B110&amp;$C110,data!$A:$U,21,FALSE)</f>
        <v>0</v>
      </c>
      <c r="G110" s="3">
        <f ca="1">VLOOKUP($B110&amp;$C110,data!$A:$U,17,FALSE)</f>
        <v>1</v>
      </c>
      <c r="H110" s="3">
        <f ca="1">VLOOKUP($B110&amp;$C110,data!$A:$U,18,FALSE)</f>
        <v>1</v>
      </c>
      <c r="I110" s="3">
        <f ca="1">VLOOKUP($B110&amp;$C110,data!$A:$U,19,FALSE)</f>
        <v>0</v>
      </c>
      <c r="J110" s="3">
        <f ca="1">VLOOKUP($B110&amp;$C110,data!$A:$U,14,FALSE)</f>
        <v>2</v>
      </c>
      <c r="K110" s="3">
        <f ca="1">VLOOKUP($B110&amp;$C110,data!$A:$U,15,FALSE)</f>
        <v>2</v>
      </c>
      <c r="L110" s="3">
        <f ca="1">VLOOKUP($B110&amp;$C110,data!$A:$U,16,FALSE)</f>
        <v>0</v>
      </c>
      <c r="M110" s="3">
        <f ca="1">VLOOKUP($B110&amp;$C110,data!$A:$U,8,FALSE)</f>
        <v>23</v>
      </c>
      <c r="N110" s="3">
        <f ca="1">VLOOKUP($B110&amp;$C110,data!$A:$U,9,FALSE)</f>
        <v>14</v>
      </c>
      <c r="O110" s="3">
        <f ca="1">VLOOKUP($B110&amp;$C110,data!$A:$U,10,FALSE)</f>
        <v>9</v>
      </c>
      <c r="P110" s="3">
        <f ca="1">VLOOKUP($B110&amp;$C110,data!$A:$U,11,FALSE)</f>
        <v>25</v>
      </c>
      <c r="Q110" s="3">
        <f ca="1">VLOOKUP($B110&amp;$C110,data!$A:$U,12,FALSE)</f>
        <v>25</v>
      </c>
      <c r="R110" s="3">
        <f ca="1">VLOOKUP($B110&amp;$C110,data!$A:$U,13,FALSE)</f>
        <v>0</v>
      </c>
      <c r="S110" s="3">
        <f ca="1">VLOOKUP($B110&amp;$C110,data!$A:$U,5,FALSE)</f>
        <v>50</v>
      </c>
      <c r="T110" s="3">
        <f ca="1">VLOOKUP($B110&amp;$C110,data!$A:$U,6,FALSE)</f>
        <v>41</v>
      </c>
      <c r="U110" s="3">
        <f ca="1">VLOOKUP($B110&amp;$C110,data!$A:$U,7,FALSE)</f>
        <v>9</v>
      </c>
      <c r="V110" s="16"/>
      <c r="W110" s="9"/>
      <c r="X110" s="9"/>
      <c r="Y110" s="3"/>
      <c r="Z110" s="13">
        <f t="shared" ca="1" si="1"/>
        <v>0.47926956027367851</v>
      </c>
    </row>
    <row r="111" spans="1:26" ht="13" x14ac:dyDescent="0.15">
      <c r="A111" s="3">
        <v>110</v>
      </c>
      <c r="B111" s="3" t="s">
        <v>8</v>
      </c>
      <c r="C111" s="3" t="s">
        <v>334</v>
      </c>
      <c r="D111" s="10">
        <f t="shared" ca="1" si="0"/>
        <v>1</v>
      </c>
      <c r="E111" s="5">
        <f ca="1">VLOOKUP($B111&amp;$C111,data!$A:$U,20,FALSE)</f>
        <v>44305.288460648102</v>
      </c>
      <c r="F111" s="3">
        <f ca="1">VLOOKUP($B111&amp;$C111,data!$A:$U,21,FALSE)</f>
        <v>0</v>
      </c>
      <c r="G111" s="3">
        <f ca="1">VLOOKUP($B111&amp;$C111,data!$A:$U,17,FALSE)</f>
        <v>2</v>
      </c>
      <c r="H111" s="3">
        <f ca="1">VLOOKUP($B111&amp;$C111,data!$A:$U,18,FALSE)</f>
        <v>0</v>
      </c>
      <c r="I111" s="3">
        <f ca="1">VLOOKUP($B111&amp;$C111,data!$A:$U,19,FALSE)</f>
        <v>2</v>
      </c>
      <c r="J111" s="3">
        <f ca="1">VLOOKUP($B111&amp;$C111,data!$A:$U,14,FALSE)</f>
        <v>14</v>
      </c>
      <c r="K111" s="3">
        <f ca="1">VLOOKUP($B111&amp;$C111,data!$A:$U,15,FALSE)</f>
        <v>0</v>
      </c>
      <c r="L111" s="3">
        <f ca="1">VLOOKUP($B111&amp;$C111,data!$A:$U,16,FALSE)</f>
        <v>14</v>
      </c>
      <c r="M111" s="3">
        <f ca="1">VLOOKUP($B111&amp;$C111,data!$A:$U,8,FALSE)</f>
        <v>11</v>
      </c>
      <c r="N111" s="3">
        <f ca="1">VLOOKUP($B111&amp;$C111,data!$A:$U,9,FALSE)</f>
        <v>0</v>
      </c>
      <c r="O111" s="3">
        <f ca="1">VLOOKUP($B111&amp;$C111,data!$A:$U,10,FALSE)</f>
        <v>11</v>
      </c>
      <c r="P111" s="3">
        <f ca="1">VLOOKUP($B111&amp;$C111,data!$A:$U,11,FALSE)</f>
        <v>14</v>
      </c>
      <c r="Q111" s="3">
        <f ca="1">VLOOKUP($B111&amp;$C111,data!$A:$U,12,FALSE)</f>
        <v>0</v>
      </c>
      <c r="R111" s="3">
        <f ca="1">VLOOKUP($B111&amp;$C111,data!$A:$U,13,FALSE)</f>
        <v>14</v>
      </c>
      <c r="S111" s="3">
        <f ca="1">VLOOKUP($B111&amp;$C111,data!$A:$U,5,FALSE)</f>
        <v>25</v>
      </c>
      <c r="T111" s="3">
        <f ca="1">VLOOKUP($B111&amp;$C111,data!$A:$U,6,FALSE)</f>
        <v>0</v>
      </c>
      <c r="U111" s="3">
        <f ca="1">VLOOKUP($B111&amp;$C111,data!$A:$U,7,FALSE)</f>
        <v>25</v>
      </c>
      <c r="V111" s="16"/>
      <c r="W111" s="9"/>
      <c r="X111" s="9"/>
      <c r="Y111" s="3"/>
      <c r="Z111" s="13">
        <f t="shared" ca="1" si="1"/>
        <v>0.79844780097482726</v>
      </c>
    </row>
    <row r="112" spans="1:26" ht="13" x14ac:dyDescent="0.15">
      <c r="A112" s="3">
        <v>111</v>
      </c>
      <c r="B112" s="3" t="s">
        <v>8</v>
      </c>
      <c r="C112" s="3" t="s">
        <v>335</v>
      </c>
      <c r="D112" s="10">
        <f t="shared" ca="1" si="0"/>
        <v>1</v>
      </c>
      <c r="E112" s="5">
        <f ca="1">VLOOKUP($B112&amp;$C112,data!$A:$U,20,FALSE)</f>
        <v>44305.379861111098</v>
      </c>
      <c r="F112" s="3">
        <f ca="1">VLOOKUP($B112&amp;$C112,data!$A:$U,21,FALSE)</f>
        <v>0</v>
      </c>
      <c r="G112" s="3">
        <f ca="1">VLOOKUP($B112&amp;$C112,data!$A:$U,17,FALSE)</f>
        <v>1</v>
      </c>
      <c r="H112" s="3">
        <f ca="1">VLOOKUP($B112&amp;$C112,data!$A:$U,18,FALSE)</f>
        <v>0</v>
      </c>
      <c r="I112" s="3">
        <f ca="1">VLOOKUP($B112&amp;$C112,data!$A:$U,19,FALSE)</f>
        <v>1</v>
      </c>
      <c r="J112" s="3">
        <f ca="1">VLOOKUP($B112&amp;$C112,data!$A:$U,14,FALSE)</f>
        <v>3</v>
      </c>
      <c r="K112" s="3">
        <f ca="1">VLOOKUP($B112&amp;$C112,data!$A:$U,15,FALSE)</f>
        <v>0</v>
      </c>
      <c r="L112" s="3">
        <f ca="1">VLOOKUP($B112&amp;$C112,data!$A:$U,16,FALSE)</f>
        <v>3</v>
      </c>
      <c r="M112" s="3">
        <f ca="1">VLOOKUP($B112&amp;$C112,data!$A:$U,8,FALSE)</f>
        <v>4</v>
      </c>
      <c r="N112" s="3">
        <f ca="1">VLOOKUP($B112&amp;$C112,data!$A:$U,9,FALSE)</f>
        <v>0</v>
      </c>
      <c r="O112" s="3">
        <f ca="1">VLOOKUP($B112&amp;$C112,data!$A:$U,10,FALSE)</f>
        <v>4</v>
      </c>
      <c r="P112" s="3">
        <f ca="1">VLOOKUP($B112&amp;$C112,data!$A:$U,11,FALSE)</f>
        <v>3</v>
      </c>
      <c r="Q112" s="3">
        <f ca="1">VLOOKUP($B112&amp;$C112,data!$A:$U,12,FALSE)</f>
        <v>0</v>
      </c>
      <c r="R112" s="3">
        <f ca="1">VLOOKUP($B112&amp;$C112,data!$A:$U,13,FALSE)</f>
        <v>3</v>
      </c>
      <c r="S112" s="3">
        <f ca="1">VLOOKUP($B112&amp;$C112,data!$A:$U,5,FALSE)</f>
        <v>10</v>
      </c>
      <c r="T112" s="3">
        <f ca="1">VLOOKUP($B112&amp;$C112,data!$A:$U,6,FALSE)</f>
        <v>0</v>
      </c>
      <c r="U112" s="3">
        <f ca="1">VLOOKUP($B112&amp;$C112,data!$A:$U,7,FALSE)</f>
        <v>10</v>
      </c>
      <c r="V112" s="16"/>
      <c r="W112" s="9"/>
      <c r="X112" s="9"/>
      <c r="Y112" s="3"/>
      <c r="Z112" s="13">
        <f t="shared" ca="1" si="1"/>
        <v>0.70704733797902009</v>
      </c>
    </row>
    <row r="113" spans="1:26" ht="13" x14ac:dyDescent="0.15">
      <c r="A113" s="3">
        <v>112</v>
      </c>
      <c r="B113" s="3" t="s">
        <v>8</v>
      </c>
      <c r="C113" s="3" t="s">
        <v>336</v>
      </c>
      <c r="D113" s="10">
        <f t="shared" ca="1" si="0"/>
        <v>0</v>
      </c>
      <c r="E113" s="5">
        <f ca="1">VLOOKUP($B113&amp;$C113,data!$A:$U,20,FALSE)</f>
        <v>44305.332013888801</v>
      </c>
      <c r="F113" s="3" t="str">
        <f ca="1">VLOOKUP($B113&amp;$C113,data!$A:$U,21,FALSE)</f>
        <v>NIL</v>
      </c>
      <c r="G113" s="3">
        <f ca="1">VLOOKUP($B113&amp;$C113,data!$A:$U,17,FALSE)</f>
        <v>12</v>
      </c>
      <c r="H113" s="3">
        <f ca="1">VLOOKUP($B113&amp;$C113,data!$A:$U,18,FALSE)</f>
        <v>12</v>
      </c>
      <c r="I113" s="3">
        <f ca="1">VLOOKUP($B113&amp;$C113,data!$A:$U,19,FALSE)</f>
        <v>12</v>
      </c>
      <c r="J113" s="3">
        <f ca="1">VLOOKUP($B113&amp;$C113,data!$A:$U,14,FALSE)</f>
        <v>7</v>
      </c>
      <c r="K113" s="3">
        <f ca="1">VLOOKUP($B113&amp;$C113,data!$A:$U,15,FALSE)</f>
        <v>7</v>
      </c>
      <c r="L113" s="3">
        <f ca="1">VLOOKUP($B113&amp;$C113,data!$A:$U,16,FALSE)</f>
        <v>0</v>
      </c>
      <c r="M113" s="3">
        <f ca="1">VLOOKUP($B113&amp;$C113,data!$A:$U,8,FALSE)</f>
        <v>40</v>
      </c>
      <c r="N113" s="3">
        <f ca="1">VLOOKUP($B113&amp;$C113,data!$A:$U,9,FALSE)</f>
        <v>40</v>
      </c>
      <c r="O113" s="3">
        <f ca="1">VLOOKUP($B113&amp;$C113,data!$A:$U,10,FALSE)</f>
        <v>0</v>
      </c>
      <c r="P113" s="3">
        <f ca="1">VLOOKUP($B113&amp;$C113,data!$A:$U,11,FALSE)</f>
        <v>18</v>
      </c>
      <c r="Q113" s="3">
        <f ca="1">VLOOKUP($B113&amp;$C113,data!$A:$U,12,FALSE)</f>
        <v>18</v>
      </c>
      <c r="R113" s="3">
        <f ca="1">VLOOKUP($B113&amp;$C113,data!$A:$U,13,FALSE)</f>
        <v>0</v>
      </c>
      <c r="S113" s="3">
        <f ca="1">VLOOKUP($B113&amp;$C113,data!$A:$U,5,FALSE)</f>
        <v>62</v>
      </c>
      <c r="T113" s="3">
        <f ca="1">VLOOKUP($B113&amp;$C113,data!$A:$U,6,FALSE)</f>
        <v>62</v>
      </c>
      <c r="U113" s="3">
        <f ca="1">VLOOKUP($B113&amp;$C113,data!$A:$U,7,FALSE)</f>
        <v>0</v>
      </c>
      <c r="V113" s="16"/>
      <c r="W113" s="9"/>
      <c r="X113" s="9"/>
      <c r="Y113" s="3"/>
      <c r="Z113" s="13">
        <f t="shared" ca="1" si="1"/>
        <v>0.75489456027571578</v>
      </c>
    </row>
    <row r="114" spans="1:26" ht="13" x14ac:dyDescent="0.15">
      <c r="A114" s="3">
        <v>113</v>
      </c>
      <c r="B114" s="3" t="s">
        <v>9</v>
      </c>
      <c r="C114" s="3" t="s">
        <v>337</v>
      </c>
      <c r="D114" s="10">
        <f t="shared" ca="1" si="0"/>
        <v>0.64</v>
      </c>
      <c r="E114" s="5">
        <f ca="1">VLOOKUP($B114&amp;$C114,data!$A:$U,20,FALSE)</f>
        <v>44305.418506944399</v>
      </c>
      <c r="F114" s="3" t="str">
        <f ca="1">VLOOKUP($B114&amp;$C114,data!$A:$U,21,FALSE)</f>
        <v>A</v>
      </c>
      <c r="G114" s="3">
        <f ca="1">VLOOKUP($B114&amp;$C114,data!$A:$U,17,FALSE)</f>
        <v>4</v>
      </c>
      <c r="H114" s="3">
        <f ca="1">VLOOKUP($B114&amp;$C114,data!$A:$U,18,FALSE)</f>
        <v>0</v>
      </c>
      <c r="I114" s="3">
        <f ca="1">VLOOKUP($B114&amp;$C114,data!$A:$U,19,FALSE)</f>
        <v>4</v>
      </c>
      <c r="J114" s="3">
        <f ca="1">VLOOKUP($B114&amp;$C114,data!$A:$U,14,FALSE)</f>
        <v>10</v>
      </c>
      <c r="K114" s="3">
        <f ca="1">VLOOKUP($B114&amp;$C114,data!$A:$U,15,FALSE)</f>
        <v>0</v>
      </c>
      <c r="L114" s="3">
        <f ca="1">VLOOKUP($B114&amp;$C114,data!$A:$U,16,FALSE)</f>
        <v>10</v>
      </c>
      <c r="M114" s="3">
        <f ca="1">VLOOKUP($B114&amp;$C114,data!$A:$U,8,FALSE)</f>
        <v>15</v>
      </c>
      <c r="N114" s="3">
        <f ca="1">VLOOKUP($B114&amp;$C114,data!$A:$U,9,FALSE)</f>
        <v>9</v>
      </c>
      <c r="O114" s="3">
        <f ca="1">VLOOKUP($B114&amp;$C114,data!$A:$U,10,FALSE)</f>
        <v>6</v>
      </c>
      <c r="P114" s="3">
        <f ca="1">VLOOKUP($B114&amp;$C114,data!$A:$U,11,FALSE)</f>
        <v>0</v>
      </c>
      <c r="Q114" s="3">
        <f ca="1">VLOOKUP($B114&amp;$C114,data!$A:$U,12,FALSE)</f>
        <v>0</v>
      </c>
      <c r="R114" s="3">
        <f ca="1">VLOOKUP($B114&amp;$C114,data!$A:$U,13,FALSE)</f>
        <v>0</v>
      </c>
      <c r="S114" s="3">
        <f ca="1">VLOOKUP($B114&amp;$C114,data!$A:$U,5,FALSE)</f>
        <v>25</v>
      </c>
      <c r="T114" s="3">
        <f ca="1">VLOOKUP($B114&amp;$C114,data!$A:$U,6,FALSE)</f>
        <v>9</v>
      </c>
      <c r="U114" s="3">
        <f ca="1">VLOOKUP($B114&amp;$C114,data!$A:$U,7,FALSE)</f>
        <v>16</v>
      </c>
      <c r="V114" s="16"/>
      <c r="W114" s="9"/>
      <c r="X114" s="9"/>
      <c r="Y114" s="3"/>
      <c r="Z114" s="13">
        <f t="shared" ca="1" si="1"/>
        <v>0.66840150467760395</v>
      </c>
    </row>
    <row r="115" spans="1:26" ht="13" x14ac:dyDescent="0.15">
      <c r="A115" s="3">
        <v>114</v>
      </c>
      <c r="B115" s="3" t="s">
        <v>9</v>
      </c>
      <c r="C115" s="3" t="s">
        <v>338</v>
      </c>
      <c r="D115" s="10">
        <f t="shared" ca="1" si="0"/>
        <v>1</v>
      </c>
      <c r="E115" s="5">
        <f ca="1">VLOOKUP($B115&amp;$C115,data!$A:$U,20,FALSE)</f>
        <v>44305.4320601851</v>
      </c>
      <c r="F115" s="3" t="str">
        <f ca="1">VLOOKUP($B115&amp;$C115,data!$A:$U,21,FALSE)</f>
        <v>PATIENT NILL</v>
      </c>
      <c r="G115" s="3">
        <f ca="1">VLOOKUP($B115&amp;$C115,data!$A:$U,17,FALSE)</f>
        <v>6</v>
      </c>
      <c r="H115" s="3">
        <f ca="1">VLOOKUP($B115&amp;$C115,data!$A:$U,18,FALSE)</f>
        <v>0</v>
      </c>
      <c r="I115" s="3">
        <f ca="1">VLOOKUP($B115&amp;$C115,data!$A:$U,19,FALSE)</f>
        <v>6</v>
      </c>
      <c r="J115" s="3">
        <f ca="1">VLOOKUP($B115&amp;$C115,data!$A:$U,14,FALSE)</f>
        <v>10</v>
      </c>
      <c r="K115" s="3">
        <f ca="1">VLOOKUP($B115&amp;$C115,data!$A:$U,15,FALSE)</f>
        <v>0</v>
      </c>
      <c r="L115" s="3">
        <f ca="1">VLOOKUP($B115&amp;$C115,data!$A:$U,16,FALSE)</f>
        <v>10</v>
      </c>
      <c r="M115" s="3">
        <f ca="1">VLOOKUP($B115&amp;$C115,data!$A:$U,8,FALSE)</f>
        <v>6</v>
      </c>
      <c r="N115" s="3">
        <f ca="1">VLOOKUP($B115&amp;$C115,data!$A:$U,9,FALSE)</f>
        <v>0</v>
      </c>
      <c r="O115" s="3">
        <f ca="1">VLOOKUP($B115&amp;$C115,data!$A:$U,10,FALSE)</f>
        <v>6</v>
      </c>
      <c r="P115" s="3">
        <f ca="1">VLOOKUP($B115&amp;$C115,data!$A:$U,11,FALSE)</f>
        <v>9</v>
      </c>
      <c r="Q115" s="3">
        <f ca="1">VLOOKUP($B115&amp;$C115,data!$A:$U,12,FALSE)</f>
        <v>0</v>
      </c>
      <c r="R115" s="3">
        <f ca="1">VLOOKUP($B115&amp;$C115,data!$A:$U,13,FALSE)</f>
        <v>9</v>
      </c>
      <c r="S115" s="3">
        <f ca="1">VLOOKUP($B115&amp;$C115,data!$A:$U,5,FALSE)</f>
        <v>25</v>
      </c>
      <c r="T115" s="3">
        <f ca="1">VLOOKUP($B115&amp;$C115,data!$A:$U,6,FALSE)</f>
        <v>0</v>
      </c>
      <c r="U115" s="3">
        <f ca="1">VLOOKUP($B115&amp;$C115,data!$A:$U,7,FALSE)</f>
        <v>25</v>
      </c>
      <c r="V115" s="16"/>
      <c r="W115" s="9"/>
      <c r="X115" s="9"/>
      <c r="Y115" s="3"/>
      <c r="Z115" s="13">
        <f t="shared" ca="1" si="1"/>
        <v>0.65484826397732832</v>
      </c>
    </row>
    <row r="116" spans="1:26" ht="13" x14ac:dyDescent="0.15">
      <c r="A116" s="3">
        <v>115</v>
      </c>
      <c r="B116" s="3" t="s">
        <v>9</v>
      </c>
      <c r="C116" s="3" t="s">
        <v>339</v>
      </c>
      <c r="D116" s="10">
        <f t="shared" ca="1" si="0"/>
        <v>0.72727272727272729</v>
      </c>
      <c r="E116" s="5">
        <f ca="1">VLOOKUP($B116&amp;$C116,data!$A:$U,20,FALSE)</f>
        <v>44305.460011574003</v>
      </c>
      <c r="F116" s="3" t="str">
        <f ca="1">VLOOKUP($B116&amp;$C116,data!$A:$U,21,FALSE)</f>
        <v>019 23</v>
      </c>
      <c r="G116" s="3">
        <f ca="1">VLOOKUP($B116&amp;$C116,data!$A:$U,17,FALSE)</f>
        <v>1</v>
      </c>
      <c r="H116" s="3">
        <f ca="1">VLOOKUP($B116&amp;$C116,data!$A:$U,18,FALSE)</f>
        <v>0</v>
      </c>
      <c r="I116" s="3">
        <f ca="1">VLOOKUP($B116&amp;$C116,data!$A:$U,19,FALSE)</f>
        <v>1</v>
      </c>
      <c r="J116" s="3">
        <f ca="1">VLOOKUP($B116&amp;$C116,data!$A:$U,14,FALSE)</f>
        <v>2</v>
      </c>
      <c r="K116" s="3">
        <f ca="1">VLOOKUP($B116&amp;$C116,data!$A:$U,15,FALSE)</f>
        <v>0</v>
      </c>
      <c r="L116" s="3">
        <f ca="1">VLOOKUP($B116&amp;$C116,data!$A:$U,16,FALSE)</f>
        <v>2</v>
      </c>
      <c r="M116" s="3">
        <f ca="1">VLOOKUP($B116&amp;$C116,data!$A:$U,8,FALSE)</f>
        <v>5</v>
      </c>
      <c r="N116" s="3">
        <f ca="1">VLOOKUP($B116&amp;$C116,data!$A:$U,9,FALSE)</f>
        <v>1</v>
      </c>
      <c r="O116" s="3">
        <f ca="1">VLOOKUP($B116&amp;$C116,data!$A:$U,10,FALSE)</f>
        <v>4</v>
      </c>
      <c r="P116" s="3">
        <f ca="1">VLOOKUP($B116&amp;$C116,data!$A:$U,11,FALSE)</f>
        <v>5</v>
      </c>
      <c r="Q116" s="3">
        <f ca="1">VLOOKUP($B116&amp;$C116,data!$A:$U,12,FALSE)</f>
        <v>2</v>
      </c>
      <c r="R116" s="3">
        <f ca="1">VLOOKUP($B116&amp;$C116,data!$A:$U,13,FALSE)</f>
        <v>3</v>
      </c>
      <c r="S116" s="3">
        <f ca="1">VLOOKUP($B116&amp;$C116,data!$A:$U,5,FALSE)</f>
        <v>10</v>
      </c>
      <c r="T116" s="3">
        <f ca="1">VLOOKUP($B116&amp;$C116,data!$A:$U,6,FALSE)</f>
        <v>3</v>
      </c>
      <c r="U116" s="3">
        <f ca="1">VLOOKUP($B116&amp;$C116,data!$A:$U,7,FALSE)</f>
        <v>7</v>
      </c>
      <c r="V116" s="16"/>
      <c r="W116" s="9"/>
      <c r="X116" s="9"/>
      <c r="Y116" s="3"/>
      <c r="Z116" s="13">
        <f t="shared" ca="1" si="1"/>
        <v>0.62689687507372582</v>
      </c>
    </row>
    <row r="117" spans="1:26" ht="13" x14ac:dyDescent="0.15">
      <c r="A117" s="3">
        <v>116</v>
      </c>
      <c r="B117" s="3" t="s">
        <v>9</v>
      </c>
      <c r="C117" s="3" t="s">
        <v>340</v>
      </c>
      <c r="D117" s="10">
        <f t="shared" ca="1" si="0"/>
        <v>1</v>
      </c>
      <c r="E117" s="5">
        <f ca="1">VLOOKUP($B117&amp;$C117,data!$A:$U,20,FALSE)</f>
        <v>44304.868530092499</v>
      </c>
      <c r="F117" s="3" t="str">
        <f ca="1">VLOOKUP($B117&amp;$C117,data!$A:$U,21,FALSE)</f>
        <v>Lotus hospital.</v>
      </c>
      <c r="G117" s="3">
        <f ca="1">VLOOKUP($B117&amp;$C117,data!$A:$U,17,FALSE)</f>
        <v>0</v>
      </c>
      <c r="H117" s="3">
        <f ca="1">VLOOKUP($B117&amp;$C117,data!$A:$U,18,FALSE)</f>
        <v>0</v>
      </c>
      <c r="I117" s="3">
        <f ca="1">VLOOKUP($B117&amp;$C117,data!$A:$U,19,FALSE)</f>
        <v>0</v>
      </c>
      <c r="J117" s="3">
        <f ca="1">VLOOKUP($B117&amp;$C117,data!$A:$U,14,FALSE)</f>
        <v>7</v>
      </c>
      <c r="K117" s="3">
        <f ca="1">VLOOKUP($B117&amp;$C117,data!$A:$U,15,FALSE)</f>
        <v>0</v>
      </c>
      <c r="L117" s="3">
        <f ca="1">VLOOKUP($B117&amp;$C117,data!$A:$U,16,FALSE)</f>
        <v>7</v>
      </c>
      <c r="M117" s="3">
        <f ca="1">VLOOKUP($B117&amp;$C117,data!$A:$U,8,FALSE)</f>
        <v>0</v>
      </c>
      <c r="N117" s="3">
        <f ca="1">VLOOKUP($B117&amp;$C117,data!$A:$U,9,FALSE)</f>
        <v>0</v>
      </c>
      <c r="O117" s="3">
        <f ca="1">VLOOKUP($B117&amp;$C117,data!$A:$U,10,FALSE)</f>
        <v>0</v>
      </c>
      <c r="P117" s="3">
        <f ca="1">VLOOKUP($B117&amp;$C117,data!$A:$U,11,FALSE)</f>
        <v>0</v>
      </c>
      <c r="Q117" s="3">
        <f ca="1">VLOOKUP($B117&amp;$C117,data!$A:$U,12,FALSE)</f>
        <v>0</v>
      </c>
      <c r="R117" s="3">
        <f ca="1">VLOOKUP($B117&amp;$C117,data!$A:$U,13,FALSE)</f>
        <v>0</v>
      </c>
      <c r="S117" s="3">
        <f ca="1">VLOOKUP($B117&amp;$C117,data!$A:$U,5,FALSE)</f>
        <v>5</v>
      </c>
      <c r="T117" s="3">
        <f ca="1">VLOOKUP($B117&amp;$C117,data!$A:$U,6,FALSE)</f>
        <v>0</v>
      </c>
      <c r="U117" s="3">
        <f ca="1">VLOOKUP($B117&amp;$C117,data!$A:$U,7,FALSE)</f>
        <v>5</v>
      </c>
      <c r="V117" s="16"/>
      <c r="W117" s="9"/>
      <c r="X117" s="9"/>
      <c r="Y117" s="3"/>
      <c r="Z117" s="13">
        <f t="shared" ca="1" si="1"/>
        <v>1.2183783565778867</v>
      </c>
    </row>
    <row r="118" spans="1:26" ht="13" x14ac:dyDescent="0.15">
      <c r="A118" s="3">
        <v>117</v>
      </c>
      <c r="B118" s="3" t="s">
        <v>9</v>
      </c>
      <c r="C118" s="3" t="s">
        <v>341</v>
      </c>
      <c r="D118" s="10">
        <f t="shared" ca="1" si="0"/>
        <v>0.9285714285714286</v>
      </c>
      <c r="E118" s="5">
        <f ca="1">VLOOKUP($B118&amp;$C118,data!$A:$U,20,FALSE)</f>
        <v>44305.4040046296</v>
      </c>
      <c r="F118" s="3" t="str">
        <f ca="1">VLOOKUP($B118&amp;$C118,data!$A:$U,21,FALSE)</f>
        <v>Nil</v>
      </c>
      <c r="G118" s="3">
        <f ca="1">VLOOKUP($B118&amp;$C118,data!$A:$U,17,FALSE)</f>
        <v>1</v>
      </c>
      <c r="H118" s="3">
        <f ca="1">VLOOKUP($B118&amp;$C118,data!$A:$U,18,FALSE)</f>
        <v>0</v>
      </c>
      <c r="I118" s="3">
        <f ca="1">VLOOKUP($B118&amp;$C118,data!$A:$U,19,FALSE)</f>
        <v>1</v>
      </c>
      <c r="J118" s="3">
        <f ca="1">VLOOKUP($B118&amp;$C118,data!$A:$U,14,FALSE)</f>
        <v>2</v>
      </c>
      <c r="K118" s="3">
        <f ca="1">VLOOKUP($B118&amp;$C118,data!$A:$U,15,FALSE)</f>
        <v>0</v>
      </c>
      <c r="L118" s="3">
        <f ca="1">VLOOKUP($B118&amp;$C118,data!$A:$U,16,FALSE)</f>
        <v>1</v>
      </c>
      <c r="M118" s="3">
        <f ca="1">VLOOKUP($B118&amp;$C118,data!$A:$U,8,FALSE)</f>
        <v>6</v>
      </c>
      <c r="N118" s="3">
        <f ca="1">VLOOKUP($B118&amp;$C118,data!$A:$U,9,FALSE)</f>
        <v>0</v>
      </c>
      <c r="O118" s="3">
        <f ca="1">VLOOKUP($B118&amp;$C118,data!$A:$U,10,FALSE)</f>
        <v>5</v>
      </c>
      <c r="P118" s="3">
        <f ca="1">VLOOKUP($B118&amp;$C118,data!$A:$U,11,FALSE)</f>
        <v>5</v>
      </c>
      <c r="Q118" s="3">
        <f ca="1">VLOOKUP($B118&amp;$C118,data!$A:$U,12,FALSE)</f>
        <v>0</v>
      </c>
      <c r="R118" s="3">
        <f ca="1">VLOOKUP($B118&amp;$C118,data!$A:$U,13,FALSE)</f>
        <v>5</v>
      </c>
      <c r="S118" s="3">
        <f ca="1">VLOOKUP($B118&amp;$C118,data!$A:$U,5,FALSE)</f>
        <v>15</v>
      </c>
      <c r="T118" s="3">
        <f ca="1">VLOOKUP($B118&amp;$C118,data!$A:$U,6,FALSE)</f>
        <v>0</v>
      </c>
      <c r="U118" s="3">
        <f ca="1">VLOOKUP($B118&amp;$C118,data!$A:$U,7,FALSE)</f>
        <v>15</v>
      </c>
      <c r="V118" s="16"/>
      <c r="W118" s="9"/>
      <c r="X118" s="9"/>
      <c r="Y118" s="3"/>
      <c r="Z118" s="13">
        <f t="shared" ca="1" si="1"/>
        <v>0.68290381947736023</v>
      </c>
    </row>
    <row r="119" spans="1:26" ht="13" x14ac:dyDescent="0.15">
      <c r="A119" s="3">
        <v>118</v>
      </c>
      <c r="B119" s="3" t="s">
        <v>9</v>
      </c>
      <c r="C119" s="3" t="s">
        <v>342</v>
      </c>
      <c r="D119" s="10">
        <f t="shared" ca="1" si="0"/>
        <v>1</v>
      </c>
      <c r="E119" s="5">
        <f ca="1">VLOOKUP($B119&amp;$C119,data!$A:$U,20,FALSE)</f>
        <v>44305.3621064814</v>
      </c>
      <c r="F119" s="3">
        <f ca="1">VLOOKUP($B119&amp;$C119,data!$A:$U,21,FALSE)</f>
        <v>0</v>
      </c>
      <c r="G119" s="3">
        <f ca="1">VLOOKUP($B119&amp;$C119,data!$A:$U,17,FALSE)</f>
        <v>1</v>
      </c>
      <c r="H119" s="3">
        <f ca="1">VLOOKUP($B119&amp;$C119,data!$A:$U,18,FALSE)</f>
        <v>0</v>
      </c>
      <c r="I119" s="3">
        <f ca="1">VLOOKUP($B119&amp;$C119,data!$A:$U,19,FALSE)</f>
        <v>1</v>
      </c>
      <c r="J119" s="3">
        <f ca="1">VLOOKUP($B119&amp;$C119,data!$A:$U,14,FALSE)</f>
        <v>3</v>
      </c>
      <c r="K119" s="3">
        <f ca="1">VLOOKUP($B119&amp;$C119,data!$A:$U,15,FALSE)</f>
        <v>0</v>
      </c>
      <c r="L119" s="3">
        <f ca="1">VLOOKUP($B119&amp;$C119,data!$A:$U,16,FALSE)</f>
        <v>3</v>
      </c>
      <c r="M119" s="3">
        <f ca="1">VLOOKUP($B119&amp;$C119,data!$A:$U,8,FALSE)</f>
        <v>3</v>
      </c>
      <c r="N119" s="3">
        <f ca="1">VLOOKUP($B119&amp;$C119,data!$A:$U,9,FALSE)</f>
        <v>0</v>
      </c>
      <c r="O119" s="3">
        <f ca="1">VLOOKUP($B119&amp;$C119,data!$A:$U,10,FALSE)</f>
        <v>3</v>
      </c>
      <c r="P119" s="3">
        <f ca="1">VLOOKUP($B119&amp;$C119,data!$A:$U,11,FALSE)</f>
        <v>2</v>
      </c>
      <c r="Q119" s="3">
        <f ca="1">VLOOKUP($B119&amp;$C119,data!$A:$U,12,FALSE)</f>
        <v>0</v>
      </c>
      <c r="R119" s="3">
        <f ca="1">VLOOKUP($B119&amp;$C119,data!$A:$U,13,FALSE)</f>
        <v>2</v>
      </c>
      <c r="S119" s="3">
        <f ca="1">VLOOKUP($B119&amp;$C119,data!$A:$U,5,FALSE)</f>
        <v>5</v>
      </c>
      <c r="T119" s="3">
        <f ca="1">VLOOKUP($B119&amp;$C119,data!$A:$U,6,FALSE)</f>
        <v>0</v>
      </c>
      <c r="U119" s="3">
        <f ca="1">VLOOKUP($B119&amp;$C119,data!$A:$U,7,FALSE)</f>
        <v>5</v>
      </c>
      <c r="V119" s="16"/>
      <c r="W119" s="9"/>
      <c r="X119" s="9"/>
      <c r="Y119" s="3"/>
      <c r="Z119" s="13">
        <f t="shared" ca="1" si="1"/>
        <v>0.72480196767719463</v>
      </c>
    </row>
    <row r="120" spans="1:26" ht="13" x14ac:dyDescent="0.15">
      <c r="A120" s="3">
        <v>119</v>
      </c>
      <c r="B120" s="3" t="s">
        <v>9</v>
      </c>
      <c r="C120" s="3" t="s">
        <v>343</v>
      </c>
      <c r="D120" s="10">
        <f t="shared" ca="1" si="0"/>
        <v>0.34710743801652894</v>
      </c>
      <c r="E120" s="5">
        <f ca="1">VLOOKUP($B120&amp;$C120,data!$A:$U,20,FALSE)</f>
        <v>44305.426215277701</v>
      </c>
      <c r="F120" s="3" t="str">
        <f ca="1">VLOOKUP($B120&amp;$C120,data!$A:$U,21,FALSE)</f>
        <v>Updated...</v>
      </c>
      <c r="G120" s="3">
        <f ca="1">VLOOKUP($B120&amp;$C120,data!$A:$U,17,FALSE)</f>
        <v>9</v>
      </c>
      <c r="H120" s="3">
        <f ca="1">VLOOKUP($B120&amp;$C120,data!$A:$U,18,FALSE)</f>
        <v>0</v>
      </c>
      <c r="I120" s="3">
        <f ca="1">VLOOKUP($B120&amp;$C120,data!$A:$U,19,FALSE)</f>
        <v>9</v>
      </c>
      <c r="J120" s="3">
        <f ca="1">VLOOKUP($B120&amp;$C120,data!$A:$U,14,FALSE)</f>
        <v>16</v>
      </c>
      <c r="K120" s="3">
        <f ca="1">VLOOKUP($B120&amp;$C120,data!$A:$U,15,FALSE)</f>
        <v>5</v>
      </c>
      <c r="L120" s="3">
        <f ca="1">VLOOKUP($B120&amp;$C120,data!$A:$U,16,FALSE)</f>
        <v>12</v>
      </c>
      <c r="M120" s="3">
        <f ca="1">VLOOKUP($B120&amp;$C120,data!$A:$U,8,FALSE)</f>
        <v>35</v>
      </c>
      <c r="N120" s="3">
        <f ca="1">VLOOKUP($B120&amp;$C120,data!$A:$U,9,FALSE)</f>
        <v>35</v>
      </c>
      <c r="O120" s="3">
        <f ca="1">VLOOKUP($B120&amp;$C120,data!$A:$U,10,FALSE)</f>
        <v>0</v>
      </c>
      <c r="P120" s="3">
        <f ca="1">VLOOKUP($B120&amp;$C120,data!$A:$U,11,FALSE)</f>
        <v>10</v>
      </c>
      <c r="Q120" s="3">
        <f ca="1">VLOOKUP($B120&amp;$C120,data!$A:$U,12,FALSE)</f>
        <v>0</v>
      </c>
      <c r="R120" s="3">
        <f ca="1">VLOOKUP($B120&amp;$C120,data!$A:$U,13,FALSE)</f>
        <v>10</v>
      </c>
      <c r="S120" s="3">
        <f ca="1">VLOOKUP($B120&amp;$C120,data!$A:$U,5,FALSE)</f>
        <v>60</v>
      </c>
      <c r="T120" s="3">
        <f ca="1">VLOOKUP($B120&amp;$C120,data!$A:$U,6,FALSE)</f>
        <v>40</v>
      </c>
      <c r="U120" s="3">
        <f ca="1">VLOOKUP($B120&amp;$C120,data!$A:$U,7,FALSE)</f>
        <v>20</v>
      </c>
      <c r="V120" s="16"/>
      <c r="W120" s="9"/>
      <c r="X120" s="9"/>
      <c r="Y120" s="3"/>
      <c r="Z120" s="13">
        <f t="shared" ca="1" si="1"/>
        <v>0.66069317137589678</v>
      </c>
    </row>
    <row r="121" spans="1:26" ht="13" x14ac:dyDescent="0.15">
      <c r="A121" s="3">
        <v>120</v>
      </c>
      <c r="B121" s="3" t="s">
        <v>10</v>
      </c>
      <c r="C121" s="3" t="s">
        <v>344</v>
      </c>
      <c r="D121" s="10">
        <f t="shared" ca="1" si="0"/>
        <v>1</v>
      </c>
      <c r="E121" s="5">
        <f ca="1">VLOOKUP($B121&amp;$C121,data!$A:$U,20,FALSE)</f>
        <v>44305.355972222198</v>
      </c>
      <c r="F121" s="3" t="str">
        <f ca="1">VLOOKUP($B121&amp;$C121,data!$A:$U,21,FALSE)</f>
        <v>Updated 19/04/2021</v>
      </c>
      <c r="G121" s="3">
        <f ca="1">VLOOKUP($B121&amp;$C121,data!$A:$U,17,FALSE)</f>
        <v>0</v>
      </c>
      <c r="H121" s="3">
        <f ca="1">VLOOKUP($B121&amp;$C121,data!$A:$U,18,FALSE)</f>
        <v>0</v>
      </c>
      <c r="I121" s="3">
        <f ca="1">VLOOKUP($B121&amp;$C121,data!$A:$U,19,FALSE)</f>
        <v>0</v>
      </c>
      <c r="J121" s="3">
        <f ca="1">VLOOKUP($B121&amp;$C121,data!$A:$U,14,FALSE)</f>
        <v>0</v>
      </c>
      <c r="K121" s="3">
        <f ca="1">VLOOKUP($B121&amp;$C121,data!$A:$U,15,FALSE)</f>
        <v>0</v>
      </c>
      <c r="L121" s="3">
        <f ca="1">VLOOKUP($B121&amp;$C121,data!$A:$U,16,FALSE)</f>
        <v>0</v>
      </c>
      <c r="M121" s="3">
        <f ca="1">VLOOKUP($B121&amp;$C121,data!$A:$U,8,FALSE)</f>
        <v>5</v>
      </c>
      <c r="N121" s="3">
        <f ca="1">VLOOKUP($B121&amp;$C121,data!$A:$U,9,FALSE)</f>
        <v>0</v>
      </c>
      <c r="O121" s="3">
        <f ca="1">VLOOKUP($B121&amp;$C121,data!$A:$U,10,FALSE)</f>
        <v>5</v>
      </c>
      <c r="P121" s="3">
        <f ca="1">VLOOKUP($B121&amp;$C121,data!$A:$U,11,FALSE)</f>
        <v>25</v>
      </c>
      <c r="Q121" s="3">
        <f ca="1">VLOOKUP($B121&amp;$C121,data!$A:$U,12,FALSE)</f>
        <v>0</v>
      </c>
      <c r="R121" s="3">
        <f ca="1">VLOOKUP($B121&amp;$C121,data!$A:$U,13,FALSE)</f>
        <v>25</v>
      </c>
      <c r="S121" s="3">
        <f ca="1">VLOOKUP($B121&amp;$C121,data!$A:$U,5,FALSE)</f>
        <v>30</v>
      </c>
      <c r="T121" s="3">
        <f ca="1">VLOOKUP($B121&amp;$C121,data!$A:$U,6,FALSE)</f>
        <v>0</v>
      </c>
      <c r="U121" s="3">
        <f ca="1">VLOOKUP($B121&amp;$C121,data!$A:$U,7,FALSE)</f>
        <v>30</v>
      </c>
      <c r="V121" s="16"/>
      <c r="W121" s="9"/>
      <c r="X121" s="9"/>
      <c r="Y121" s="3"/>
      <c r="Z121" s="13">
        <f t="shared" ca="1" si="1"/>
        <v>0.73093622687883908</v>
      </c>
    </row>
    <row r="122" spans="1:26" ht="13" x14ac:dyDescent="0.15">
      <c r="A122" s="3">
        <v>121</v>
      </c>
      <c r="B122" s="3" t="s">
        <v>10</v>
      </c>
      <c r="C122" s="3" t="s">
        <v>345</v>
      </c>
      <c r="D122" s="10">
        <f t="shared" ca="1" si="0"/>
        <v>0.2</v>
      </c>
      <c r="E122" s="5">
        <f ca="1">VLOOKUP($B122&amp;$C122,data!$A:$U,20,FALSE)</f>
        <v>44304.386319444398</v>
      </c>
      <c r="F122" s="3" t="str">
        <f ca="1">VLOOKUP($B122&amp;$C122,data!$A:$U,21,FALSE)</f>
        <v>18.04.2021</v>
      </c>
      <c r="G122" s="3">
        <f ca="1">VLOOKUP($B122&amp;$C122,data!$A:$U,17,FALSE)</f>
        <v>0</v>
      </c>
      <c r="H122" s="3">
        <f ca="1">VLOOKUP($B122&amp;$C122,data!$A:$U,18,FALSE)</f>
        <v>0</v>
      </c>
      <c r="I122" s="3">
        <f ca="1">VLOOKUP($B122&amp;$C122,data!$A:$U,19,FALSE)</f>
        <v>0</v>
      </c>
      <c r="J122" s="3">
        <f ca="1">VLOOKUP($B122&amp;$C122,data!$A:$U,14,FALSE)</f>
        <v>0</v>
      </c>
      <c r="K122" s="3">
        <f ca="1">VLOOKUP($B122&amp;$C122,data!$A:$U,15,FALSE)</f>
        <v>0</v>
      </c>
      <c r="L122" s="3">
        <f ca="1">VLOOKUP($B122&amp;$C122,data!$A:$U,16,FALSE)</f>
        <v>0</v>
      </c>
      <c r="M122" s="3">
        <f ca="1">VLOOKUP($B122&amp;$C122,data!$A:$U,8,FALSE)</f>
        <v>20</v>
      </c>
      <c r="N122" s="3">
        <f ca="1">VLOOKUP($B122&amp;$C122,data!$A:$U,9,FALSE)</f>
        <v>16</v>
      </c>
      <c r="O122" s="3">
        <f ca="1">VLOOKUP($B122&amp;$C122,data!$A:$U,10,FALSE)</f>
        <v>4</v>
      </c>
      <c r="P122" s="3">
        <f ca="1">VLOOKUP($B122&amp;$C122,data!$A:$U,11,FALSE)</f>
        <v>0</v>
      </c>
      <c r="Q122" s="3">
        <f ca="1">VLOOKUP($B122&amp;$C122,data!$A:$U,12,FALSE)</f>
        <v>0</v>
      </c>
      <c r="R122" s="3">
        <f ca="1">VLOOKUP($B122&amp;$C122,data!$A:$U,13,FALSE)</f>
        <v>0</v>
      </c>
      <c r="S122" s="3">
        <f ca="1">VLOOKUP($B122&amp;$C122,data!$A:$U,5,FALSE)</f>
        <v>20</v>
      </c>
      <c r="T122" s="3">
        <f ca="1">VLOOKUP($B122&amp;$C122,data!$A:$U,6,FALSE)</f>
        <v>16</v>
      </c>
      <c r="U122" s="3">
        <f ca="1">VLOOKUP($B122&amp;$C122,data!$A:$U,7,FALSE)</f>
        <v>4</v>
      </c>
      <c r="V122" s="16"/>
      <c r="W122" s="9"/>
      <c r="X122" s="9"/>
      <c r="Y122" s="3"/>
      <c r="Z122" s="13">
        <f t="shared" ca="1" si="1"/>
        <v>1.7005890046784771</v>
      </c>
    </row>
    <row r="123" spans="1:26" ht="13" x14ac:dyDescent="0.15">
      <c r="A123" s="3">
        <v>122</v>
      </c>
      <c r="B123" s="3" t="s">
        <v>10</v>
      </c>
      <c r="C123" s="3" t="s">
        <v>346</v>
      </c>
      <c r="D123" s="10">
        <f t="shared" ca="1" si="0"/>
        <v>0.83499999999999996</v>
      </c>
      <c r="E123" s="5">
        <f ca="1">VLOOKUP($B123&amp;$C123,data!$A:$U,20,FALSE)</f>
        <v>44305.450763888803</v>
      </c>
      <c r="F123" s="3" t="str">
        <f ca="1">VLOOKUP($B123&amp;$C123,data!$A:$U,21,FALSE)</f>
        <v>19.4.2021</v>
      </c>
      <c r="G123" s="3">
        <f ca="1">VLOOKUP($B123&amp;$C123,data!$A:$U,17,FALSE)</f>
        <v>2</v>
      </c>
      <c r="H123" s="3">
        <f ca="1">VLOOKUP($B123&amp;$C123,data!$A:$U,18,FALSE)</f>
        <v>2</v>
      </c>
      <c r="I123" s="3">
        <f ca="1">VLOOKUP($B123&amp;$C123,data!$A:$U,19,FALSE)</f>
        <v>0</v>
      </c>
      <c r="J123" s="3">
        <f ca="1">VLOOKUP($B123&amp;$C123,data!$A:$U,14,FALSE)</f>
        <v>6</v>
      </c>
      <c r="K123" s="3">
        <f ca="1">VLOOKUP($B123&amp;$C123,data!$A:$U,15,FALSE)</f>
        <v>4</v>
      </c>
      <c r="L123" s="3">
        <f ca="1">VLOOKUP($B123&amp;$C123,data!$A:$U,16,FALSE)</f>
        <v>2</v>
      </c>
      <c r="M123" s="3">
        <f ca="1">VLOOKUP($B123&amp;$C123,data!$A:$U,8,FALSE)</f>
        <v>20</v>
      </c>
      <c r="N123" s="3">
        <f ca="1">VLOOKUP($B123&amp;$C123,data!$A:$U,9,FALSE)</f>
        <v>6</v>
      </c>
      <c r="O123" s="3">
        <f ca="1">VLOOKUP($B123&amp;$C123,data!$A:$U,10,FALSE)</f>
        <v>14</v>
      </c>
      <c r="P123" s="3">
        <f ca="1">VLOOKUP($B123&amp;$C123,data!$A:$U,11,FALSE)</f>
        <v>174</v>
      </c>
      <c r="Q123" s="3">
        <f ca="1">VLOOKUP($B123&amp;$C123,data!$A:$U,12,FALSE)</f>
        <v>23</v>
      </c>
      <c r="R123" s="3">
        <f ca="1">VLOOKUP($B123&amp;$C123,data!$A:$U,13,FALSE)</f>
        <v>151</v>
      </c>
      <c r="S123" s="3">
        <f ca="1">VLOOKUP($B123&amp;$C123,data!$A:$U,5,FALSE)</f>
        <v>200</v>
      </c>
      <c r="T123" s="3">
        <f ca="1">VLOOKUP($B123&amp;$C123,data!$A:$U,6,FALSE)</f>
        <v>33</v>
      </c>
      <c r="U123" s="3">
        <f ca="1">VLOOKUP($B123&amp;$C123,data!$A:$U,7,FALSE)</f>
        <v>167</v>
      </c>
      <c r="V123" s="16"/>
      <c r="W123" s="9"/>
      <c r="X123" s="9"/>
      <c r="Y123" s="3"/>
      <c r="Z123" s="13">
        <f t="shared" ca="1" si="1"/>
        <v>0.63614456027426058</v>
      </c>
    </row>
    <row r="124" spans="1:26" ht="13" x14ac:dyDescent="0.15">
      <c r="A124" s="3">
        <v>123</v>
      </c>
      <c r="B124" s="3" t="s">
        <v>10</v>
      </c>
      <c r="C124" s="3" t="s">
        <v>347</v>
      </c>
      <c r="D124" s="10">
        <f t="shared" ca="1" si="0"/>
        <v>0.98421052631578942</v>
      </c>
      <c r="E124" s="5">
        <f ca="1">VLOOKUP($B124&amp;$C124,data!$A:$U,20,FALSE)</f>
        <v>44305.3890972222</v>
      </c>
      <c r="F124" s="3" t="str">
        <f ca="1">VLOOKUP($B124&amp;$C124,data!$A:$U,21,FALSE)</f>
        <v>19.04.2021</v>
      </c>
      <c r="G124" s="3">
        <f ca="1">VLOOKUP($B124&amp;$C124,data!$A:$U,17,FALSE)</f>
        <v>6</v>
      </c>
      <c r="H124" s="3">
        <f ca="1">VLOOKUP($B124&amp;$C124,data!$A:$U,18,FALSE)</f>
        <v>0</v>
      </c>
      <c r="I124" s="3">
        <f ca="1">VLOOKUP($B124&amp;$C124,data!$A:$U,19,FALSE)</f>
        <v>6</v>
      </c>
      <c r="J124" s="3">
        <f ca="1">VLOOKUP($B124&amp;$C124,data!$A:$U,14,FALSE)</f>
        <v>16</v>
      </c>
      <c r="K124" s="3">
        <f ca="1">VLOOKUP($B124&amp;$C124,data!$A:$U,15,FALSE)</f>
        <v>0</v>
      </c>
      <c r="L124" s="3">
        <f ca="1">VLOOKUP($B124&amp;$C124,data!$A:$U,16,FALSE)</f>
        <v>16</v>
      </c>
      <c r="M124" s="3">
        <f ca="1">VLOOKUP($B124&amp;$C124,data!$A:$U,8,FALSE)</f>
        <v>50</v>
      </c>
      <c r="N124" s="3">
        <f ca="1">VLOOKUP($B124&amp;$C124,data!$A:$U,9,FALSE)</f>
        <v>2</v>
      </c>
      <c r="O124" s="3">
        <f ca="1">VLOOKUP($B124&amp;$C124,data!$A:$U,10,FALSE)</f>
        <v>48</v>
      </c>
      <c r="P124" s="3">
        <f ca="1">VLOOKUP($B124&amp;$C124,data!$A:$U,11,FALSE)</f>
        <v>314</v>
      </c>
      <c r="Q124" s="3">
        <f ca="1">VLOOKUP($B124&amp;$C124,data!$A:$U,12,FALSE)</f>
        <v>4</v>
      </c>
      <c r="R124" s="3">
        <f ca="1">VLOOKUP($B124&amp;$C124,data!$A:$U,13,FALSE)</f>
        <v>310</v>
      </c>
      <c r="S124" s="3">
        <f ca="1">VLOOKUP($B124&amp;$C124,data!$A:$U,5,FALSE)</f>
        <v>380</v>
      </c>
      <c r="T124" s="3">
        <f ca="1">VLOOKUP($B124&amp;$C124,data!$A:$U,6,FALSE)</f>
        <v>6</v>
      </c>
      <c r="U124" s="3">
        <f ca="1">VLOOKUP($B124&amp;$C124,data!$A:$U,7,FALSE)</f>
        <v>374</v>
      </c>
      <c r="V124" s="16"/>
      <c r="W124" s="9"/>
      <c r="X124" s="9"/>
      <c r="Y124" s="3"/>
      <c r="Z124" s="13">
        <f t="shared" ca="1" si="1"/>
        <v>0.69781122687709285</v>
      </c>
    </row>
    <row r="125" spans="1:26" ht="13" x14ac:dyDescent="0.15">
      <c r="A125" s="3">
        <v>124</v>
      </c>
      <c r="B125" s="3" t="s">
        <v>10</v>
      </c>
      <c r="C125" s="3" t="s">
        <v>348</v>
      </c>
      <c r="D125" s="10" t="e">
        <f t="shared" ca="1" si="0"/>
        <v>#DIV/0!</v>
      </c>
      <c r="E125" s="5">
        <f ca="1">VLOOKUP($B125&amp;$C125,data!$A:$U,20,FALSE)</f>
        <v>44305.385243055498</v>
      </c>
      <c r="F125" s="3" t="str">
        <f ca="1">VLOOKUP($B125&amp;$C125,data!$A:$U,21,FALSE)</f>
        <v>Updated 19.04.2021</v>
      </c>
      <c r="G125" s="3">
        <f ca="1">VLOOKUP($B125&amp;$C125,data!$A:$U,17,FALSE)</f>
        <v>0</v>
      </c>
      <c r="H125" s="3">
        <f ca="1">VLOOKUP($B125&amp;$C125,data!$A:$U,18,FALSE)</f>
        <v>0</v>
      </c>
      <c r="I125" s="3">
        <f ca="1">VLOOKUP($B125&amp;$C125,data!$A:$U,19,FALSE)</f>
        <v>0</v>
      </c>
      <c r="J125" s="3">
        <f ca="1">VLOOKUP($B125&amp;$C125,data!$A:$U,14,FALSE)</f>
        <v>0</v>
      </c>
      <c r="K125" s="3">
        <f ca="1">VLOOKUP($B125&amp;$C125,data!$A:$U,15,FALSE)</f>
        <v>0</v>
      </c>
      <c r="L125" s="3">
        <f ca="1">VLOOKUP($B125&amp;$C125,data!$A:$U,16,FALSE)</f>
        <v>0</v>
      </c>
      <c r="M125" s="3">
        <f ca="1">VLOOKUP($B125&amp;$C125,data!$A:$U,8,FALSE)</f>
        <v>0</v>
      </c>
      <c r="N125" s="3">
        <f ca="1">VLOOKUP($B125&amp;$C125,data!$A:$U,9,FALSE)</f>
        <v>0</v>
      </c>
      <c r="O125" s="3">
        <f ca="1">VLOOKUP($B125&amp;$C125,data!$A:$U,10,FALSE)</f>
        <v>0</v>
      </c>
      <c r="P125" s="3">
        <f ca="1">VLOOKUP($B125&amp;$C125,data!$A:$U,11,FALSE)</f>
        <v>0</v>
      </c>
      <c r="Q125" s="3">
        <f ca="1">VLOOKUP($B125&amp;$C125,data!$A:$U,12,FALSE)</f>
        <v>0</v>
      </c>
      <c r="R125" s="3">
        <f ca="1">VLOOKUP($B125&amp;$C125,data!$A:$U,13,FALSE)</f>
        <v>0</v>
      </c>
      <c r="S125" s="3">
        <f ca="1">VLOOKUP($B125&amp;$C125,data!$A:$U,5,FALSE)</f>
        <v>0</v>
      </c>
      <c r="T125" s="3">
        <f ca="1">VLOOKUP($B125&amp;$C125,data!$A:$U,6,FALSE)</f>
        <v>0</v>
      </c>
      <c r="U125" s="3">
        <f ca="1">VLOOKUP($B125&amp;$C125,data!$A:$U,7,FALSE)</f>
        <v>0</v>
      </c>
      <c r="V125" s="16"/>
      <c r="W125" s="9"/>
      <c r="X125" s="9"/>
      <c r="Y125" s="3"/>
      <c r="Z125" s="13">
        <f t="shared" ca="1" si="1"/>
        <v>0.70166539357887814</v>
      </c>
    </row>
    <row r="126" spans="1:26" ht="13" x14ac:dyDescent="0.15">
      <c r="A126" s="3">
        <v>125</v>
      </c>
      <c r="B126" s="3" t="s">
        <v>11</v>
      </c>
      <c r="C126" s="3" t="s">
        <v>349</v>
      </c>
      <c r="D126" s="10">
        <f t="shared" ca="1" si="0"/>
        <v>0.53076923076923077</v>
      </c>
      <c r="E126" s="5">
        <f ca="1">VLOOKUP($B126&amp;$C126,data!$A:$U,20,FALSE)</f>
        <v>44305.487604166599</v>
      </c>
      <c r="F126" s="3">
        <f ca="1">VLOOKUP($B126&amp;$C126,data!$A:$U,21,FALSE)</f>
        <v>0</v>
      </c>
      <c r="G126" s="3">
        <f ca="1">VLOOKUP($B126&amp;$C126,data!$A:$U,17,FALSE)</f>
        <v>1</v>
      </c>
      <c r="H126" s="3">
        <f ca="1">VLOOKUP($B126&amp;$C126,data!$A:$U,18,FALSE)</f>
        <v>0</v>
      </c>
      <c r="I126" s="3">
        <f ca="1">VLOOKUP($B126&amp;$C126,data!$A:$U,19,FALSE)</f>
        <v>1</v>
      </c>
      <c r="J126" s="3">
        <f ca="1">VLOOKUP($B126&amp;$C126,data!$A:$U,14,FALSE)</f>
        <v>1</v>
      </c>
      <c r="K126" s="3">
        <f ca="1">VLOOKUP($B126&amp;$C126,data!$A:$U,15,FALSE)</f>
        <v>0</v>
      </c>
      <c r="L126" s="3">
        <f ca="1">VLOOKUP($B126&amp;$C126,data!$A:$U,16,FALSE)</f>
        <v>1</v>
      </c>
      <c r="M126" s="3">
        <f ca="1">VLOOKUP($B126&amp;$C126,data!$A:$U,8,FALSE)</f>
        <v>48</v>
      </c>
      <c r="N126" s="3">
        <f ca="1">VLOOKUP($B126&amp;$C126,data!$A:$U,9,FALSE)</f>
        <v>4</v>
      </c>
      <c r="O126" s="3">
        <f ca="1">VLOOKUP($B126&amp;$C126,data!$A:$U,10,FALSE)</f>
        <v>44</v>
      </c>
      <c r="P126" s="3">
        <f ca="1">VLOOKUP($B126&amp;$C126,data!$A:$U,11,FALSE)</f>
        <v>16</v>
      </c>
      <c r="Q126" s="3">
        <f ca="1">VLOOKUP($B126&amp;$C126,data!$A:$U,12,FALSE)</f>
        <v>24</v>
      </c>
      <c r="R126" s="3">
        <f ca="1">VLOOKUP($B126&amp;$C126,data!$A:$U,13,FALSE)</f>
        <v>0</v>
      </c>
      <c r="S126" s="3">
        <f ca="1">VLOOKUP($B126&amp;$C126,data!$A:$U,5,FALSE)</f>
        <v>65</v>
      </c>
      <c r="T126" s="3">
        <f ca="1">VLOOKUP($B126&amp;$C126,data!$A:$U,6,FALSE)</f>
        <v>28</v>
      </c>
      <c r="U126" s="3">
        <f ca="1">VLOOKUP($B126&amp;$C126,data!$A:$U,7,FALSE)</f>
        <v>24</v>
      </c>
      <c r="V126" s="16"/>
      <c r="W126" s="9"/>
      <c r="X126" s="9"/>
      <c r="Y126" s="3"/>
      <c r="Z126" s="13">
        <f t="shared" ca="1" si="1"/>
        <v>0.59930428247753298</v>
      </c>
    </row>
    <row r="127" spans="1:26" ht="13" x14ac:dyDescent="0.15">
      <c r="A127" s="3">
        <v>126</v>
      </c>
      <c r="B127" s="3" t="s">
        <v>11</v>
      </c>
      <c r="C127" s="3" t="s">
        <v>350</v>
      </c>
      <c r="D127" s="10">
        <f t="shared" ca="1" si="0"/>
        <v>0.92592592592592593</v>
      </c>
      <c r="E127" s="5">
        <f ca="1">VLOOKUP($B127&amp;$C127,data!$A:$U,20,FALSE)</f>
        <v>44305.317048611098</v>
      </c>
      <c r="F127" s="3">
        <f ca="1">VLOOKUP($B127&amp;$C127,data!$A:$U,21,FALSE)</f>
        <v>0</v>
      </c>
      <c r="G127" s="3">
        <f ca="1">VLOOKUP($B127&amp;$C127,data!$A:$U,17,FALSE)</f>
        <v>5</v>
      </c>
      <c r="H127" s="3">
        <f ca="1">VLOOKUP($B127&amp;$C127,data!$A:$U,18,FALSE)</f>
        <v>0</v>
      </c>
      <c r="I127" s="3">
        <f ca="1">VLOOKUP($B127&amp;$C127,data!$A:$U,19,FALSE)</f>
        <v>5</v>
      </c>
      <c r="J127" s="3">
        <f ca="1">VLOOKUP($B127&amp;$C127,data!$A:$U,14,FALSE)</f>
        <v>8</v>
      </c>
      <c r="K127" s="3">
        <f ca="1">VLOOKUP($B127&amp;$C127,data!$A:$U,15,FALSE)</f>
        <v>0</v>
      </c>
      <c r="L127" s="3">
        <f ca="1">VLOOKUP($B127&amp;$C127,data!$A:$U,16,FALSE)</f>
        <v>8</v>
      </c>
      <c r="M127" s="3">
        <f ca="1">VLOOKUP($B127&amp;$C127,data!$A:$U,8,FALSE)</f>
        <v>25</v>
      </c>
      <c r="N127" s="3">
        <f ca="1">VLOOKUP($B127&amp;$C127,data!$A:$U,9,FALSE)</f>
        <v>0</v>
      </c>
      <c r="O127" s="3">
        <f ca="1">VLOOKUP($B127&amp;$C127,data!$A:$U,10,FALSE)</f>
        <v>25</v>
      </c>
      <c r="P127" s="3">
        <f ca="1">VLOOKUP($B127&amp;$C127,data!$A:$U,11,FALSE)</f>
        <v>75</v>
      </c>
      <c r="Q127" s="3">
        <f ca="1">VLOOKUP($B127&amp;$C127,data!$A:$U,12,FALSE)</f>
        <v>8</v>
      </c>
      <c r="R127" s="3">
        <f ca="1">VLOOKUP($B127&amp;$C127,data!$A:$U,13,FALSE)</f>
        <v>67</v>
      </c>
      <c r="S127" s="3">
        <f ca="1">VLOOKUP($B127&amp;$C127,data!$A:$U,5,FALSE)</f>
        <v>108</v>
      </c>
      <c r="T127" s="3">
        <f ca="1">VLOOKUP($B127&amp;$C127,data!$A:$U,6,FALSE)</f>
        <v>8</v>
      </c>
      <c r="U127" s="3">
        <f ca="1">VLOOKUP($B127&amp;$C127,data!$A:$U,7,FALSE)</f>
        <v>100</v>
      </c>
      <c r="V127" s="16"/>
      <c r="W127" s="9"/>
      <c r="X127" s="9"/>
      <c r="Y127" s="3"/>
      <c r="Z127" s="13">
        <f t="shared" ca="1" si="1"/>
        <v>0.76985983797931112</v>
      </c>
    </row>
    <row r="128" spans="1:26" ht="13" x14ac:dyDescent="0.15">
      <c r="A128" s="3">
        <v>127</v>
      </c>
      <c r="B128" s="3" t="s">
        <v>11</v>
      </c>
      <c r="C128" s="3" t="s">
        <v>351</v>
      </c>
      <c r="D128" s="10">
        <f t="shared" ca="1" si="0"/>
        <v>0</v>
      </c>
      <c r="E128" s="5">
        <f ca="1">VLOOKUP($B128&amp;$C128,data!$A:$U,20,FALSE)</f>
        <v>44305.421967592498</v>
      </c>
      <c r="F128" s="3">
        <f ca="1">VLOOKUP($B128&amp;$C128,data!$A:$U,21,FALSE)</f>
        <v>0</v>
      </c>
      <c r="G128" s="3">
        <f ca="1">VLOOKUP($B128&amp;$C128,data!$A:$U,17,FALSE)</f>
        <v>4</v>
      </c>
      <c r="H128" s="3">
        <f ca="1">VLOOKUP($B128&amp;$C128,data!$A:$U,18,FALSE)</f>
        <v>2</v>
      </c>
      <c r="I128" s="3">
        <f ca="1">VLOOKUP($B128&amp;$C128,data!$A:$U,19,FALSE)</f>
        <v>2</v>
      </c>
      <c r="J128" s="3">
        <f ca="1">VLOOKUP($B128&amp;$C128,data!$A:$U,14,FALSE)</f>
        <v>11</v>
      </c>
      <c r="K128" s="3">
        <f ca="1">VLOOKUP($B128&amp;$C128,data!$A:$U,15,FALSE)</f>
        <v>11</v>
      </c>
      <c r="L128" s="3">
        <f ca="1">VLOOKUP($B128&amp;$C128,data!$A:$U,16,FALSE)</f>
        <v>0</v>
      </c>
      <c r="M128" s="3">
        <f ca="1">VLOOKUP($B128&amp;$C128,data!$A:$U,8,FALSE)</f>
        <v>34</v>
      </c>
      <c r="N128" s="3">
        <f ca="1">VLOOKUP($B128&amp;$C128,data!$A:$U,9,FALSE)</f>
        <v>34</v>
      </c>
      <c r="O128" s="3">
        <f ca="1">VLOOKUP($B128&amp;$C128,data!$A:$U,10,FALSE)</f>
        <v>0</v>
      </c>
      <c r="P128" s="3">
        <f ca="1">VLOOKUP($B128&amp;$C128,data!$A:$U,11,FALSE)</f>
        <v>55</v>
      </c>
      <c r="Q128" s="3">
        <f ca="1">VLOOKUP($B128&amp;$C128,data!$A:$U,12,FALSE)</f>
        <v>55</v>
      </c>
      <c r="R128" s="3">
        <f ca="1">VLOOKUP($B128&amp;$C128,data!$A:$U,13,FALSE)</f>
        <v>0</v>
      </c>
      <c r="S128" s="3">
        <f ca="1">VLOOKUP($B128&amp;$C128,data!$A:$U,5,FALSE)</f>
        <v>100</v>
      </c>
      <c r="T128" s="3">
        <f ca="1">VLOOKUP($B128&amp;$C128,data!$A:$U,6,FALSE)</f>
        <v>100</v>
      </c>
      <c r="U128" s="3">
        <f ca="1">VLOOKUP($B128&amp;$C128,data!$A:$U,7,FALSE)</f>
        <v>0</v>
      </c>
      <c r="V128" s="16"/>
      <c r="W128" s="9"/>
      <c r="X128" s="9"/>
      <c r="Y128" s="3"/>
      <c r="Z128" s="13">
        <f t="shared" ca="1" si="1"/>
        <v>0.66494085657905089</v>
      </c>
    </row>
    <row r="129" spans="1:26" ht="13" x14ac:dyDescent="0.15">
      <c r="A129" s="3">
        <v>128</v>
      </c>
      <c r="B129" s="3" t="s">
        <v>11</v>
      </c>
      <c r="C129" s="3" t="s">
        <v>352</v>
      </c>
      <c r="D129" s="10">
        <f t="shared" ca="1" si="0"/>
        <v>1</v>
      </c>
      <c r="E129" s="5">
        <f ca="1">VLOOKUP($B129&amp;$C129,data!$A:$U,20,FALSE)</f>
        <v>44305.316168981401</v>
      </c>
      <c r="F129" s="3" t="str">
        <f ca="1">VLOOKUP($B129&amp;$C129,data!$A:$U,21,FALSE)</f>
        <v>.</v>
      </c>
      <c r="G129" s="3">
        <f ca="1">VLOOKUP($B129&amp;$C129,data!$A:$U,17,FALSE)</f>
        <v>10</v>
      </c>
      <c r="H129" s="3">
        <f ca="1">VLOOKUP($B129&amp;$C129,data!$A:$U,18,FALSE)</f>
        <v>0</v>
      </c>
      <c r="I129" s="3">
        <f ca="1">VLOOKUP($B129&amp;$C129,data!$A:$U,19,FALSE)</f>
        <v>10</v>
      </c>
      <c r="J129" s="3">
        <f ca="1">VLOOKUP($B129&amp;$C129,data!$A:$U,14,FALSE)</f>
        <v>10</v>
      </c>
      <c r="K129" s="3">
        <f ca="1">VLOOKUP($B129&amp;$C129,data!$A:$U,15,FALSE)</f>
        <v>0</v>
      </c>
      <c r="L129" s="3">
        <f ca="1">VLOOKUP($B129&amp;$C129,data!$A:$U,16,FALSE)</f>
        <v>10</v>
      </c>
      <c r="M129" s="3">
        <f ca="1">VLOOKUP($B129&amp;$C129,data!$A:$U,8,FALSE)</f>
        <v>75</v>
      </c>
      <c r="N129" s="3">
        <f ca="1">VLOOKUP($B129&amp;$C129,data!$A:$U,9,FALSE)</f>
        <v>0</v>
      </c>
      <c r="O129" s="3">
        <f ca="1">VLOOKUP($B129&amp;$C129,data!$A:$U,10,FALSE)</f>
        <v>75</v>
      </c>
      <c r="P129" s="3">
        <f ca="1">VLOOKUP($B129&amp;$C129,data!$A:$U,11,FALSE)</f>
        <v>95</v>
      </c>
      <c r="Q129" s="3">
        <f ca="1">VLOOKUP($B129&amp;$C129,data!$A:$U,12,FALSE)</f>
        <v>0</v>
      </c>
      <c r="R129" s="3">
        <f ca="1">VLOOKUP($B129&amp;$C129,data!$A:$U,13,FALSE)</f>
        <v>95</v>
      </c>
      <c r="S129" s="3">
        <f ca="1">VLOOKUP($B129&amp;$C129,data!$A:$U,5,FALSE)</f>
        <v>180</v>
      </c>
      <c r="T129" s="3">
        <f ca="1">VLOOKUP($B129&amp;$C129,data!$A:$U,6,FALSE)</f>
        <v>0</v>
      </c>
      <c r="U129" s="3">
        <f ca="1">VLOOKUP($B129&amp;$C129,data!$A:$U,7,FALSE)</f>
        <v>180</v>
      </c>
      <c r="V129" s="16"/>
      <c r="W129" s="9"/>
      <c r="X129" s="9"/>
      <c r="Y129" s="3"/>
      <c r="Z129" s="13">
        <f t="shared" ca="1" si="1"/>
        <v>0.77073946767632151</v>
      </c>
    </row>
    <row r="130" spans="1:26" ht="13" x14ac:dyDescent="0.15">
      <c r="A130" s="3">
        <v>129</v>
      </c>
      <c r="B130" s="3" t="s">
        <v>11</v>
      </c>
      <c r="C130" s="3" t="s">
        <v>353</v>
      </c>
      <c r="D130" s="10">
        <f t="shared" ca="1" si="0"/>
        <v>0.61250000000000004</v>
      </c>
      <c r="E130" s="5">
        <f ca="1">VLOOKUP($B130&amp;$C130,data!$A:$U,20,FALSE)</f>
        <v>44305.436979166603</v>
      </c>
      <c r="F130" s="3">
        <f ca="1">VLOOKUP($B130&amp;$C130,data!$A:$U,21,FALSE)</f>
        <v>0</v>
      </c>
      <c r="G130" s="3">
        <f ca="1">VLOOKUP($B130&amp;$C130,data!$A:$U,17,FALSE)</f>
        <v>6</v>
      </c>
      <c r="H130" s="3">
        <f ca="1">VLOOKUP($B130&amp;$C130,data!$A:$U,18,FALSE)</f>
        <v>2</v>
      </c>
      <c r="I130" s="3">
        <f ca="1">VLOOKUP($B130&amp;$C130,data!$A:$U,19,FALSE)</f>
        <v>4</v>
      </c>
      <c r="J130" s="3">
        <f ca="1">VLOOKUP($B130&amp;$C130,data!$A:$U,14,FALSE)</f>
        <v>7</v>
      </c>
      <c r="K130" s="3">
        <f ca="1">VLOOKUP($B130&amp;$C130,data!$A:$U,15,FALSE)</f>
        <v>2</v>
      </c>
      <c r="L130" s="3">
        <f ca="1">VLOOKUP($B130&amp;$C130,data!$A:$U,16,FALSE)</f>
        <v>8</v>
      </c>
      <c r="M130" s="3">
        <f ca="1">VLOOKUP($B130&amp;$C130,data!$A:$U,8,FALSE)</f>
        <v>40</v>
      </c>
      <c r="N130" s="3">
        <f ca="1">VLOOKUP($B130&amp;$C130,data!$A:$U,9,FALSE)</f>
        <v>9</v>
      </c>
      <c r="O130" s="3">
        <f ca="1">VLOOKUP($B130&amp;$C130,data!$A:$U,10,FALSE)</f>
        <v>31</v>
      </c>
      <c r="P130" s="3">
        <f ca="1">VLOOKUP($B130&amp;$C130,data!$A:$U,11,FALSE)</f>
        <v>33</v>
      </c>
      <c r="Q130" s="3">
        <f ca="1">VLOOKUP($B130&amp;$C130,data!$A:$U,12,FALSE)</f>
        <v>1</v>
      </c>
      <c r="R130" s="3">
        <f ca="1">VLOOKUP($B130&amp;$C130,data!$A:$U,13,FALSE)</f>
        <v>26</v>
      </c>
      <c r="S130" s="3">
        <f ca="1">VLOOKUP($B130&amp;$C130,data!$A:$U,5,FALSE)</f>
        <v>80</v>
      </c>
      <c r="T130" s="3">
        <f ca="1">VLOOKUP($B130&amp;$C130,data!$A:$U,6,FALSE)</f>
        <v>47</v>
      </c>
      <c r="U130" s="3">
        <f ca="1">VLOOKUP($B130&amp;$C130,data!$A:$U,7,FALSE)</f>
        <v>33</v>
      </c>
      <c r="V130" s="16"/>
      <c r="W130" s="9"/>
      <c r="X130" s="9"/>
      <c r="Y130" s="3"/>
      <c r="Z130" s="13">
        <f t="shared" ca="1" si="1"/>
        <v>0.64992928247374948</v>
      </c>
    </row>
    <row r="131" spans="1:26" ht="13" x14ac:dyDescent="0.15">
      <c r="A131" s="3">
        <v>130</v>
      </c>
      <c r="B131" s="3" t="s">
        <v>12</v>
      </c>
      <c r="C131" s="3" t="s">
        <v>354</v>
      </c>
      <c r="D131" s="10">
        <f t="shared" ca="1" si="0"/>
        <v>0.41025641025641024</v>
      </c>
      <c r="E131" s="5">
        <f ca="1">VLOOKUP($B131&amp;$C131,data!$A:$U,20,FALSE)</f>
        <v>44305.310046296298</v>
      </c>
      <c r="F131" s="3" t="str">
        <f ca="1">VLOOKUP($B131&amp;$C131,data!$A:$U,21,FALSE)</f>
        <v>19.04.2021</v>
      </c>
      <c r="G131" s="3">
        <f ca="1">VLOOKUP($B131&amp;$C131,data!$A:$U,17,FALSE)</f>
        <v>2</v>
      </c>
      <c r="H131" s="3">
        <f ca="1">VLOOKUP($B131&amp;$C131,data!$A:$U,18,FALSE)</f>
        <v>0</v>
      </c>
      <c r="I131" s="3">
        <f ca="1">VLOOKUP($B131&amp;$C131,data!$A:$U,19,FALSE)</f>
        <v>2</v>
      </c>
      <c r="J131" s="3">
        <f ca="1">VLOOKUP($B131&amp;$C131,data!$A:$U,14,FALSE)</f>
        <v>12</v>
      </c>
      <c r="K131" s="3">
        <f ca="1">VLOOKUP($B131&amp;$C131,data!$A:$U,15,FALSE)</f>
        <v>6</v>
      </c>
      <c r="L131" s="3">
        <f ca="1">VLOOKUP($B131&amp;$C131,data!$A:$U,16,FALSE)</f>
        <v>12</v>
      </c>
      <c r="M131" s="3">
        <f ca="1">VLOOKUP($B131&amp;$C131,data!$A:$U,8,FALSE)</f>
        <v>4</v>
      </c>
      <c r="N131" s="3">
        <f ca="1">VLOOKUP($B131&amp;$C131,data!$A:$U,9,FALSE)</f>
        <v>0</v>
      </c>
      <c r="O131" s="3">
        <f ca="1">VLOOKUP($B131&amp;$C131,data!$A:$U,10,FALSE)</f>
        <v>4</v>
      </c>
      <c r="P131" s="3">
        <f ca="1">VLOOKUP($B131&amp;$C131,data!$A:$U,11,FALSE)</f>
        <v>4</v>
      </c>
      <c r="Q131" s="3">
        <f ca="1">VLOOKUP($B131&amp;$C131,data!$A:$U,12,FALSE)</f>
        <v>0</v>
      </c>
      <c r="R131" s="3">
        <f ca="1">VLOOKUP($B131&amp;$C131,data!$A:$U,13,FALSE)</f>
        <v>0</v>
      </c>
      <c r="S131" s="3">
        <f ca="1">VLOOKUP($B131&amp;$C131,data!$A:$U,5,FALSE)</f>
        <v>19</v>
      </c>
      <c r="T131" s="3">
        <f ca="1">VLOOKUP($B131&amp;$C131,data!$A:$U,6,FALSE)</f>
        <v>19</v>
      </c>
      <c r="U131" s="3">
        <f ca="1">VLOOKUP($B131&amp;$C131,data!$A:$U,7,FALSE)</f>
        <v>0</v>
      </c>
      <c r="V131" s="16"/>
      <c r="W131" s="9"/>
      <c r="X131" s="9"/>
      <c r="Y131" s="3"/>
      <c r="Z131" s="13">
        <f t="shared" ca="1" si="1"/>
        <v>0.77686215277935844</v>
      </c>
    </row>
    <row r="132" spans="1:26" ht="13" x14ac:dyDescent="0.15">
      <c r="A132" s="3">
        <v>131</v>
      </c>
      <c r="B132" s="3" t="s">
        <v>12</v>
      </c>
      <c r="C132" s="3" t="s">
        <v>355</v>
      </c>
      <c r="D132" s="10">
        <f t="shared" ca="1" si="0"/>
        <v>2.5000000000000001E-2</v>
      </c>
      <c r="E132" s="5">
        <f ca="1">VLOOKUP($B132&amp;$C132,data!$A:$U,20,FALSE)</f>
        <v>44305.3066550925</v>
      </c>
      <c r="F132" s="3" t="str">
        <f ca="1">VLOOKUP($B132&amp;$C132,data!$A:$U,21,FALSE)</f>
        <v>19.04.2021</v>
      </c>
      <c r="G132" s="3">
        <f ca="1">VLOOKUP($B132&amp;$C132,data!$A:$U,17,FALSE)</f>
        <v>2</v>
      </c>
      <c r="H132" s="3">
        <f ca="1">VLOOKUP($B132&amp;$C132,data!$A:$U,18,FALSE)</f>
        <v>0</v>
      </c>
      <c r="I132" s="3">
        <f ca="1">VLOOKUP($B132&amp;$C132,data!$A:$U,19,FALSE)</f>
        <v>2</v>
      </c>
      <c r="J132" s="3">
        <f ca="1">VLOOKUP($B132&amp;$C132,data!$A:$U,14,FALSE)</f>
        <v>2</v>
      </c>
      <c r="K132" s="3">
        <f ca="1">VLOOKUP($B132&amp;$C132,data!$A:$U,15,FALSE)</f>
        <v>1</v>
      </c>
      <c r="L132" s="3">
        <f ca="1">VLOOKUP($B132&amp;$C132,data!$A:$U,16,FALSE)</f>
        <v>1</v>
      </c>
      <c r="M132" s="3">
        <f ca="1">VLOOKUP($B132&amp;$C132,data!$A:$U,8,FALSE)</f>
        <v>19</v>
      </c>
      <c r="N132" s="3">
        <f ca="1">VLOOKUP($B132&amp;$C132,data!$A:$U,9,FALSE)</f>
        <v>19</v>
      </c>
      <c r="O132" s="3">
        <f ca="1">VLOOKUP($B132&amp;$C132,data!$A:$U,10,FALSE)</f>
        <v>0</v>
      </c>
      <c r="P132" s="3">
        <f ca="1">VLOOKUP($B132&amp;$C132,data!$A:$U,11,FALSE)</f>
        <v>0</v>
      </c>
      <c r="Q132" s="3">
        <f ca="1">VLOOKUP($B132&amp;$C132,data!$A:$U,12,FALSE)</f>
        <v>0</v>
      </c>
      <c r="R132" s="3">
        <f ca="1">VLOOKUP($B132&amp;$C132,data!$A:$U,13,FALSE)</f>
        <v>0</v>
      </c>
      <c r="S132" s="3">
        <f ca="1">VLOOKUP($B132&amp;$C132,data!$A:$U,5,FALSE)</f>
        <v>19</v>
      </c>
      <c r="T132" s="3">
        <f ca="1">VLOOKUP($B132&amp;$C132,data!$A:$U,6,FALSE)</f>
        <v>19</v>
      </c>
      <c r="U132" s="3">
        <f ca="1">VLOOKUP($B132&amp;$C132,data!$A:$U,7,FALSE)</f>
        <v>0</v>
      </c>
      <c r="V132" s="18" t="s">
        <v>356</v>
      </c>
      <c r="W132" s="9"/>
      <c r="X132" s="22" t="s">
        <v>357</v>
      </c>
      <c r="Y132" s="3"/>
      <c r="Z132" s="13">
        <f t="shared" ca="1" si="1"/>
        <v>0.78025335657730466</v>
      </c>
    </row>
    <row r="133" spans="1:26" ht="13" x14ac:dyDescent="0.15">
      <c r="A133" s="3">
        <v>132</v>
      </c>
      <c r="B133" s="3" t="s">
        <v>13</v>
      </c>
      <c r="C133" s="3" t="s">
        <v>358</v>
      </c>
      <c r="D133" s="10">
        <f t="shared" ca="1" si="0"/>
        <v>0.9</v>
      </c>
      <c r="E133" s="5">
        <f ca="1">VLOOKUP($B133&amp;$C133,data!$A:$U,20,FALSE)</f>
        <v>44305.443449074002</v>
      </c>
      <c r="F133" s="3">
        <f ca="1">VLOOKUP($B133&amp;$C133,data!$A:$U,21,FALSE)</f>
        <v>0</v>
      </c>
      <c r="G133" s="3">
        <f ca="1">VLOOKUP($B133&amp;$C133,data!$A:$U,17,FALSE)</f>
        <v>0</v>
      </c>
      <c r="H133" s="3">
        <f ca="1">VLOOKUP($B133&amp;$C133,data!$A:$U,18,FALSE)</f>
        <v>0</v>
      </c>
      <c r="I133" s="3">
        <f ca="1">VLOOKUP($B133&amp;$C133,data!$A:$U,19,FALSE)</f>
        <v>0</v>
      </c>
      <c r="J133" s="3">
        <f ca="1">VLOOKUP($B133&amp;$C133,data!$A:$U,14,FALSE)</f>
        <v>0</v>
      </c>
      <c r="K133" s="3">
        <f ca="1">VLOOKUP($B133&amp;$C133,data!$A:$U,15,FALSE)</f>
        <v>0</v>
      </c>
      <c r="L133" s="3">
        <f ca="1">VLOOKUP($B133&amp;$C133,data!$A:$U,16,FALSE)</f>
        <v>0</v>
      </c>
      <c r="M133" s="3">
        <f ca="1">VLOOKUP($B133&amp;$C133,data!$A:$U,8,FALSE)</f>
        <v>10</v>
      </c>
      <c r="N133" s="3">
        <f ca="1">VLOOKUP($B133&amp;$C133,data!$A:$U,9,FALSE)</f>
        <v>1</v>
      </c>
      <c r="O133" s="3">
        <f ca="1">VLOOKUP($B133&amp;$C133,data!$A:$U,10,FALSE)</f>
        <v>9</v>
      </c>
      <c r="P133" s="3">
        <f ca="1">VLOOKUP($B133&amp;$C133,data!$A:$U,11,FALSE)</f>
        <v>0</v>
      </c>
      <c r="Q133" s="3">
        <f ca="1">VLOOKUP($B133&amp;$C133,data!$A:$U,12,FALSE)</f>
        <v>0</v>
      </c>
      <c r="R133" s="3">
        <f ca="1">VLOOKUP($B133&amp;$C133,data!$A:$U,13,FALSE)</f>
        <v>0</v>
      </c>
      <c r="S133" s="3">
        <f ca="1">VLOOKUP($B133&amp;$C133,data!$A:$U,5,FALSE)</f>
        <v>10</v>
      </c>
      <c r="T133" s="3">
        <f ca="1">VLOOKUP($B133&amp;$C133,data!$A:$U,6,FALSE)</f>
        <v>1</v>
      </c>
      <c r="U133" s="3">
        <f ca="1">VLOOKUP($B133&amp;$C133,data!$A:$U,7,FALSE)</f>
        <v>9</v>
      </c>
      <c r="V133" s="16"/>
      <c r="W133" s="9"/>
      <c r="X133" s="9"/>
      <c r="Y133" s="3"/>
      <c r="Z133" s="13">
        <f t="shared" ca="1" si="1"/>
        <v>0.64345937507459894</v>
      </c>
    </row>
    <row r="134" spans="1:26" ht="13" x14ac:dyDescent="0.15">
      <c r="A134" s="3">
        <v>133</v>
      </c>
      <c r="B134" s="3" t="s">
        <v>13</v>
      </c>
      <c r="C134" s="3" t="s">
        <v>359</v>
      </c>
      <c r="D134" s="10">
        <f t="shared" ca="1" si="0"/>
        <v>0</v>
      </c>
      <c r="E134" s="5">
        <f ca="1">VLOOKUP($B134&amp;$C134,data!$A:$U,20,FALSE)</f>
        <v>44305.443437499998</v>
      </c>
      <c r="F134" s="3" t="str">
        <f ca="1">VLOOKUP($B134&amp;$C134,data!$A:$U,21,FALSE)</f>
        <v>NILL</v>
      </c>
      <c r="G134" s="3">
        <f ca="1">VLOOKUP($B134&amp;$C134,data!$A:$U,17,FALSE)</f>
        <v>0</v>
      </c>
      <c r="H134" s="3">
        <f ca="1">VLOOKUP($B134&amp;$C134,data!$A:$U,18,FALSE)</f>
        <v>0</v>
      </c>
      <c r="I134" s="3">
        <f ca="1">VLOOKUP($B134&amp;$C134,data!$A:$U,19,FALSE)</f>
        <v>0</v>
      </c>
      <c r="J134" s="3">
        <f ca="1">VLOOKUP($B134&amp;$C134,data!$A:$U,14,FALSE)</f>
        <v>0</v>
      </c>
      <c r="K134" s="3">
        <f ca="1">VLOOKUP($B134&amp;$C134,data!$A:$U,15,FALSE)</f>
        <v>0</v>
      </c>
      <c r="L134" s="3">
        <f ca="1">VLOOKUP($B134&amp;$C134,data!$A:$U,16,FALSE)</f>
        <v>0</v>
      </c>
      <c r="M134" s="3">
        <f ca="1">VLOOKUP($B134&amp;$C134,data!$A:$U,8,FALSE)</f>
        <v>25</v>
      </c>
      <c r="N134" s="3">
        <f ca="1">VLOOKUP($B134&amp;$C134,data!$A:$U,9,FALSE)</f>
        <v>25</v>
      </c>
      <c r="O134" s="3">
        <f ca="1">VLOOKUP($B134&amp;$C134,data!$A:$U,10,FALSE)</f>
        <v>0</v>
      </c>
      <c r="P134" s="3">
        <f ca="1">VLOOKUP($B134&amp;$C134,data!$A:$U,11,FALSE)</f>
        <v>0</v>
      </c>
      <c r="Q134" s="3">
        <f ca="1">VLOOKUP($B134&amp;$C134,data!$A:$U,12,FALSE)</f>
        <v>0</v>
      </c>
      <c r="R134" s="3">
        <f ca="1">VLOOKUP($B134&amp;$C134,data!$A:$U,13,FALSE)</f>
        <v>0</v>
      </c>
      <c r="S134" s="3">
        <f ca="1">VLOOKUP($B134&amp;$C134,data!$A:$U,5,FALSE)</f>
        <v>25</v>
      </c>
      <c r="T134" s="3">
        <f ca="1">VLOOKUP($B134&amp;$C134,data!$A:$U,6,FALSE)</f>
        <v>25</v>
      </c>
      <c r="U134" s="3">
        <f ca="1">VLOOKUP($B134&amp;$C134,data!$A:$U,7,FALSE)</f>
        <v>0</v>
      </c>
      <c r="V134" s="16"/>
      <c r="W134" s="9"/>
      <c r="X134" s="9"/>
      <c r="Y134" s="3"/>
      <c r="Z134" s="13">
        <f t="shared" ca="1" si="1"/>
        <v>0.64347094907861901</v>
      </c>
    </row>
    <row r="135" spans="1:26" ht="13" x14ac:dyDescent="0.15">
      <c r="A135" s="3">
        <v>134</v>
      </c>
      <c r="B135" s="3" t="s">
        <v>14</v>
      </c>
      <c r="C135" s="3" t="s">
        <v>360</v>
      </c>
      <c r="D135" s="10">
        <f t="shared" ca="1" si="0"/>
        <v>0.46753246753246752</v>
      </c>
      <c r="E135" s="5">
        <f ca="1">VLOOKUP($B135&amp;$C135,data!$A:$U,20,FALSE)</f>
        <v>44305.427037037</v>
      </c>
      <c r="F135" s="3" t="str">
        <f ca="1">VLOOKUP($B135&amp;$C135,data!$A:$U,21,FALSE)</f>
        <v>Updated.</v>
      </c>
      <c r="G135" s="3">
        <f ca="1">VLOOKUP($B135&amp;$C135,data!$A:$U,17,FALSE)</f>
        <v>4</v>
      </c>
      <c r="H135" s="3">
        <f ca="1">VLOOKUP($B135&amp;$C135,data!$A:$U,18,FALSE)</f>
        <v>0</v>
      </c>
      <c r="I135" s="3">
        <f ca="1">VLOOKUP($B135&amp;$C135,data!$A:$U,19,FALSE)</f>
        <v>0</v>
      </c>
      <c r="J135" s="3">
        <f ca="1">VLOOKUP($B135&amp;$C135,data!$A:$U,14,FALSE)</f>
        <v>6</v>
      </c>
      <c r="K135" s="3">
        <f ca="1">VLOOKUP($B135&amp;$C135,data!$A:$U,15,FALSE)</f>
        <v>6</v>
      </c>
      <c r="L135" s="3">
        <f ca="1">VLOOKUP($B135&amp;$C135,data!$A:$U,16,FALSE)</f>
        <v>0</v>
      </c>
      <c r="M135" s="3">
        <f ca="1">VLOOKUP($B135&amp;$C135,data!$A:$U,8,FALSE)</f>
        <v>71</v>
      </c>
      <c r="N135" s="3">
        <f ca="1">VLOOKUP($B135&amp;$C135,data!$A:$U,9,FALSE)</f>
        <v>75</v>
      </c>
      <c r="O135" s="3">
        <f ca="1">VLOOKUP($B135&amp;$C135,data!$A:$U,10,FALSE)</f>
        <v>36</v>
      </c>
      <c r="P135" s="3">
        <f ca="1">VLOOKUP($B135&amp;$C135,data!$A:$U,11,FALSE)</f>
        <v>0</v>
      </c>
      <c r="Q135" s="3">
        <f ca="1">VLOOKUP($B135&amp;$C135,data!$A:$U,12,FALSE)</f>
        <v>0</v>
      </c>
      <c r="R135" s="3">
        <f ca="1">VLOOKUP($B135&amp;$C135,data!$A:$U,13,FALSE)</f>
        <v>0</v>
      </c>
      <c r="S135" s="3">
        <f ca="1">VLOOKUP($B135&amp;$C135,data!$A:$U,5,FALSE)</f>
        <v>77</v>
      </c>
      <c r="T135" s="3">
        <f ca="1">VLOOKUP($B135&amp;$C135,data!$A:$U,6,FALSE)</f>
        <v>75</v>
      </c>
      <c r="U135" s="3">
        <f ca="1">VLOOKUP($B135&amp;$C135,data!$A:$U,7,FALSE)</f>
        <v>36</v>
      </c>
      <c r="V135" s="16"/>
      <c r="W135" s="9"/>
      <c r="X135" s="9"/>
      <c r="Y135" s="3"/>
      <c r="Z135" s="13">
        <f t="shared" ca="1" si="1"/>
        <v>0.65987141207733657</v>
      </c>
    </row>
    <row r="136" spans="1:26" ht="13" x14ac:dyDescent="0.15">
      <c r="A136" s="3">
        <v>135</v>
      </c>
      <c r="B136" s="3" t="s">
        <v>14</v>
      </c>
      <c r="C136" s="3" t="s">
        <v>361</v>
      </c>
      <c r="D136" s="10">
        <f t="shared" ca="1" si="0"/>
        <v>0.04</v>
      </c>
      <c r="E136" s="5">
        <f ca="1">VLOOKUP($B136&amp;$C136,data!$A:$U,20,FALSE)</f>
        <v>44305.409305555499</v>
      </c>
      <c r="F136" s="3" t="str">
        <f ca="1">VLOOKUP($B136&amp;$C136,data!$A:$U,21,FALSE)</f>
        <v>19.04.2021 Updated....</v>
      </c>
      <c r="G136" s="3">
        <f ca="1">VLOOKUP($B136&amp;$C136,data!$A:$U,17,FALSE)</f>
        <v>0</v>
      </c>
      <c r="H136" s="3">
        <f ca="1">VLOOKUP($B136&amp;$C136,data!$A:$U,18,FALSE)</f>
        <v>0</v>
      </c>
      <c r="I136" s="3">
        <f ca="1">VLOOKUP($B136&amp;$C136,data!$A:$U,19,FALSE)</f>
        <v>0</v>
      </c>
      <c r="J136" s="3">
        <f ca="1">VLOOKUP($B136&amp;$C136,data!$A:$U,14,FALSE)</f>
        <v>0</v>
      </c>
      <c r="K136" s="3">
        <f ca="1">VLOOKUP($B136&amp;$C136,data!$A:$U,15,FALSE)</f>
        <v>0</v>
      </c>
      <c r="L136" s="3">
        <f ca="1">VLOOKUP($B136&amp;$C136,data!$A:$U,16,FALSE)</f>
        <v>0</v>
      </c>
      <c r="M136" s="3">
        <f ca="1">VLOOKUP($B136&amp;$C136,data!$A:$U,8,FALSE)</f>
        <v>1</v>
      </c>
      <c r="N136" s="3">
        <f ca="1">VLOOKUP($B136&amp;$C136,data!$A:$U,9,FALSE)</f>
        <v>0</v>
      </c>
      <c r="O136" s="3">
        <f ca="1">VLOOKUP($B136&amp;$C136,data!$A:$U,10,FALSE)</f>
        <v>1</v>
      </c>
      <c r="P136" s="3">
        <f ca="1">VLOOKUP($B136&amp;$C136,data!$A:$U,11,FALSE)</f>
        <v>12</v>
      </c>
      <c r="Q136" s="3">
        <f ca="1">VLOOKUP($B136&amp;$C136,data!$A:$U,12,FALSE)</f>
        <v>12</v>
      </c>
      <c r="R136" s="3">
        <f ca="1">VLOOKUP($B136&amp;$C136,data!$A:$U,13,FALSE)</f>
        <v>0</v>
      </c>
      <c r="S136" s="3">
        <f ca="1">VLOOKUP($B136&amp;$C136,data!$A:$U,5,FALSE)</f>
        <v>12</v>
      </c>
      <c r="T136" s="3">
        <f ca="1">VLOOKUP($B136&amp;$C136,data!$A:$U,6,FALSE)</f>
        <v>12</v>
      </c>
      <c r="U136" s="3">
        <f ca="1">VLOOKUP($B136&amp;$C136,data!$A:$U,7,FALSE)</f>
        <v>0</v>
      </c>
      <c r="V136" s="16"/>
      <c r="W136" s="9"/>
      <c r="X136" s="9"/>
      <c r="Y136" s="3"/>
      <c r="Z136" s="13">
        <f t="shared" ca="1" si="1"/>
        <v>0.67760289357829606</v>
      </c>
    </row>
    <row r="137" spans="1:26" ht="13" x14ac:dyDescent="0.15">
      <c r="A137" s="3">
        <v>136</v>
      </c>
      <c r="B137" s="3" t="s">
        <v>14</v>
      </c>
      <c r="C137" s="3" t="s">
        <v>362</v>
      </c>
      <c r="D137" s="10">
        <f t="shared" ca="1" si="0"/>
        <v>0.45454545454545453</v>
      </c>
      <c r="E137" s="5">
        <f ca="1">VLOOKUP($B137&amp;$C137,data!$A:$U,20,FALSE)</f>
        <v>44305.311006944401</v>
      </c>
      <c r="F137" s="3" t="str">
        <f ca="1">VLOOKUP($B137&amp;$C137,data!$A:$U,21,FALSE)</f>
        <v>Update</v>
      </c>
      <c r="G137" s="3">
        <f ca="1">VLOOKUP($B137&amp;$C137,data!$A:$U,17,FALSE)</f>
        <v>3</v>
      </c>
      <c r="H137" s="3">
        <f ca="1">VLOOKUP($B137&amp;$C137,data!$A:$U,18,FALSE)</f>
        <v>2</v>
      </c>
      <c r="I137" s="3">
        <f ca="1">VLOOKUP($B137&amp;$C137,data!$A:$U,19,FALSE)</f>
        <v>1</v>
      </c>
      <c r="J137" s="3">
        <f ca="1">VLOOKUP($B137&amp;$C137,data!$A:$U,14,FALSE)</f>
        <v>9</v>
      </c>
      <c r="K137" s="3">
        <f ca="1">VLOOKUP($B137&amp;$C137,data!$A:$U,15,FALSE)</f>
        <v>7</v>
      </c>
      <c r="L137" s="3">
        <f ca="1">VLOOKUP($B137&amp;$C137,data!$A:$U,16,FALSE)</f>
        <v>2</v>
      </c>
      <c r="M137" s="3">
        <f ca="1">VLOOKUP($B137&amp;$C137,data!$A:$U,8,FALSE)</f>
        <v>7</v>
      </c>
      <c r="N137" s="3">
        <f ca="1">VLOOKUP($B137&amp;$C137,data!$A:$U,9,FALSE)</f>
        <v>3</v>
      </c>
      <c r="O137" s="3">
        <f ca="1">VLOOKUP($B137&amp;$C137,data!$A:$U,10,FALSE)</f>
        <v>4</v>
      </c>
      <c r="P137" s="3">
        <f ca="1">VLOOKUP($B137&amp;$C137,data!$A:$U,11,FALSE)</f>
        <v>17</v>
      </c>
      <c r="Q137" s="3">
        <f ca="1">VLOOKUP($B137&amp;$C137,data!$A:$U,12,FALSE)</f>
        <v>8</v>
      </c>
      <c r="R137" s="3">
        <f ca="1">VLOOKUP($B137&amp;$C137,data!$A:$U,13,FALSE)</f>
        <v>9</v>
      </c>
      <c r="S137" s="3">
        <f ca="1">VLOOKUP($B137&amp;$C137,data!$A:$U,5,FALSE)</f>
        <v>33</v>
      </c>
      <c r="T137" s="3">
        <f ca="1">VLOOKUP($B137&amp;$C137,data!$A:$U,6,FALSE)</f>
        <v>18</v>
      </c>
      <c r="U137" s="3">
        <f ca="1">VLOOKUP($B137&amp;$C137,data!$A:$U,7,FALSE)</f>
        <v>15</v>
      </c>
      <c r="V137" s="18" t="s">
        <v>363</v>
      </c>
      <c r="W137" s="17" t="s">
        <v>364</v>
      </c>
      <c r="X137" s="17" t="s">
        <v>365</v>
      </c>
      <c r="Y137" s="19" t="s">
        <v>366</v>
      </c>
      <c r="Z137" s="13">
        <f t="shared" ca="1" si="1"/>
        <v>0.77590150467585772</v>
      </c>
    </row>
    <row r="138" spans="1:26" ht="13" x14ac:dyDescent="0.15">
      <c r="A138" s="3">
        <v>137</v>
      </c>
      <c r="B138" s="3" t="s">
        <v>14</v>
      </c>
      <c r="C138" s="3" t="s">
        <v>367</v>
      </c>
      <c r="D138" s="10">
        <f t="shared" ca="1" si="0"/>
        <v>0.63749999999999996</v>
      </c>
      <c r="E138" s="5">
        <f ca="1">VLOOKUP($B138&amp;$C138,data!$A:$U,20,FALSE)</f>
        <v>44305.444664351802</v>
      </c>
      <c r="F138" s="3" t="str">
        <f ca="1">VLOOKUP($B138&amp;$C138,data!$A:$U,21,FALSE)</f>
        <v>Updated</v>
      </c>
      <c r="G138" s="3">
        <f ca="1">VLOOKUP($B138&amp;$C138,data!$A:$U,17,FALSE)</f>
        <v>3</v>
      </c>
      <c r="H138" s="3">
        <f ca="1">VLOOKUP($B138&amp;$C138,data!$A:$U,18,FALSE)</f>
        <v>0</v>
      </c>
      <c r="I138" s="3">
        <f ca="1">VLOOKUP($B138&amp;$C138,data!$A:$U,19,FALSE)</f>
        <v>3</v>
      </c>
      <c r="J138" s="3">
        <f ca="1">VLOOKUP($B138&amp;$C138,data!$A:$U,14,FALSE)</f>
        <v>13</v>
      </c>
      <c r="K138" s="3">
        <f ca="1">VLOOKUP($B138&amp;$C138,data!$A:$U,15,FALSE)</f>
        <v>0</v>
      </c>
      <c r="L138" s="3">
        <f ca="1">VLOOKUP($B138&amp;$C138,data!$A:$U,16,FALSE)</f>
        <v>35</v>
      </c>
      <c r="M138" s="3">
        <f ca="1">VLOOKUP($B138&amp;$C138,data!$A:$U,8,FALSE)</f>
        <v>12</v>
      </c>
      <c r="N138" s="3">
        <f ca="1">VLOOKUP($B138&amp;$C138,data!$A:$U,9,FALSE)</f>
        <v>0</v>
      </c>
      <c r="O138" s="3">
        <f ca="1">VLOOKUP($B138&amp;$C138,data!$A:$U,10,FALSE)</f>
        <v>10</v>
      </c>
      <c r="P138" s="3">
        <f ca="1">VLOOKUP($B138&amp;$C138,data!$A:$U,11,FALSE)</f>
        <v>15</v>
      </c>
      <c r="Q138" s="3">
        <f ca="1">VLOOKUP($B138&amp;$C138,data!$A:$U,12,FALSE)</f>
        <v>15</v>
      </c>
      <c r="R138" s="3">
        <f ca="1">VLOOKUP($B138&amp;$C138,data!$A:$U,13,FALSE)</f>
        <v>0</v>
      </c>
      <c r="S138" s="3">
        <f ca="1">VLOOKUP($B138&amp;$C138,data!$A:$U,5,FALSE)</f>
        <v>40</v>
      </c>
      <c r="T138" s="3">
        <f ca="1">VLOOKUP($B138&amp;$C138,data!$A:$U,6,FALSE)</f>
        <v>34</v>
      </c>
      <c r="U138" s="3">
        <f ca="1">VLOOKUP($B138&amp;$C138,data!$A:$U,7,FALSE)</f>
        <v>6</v>
      </c>
      <c r="V138" s="18" t="s">
        <v>368</v>
      </c>
      <c r="W138" s="17" t="s">
        <v>369</v>
      </c>
      <c r="X138" s="17" t="s">
        <v>370</v>
      </c>
      <c r="Y138" s="19" t="s">
        <v>371</v>
      </c>
      <c r="Z138" s="13">
        <f t="shared" ca="1" si="1"/>
        <v>0.64224409727466991</v>
      </c>
    </row>
    <row r="139" spans="1:26" ht="13" x14ac:dyDescent="0.15">
      <c r="A139" s="3">
        <v>138</v>
      </c>
      <c r="B139" s="3" t="s">
        <v>14</v>
      </c>
      <c r="C139" s="3" t="s">
        <v>372</v>
      </c>
      <c r="D139" s="10">
        <f t="shared" ca="1" si="0"/>
        <v>0.36</v>
      </c>
      <c r="E139" s="5">
        <f ca="1">VLOOKUP($B139&amp;$C139,data!$A:$U,20,FALSE)</f>
        <v>44305.513252314799</v>
      </c>
      <c r="F139" s="3" t="str">
        <f ca="1">VLOOKUP($B139&amp;$C139,data!$A:$U,21,FALSE)</f>
        <v>Updated 19.04.2021</v>
      </c>
      <c r="G139" s="3">
        <f ca="1">VLOOKUP($B139&amp;$C139,data!$A:$U,17,FALSE)</f>
        <v>0</v>
      </c>
      <c r="H139" s="3">
        <f ca="1">VLOOKUP($B139&amp;$C139,data!$A:$U,18,FALSE)</f>
        <v>0</v>
      </c>
      <c r="I139" s="3">
        <f ca="1">VLOOKUP($B139&amp;$C139,data!$A:$U,19,FALSE)</f>
        <v>0</v>
      </c>
      <c r="J139" s="3">
        <f ca="1">VLOOKUP($B139&amp;$C139,data!$A:$U,14,FALSE)</f>
        <v>0</v>
      </c>
      <c r="K139" s="3">
        <f ca="1">VLOOKUP($B139&amp;$C139,data!$A:$U,15,FALSE)</f>
        <v>0</v>
      </c>
      <c r="L139" s="3">
        <f ca="1">VLOOKUP($B139&amp;$C139,data!$A:$U,16,FALSE)</f>
        <v>0</v>
      </c>
      <c r="M139" s="3">
        <f ca="1">VLOOKUP($B139&amp;$C139,data!$A:$U,8,FALSE)</f>
        <v>5</v>
      </c>
      <c r="N139" s="3">
        <f ca="1">VLOOKUP($B139&amp;$C139,data!$A:$U,9,FALSE)</f>
        <v>5</v>
      </c>
      <c r="O139" s="3">
        <f ca="1">VLOOKUP($B139&amp;$C139,data!$A:$U,10,FALSE)</f>
        <v>0</v>
      </c>
      <c r="P139" s="3">
        <f ca="1">VLOOKUP($B139&amp;$C139,data!$A:$U,11,FALSE)</f>
        <v>20</v>
      </c>
      <c r="Q139" s="3">
        <f ca="1">VLOOKUP($B139&amp;$C139,data!$A:$U,12,FALSE)</f>
        <v>11</v>
      </c>
      <c r="R139" s="3">
        <f ca="1">VLOOKUP($B139&amp;$C139,data!$A:$U,13,FALSE)</f>
        <v>9</v>
      </c>
      <c r="S139" s="3">
        <f ca="1">VLOOKUP($B139&amp;$C139,data!$A:$U,5,FALSE)</f>
        <v>25</v>
      </c>
      <c r="T139" s="3">
        <f ca="1">VLOOKUP($B139&amp;$C139,data!$A:$U,6,FALSE)</f>
        <v>16</v>
      </c>
      <c r="U139" s="3">
        <f ca="1">VLOOKUP($B139&amp;$C139,data!$A:$U,7,FALSE)</f>
        <v>9</v>
      </c>
      <c r="V139" s="16"/>
      <c r="W139" s="9"/>
      <c r="X139" s="9"/>
      <c r="Y139" s="3"/>
      <c r="Z139" s="13">
        <f t="shared" ca="1" si="1"/>
        <v>0.57365613427828066</v>
      </c>
    </row>
    <row r="140" spans="1:26" ht="13" x14ac:dyDescent="0.15">
      <c r="A140" s="3">
        <v>139</v>
      </c>
      <c r="B140" s="3" t="s">
        <v>14</v>
      </c>
      <c r="C140" s="3" t="s">
        <v>373</v>
      </c>
      <c r="D140" s="10">
        <f t="shared" ca="1" si="0"/>
        <v>0</v>
      </c>
      <c r="E140" s="5">
        <f ca="1">VLOOKUP($B140&amp;$C140,data!$A:$U,20,FALSE)</f>
        <v>44305.404155092503</v>
      </c>
      <c r="F140" s="3" t="str">
        <f ca="1">VLOOKUP($B140&amp;$C140,data!$A:$U,21,FALSE)</f>
        <v>UPDATED 19.04.2021.</v>
      </c>
      <c r="G140" s="3">
        <f ca="1">VLOOKUP($B140&amp;$C140,data!$A:$U,17,FALSE)</f>
        <v>2</v>
      </c>
      <c r="H140" s="3">
        <f ca="1">VLOOKUP($B140&amp;$C140,data!$A:$U,18,FALSE)</f>
        <v>0</v>
      </c>
      <c r="I140" s="3">
        <f ca="1">VLOOKUP($B140&amp;$C140,data!$A:$U,19,FALSE)</f>
        <v>2</v>
      </c>
      <c r="J140" s="3">
        <f ca="1">VLOOKUP($B140&amp;$C140,data!$A:$U,14,FALSE)</f>
        <v>4</v>
      </c>
      <c r="K140" s="3">
        <f ca="1">VLOOKUP($B140&amp;$C140,data!$A:$U,15,FALSE)</f>
        <v>4</v>
      </c>
      <c r="L140" s="3">
        <f ca="1">VLOOKUP($B140&amp;$C140,data!$A:$U,16,FALSE)</f>
        <v>0</v>
      </c>
      <c r="M140" s="3">
        <f ca="1">VLOOKUP($B140&amp;$C140,data!$A:$U,8,FALSE)</f>
        <v>36</v>
      </c>
      <c r="N140" s="3">
        <f ca="1">VLOOKUP($B140&amp;$C140,data!$A:$U,9,FALSE)</f>
        <v>37</v>
      </c>
      <c r="O140" s="3">
        <f ca="1">VLOOKUP($B140&amp;$C140,data!$A:$U,10,FALSE)</f>
        <v>0</v>
      </c>
      <c r="P140" s="3">
        <f ca="1">VLOOKUP($B140&amp;$C140,data!$A:$U,11,FALSE)</f>
        <v>0</v>
      </c>
      <c r="Q140" s="3">
        <f ca="1">VLOOKUP($B140&amp;$C140,data!$A:$U,12,FALSE)</f>
        <v>0</v>
      </c>
      <c r="R140" s="3">
        <f ca="1">VLOOKUP($B140&amp;$C140,data!$A:$U,13,FALSE)</f>
        <v>0</v>
      </c>
      <c r="S140" s="3">
        <f ca="1">VLOOKUP($B140&amp;$C140,data!$A:$U,5,FALSE)</f>
        <v>40</v>
      </c>
      <c r="T140" s="3">
        <f ca="1">VLOOKUP($B140&amp;$C140,data!$A:$U,6,FALSE)</f>
        <v>40</v>
      </c>
      <c r="U140" s="3">
        <f ca="1">VLOOKUP($B140&amp;$C140,data!$A:$U,7,FALSE)</f>
        <v>0</v>
      </c>
      <c r="V140" s="18" t="s">
        <v>374</v>
      </c>
      <c r="W140" s="17" t="s">
        <v>375</v>
      </c>
      <c r="X140" s="17" t="s">
        <v>376</v>
      </c>
      <c r="Y140" s="19" t="s">
        <v>377</v>
      </c>
      <c r="Z140" s="13">
        <f t="shared" ca="1" si="1"/>
        <v>0.6827533565738122</v>
      </c>
    </row>
    <row r="141" spans="1:26" ht="13" x14ac:dyDescent="0.15">
      <c r="A141" s="3">
        <v>140</v>
      </c>
      <c r="B141" s="3" t="s">
        <v>14</v>
      </c>
      <c r="C141" s="3" t="s">
        <v>378</v>
      </c>
      <c r="D141" s="10">
        <f t="shared" ca="1" si="0"/>
        <v>0.54</v>
      </c>
      <c r="E141" s="5">
        <f ca="1">VLOOKUP($B141&amp;$C141,data!$A:$U,20,FALSE)</f>
        <v>44305.383993055497</v>
      </c>
      <c r="F141" s="3" t="str">
        <f ca="1">VLOOKUP($B141&amp;$C141,data!$A:$U,21,FALSE)</f>
        <v>Updated on 19.4.2021</v>
      </c>
      <c r="G141" s="3">
        <f ca="1">VLOOKUP($B141&amp;$C141,data!$A:$U,17,FALSE)</f>
        <v>2</v>
      </c>
      <c r="H141" s="3">
        <f ca="1">VLOOKUP($B141&amp;$C141,data!$A:$U,18,FALSE)</f>
        <v>0</v>
      </c>
      <c r="I141" s="3">
        <f ca="1">VLOOKUP($B141&amp;$C141,data!$A:$U,19,FALSE)</f>
        <v>2</v>
      </c>
      <c r="J141" s="3">
        <f ca="1">VLOOKUP($B141&amp;$C141,data!$A:$U,14,FALSE)</f>
        <v>2</v>
      </c>
      <c r="K141" s="3">
        <f ca="1">VLOOKUP($B141&amp;$C141,data!$A:$U,15,FALSE)</f>
        <v>0</v>
      </c>
      <c r="L141" s="3">
        <f ca="1">VLOOKUP($B141&amp;$C141,data!$A:$U,16,FALSE)</f>
        <v>0</v>
      </c>
      <c r="M141" s="3">
        <f ca="1">VLOOKUP($B141&amp;$C141,data!$A:$U,8,FALSE)</f>
        <v>13</v>
      </c>
      <c r="N141" s="3">
        <f ca="1">VLOOKUP($B141&amp;$C141,data!$A:$U,9,FALSE)</f>
        <v>13</v>
      </c>
      <c r="O141" s="3">
        <f ca="1">VLOOKUP($B141&amp;$C141,data!$A:$U,10,FALSE)</f>
        <v>0</v>
      </c>
      <c r="P141" s="3">
        <f ca="1">VLOOKUP($B141&amp;$C141,data!$A:$U,11,FALSE)</f>
        <v>10</v>
      </c>
      <c r="Q141" s="3">
        <f ca="1">VLOOKUP($B141&amp;$C141,data!$A:$U,12,FALSE)</f>
        <v>0</v>
      </c>
      <c r="R141" s="3">
        <f ca="1">VLOOKUP($B141&amp;$C141,data!$A:$U,13,FALSE)</f>
        <v>10</v>
      </c>
      <c r="S141" s="3">
        <f ca="1">VLOOKUP($B141&amp;$C141,data!$A:$U,5,FALSE)</f>
        <v>25</v>
      </c>
      <c r="T141" s="3">
        <f ca="1">VLOOKUP($B141&amp;$C141,data!$A:$U,6,FALSE)</f>
        <v>8</v>
      </c>
      <c r="U141" s="3">
        <f ca="1">VLOOKUP($B141&amp;$C141,data!$A:$U,7,FALSE)</f>
        <v>17</v>
      </c>
      <c r="V141" s="18" t="s">
        <v>379</v>
      </c>
      <c r="W141" s="17" t="s">
        <v>380</v>
      </c>
      <c r="X141" s="17" t="s">
        <v>381</v>
      </c>
      <c r="Y141" s="19" t="s">
        <v>382</v>
      </c>
      <c r="Z141" s="13">
        <f t="shared" ca="1" si="1"/>
        <v>0.70291539358004229</v>
      </c>
    </row>
    <row r="142" spans="1:26" ht="13" x14ac:dyDescent="0.15">
      <c r="A142" s="3">
        <v>141</v>
      </c>
      <c r="B142" s="3" t="s">
        <v>14</v>
      </c>
      <c r="C142" s="3" t="s">
        <v>383</v>
      </c>
      <c r="D142" s="10">
        <f t="shared" ca="1" si="0"/>
        <v>0.47402597402597402</v>
      </c>
      <c r="E142" s="5">
        <f ca="1">VLOOKUP($B142&amp;$C142,data!$A:$U,20,FALSE)</f>
        <v>44305.395300925898</v>
      </c>
      <c r="F142" s="3" t="str">
        <f ca="1">VLOOKUP($B142&amp;$C142,data!$A:$U,21,FALSE)</f>
        <v>nil....</v>
      </c>
      <c r="G142" s="3">
        <f ca="1">VLOOKUP($B142&amp;$C142,data!$A:$U,17,FALSE)</f>
        <v>6</v>
      </c>
      <c r="H142" s="3">
        <f ca="1">VLOOKUP($B142&amp;$C142,data!$A:$U,18,FALSE)</f>
        <v>2</v>
      </c>
      <c r="I142" s="3">
        <f ca="1">VLOOKUP($B142&amp;$C142,data!$A:$U,19,FALSE)</f>
        <v>4</v>
      </c>
      <c r="J142" s="3">
        <f ca="1">VLOOKUP($B142&amp;$C142,data!$A:$U,14,FALSE)</f>
        <v>10</v>
      </c>
      <c r="K142" s="3">
        <f ca="1">VLOOKUP($B142&amp;$C142,data!$A:$U,15,FALSE)</f>
        <v>10</v>
      </c>
      <c r="L142" s="3">
        <f ca="1">VLOOKUP($B142&amp;$C142,data!$A:$U,16,FALSE)</f>
        <v>0</v>
      </c>
      <c r="M142" s="3">
        <f ca="1">VLOOKUP($B142&amp;$C142,data!$A:$U,8,FALSE)</f>
        <v>78</v>
      </c>
      <c r="N142" s="3">
        <f ca="1">VLOOKUP($B142&amp;$C142,data!$A:$U,9,FALSE)</f>
        <v>71</v>
      </c>
      <c r="O142" s="3">
        <f ca="1">VLOOKUP($B142&amp;$C142,data!$A:$U,10,FALSE)</f>
        <v>7</v>
      </c>
      <c r="P142" s="3">
        <f ca="1">VLOOKUP($B142&amp;$C142,data!$A:$U,11,FALSE)</f>
        <v>66</v>
      </c>
      <c r="Q142" s="3">
        <f ca="1">VLOOKUP($B142&amp;$C142,data!$A:$U,12,FALSE)</f>
        <v>0</v>
      </c>
      <c r="R142" s="3">
        <f ca="1">VLOOKUP($B142&amp;$C142,data!$A:$U,13,FALSE)</f>
        <v>66</v>
      </c>
      <c r="S142" s="3">
        <f ca="1">VLOOKUP($B142&amp;$C142,data!$A:$U,5,FALSE)</f>
        <v>154</v>
      </c>
      <c r="T142" s="3">
        <f ca="1">VLOOKUP($B142&amp;$C142,data!$A:$U,6,FALSE)</f>
        <v>81</v>
      </c>
      <c r="U142" s="3">
        <f ca="1">VLOOKUP($B142&amp;$C142,data!$A:$U,7,FALSE)</f>
        <v>73</v>
      </c>
      <c r="V142" s="18" t="s">
        <v>384</v>
      </c>
      <c r="W142" s="17" t="s">
        <v>385</v>
      </c>
      <c r="X142" s="17" t="s">
        <v>386</v>
      </c>
      <c r="Y142" s="19" t="s">
        <v>387</v>
      </c>
      <c r="Z142" s="13">
        <f t="shared" ca="1" si="1"/>
        <v>0.69160752317839069</v>
      </c>
    </row>
    <row r="143" spans="1:26" ht="13" x14ac:dyDescent="0.15">
      <c r="A143" s="3">
        <v>142</v>
      </c>
      <c r="B143" s="3" t="s">
        <v>14</v>
      </c>
      <c r="C143" s="3" t="s">
        <v>388</v>
      </c>
      <c r="D143" s="10">
        <f t="shared" ca="1" si="0"/>
        <v>0.44444444444444442</v>
      </c>
      <c r="E143" s="5">
        <f ca="1">VLOOKUP($B143&amp;$C143,data!$A:$U,20,FALSE)</f>
        <v>44305.442337962901</v>
      </c>
      <c r="F143" s="3" t="str">
        <f ca="1">VLOOKUP($B143&amp;$C143,data!$A:$U,21,FALSE)</f>
        <v>19.04.2021</v>
      </c>
      <c r="G143" s="3">
        <f ca="1">VLOOKUP($B143&amp;$C143,data!$A:$U,17,FALSE)</f>
        <v>2</v>
      </c>
      <c r="H143" s="3">
        <f ca="1">VLOOKUP($B143&amp;$C143,data!$A:$U,18,FALSE)</f>
        <v>2</v>
      </c>
      <c r="I143" s="3">
        <f ca="1">VLOOKUP($B143&amp;$C143,data!$A:$U,19,FALSE)</f>
        <v>0</v>
      </c>
      <c r="J143" s="3">
        <f ca="1">VLOOKUP($B143&amp;$C143,data!$A:$U,14,FALSE)</f>
        <v>9</v>
      </c>
      <c r="K143" s="3">
        <f ca="1">VLOOKUP($B143&amp;$C143,data!$A:$U,15,FALSE)</f>
        <v>8</v>
      </c>
      <c r="L143" s="3">
        <f ca="1">VLOOKUP($B143&amp;$C143,data!$A:$U,16,FALSE)</f>
        <v>1</v>
      </c>
      <c r="M143" s="3">
        <f ca="1">VLOOKUP($B143&amp;$C143,data!$A:$U,8,FALSE)</f>
        <v>8</v>
      </c>
      <c r="N143" s="3">
        <f ca="1">VLOOKUP($B143&amp;$C143,data!$A:$U,9,FALSE)</f>
        <v>7</v>
      </c>
      <c r="O143" s="3">
        <f ca="1">VLOOKUP($B143&amp;$C143,data!$A:$U,10,FALSE)</f>
        <v>1</v>
      </c>
      <c r="P143" s="3">
        <f ca="1">VLOOKUP($B143&amp;$C143,data!$A:$U,11,FALSE)</f>
        <v>28</v>
      </c>
      <c r="Q143" s="3">
        <f ca="1">VLOOKUP($B143&amp;$C143,data!$A:$U,12,FALSE)</f>
        <v>10</v>
      </c>
      <c r="R143" s="3">
        <f ca="1">VLOOKUP($B143&amp;$C143,data!$A:$U,13,FALSE)</f>
        <v>18</v>
      </c>
      <c r="S143" s="3">
        <f ca="1">VLOOKUP($B143&amp;$C143,data!$A:$U,5,FALSE)</f>
        <v>45</v>
      </c>
      <c r="T143" s="3">
        <f ca="1">VLOOKUP($B143&amp;$C143,data!$A:$U,6,FALSE)</f>
        <v>25</v>
      </c>
      <c r="U143" s="3">
        <f ca="1">VLOOKUP($B143&amp;$C143,data!$A:$U,7,FALSE)</f>
        <v>20</v>
      </c>
      <c r="V143" s="16"/>
      <c r="W143" s="9"/>
      <c r="X143" s="9"/>
      <c r="Y143" s="3"/>
      <c r="Z143" s="13">
        <f t="shared" ca="1" si="1"/>
        <v>0.64457048617623514</v>
      </c>
    </row>
    <row r="144" spans="1:26" ht="13" x14ac:dyDescent="0.15">
      <c r="A144" s="3">
        <v>143</v>
      </c>
      <c r="B144" s="3" t="s">
        <v>14</v>
      </c>
      <c r="C144" s="3" t="s">
        <v>389</v>
      </c>
      <c r="D144" s="10">
        <f t="shared" ca="1" si="0"/>
        <v>0.85</v>
      </c>
      <c r="E144" s="5">
        <f ca="1">VLOOKUP($B144&amp;$C144,data!$A:$U,20,FALSE)</f>
        <v>44305.176331018498</v>
      </c>
      <c r="F144" s="3" t="str">
        <f ca="1">VLOOKUP($B144&amp;$C144,data!$A:$U,21,FALSE)</f>
        <v>19.04.2021 updated</v>
      </c>
      <c r="G144" s="3">
        <f ca="1">VLOOKUP($B144&amp;$C144,data!$A:$U,17,FALSE)</f>
        <v>4</v>
      </c>
      <c r="H144" s="3">
        <f ca="1">VLOOKUP($B144&amp;$C144,data!$A:$U,18,FALSE)</f>
        <v>0</v>
      </c>
      <c r="I144" s="3">
        <f ca="1">VLOOKUP($B144&amp;$C144,data!$A:$U,19,FALSE)</f>
        <v>4</v>
      </c>
      <c r="J144" s="3">
        <f ca="1">VLOOKUP($B144&amp;$C144,data!$A:$U,14,FALSE)</f>
        <v>6</v>
      </c>
      <c r="K144" s="3">
        <f ca="1">VLOOKUP($B144&amp;$C144,data!$A:$U,15,FALSE)</f>
        <v>0</v>
      </c>
      <c r="L144" s="3">
        <f ca="1">VLOOKUP($B144&amp;$C144,data!$A:$U,16,FALSE)</f>
        <v>6</v>
      </c>
      <c r="M144" s="3">
        <f ca="1">VLOOKUP($B144&amp;$C144,data!$A:$U,8,FALSE)</f>
        <v>15</v>
      </c>
      <c r="N144" s="3">
        <f ca="1">VLOOKUP($B144&amp;$C144,data!$A:$U,9,FALSE)</f>
        <v>1</v>
      </c>
      <c r="O144" s="3">
        <f ca="1">VLOOKUP($B144&amp;$C144,data!$A:$U,10,FALSE)</f>
        <v>14</v>
      </c>
      <c r="P144" s="3">
        <f ca="1">VLOOKUP($B144&amp;$C144,data!$A:$U,11,FALSE)</f>
        <v>9</v>
      </c>
      <c r="Q144" s="3">
        <f ca="1">VLOOKUP($B144&amp;$C144,data!$A:$U,12,FALSE)</f>
        <v>0</v>
      </c>
      <c r="R144" s="3">
        <f ca="1">VLOOKUP($B144&amp;$C144,data!$A:$U,13,FALSE)</f>
        <v>5</v>
      </c>
      <c r="S144" s="3">
        <f ca="1">VLOOKUP($B144&amp;$C144,data!$A:$U,5,FALSE)</f>
        <v>30</v>
      </c>
      <c r="T144" s="3">
        <f ca="1">VLOOKUP($B144&amp;$C144,data!$A:$U,6,FALSE)</f>
        <v>4</v>
      </c>
      <c r="U144" s="3">
        <f ca="1">VLOOKUP($B144&amp;$C144,data!$A:$U,7,FALSE)</f>
        <v>26</v>
      </c>
      <c r="V144" s="18" t="s">
        <v>390</v>
      </c>
      <c r="W144" s="17" t="s">
        <v>391</v>
      </c>
      <c r="X144" s="17" t="s">
        <v>392</v>
      </c>
      <c r="Y144" s="19" t="s">
        <v>393</v>
      </c>
      <c r="Z144" s="13">
        <f t="shared" ca="1" si="1"/>
        <v>0.91057743057899643</v>
      </c>
    </row>
    <row r="145" spans="1:26" ht="13" x14ac:dyDescent="0.15">
      <c r="A145" s="3">
        <v>144</v>
      </c>
      <c r="B145" s="3" t="s">
        <v>14</v>
      </c>
      <c r="C145" s="3" t="s">
        <v>394</v>
      </c>
      <c r="D145" s="10">
        <f t="shared" ca="1" si="0"/>
        <v>0.33333333333333331</v>
      </c>
      <c r="E145" s="5">
        <f ca="1">VLOOKUP($B145&amp;$C145,data!$A:$U,20,FALSE)</f>
        <v>44305.380312499998</v>
      </c>
      <c r="F145" s="3" t="str">
        <f ca="1">VLOOKUP($B145&amp;$C145,data!$A:$U,21,FALSE)</f>
        <v>UPDATE ON 19.04.2021</v>
      </c>
      <c r="G145" s="3">
        <f ca="1">VLOOKUP($B145&amp;$C145,data!$A:$U,17,FALSE)</f>
        <v>3</v>
      </c>
      <c r="H145" s="3">
        <f ca="1">VLOOKUP($B145&amp;$C145,data!$A:$U,18,FALSE)</f>
        <v>0</v>
      </c>
      <c r="I145" s="3">
        <f ca="1">VLOOKUP($B145&amp;$C145,data!$A:$U,19,FALSE)</f>
        <v>3</v>
      </c>
      <c r="J145" s="3">
        <f ca="1">VLOOKUP($B145&amp;$C145,data!$A:$U,14,FALSE)</f>
        <v>4</v>
      </c>
      <c r="K145" s="3">
        <f ca="1">VLOOKUP($B145&amp;$C145,data!$A:$U,15,FALSE)</f>
        <v>2</v>
      </c>
      <c r="L145" s="3">
        <f ca="1">VLOOKUP($B145&amp;$C145,data!$A:$U,16,FALSE)</f>
        <v>2</v>
      </c>
      <c r="M145" s="3">
        <f ca="1">VLOOKUP($B145&amp;$C145,data!$A:$U,8,FALSE)</f>
        <v>26</v>
      </c>
      <c r="N145" s="3">
        <f ca="1">VLOOKUP($B145&amp;$C145,data!$A:$U,9,FALSE)</f>
        <v>18</v>
      </c>
      <c r="O145" s="3">
        <f ca="1">VLOOKUP($B145&amp;$C145,data!$A:$U,10,FALSE)</f>
        <v>8</v>
      </c>
      <c r="P145" s="3">
        <f ca="1">VLOOKUP($B145&amp;$C145,data!$A:$U,11,FALSE)</f>
        <v>0</v>
      </c>
      <c r="Q145" s="3">
        <f ca="1">VLOOKUP($B145&amp;$C145,data!$A:$U,12,FALSE)</f>
        <v>0</v>
      </c>
      <c r="R145" s="3">
        <f ca="1">VLOOKUP($B145&amp;$C145,data!$A:$U,13,FALSE)</f>
        <v>0</v>
      </c>
      <c r="S145" s="3">
        <f ca="1">VLOOKUP($B145&amp;$C145,data!$A:$U,5,FALSE)</f>
        <v>30</v>
      </c>
      <c r="T145" s="3">
        <f ca="1">VLOOKUP($B145&amp;$C145,data!$A:$U,6,FALSE)</f>
        <v>20</v>
      </c>
      <c r="U145" s="3">
        <f ca="1">VLOOKUP($B145&amp;$C145,data!$A:$U,7,FALSE)</f>
        <v>10</v>
      </c>
      <c r="V145" s="23" t="s">
        <v>395</v>
      </c>
      <c r="W145" s="17" t="s">
        <v>396</v>
      </c>
      <c r="X145" s="17" t="s">
        <v>397</v>
      </c>
      <c r="Y145" s="19" t="s">
        <v>398</v>
      </c>
      <c r="Z145" s="13">
        <f t="shared" ca="1" si="1"/>
        <v>0.70659594907920109</v>
      </c>
    </row>
    <row r="146" spans="1:26" ht="13" x14ac:dyDescent="0.15">
      <c r="A146" s="3">
        <v>145</v>
      </c>
      <c r="B146" s="3" t="s">
        <v>14</v>
      </c>
      <c r="C146" s="3" t="s">
        <v>399</v>
      </c>
      <c r="D146" s="10">
        <f t="shared" ca="1" si="0"/>
        <v>0.42857142857142855</v>
      </c>
      <c r="E146" s="5">
        <f ca="1">VLOOKUP($B146&amp;$C146,data!$A:$U,20,FALSE)</f>
        <v>44305.4573379629</v>
      </c>
      <c r="F146" s="3" t="str">
        <f ca="1">VLOOKUP($B146&amp;$C146,data!$A:$U,21,FALSE)</f>
        <v>updated on 19/04/2021..</v>
      </c>
      <c r="G146" s="3">
        <f ca="1">VLOOKUP($B146&amp;$C146,data!$A:$U,17,FALSE)</f>
        <v>1</v>
      </c>
      <c r="H146" s="3">
        <f ca="1">VLOOKUP($B146&amp;$C146,data!$A:$U,18,FALSE)</f>
        <v>0</v>
      </c>
      <c r="I146" s="3">
        <f ca="1">VLOOKUP($B146&amp;$C146,data!$A:$U,19,FALSE)</f>
        <v>1</v>
      </c>
      <c r="J146" s="3">
        <f ca="1">VLOOKUP($B146&amp;$C146,data!$A:$U,14,FALSE)</f>
        <v>2</v>
      </c>
      <c r="K146" s="3">
        <f ca="1">VLOOKUP($B146&amp;$C146,data!$A:$U,15,FALSE)</f>
        <v>0</v>
      </c>
      <c r="L146" s="3">
        <f ca="1">VLOOKUP($B146&amp;$C146,data!$A:$U,16,FALSE)</f>
        <v>2</v>
      </c>
      <c r="M146" s="3">
        <f ca="1">VLOOKUP($B146&amp;$C146,data!$A:$U,8,FALSE)</f>
        <v>15</v>
      </c>
      <c r="N146" s="3">
        <f ca="1">VLOOKUP($B146&amp;$C146,data!$A:$U,9,FALSE)</f>
        <v>10</v>
      </c>
      <c r="O146" s="3">
        <f ca="1">VLOOKUP($B146&amp;$C146,data!$A:$U,10,FALSE)</f>
        <v>5</v>
      </c>
      <c r="P146" s="3">
        <f ca="1">VLOOKUP($B146&amp;$C146,data!$A:$U,11,FALSE)</f>
        <v>0</v>
      </c>
      <c r="Q146" s="3">
        <f ca="1">VLOOKUP($B146&amp;$C146,data!$A:$U,12,FALSE)</f>
        <v>0</v>
      </c>
      <c r="R146" s="3">
        <f ca="1">VLOOKUP($B146&amp;$C146,data!$A:$U,13,FALSE)</f>
        <v>0</v>
      </c>
      <c r="S146" s="3">
        <f ca="1">VLOOKUP($B146&amp;$C146,data!$A:$U,5,FALSE)</f>
        <v>18</v>
      </c>
      <c r="T146" s="3">
        <f ca="1">VLOOKUP($B146&amp;$C146,data!$A:$U,6,FALSE)</f>
        <v>10</v>
      </c>
      <c r="U146" s="3">
        <f ca="1">VLOOKUP($B146&amp;$C146,data!$A:$U,7,FALSE)</f>
        <v>8</v>
      </c>
      <c r="V146" s="23" t="s">
        <v>400</v>
      </c>
      <c r="W146" s="17" t="s">
        <v>401</v>
      </c>
      <c r="X146" s="17" t="s">
        <v>402</v>
      </c>
      <c r="Y146" s="19" t="s">
        <v>403</v>
      </c>
      <c r="Z146" s="13">
        <f t="shared" ca="1" si="1"/>
        <v>0.62957048617681721</v>
      </c>
    </row>
    <row r="147" spans="1:26" ht="13" x14ac:dyDescent="0.15">
      <c r="A147" s="3">
        <v>146</v>
      </c>
      <c r="B147" s="3" t="s">
        <v>14</v>
      </c>
      <c r="C147" s="3" t="s">
        <v>404</v>
      </c>
      <c r="D147" s="10">
        <f t="shared" ca="1" si="0"/>
        <v>0.1</v>
      </c>
      <c r="E147" s="5">
        <f ca="1">VLOOKUP($B147&amp;$C147,data!$A:$U,20,FALSE)</f>
        <v>44305.467523148101</v>
      </c>
      <c r="F147" s="3" t="str">
        <f ca="1">VLOOKUP($B147&amp;$C147,data!$A:$U,21,FALSE)</f>
        <v>19.04.2021....</v>
      </c>
      <c r="G147" s="3">
        <f ca="1">VLOOKUP($B147&amp;$C147,data!$A:$U,17,FALSE)</f>
        <v>1</v>
      </c>
      <c r="H147" s="3">
        <f ca="1">VLOOKUP($B147&amp;$C147,data!$A:$U,18,FALSE)</f>
        <v>0</v>
      </c>
      <c r="I147" s="3">
        <f ca="1">VLOOKUP($B147&amp;$C147,data!$A:$U,19,FALSE)</f>
        <v>1</v>
      </c>
      <c r="J147" s="3">
        <f ca="1">VLOOKUP($B147&amp;$C147,data!$A:$U,14,FALSE)</f>
        <v>3</v>
      </c>
      <c r="K147" s="3">
        <f ca="1">VLOOKUP($B147&amp;$C147,data!$A:$U,15,FALSE)</f>
        <v>2</v>
      </c>
      <c r="L147" s="3">
        <f ca="1">VLOOKUP($B147&amp;$C147,data!$A:$U,16,FALSE)</f>
        <v>1</v>
      </c>
      <c r="M147" s="3">
        <f ca="1">VLOOKUP($B147&amp;$C147,data!$A:$U,8,FALSE)</f>
        <v>3</v>
      </c>
      <c r="N147" s="3">
        <f ca="1">VLOOKUP($B147&amp;$C147,data!$A:$U,9,FALSE)</f>
        <v>3</v>
      </c>
      <c r="O147" s="3">
        <f ca="1">VLOOKUP($B147&amp;$C147,data!$A:$U,10,FALSE)</f>
        <v>0</v>
      </c>
      <c r="P147" s="3">
        <f ca="1">VLOOKUP($B147&amp;$C147,data!$A:$U,11,FALSE)</f>
        <v>14</v>
      </c>
      <c r="Q147" s="3">
        <f ca="1">VLOOKUP($B147&amp;$C147,data!$A:$U,12,FALSE)</f>
        <v>14</v>
      </c>
      <c r="R147" s="3">
        <f ca="1">VLOOKUP($B147&amp;$C147,data!$A:$U,13,FALSE)</f>
        <v>0</v>
      </c>
      <c r="S147" s="3">
        <f ca="1">VLOOKUP($B147&amp;$C147,data!$A:$U,5,FALSE)</f>
        <v>20</v>
      </c>
      <c r="T147" s="3">
        <f ca="1">VLOOKUP($B147&amp;$C147,data!$A:$U,6,FALSE)</f>
        <v>17</v>
      </c>
      <c r="U147" s="3">
        <f ca="1">VLOOKUP($B147&amp;$C147,data!$A:$U,7,FALSE)</f>
        <v>3</v>
      </c>
      <c r="V147" s="18" t="s">
        <v>405</v>
      </c>
      <c r="W147" s="17" t="s">
        <v>406</v>
      </c>
      <c r="X147" s="9"/>
      <c r="Y147" s="19" t="s">
        <v>407</v>
      </c>
      <c r="Z147" s="13">
        <f t="shared" ca="1" si="1"/>
        <v>0.61938530097540934</v>
      </c>
    </row>
    <row r="148" spans="1:26" ht="13" x14ac:dyDescent="0.15">
      <c r="A148" s="3">
        <v>147</v>
      </c>
      <c r="B148" s="3" t="s">
        <v>14</v>
      </c>
      <c r="C148" s="3" t="s">
        <v>408</v>
      </c>
      <c r="D148" s="10">
        <f t="shared" ca="1" si="0"/>
        <v>0.05</v>
      </c>
      <c r="E148" s="5">
        <f ca="1">VLOOKUP($B148&amp;$C148,data!$A:$U,20,FALSE)</f>
        <v>44305.387361111098</v>
      </c>
      <c r="F148" s="3" t="str">
        <f ca="1">VLOOKUP($B148&amp;$C148,data!$A:$U,21,FALSE)</f>
        <v>Updated 19-04-2021</v>
      </c>
      <c r="G148" s="3">
        <f ca="1">VLOOKUP($B148&amp;$C148,data!$A:$U,17,FALSE)</f>
        <v>4</v>
      </c>
      <c r="H148" s="3">
        <f ca="1">VLOOKUP($B148&amp;$C148,data!$A:$U,18,FALSE)</f>
        <v>4</v>
      </c>
      <c r="I148" s="3">
        <f ca="1">VLOOKUP($B148&amp;$C148,data!$A:$U,19,FALSE)</f>
        <v>0</v>
      </c>
      <c r="J148" s="3">
        <f ca="1">VLOOKUP($B148&amp;$C148,data!$A:$U,14,FALSE)</f>
        <v>7</v>
      </c>
      <c r="K148" s="3">
        <f ca="1">VLOOKUP($B148&amp;$C148,data!$A:$U,15,FALSE)</f>
        <v>7</v>
      </c>
      <c r="L148" s="3">
        <f ca="1">VLOOKUP($B148&amp;$C148,data!$A:$U,16,FALSE)</f>
        <v>0</v>
      </c>
      <c r="M148" s="3">
        <f ca="1">VLOOKUP($B148&amp;$C148,data!$A:$U,8,FALSE)</f>
        <v>53</v>
      </c>
      <c r="N148" s="3">
        <f ca="1">VLOOKUP($B148&amp;$C148,data!$A:$U,9,FALSE)</f>
        <v>50</v>
      </c>
      <c r="O148" s="3">
        <f ca="1">VLOOKUP($B148&amp;$C148,data!$A:$U,10,FALSE)</f>
        <v>3</v>
      </c>
      <c r="P148" s="3">
        <f ca="1">VLOOKUP($B148&amp;$C148,data!$A:$U,11,FALSE)</f>
        <v>0</v>
      </c>
      <c r="Q148" s="3">
        <f ca="1">VLOOKUP($B148&amp;$C148,data!$A:$U,12,FALSE)</f>
        <v>0</v>
      </c>
      <c r="R148" s="3">
        <f ca="1">VLOOKUP($B148&amp;$C148,data!$A:$U,13,FALSE)</f>
        <v>0</v>
      </c>
      <c r="S148" s="3">
        <f ca="1">VLOOKUP($B148&amp;$C148,data!$A:$U,5,FALSE)</f>
        <v>60</v>
      </c>
      <c r="T148" s="3">
        <f ca="1">VLOOKUP($B148&amp;$C148,data!$A:$U,6,FALSE)</f>
        <v>57</v>
      </c>
      <c r="U148" s="3">
        <f ca="1">VLOOKUP($B148&amp;$C148,data!$A:$U,7,FALSE)</f>
        <v>3</v>
      </c>
      <c r="V148" s="16"/>
      <c r="W148" s="9"/>
      <c r="X148" s="9"/>
      <c r="Y148" s="3"/>
      <c r="Z148" s="13">
        <f t="shared" ca="1" si="1"/>
        <v>0.69954733797931112</v>
      </c>
    </row>
    <row r="149" spans="1:26" ht="13" x14ac:dyDescent="0.15">
      <c r="A149" s="3">
        <v>148</v>
      </c>
      <c r="B149" s="3" t="s">
        <v>14</v>
      </c>
      <c r="C149" s="3" t="s">
        <v>409</v>
      </c>
      <c r="D149" s="10">
        <f t="shared" ca="1" si="0"/>
        <v>0.79500000000000004</v>
      </c>
      <c r="E149" s="5">
        <f ca="1">VLOOKUP($B149&amp;$C149,data!$A:$U,20,FALSE)</f>
        <v>44305.484432870297</v>
      </c>
      <c r="F149" s="3" t="str">
        <f ca="1">VLOOKUP($B149&amp;$C149,data!$A:$U,21,FALSE)</f>
        <v>Updated....</v>
      </c>
      <c r="G149" s="3">
        <f ca="1">VLOOKUP($B149&amp;$C149,data!$A:$U,17,FALSE)</f>
        <v>15</v>
      </c>
      <c r="H149" s="3">
        <f ca="1">VLOOKUP($B149&amp;$C149,data!$A:$U,18,FALSE)</f>
        <v>2</v>
      </c>
      <c r="I149" s="3">
        <f ca="1">VLOOKUP($B149&amp;$C149,data!$A:$U,19,FALSE)</f>
        <v>13</v>
      </c>
      <c r="J149" s="3">
        <f ca="1">VLOOKUP($B149&amp;$C149,data!$A:$U,14,FALSE)</f>
        <v>30</v>
      </c>
      <c r="K149" s="3">
        <f ca="1">VLOOKUP($B149&amp;$C149,data!$A:$U,15,FALSE)</f>
        <v>10</v>
      </c>
      <c r="L149" s="3">
        <f ca="1">VLOOKUP($B149&amp;$C149,data!$A:$U,16,FALSE)</f>
        <v>20</v>
      </c>
      <c r="M149" s="3">
        <f ca="1">VLOOKUP($B149&amp;$C149,data!$A:$U,8,FALSE)</f>
        <v>70</v>
      </c>
      <c r="N149" s="3">
        <f ca="1">VLOOKUP($B149&amp;$C149,data!$A:$U,9,FALSE)</f>
        <v>16</v>
      </c>
      <c r="O149" s="3">
        <f ca="1">VLOOKUP($B149&amp;$C149,data!$A:$U,10,FALSE)</f>
        <v>54</v>
      </c>
      <c r="P149" s="3">
        <f ca="1">VLOOKUP($B149&amp;$C149,data!$A:$U,11,FALSE)</f>
        <v>100</v>
      </c>
      <c r="Q149" s="3">
        <f ca="1">VLOOKUP($B149&amp;$C149,data!$A:$U,12,FALSE)</f>
        <v>15</v>
      </c>
      <c r="R149" s="3">
        <f ca="1">VLOOKUP($B149&amp;$C149,data!$A:$U,13,FALSE)</f>
        <v>85</v>
      </c>
      <c r="S149" s="3">
        <f ca="1">VLOOKUP($B149&amp;$C149,data!$A:$U,5,FALSE)</f>
        <v>200</v>
      </c>
      <c r="T149" s="3">
        <f ca="1">VLOOKUP($B149&amp;$C149,data!$A:$U,6,FALSE)</f>
        <v>41</v>
      </c>
      <c r="U149" s="3">
        <f ca="1">VLOOKUP($B149&amp;$C149,data!$A:$U,7,FALSE)</f>
        <v>159</v>
      </c>
      <c r="V149" s="18" t="s">
        <v>410</v>
      </c>
      <c r="W149" s="17" t="s">
        <v>411</v>
      </c>
      <c r="X149" s="17" t="s">
        <v>412</v>
      </c>
      <c r="Y149" s="19" t="s">
        <v>413</v>
      </c>
      <c r="Z149" s="13">
        <f t="shared" ca="1" si="1"/>
        <v>0.60247557878028601</v>
      </c>
    </row>
    <row r="150" spans="1:26" ht="13" x14ac:dyDescent="0.15">
      <c r="A150" s="3">
        <v>149</v>
      </c>
      <c r="B150" s="3" t="s">
        <v>15</v>
      </c>
      <c r="C150" s="3" t="s">
        <v>414</v>
      </c>
      <c r="D150" s="10">
        <f t="shared" ca="1" si="0"/>
        <v>1</v>
      </c>
      <c r="E150" s="5">
        <f ca="1">VLOOKUP($B150&amp;$C150,data!$A:$U,20,FALSE)</f>
        <v>44305.391111111101</v>
      </c>
      <c r="F150" s="3" t="str">
        <f ca="1">VLOOKUP($B150&amp;$C150,data!$A:$U,21,FALSE)</f>
        <v>Nil</v>
      </c>
      <c r="G150" s="3">
        <f ca="1">VLOOKUP($B150&amp;$C150,data!$A:$U,17,FALSE)</f>
        <v>0</v>
      </c>
      <c r="H150" s="3">
        <f ca="1">VLOOKUP($B150&amp;$C150,data!$A:$U,18,FALSE)</f>
        <v>0</v>
      </c>
      <c r="I150" s="3">
        <f ca="1">VLOOKUP($B150&amp;$C150,data!$A:$U,19,FALSE)</f>
        <v>0</v>
      </c>
      <c r="J150" s="3">
        <f ca="1">VLOOKUP($B150&amp;$C150,data!$A:$U,14,FALSE)</f>
        <v>0</v>
      </c>
      <c r="K150" s="3">
        <f ca="1">VLOOKUP($B150&amp;$C150,data!$A:$U,15,FALSE)</f>
        <v>0</v>
      </c>
      <c r="L150" s="3">
        <f ca="1">VLOOKUP($B150&amp;$C150,data!$A:$U,16,FALSE)</f>
        <v>0</v>
      </c>
      <c r="M150" s="3">
        <f ca="1">VLOOKUP($B150&amp;$C150,data!$A:$U,8,FALSE)</f>
        <v>7</v>
      </c>
      <c r="N150" s="3">
        <f ca="1">VLOOKUP($B150&amp;$C150,data!$A:$U,9,FALSE)</f>
        <v>0</v>
      </c>
      <c r="O150" s="3">
        <f ca="1">VLOOKUP($B150&amp;$C150,data!$A:$U,10,FALSE)</f>
        <v>7</v>
      </c>
      <c r="P150" s="3">
        <f ca="1">VLOOKUP($B150&amp;$C150,data!$A:$U,11,FALSE)</f>
        <v>5</v>
      </c>
      <c r="Q150" s="3">
        <f ca="1">VLOOKUP($B150&amp;$C150,data!$A:$U,12,FALSE)</f>
        <v>0</v>
      </c>
      <c r="R150" s="3">
        <f ca="1">VLOOKUP($B150&amp;$C150,data!$A:$U,13,FALSE)</f>
        <v>5</v>
      </c>
      <c r="S150" s="3">
        <f ca="1">VLOOKUP($B150&amp;$C150,data!$A:$U,5,FALSE)</f>
        <v>12</v>
      </c>
      <c r="T150" s="3">
        <f ca="1">VLOOKUP($B150&amp;$C150,data!$A:$U,6,FALSE)</f>
        <v>0</v>
      </c>
      <c r="U150" s="3">
        <f ca="1">VLOOKUP($B150&amp;$C150,data!$A:$U,7,FALSE)</f>
        <v>12</v>
      </c>
      <c r="V150" s="16"/>
      <c r="W150" s="9"/>
      <c r="X150" s="9"/>
      <c r="Y150" s="3"/>
      <c r="Z150" s="13">
        <f t="shared" ca="1" si="1"/>
        <v>0.69579733797581866</v>
      </c>
    </row>
    <row r="151" spans="1:26" ht="13" x14ac:dyDescent="0.15">
      <c r="A151" s="3">
        <v>150</v>
      </c>
      <c r="B151" s="3" t="s">
        <v>15</v>
      </c>
      <c r="C151" s="3" t="s">
        <v>415</v>
      </c>
      <c r="D151" s="10">
        <f t="shared" ca="1" si="0"/>
        <v>1</v>
      </c>
      <c r="E151" s="5">
        <f ca="1">VLOOKUP($B151&amp;$C151,data!$A:$U,20,FALSE)</f>
        <v>44305.3596875</v>
      </c>
      <c r="F151" s="3">
        <f ca="1">VLOOKUP($B151&amp;$C151,data!$A:$U,21,FALSE)</f>
        <v>0</v>
      </c>
      <c r="G151" s="3">
        <f ca="1">VLOOKUP($B151&amp;$C151,data!$A:$U,17,FALSE)</f>
        <v>1</v>
      </c>
      <c r="H151" s="3">
        <f ca="1">VLOOKUP($B151&amp;$C151,data!$A:$U,18,FALSE)</f>
        <v>0</v>
      </c>
      <c r="I151" s="3">
        <f ca="1">VLOOKUP($B151&amp;$C151,data!$A:$U,19,FALSE)</f>
        <v>1</v>
      </c>
      <c r="J151" s="3">
        <f ca="1">VLOOKUP($B151&amp;$C151,data!$A:$U,14,FALSE)</f>
        <v>1</v>
      </c>
      <c r="K151" s="3">
        <f ca="1">VLOOKUP($B151&amp;$C151,data!$A:$U,15,FALSE)</f>
        <v>0</v>
      </c>
      <c r="L151" s="3">
        <f ca="1">VLOOKUP($B151&amp;$C151,data!$A:$U,16,FALSE)</f>
        <v>1</v>
      </c>
      <c r="M151" s="3">
        <f ca="1">VLOOKUP($B151&amp;$C151,data!$A:$U,8,FALSE)</f>
        <v>0</v>
      </c>
      <c r="N151" s="3">
        <f ca="1">VLOOKUP($B151&amp;$C151,data!$A:$U,9,FALSE)</f>
        <v>0</v>
      </c>
      <c r="O151" s="3">
        <f ca="1">VLOOKUP($B151&amp;$C151,data!$A:$U,10,FALSE)</f>
        <v>0</v>
      </c>
      <c r="P151" s="3">
        <f ca="1">VLOOKUP($B151&amp;$C151,data!$A:$U,11,FALSE)</f>
        <v>2</v>
      </c>
      <c r="Q151" s="3">
        <f ca="1">VLOOKUP($B151&amp;$C151,data!$A:$U,12,FALSE)</f>
        <v>0</v>
      </c>
      <c r="R151" s="3">
        <f ca="1">VLOOKUP($B151&amp;$C151,data!$A:$U,13,FALSE)</f>
        <v>2</v>
      </c>
      <c r="S151" s="3">
        <f ca="1">VLOOKUP($B151&amp;$C151,data!$A:$U,5,FALSE)</f>
        <v>2</v>
      </c>
      <c r="T151" s="3">
        <f ca="1">VLOOKUP($B151&amp;$C151,data!$A:$U,6,FALSE)</f>
        <v>0</v>
      </c>
      <c r="U151" s="3">
        <f ca="1">VLOOKUP($B151&amp;$C151,data!$A:$U,7,FALSE)</f>
        <v>2</v>
      </c>
      <c r="V151" s="18" t="s">
        <v>416</v>
      </c>
      <c r="W151" s="17" t="s">
        <v>417</v>
      </c>
      <c r="X151" s="9"/>
      <c r="Y151" s="19" t="s">
        <v>418</v>
      </c>
      <c r="Z151" s="13">
        <f t="shared" ca="1" si="1"/>
        <v>0.72722094907658175</v>
      </c>
    </row>
    <row r="152" spans="1:26" ht="13" x14ac:dyDescent="0.15">
      <c r="A152" s="3">
        <v>151</v>
      </c>
      <c r="B152" s="3" t="s">
        <v>15</v>
      </c>
      <c r="C152" s="3" t="s">
        <v>419</v>
      </c>
      <c r="D152" s="10">
        <f t="shared" ca="1" si="0"/>
        <v>1</v>
      </c>
      <c r="E152" s="5">
        <f ca="1">VLOOKUP($B152&amp;$C152,data!$A:$U,20,FALSE)</f>
        <v>44305.367777777697</v>
      </c>
      <c r="F152" s="3">
        <f ca="1">VLOOKUP($B152&amp;$C152,data!$A:$U,21,FALSE)</f>
        <v>0</v>
      </c>
      <c r="G152" s="3">
        <f ca="1">VLOOKUP($B152&amp;$C152,data!$A:$U,17,FALSE)</f>
        <v>1</v>
      </c>
      <c r="H152" s="3">
        <f ca="1">VLOOKUP($B152&amp;$C152,data!$A:$U,18,FALSE)</f>
        <v>0</v>
      </c>
      <c r="I152" s="3">
        <f ca="1">VLOOKUP($B152&amp;$C152,data!$A:$U,19,FALSE)</f>
        <v>1</v>
      </c>
      <c r="J152" s="3">
        <f ca="1">VLOOKUP($B152&amp;$C152,data!$A:$U,14,FALSE)</f>
        <v>1</v>
      </c>
      <c r="K152" s="3">
        <f ca="1">VLOOKUP($B152&amp;$C152,data!$A:$U,15,FALSE)</f>
        <v>0</v>
      </c>
      <c r="L152" s="3">
        <f ca="1">VLOOKUP($B152&amp;$C152,data!$A:$U,16,FALSE)</f>
        <v>1</v>
      </c>
      <c r="M152" s="3">
        <f ca="1">VLOOKUP($B152&amp;$C152,data!$A:$U,8,FALSE)</f>
        <v>2</v>
      </c>
      <c r="N152" s="3">
        <f ca="1">VLOOKUP($B152&amp;$C152,data!$A:$U,9,FALSE)</f>
        <v>0</v>
      </c>
      <c r="O152" s="3">
        <f ca="1">VLOOKUP($B152&amp;$C152,data!$A:$U,10,FALSE)</f>
        <v>2</v>
      </c>
      <c r="P152" s="3">
        <f ca="1">VLOOKUP($B152&amp;$C152,data!$A:$U,11,FALSE)</f>
        <v>3</v>
      </c>
      <c r="Q152" s="3">
        <f ca="1">VLOOKUP($B152&amp;$C152,data!$A:$U,12,FALSE)</f>
        <v>0</v>
      </c>
      <c r="R152" s="3">
        <f ca="1">VLOOKUP($B152&amp;$C152,data!$A:$U,13,FALSE)</f>
        <v>3</v>
      </c>
      <c r="S152" s="3">
        <f ca="1">VLOOKUP($B152&amp;$C152,data!$A:$U,5,FALSE)</f>
        <v>5</v>
      </c>
      <c r="T152" s="3">
        <f ca="1">VLOOKUP($B152&amp;$C152,data!$A:$U,6,FALSE)</f>
        <v>0</v>
      </c>
      <c r="U152" s="3">
        <f ca="1">VLOOKUP($B152&amp;$C152,data!$A:$U,7,FALSE)</f>
        <v>5</v>
      </c>
      <c r="V152" s="23" t="s">
        <v>420</v>
      </c>
      <c r="W152" s="17" t="s">
        <v>421</v>
      </c>
      <c r="X152" s="9"/>
      <c r="Y152" s="19" t="s">
        <v>422</v>
      </c>
      <c r="Z152" s="13">
        <f t="shared" ca="1" si="1"/>
        <v>0.71913067137938924</v>
      </c>
    </row>
    <row r="153" spans="1:26" ht="13" x14ac:dyDescent="0.15">
      <c r="A153" s="3">
        <v>152</v>
      </c>
      <c r="B153" s="3" t="s">
        <v>17</v>
      </c>
      <c r="C153" s="3" t="s">
        <v>423</v>
      </c>
      <c r="D153" s="10">
        <f t="shared" ca="1" si="0"/>
        <v>1</v>
      </c>
      <c r="E153" s="5">
        <f ca="1">VLOOKUP($B153&amp;$C153,data!$A:$U,20,FALSE)</f>
        <v>44305.274074073997</v>
      </c>
      <c r="F153" s="3" t="str">
        <f ca="1">VLOOKUP($B153&amp;$C153,data!$A:$U,21,FALSE)</f>
        <v>Reports submitted for 19.04.2021</v>
      </c>
      <c r="G153" s="3">
        <f ca="1">VLOOKUP($B153&amp;$C153,data!$A:$U,17,FALSE)</f>
        <v>2</v>
      </c>
      <c r="H153" s="3">
        <f ca="1">VLOOKUP($B153&amp;$C153,data!$A:$U,18,FALSE)</f>
        <v>0</v>
      </c>
      <c r="I153" s="3">
        <f ca="1">VLOOKUP($B153&amp;$C153,data!$A:$U,19,FALSE)</f>
        <v>2</v>
      </c>
      <c r="J153" s="3">
        <f ca="1">VLOOKUP($B153&amp;$C153,data!$A:$U,14,FALSE)</f>
        <v>4</v>
      </c>
      <c r="K153" s="3">
        <f ca="1">VLOOKUP($B153&amp;$C153,data!$A:$U,15,FALSE)</f>
        <v>0</v>
      </c>
      <c r="L153" s="3">
        <f ca="1">VLOOKUP($B153&amp;$C153,data!$A:$U,16,FALSE)</f>
        <v>4</v>
      </c>
      <c r="M153" s="3">
        <f ca="1">VLOOKUP($B153&amp;$C153,data!$A:$U,8,FALSE)</f>
        <v>2</v>
      </c>
      <c r="N153" s="3">
        <f ca="1">VLOOKUP($B153&amp;$C153,data!$A:$U,9,FALSE)</f>
        <v>0</v>
      </c>
      <c r="O153" s="3">
        <f ca="1">VLOOKUP($B153&amp;$C153,data!$A:$U,10,FALSE)</f>
        <v>2</v>
      </c>
      <c r="P153" s="3">
        <f ca="1">VLOOKUP($B153&amp;$C153,data!$A:$U,11,FALSE)</f>
        <v>16</v>
      </c>
      <c r="Q153" s="3">
        <f ca="1">VLOOKUP($B153&amp;$C153,data!$A:$U,12,FALSE)</f>
        <v>0</v>
      </c>
      <c r="R153" s="3">
        <f ca="1">VLOOKUP($B153&amp;$C153,data!$A:$U,13,FALSE)</f>
        <v>16</v>
      </c>
      <c r="S153" s="3">
        <f ca="1">VLOOKUP($B153&amp;$C153,data!$A:$U,5,FALSE)</f>
        <v>18</v>
      </c>
      <c r="T153" s="3">
        <f ca="1">VLOOKUP($B153&amp;$C153,data!$A:$U,6,FALSE)</f>
        <v>0</v>
      </c>
      <c r="U153" s="3">
        <f ca="1">VLOOKUP($B153&amp;$C153,data!$A:$U,7,FALSE)</f>
        <v>18</v>
      </c>
      <c r="V153" s="23" t="s">
        <v>424</v>
      </c>
      <c r="W153" s="17" t="s">
        <v>425</v>
      </c>
      <c r="X153" s="9"/>
      <c r="Y153" s="19" t="s">
        <v>426</v>
      </c>
      <c r="Z153" s="13">
        <f t="shared" ca="1" si="1"/>
        <v>0.81283437507954659</v>
      </c>
    </row>
    <row r="154" spans="1:26" ht="14" x14ac:dyDescent="0.15">
      <c r="A154" s="3">
        <v>153</v>
      </c>
      <c r="B154" s="3" t="s">
        <v>17</v>
      </c>
      <c r="C154" s="3" t="s">
        <v>427</v>
      </c>
      <c r="D154" s="10">
        <f t="shared" ca="1" si="0"/>
        <v>0.66666666666666663</v>
      </c>
      <c r="E154" s="5">
        <f ca="1">VLOOKUP($B154&amp;$C154,data!$A:$U,20,FALSE)</f>
        <v>44305.292002314804</v>
      </c>
      <c r="F154" s="3" t="str">
        <f ca="1">VLOOKUP($B154&amp;$C154,data!$A:$U,21,FALSE)</f>
        <v>M M HOSPITAL REPORT UPDATE FOR 19.04.2021</v>
      </c>
      <c r="G154" s="3">
        <f ca="1">VLOOKUP($B154&amp;$C154,data!$A:$U,17,FALSE)</f>
        <v>4</v>
      </c>
      <c r="H154" s="3">
        <f ca="1">VLOOKUP($B154&amp;$C154,data!$A:$U,18,FALSE)</f>
        <v>0</v>
      </c>
      <c r="I154" s="3">
        <f ca="1">VLOOKUP($B154&amp;$C154,data!$A:$U,19,FALSE)</f>
        <v>4</v>
      </c>
      <c r="J154" s="3">
        <f ca="1">VLOOKUP($B154&amp;$C154,data!$A:$U,14,FALSE)</f>
        <v>5</v>
      </c>
      <c r="K154" s="3">
        <f ca="1">VLOOKUP($B154&amp;$C154,data!$A:$U,15,FALSE)</f>
        <v>0</v>
      </c>
      <c r="L154" s="3">
        <f ca="1">VLOOKUP($B154&amp;$C154,data!$A:$U,16,FALSE)</f>
        <v>5</v>
      </c>
      <c r="M154" s="3">
        <f ca="1">VLOOKUP($B154&amp;$C154,data!$A:$U,8,FALSE)</f>
        <v>35</v>
      </c>
      <c r="N154" s="3">
        <f ca="1">VLOOKUP($B154&amp;$C154,data!$A:$U,9,FALSE)</f>
        <v>14</v>
      </c>
      <c r="O154" s="3">
        <f ca="1">VLOOKUP($B154&amp;$C154,data!$A:$U,10,FALSE)</f>
        <v>21</v>
      </c>
      <c r="P154" s="3">
        <f ca="1">VLOOKUP($B154&amp;$C154,data!$A:$U,11,FALSE)</f>
        <v>0</v>
      </c>
      <c r="Q154" s="3">
        <f ca="1">VLOOKUP($B154&amp;$C154,data!$A:$U,12,FALSE)</f>
        <v>0</v>
      </c>
      <c r="R154" s="3">
        <f ca="1">VLOOKUP($B154&amp;$C154,data!$A:$U,13,FALSE)</f>
        <v>0</v>
      </c>
      <c r="S154" s="3">
        <f ca="1">VLOOKUP($B154&amp;$C154,data!$A:$U,5,FALSE)</f>
        <v>44</v>
      </c>
      <c r="T154" s="3">
        <f ca="1">VLOOKUP($B154&amp;$C154,data!$A:$U,6,FALSE)</f>
        <v>14</v>
      </c>
      <c r="U154" s="3">
        <f ca="1">VLOOKUP($B154&amp;$C154,data!$A:$U,7,FALSE)</f>
        <v>30</v>
      </c>
      <c r="V154" s="24" t="s">
        <v>428</v>
      </c>
      <c r="W154" s="17" t="s">
        <v>429</v>
      </c>
      <c r="X154" s="9"/>
      <c r="Y154" s="19" t="s">
        <v>430</v>
      </c>
      <c r="Z154" s="13">
        <f t="shared" ca="1" si="1"/>
        <v>0.79490613427333301</v>
      </c>
    </row>
    <row r="155" spans="1:26" ht="13" x14ac:dyDescent="0.15">
      <c r="A155" s="3">
        <v>154</v>
      </c>
      <c r="B155" s="3" t="s">
        <v>17</v>
      </c>
      <c r="C155" s="3" t="s">
        <v>431</v>
      </c>
      <c r="D155" s="10">
        <f t="shared" ca="1" si="0"/>
        <v>0.68333333333333335</v>
      </c>
      <c r="E155" s="5">
        <f ca="1">VLOOKUP($B155&amp;$C155,data!$A:$U,20,FALSE)</f>
        <v>44305.068773148101</v>
      </c>
      <c r="F155" s="3" t="str">
        <f ca="1">VLOOKUP($B155&amp;$C155,data!$A:$U,21,FALSE)</f>
        <v>Report submitted on : 19.04.2021</v>
      </c>
      <c r="G155" s="3">
        <f ca="1">VLOOKUP($B155&amp;$C155,data!$A:$U,17,FALSE)</f>
        <v>2</v>
      </c>
      <c r="H155" s="3">
        <f ca="1">VLOOKUP($B155&amp;$C155,data!$A:$U,18,FALSE)</f>
        <v>0</v>
      </c>
      <c r="I155" s="3">
        <f ca="1">VLOOKUP($B155&amp;$C155,data!$A:$U,19,FALSE)</f>
        <v>2</v>
      </c>
      <c r="J155" s="3">
        <f ca="1">VLOOKUP($B155&amp;$C155,data!$A:$U,14,FALSE)</f>
        <v>7</v>
      </c>
      <c r="K155" s="3">
        <f ca="1">VLOOKUP($B155&amp;$C155,data!$A:$U,15,FALSE)</f>
        <v>0</v>
      </c>
      <c r="L155" s="3">
        <f ca="1">VLOOKUP($B155&amp;$C155,data!$A:$U,16,FALSE)</f>
        <v>7</v>
      </c>
      <c r="M155" s="3">
        <f ca="1">VLOOKUP($B155&amp;$C155,data!$A:$U,8,FALSE)</f>
        <v>25</v>
      </c>
      <c r="N155" s="3">
        <f ca="1">VLOOKUP($B155&amp;$C155,data!$A:$U,9,FALSE)</f>
        <v>5</v>
      </c>
      <c r="O155" s="3">
        <f ca="1">VLOOKUP($B155&amp;$C155,data!$A:$U,10,FALSE)</f>
        <v>17</v>
      </c>
      <c r="P155" s="3">
        <f ca="1">VLOOKUP($B155&amp;$C155,data!$A:$U,11,FALSE)</f>
        <v>3</v>
      </c>
      <c r="Q155" s="3">
        <f ca="1">VLOOKUP($B155&amp;$C155,data!$A:$U,12,FALSE)</f>
        <v>0</v>
      </c>
      <c r="R155" s="3">
        <f ca="1">VLOOKUP($B155&amp;$C155,data!$A:$U,13,FALSE)</f>
        <v>0</v>
      </c>
      <c r="S155" s="3">
        <f ca="1">VLOOKUP($B155&amp;$C155,data!$A:$U,5,FALSE)</f>
        <v>25</v>
      </c>
      <c r="T155" s="3">
        <f ca="1">VLOOKUP($B155&amp;$C155,data!$A:$U,6,FALSE)</f>
        <v>8</v>
      </c>
      <c r="U155" s="3">
        <f ca="1">VLOOKUP($B155&amp;$C155,data!$A:$U,7,FALSE)</f>
        <v>17</v>
      </c>
      <c r="V155" s="23" t="s">
        <v>432</v>
      </c>
      <c r="W155" s="17" t="s">
        <v>433</v>
      </c>
      <c r="X155" s="9"/>
      <c r="Y155" s="19" t="s">
        <v>434</v>
      </c>
      <c r="Z155" s="13">
        <f t="shared" ca="1" si="1"/>
        <v>1.0181353009757004</v>
      </c>
    </row>
    <row r="156" spans="1:26" ht="13" x14ac:dyDescent="0.15">
      <c r="A156" s="3">
        <v>155</v>
      </c>
      <c r="B156" s="3" t="s">
        <v>17</v>
      </c>
      <c r="C156" s="3" t="s">
        <v>435</v>
      </c>
      <c r="D156" s="10">
        <f t="shared" ca="1" si="0"/>
        <v>0.05</v>
      </c>
      <c r="E156" s="5">
        <f ca="1">VLOOKUP($B156&amp;$C156,data!$A:$U,20,FALSE)</f>
        <v>44305.294363425899</v>
      </c>
      <c r="F156" s="3" t="str">
        <f ca="1">VLOOKUP($B156&amp;$C156,data!$A:$U,21,FALSE)</f>
        <v>Submitted on 19.04.2021</v>
      </c>
      <c r="G156" s="3">
        <f ca="1">VLOOKUP($B156&amp;$C156,data!$A:$U,17,FALSE)</f>
        <v>1</v>
      </c>
      <c r="H156" s="3">
        <f ca="1">VLOOKUP($B156&amp;$C156,data!$A:$U,18,FALSE)</f>
        <v>0</v>
      </c>
      <c r="I156" s="3">
        <f ca="1">VLOOKUP($B156&amp;$C156,data!$A:$U,19,FALSE)</f>
        <v>1</v>
      </c>
      <c r="J156" s="3">
        <f ca="1">VLOOKUP($B156&amp;$C156,data!$A:$U,14,FALSE)</f>
        <v>4</v>
      </c>
      <c r="K156" s="3">
        <f ca="1">VLOOKUP($B156&amp;$C156,data!$A:$U,15,FALSE)</f>
        <v>4</v>
      </c>
      <c r="L156" s="3">
        <f ca="1">VLOOKUP($B156&amp;$C156,data!$A:$U,16,FALSE)</f>
        <v>0</v>
      </c>
      <c r="M156" s="3">
        <f ca="1">VLOOKUP($B156&amp;$C156,data!$A:$U,8,FALSE)</f>
        <v>18</v>
      </c>
      <c r="N156" s="3">
        <f ca="1">VLOOKUP($B156&amp;$C156,data!$A:$U,9,FALSE)</f>
        <v>17</v>
      </c>
      <c r="O156" s="3">
        <f ca="1">VLOOKUP($B156&amp;$C156,data!$A:$U,10,FALSE)</f>
        <v>1</v>
      </c>
      <c r="P156" s="3">
        <f ca="1">VLOOKUP($B156&amp;$C156,data!$A:$U,11,FALSE)</f>
        <v>0</v>
      </c>
      <c r="Q156" s="3">
        <f ca="1">VLOOKUP($B156&amp;$C156,data!$A:$U,12,FALSE)</f>
        <v>0</v>
      </c>
      <c r="R156" s="3">
        <f ca="1">VLOOKUP($B156&amp;$C156,data!$A:$U,13,FALSE)</f>
        <v>0</v>
      </c>
      <c r="S156" s="3">
        <f ca="1">VLOOKUP($B156&amp;$C156,data!$A:$U,5,FALSE)</f>
        <v>18</v>
      </c>
      <c r="T156" s="3">
        <f ca="1">VLOOKUP($B156&amp;$C156,data!$A:$U,6,FALSE)</f>
        <v>17</v>
      </c>
      <c r="U156" s="3">
        <f ca="1">VLOOKUP($B156&amp;$C156,data!$A:$U,7,FALSE)</f>
        <v>1</v>
      </c>
      <c r="V156" s="18" t="s">
        <v>436</v>
      </c>
      <c r="W156" s="17" t="s">
        <v>437</v>
      </c>
      <c r="X156" s="17" t="s">
        <v>438</v>
      </c>
      <c r="Y156" s="4" t="s">
        <v>439</v>
      </c>
      <c r="Z156" s="13">
        <f t="shared" ca="1" si="1"/>
        <v>0.79254502317780862</v>
      </c>
    </row>
    <row r="157" spans="1:26" ht="13" x14ac:dyDescent="0.15">
      <c r="A157" s="3">
        <v>156</v>
      </c>
      <c r="B157" s="3" t="s">
        <v>17</v>
      </c>
      <c r="C157" s="3" t="s">
        <v>440</v>
      </c>
      <c r="D157" s="10">
        <f t="shared" ca="1" si="0"/>
        <v>0.83</v>
      </c>
      <c r="E157" s="5">
        <f ca="1">VLOOKUP($B157&amp;$C157,data!$A:$U,20,FALSE)</f>
        <v>44305.305150462897</v>
      </c>
      <c r="F157" s="3" t="str">
        <f ca="1">VLOOKUP($B157&amp;$C157,data!$A:$U,21,FALSE)</f>
        <v>Dat19.04.2021 time. 6.18am</v>
      </c>
      <c r="G157" s="3">
        <f ca="1">VLOOKUP($B157&amp;$C157,data!$A:$U,17,FALSE)</f>
        <v>5</v>
      </c>
      <c r="H157" s="3">
        <f ca="1">VLOOKUP($B157&amp;$C157,data!$A:$U,18,FALSE)</f>
        <v>0</v>
      </c>
      <c r="I157" s="3">
        <f ca="1">VLOOKUP($B157&amp;$C157,data!$A:$U,19,FALSE)</f>
        <v>5</v>
      </c>
      <c r="J157" s="3">
        <f ca="1">VLOOKUP($B157&amp;$C157,data!$A:$U,14,FALSE)</f>
        <v>5</v>
      </c>
      <c r="K157" s="3">
        <f ca="1">VLOOKUP($B157&amp;$C157,data!$A:$U,15,FALSE)</f>
        <v>2</v>
      </c>
      <c r="L157" s="3">
        <f ca="1">VLOOKUP($B157&amp;$C157,data!$A:$U,16,FALSE)</f>
        <v>3</v>
      </c>
      <c r="M157" s="3">
        <f ca="1">VLOOKUP($B157&amp;$C157,data!$A:$U,8,FALSE)</f>
        <v>20</v>
      </c>
      <c r="N157" s="3">
        <f ca="1">VLOOKUP($B157&amp;$C157,data!$A:$U,9,FALSE)</f>
        <v>1</v>
      </c>
      <c r="O157" s="3">
        <f ca="1">VLOOKUP($B157&amp;$C157,data!$A:$U,10,FALSE)</f>
        <v>19</v>
      </c>
      <c r="P157" s="3">
        <f ca="1">VLOOKUP($B157&amp;$C157,data!$A:$U,11,FALSE)</f>
        <v>75</v>
      </c>
      <c r="Q157" s="3">
        <f ca="1">VLOOKUP($B157&amp;$C157,data!$A:$U,12,FALSE)</f>
        <v>14</v>
      </c>
      <c r="R157" s="3">
        <f ca="1">VLOOKUP($B157&amp;$C157,data!$A:$U,13,FALSE)</f>
        <v>61</v>
      </c>
      <c r="S157" s="3">
        <f ca="1">VLOOKUP($B157&amp;$C157,data!$A:$U,5,FALSE)</f>
        <v>100</v>
      </c>
      <c r="T157" s="3">
        <f ca="1">VLOOKUP($B157&amp;$C157,data!$A:$U,6,FALSE)</f>
        <v>17</v>
      </c>
      <c r="U157" s="3">
        <f ca="1">VLOOKUP($B157&amp;$C157,data!$A:$U,7,FALSE)</f>
        <v>83</v>
      </c>
      <c r="V157" s="18" t="s">
        <v>441</v>
      </c>
      <c r="W157" s="17" t="s">
        <v>442</v>
      </c>
      <c r="X157" s="17" t="s">
        <v>443</v>
      </c>
      <c r="Y157" s="4" t="s">
        <v>444</v>
      </c>
      <c r="Z157" s="13">
        <f t="shared" ca="1" si="1"/>
        <v>0.78175798618030967</v>
      </c>
    </row>
    <row r="158" spans="1:26" ht="13" x14ac:dyDescent="0.15">
      <c r="A158" s="3">
        <v>157</v>
      </c>
      <c r="B158" s="3" t="s">
        <v>26</v>
      </c>
      <c r="C158" s="3" t="s">
        <v>445</v>
      </c>
      <c r="D158" s="10">
        <f t="shared" ca="1" si="0"/>
        <v>1</v>
      </c>
      <c r="E158" s="5">
        <f ca="1">VLOOKUP($B158&amp;$C158,data!$A:$U,20,FALSE)</f>
        <v>44305.362048611103</v>
      </c>
      <c r="F158" s="3" t="str">
        <f ca="1">VLOOKUP($B158&amp;$C158,data!$A:$U,21,FALSE)</f>
        <v>19.04.2021</v>
      </c>
      <c r="G158" s="3">
        <f ca="1">VLOOKUP($B158&amp;$C158,data!$A:$U,17,FALSE)</f>
        <v>0</v>
      </c>
      <c r="H158" s="3">
        <f ca="1">VLOOKUP($B158&amp;$C158,data!$A:$U,18,FALSE)</f>
        <v>0</v>
      </c>
      <c r="I158" s="3">
        <f ca="1">VLOOKUP($B158&amp;$C158,data!$A:$U,19,FALSE)</f>
        <v>0</v>
      </c>
      <c r="J158" s="3">
        <f ca="1">VLOOKUP($B158&amp;$C158,data!$A:$U,14,FALSE)</f>
        <v>0</v>
      </c>
      <c r="K158" s="3">
        <f ca="1">VLOOKUP($B158&amp;$C158,data!$A:$U,15,FALSE)</f>
        <v>0</v>
      </c>
      <c r="L158" s="3">
        <f ca="1">VLOOKUP($B158&amp;$C158,data!$A:$U,16,FALSE)</f>
        <v>0</v>
      </c>
      <c r="M158" s="3">
        <f ca="1">VLOOKUP($B158&amp;$C158,data!$A:$U,8,FALSE)</f>
        <v>4</v>
      </c>
      <c r="N158" s="3">
        <f ca="1">VLOOKUP($B158&amp;$C158,data!$A:$U,9,FALSE)</f>
        <v>0</v>
      </c>
      <c r="O158" s="3">
        <f ca="1">VLOOKUP($B158&amp;$C158,data!$A:$U,10,FALSE)</f>
        <v>4</v>
      </c>
      <c r="P158" s="3">
        <f ca="1">VLOOKUP($B158&amp;$C158,data!$A:$U,11,FALSE)</f>
        <v>8</v>
      </c>
      <c r="Q158" s="3">
        <f ca="1">VLOOKUP($B158&amp;$C158,data!$A:$U,12,FALSE)</f>
        <v>0</v>
      </c>
      <c r="R158" s="3">
        <f ca="1">VLOOKUP($B158&amp;$C158,data!$A:$U,13,FALSE)</f>
        <v>8</v>
      </c>
      <c r="S158" s="3">
        <f ca="1">VLOOKUP($B158&amp;$C158,data!$A:$U,5,FALSE)</f>
        <v>12</v>
      </c>
      <c r="T158" s="3">
        <f ca="1">VLOOKUP($B158&amp;$C158,data!$A:$U,6,FALSE)</f>
        <v>0</v>
      </c>
      <c r="U158" s="3">
        <f ca="1">VLOOKUP($B158&amp;$C158,data!$A:$U,7,FALSE)</f>
        <v>12</v>
      </c>
      <c r="V158" s="16"/>
      <c r="W158" s="9"/>
      <c r="X158" s="9"/>
      <c r="Y158" s="3"/>
      <c r="Z158" s="13">
        <f t="shared" ca="1" si="1"/>
        <v>0.7248598379737814</v>
      </c>
    </row>
    <row r="159" spans="1:26" ht="13" x14ac:dyDescent="0.15">
      <c r="A159" s="3">
        <v>158</v>
      </c>
      <c r="B159" s="3" t="s">
        <v>26</v>
      </c>
      <c r="C159" s="3" t="s">
        <v>446</v>
      </c>
      <c r="D159" s="10">
        <f t="shared" ca="1" si="0"/>
        <v>3.3333333333333333E-2</v>
      </c>
      <c r="E159" s="5">
        <f ca="1">VLOOKUP($B159&amp;$C159,data!$A:$U,20,FALSE)</f>
        <v>44305.4293287037</v>
      </c>
      <c r="F159" s="3" t="str">
        <f ca="1">VLOOKUP($B159&amp;$C159,data!$A:$U,21,FALSE)</f>
        <v>19.04.2021</v>
      </c>
      <c r="G159" s="3">
        <f ca="1">VLOOKUP($B159&amp;$C159,data!$A:$U,17,FALSE)</f>
        <v>2</v>
      </c>
      <c r="H159" s="3">
        <f ca="1">VLOOKUP($B159&amp;$C159,data!$A:$U,18,FALSE)</f>
        <v>0</v>
      </c>
      <c r="I159" s="3">
        <f ca="1">VLOOKUP($B159&amp;$C159,data!$A:$U,19,FALSE)</f>
        <v>2</v>
      </c>
      <c r="J159" s="3">
        <f ca="1">VLOOKUP($B159&amp;$C159,data!$A:$U,14,FALSE)</f>
        <v>0</v>
      </c>
      <c r="K159" s="3">
        <f ca="1">VLOOKUP($B159&amp;$C159,data!$A:$U,15,FALSE)</f>
        <v>0</v>
      </c>
      <c r="L159" s="3">
        <f ca="1">VLOOKUP($B159&amp;$C159,data!$A:$U,16,FALSE)</f>
        <v>0</v>
      </c>
      <c r="M159" s="3">
        <f ca="1">VLOOKUP($B159&amp;$C159,data!$A:$U,8,FALSE)</f>
        <v>0</v>
      </c>
      <c r="N159" s="3">
        <f ca="1">VLOOKUP($B159&amp;$C159,data!$A:$U,9,FALSE)</f>
        <v>0</v>
      </c>
      <c r="O159" s="3">
        <f ca="1">VLOOKUP($B159&amp;$C159,data!$A:$U,10,FALSE)</f>
        <v>0</v>
      </c>
      <c r="P159" s="3">
        <f ca="1">VLOOKUP($B159&amp;$C159,data!$A:$U,11,FALSE)</f>
        <v>15</v>
      </c>
      <c r="Q159" s="3">
        <f ca="1">VLOOKUP($B159&amp;$C159,data!$A:$U,12,FALSE)</f>
        <v>15</v>
      </c>
      <c r="R159" s="3">
        <f ca="1">VLOOKUP($B159&amp;$C159,data!$A:$U,13,FALSE)</f>
        <v>0</v>
      </c>
      <c r="S159" s="3">
        <f ca="1">VLOOKUP($B159&amp;$C159,data!$A:$U,5,FALSE)</f>
        <v>15</v>
      </c>
      <c r="T159" s="3">
        <f ca="1">VLOOKUP($B159&amp;$C159,data!$A:$U,6,FALSE)</f>
        <v>14</v>
      </c>
      <c r="U159" s="3">
        <f ca="1">VLOOKUP($B159&amp;$C159,data!$A:$U,7,FALSE)</f>
        <v>1</v>
      </c>
      <c r="V159" s="18" t="s">
        <v>447</v>
      </c>
      <c r="W159" s="17" t="s">
        <v>448</v>
      </c>
      <c r="X159" s="17" t="s">
        <v>449</v>
      </c>
      <c r="Y159" s="4" t="s">
        <v>450</v>
      </c>
      <c r="Z159" s="13">
        <f t="shared" ca="1" si="1"/>
        <v>0.65757974537700647</v>
      </c>
    </row>
    <row r="160" spans="1:26" ht="13" x14ac:dyDescent="0.15">
      <c r="A160" s="3">
        <v>159</v>
      </c>
      <c r="B160" s="3" t="s">
        <v>26</v>
      </c>
      <c r="C160" s="3" t="s">
        <v>451</v>
      </c>
      <c r="D160" s="10" t="e">
        <f t="shared" ca="1" si="0"/>
        <v>#DIV/0!</v>
      </c>
      <c r="E160" s="5">
        <f ca="1">VLOOKUP($B160&amp;$C160,data!$A:$U,20,FALSE)</f>
        <v>44305.4355208333</v>
      </c>
      <c r="F160" s="3" t="str">
        <f ca="1">VLOOKUP($B160&amp;$C160,data!$A:$U,21,FALSE)</f>
        <v>19/04/2021</v>
      </c>
      <c r="G160" s="3">
        <f ca="1">VLOOKUP($B160&amp;$C160,data!$A:$U,17,FALSE)</f>
        <v>0</v>
      </c>
      <c r="H160" s="3">
        <f ca="1">VLOOKUP($B160&amp;$C160,data!$A:$U,18,FALSE)</f>
        <v>0</v>
      </c>
      <c r="I160" s="3">
        <f ca="1">VLOOKUP($B160&amp;$C160,data!$A:$U,19,FALSE)</f>
        <v>0</v>
      </c>
      <c r="J160" s="3">
        <f ca="1">VLOOKUP($B160&amp;$C160,data!$A:$U,14,FALSE)</f>
        <v>0</v>
      </c>
      <c r="K160" s="3">
        <f ca="1">VLOOKUP($B160&amp;$C160,data!$A:$U,15,FALSE)</f>
        <v>0</v>
      </c>
      <c r="L160" s="3">
        <f ca="1">VLOOKUP($B160&amp;$C160,data!$A:$U,16,FALSE)</f>
        <v>0</v>
      </c>
      <c r="M160" s="3">
        <f ca="1">VLOOKUP($B160&amp;$C160,data!$A:$U,8,FALSE)</f>
        <v>0</v>
      </c>
      <c r="N160" s="3">
        <f ca="1">VLOOKUP($B160&amp;$C160,data!$A:$U,9,FALSE)</f>
        <v>0</v>
      </c>
      <c r="O160" s="3">
        <f ca="1">VLOOKUP($B160&amp;$C160,data!$A:$U,10,FALSE)</f>
        <v>0</v>
      </c>
      <c r="P160" s="3">
        <f ca="1">VLOOKUP($B160&amp;$C160,data!$A:$U,11,FALSE)</f>
        <v>0</v>
      </c>
      <c r="Q160" s="3">
        <f ca="1">VLOOKUP($B160&amp;$C160,data!$A:$U,12,FALSE)</f>
        <v>0</v>
      </c>
      <c r="R160" s="3">
        <f ca="1">VLOOKUP($B160&amp;$C160,data!$A:$U,13,FALSE)</f>
        <v>0</v>
      </c>
      <c r="S160" s="3">
        <f ca="1">VLOOKUP($B160&amp;$C160,data!$A:$U,5,FALSE)</f>
        <v>0</v>
      </c>
      <c r="T160" s="3">
        <f ca="1">VLOOKUP($B160&amp;$C160,data!$A:$U,6,FALSE)</f>
        <v>0</v>
      </c>
      <c r="U160" s="3">
        <f ca="1">VLOOKUP($B160&amp;$C160,data!$A:$U,7,FALSE)</f>
        <v>0</v>
      </c>
      <c r="V160" s="16"/>
      <c r="W160" s="9"/>
      <c r="X160" s="9"/>
      <c r="Y160" s="3"/>
      <c r="Z160" s="13">
        <f t="shared" ca="1" si="1"/>
        <v>0.65138761577691184</v>
      </c>
    </row>
    <row r="161" spans="1:26" ht="13" x14ac:dyDescent="0.15">
      <c r="A161" s="3">
        <v>160</v>
      </c>
      <c r="B161" s="3" t="s">
        <v>18</v>
      </c>
      <c r="C161" s="3" t="s">
        <v>452</v>
      </c>
      <c r="D161" s="10">
        <f t="shared" ca="1" si="0"/>
        <v>0</v>
      </c>
      <c r="E161" s="5">
        <f ca="1">VLOOKUP($B161&amp;$C161,data!$A:$U,20,FALSE)</f>
        <v>44302.524849537003</v>
      </c>
      <c r="F161" s="3" t="str">
        <f ca="1">VLOOKUP($B161&amp;$C161,data!$A:$U,21,FALSE)</f>
        <v>Report on 16.04.2021</v>
      </c>
      <c r="G161" s="3">
        <f ca="1">VLOOKUP($B161&amp;$C161,data!$A:$U,17,FALSE)</f>
        <v>0</v>
      </c>
      <c r="H161" s="3">
        <f ca="1">VLOOKUP($B161&amp;$C161,data!$A:$U,18,FALSE)</f>
        <v>0</v>
      </c>
      <c r="I161" s="3">
        <f ca="1">VLOOKUP($B161&amp;$C161,data!$A:$U,19,FALSE)</f>
        <v>0</v>
      </c>
      <c r="J161" s="3">
        <f ca="1">VLOOKUP($B161&amp;$C161,data!$A:$U,14,FALSE)</f>
        <v>0</v>
      </c>
      <c r="K161" s="3">
        <f ca="1">VLOOKUP($B161&amp;$C161,data!$A:$U,15,FALSE)</f>
        <v>0</v>
      </c>
      <c r="L161" s="3">
        <f ca="1">VLOOKUP($B161&amp;$C161,data!$A:$U,16,FALSE)</f>
        <v>0</v>
      </c>
      <c r="M161" s="3">
        <f ca="1">VLOOKUP($B161&amp;$C161,data!$A:$U,8,FALSE)</f>
        <v>0</v>
      </c>
      <c r="N161" s="3">
        <f ca="1">VLOOKUP($B161&amp;$C161,data!$A:$U,9,FALSE)</f>
        <v>0</v>
      </c>
      <c r="O161" s="3">
        <f ca="1">VLOOKUP($B161&amp;$C161,data!$A:$U,10,FALSE)</f>
        <v>0</v>
      </c>
      <c r="P161" s="3">
        <f ca="1">VLOOKUP($B161&amp;$C161,data!$A:$U,11,FALSE)</f>
        <v>0</v>
      </c>
      <c r="Q161" s="3">
        <f ca="1">VLOOKUP($B161&amp;$C161,data!$A:$U,12,FALSE)</f>
        <v>0</v>
      </c>
      <c r="R161" s="3">
        <f ca="1">VLOOKUP($B161&amp;$C161,data!$A:$U,13,FALSE)</f>
        <v>0</v>
      </c>
      <c r="S161" s="3">
        <f ca="1">VLOOKUP($B161&amp;$C161,data!$A:$U,5,FALSE)</f>
        <v>5</v>
      </c>
      <c r="T161" s="3">
        <f ca="1">VLOOKUP($B161&amp;$C161,data!$A:$U,6,FALSE)</f>
        <v>0</v>
      </c>
      <c r="U161" s="3">
        <f ca="1">VLOOKUP($B161&amp;$C161,data!$A:$U,7,FALSE)</f>
        <v>0</v>
      </c>
      <c r="V161" s="16"/>
      <c r="W161" s="9"/>
      <c r="X161" s="9"/>
      <c r="Y161" s="3"/>
      <c r="Z161" s="13">
        <f t="shared" ca="1" si="1"/>
        <v>3.5620589120735531</v>
      </c>
    </row>
    <row r="162" spans="1:26" ht="13" x14ac:dyDescent="0.15">
      <c r="A162" s="3">
        <v>161</v>
      </c>
      <c r="B162" s="3" t="s">
        <v>18</v>
      </c>
      <c r="C162" s="3" t="s">
        <v>453</v>
      </c>
      <c r="D162" s="10">
        <f t="shared" ca="1" si="0"/>
        <v>0.5</v>
      </c>
      <c r="E162" s="5">
        <f ca="1">VLOOKUP($B162&amp;$C162,data!$A:$U,20,FALSE)</f>
        <v>44302.521898148101</v>
      </c>
      <c r="F162" s="3" t="str">
        <f ca="1">VLOOKUP($B162&amp;$C162,data!$A:$U,21,FALSE)</f>
        <v>Today Report on 16.04.2021</v>
      </c>
      <c r="G162" s="3">
        <f ca="1">VLOOKUP($B162&amp;$C162,data!$A:$U,17,FALSE)</f>
        <v>0</v>
      </c>
      <c r="H162" s="3">
        <f ca="1">VLOOKUP($B162&amp;$C162,data!$A:$U,18,FALSE)</f>
        <v>0</v>
      </c>
      <c r="I162" s="3">
        <f ca="1">VLOOKUP($B162&amp;$C162,data!$A:$U,19,FALSE)</f>
        <v>0</v>
      </c>
      <c r="J162" s="3">
        <f ca="1">VLOOKUP($B162&amp;$C162,data!$A:$U,14,FALSE)</f>
        <v>0</v>
      </c>
      <c r="K162" s="3">
        <f ca="1">VLOOKUP($B162&amp;$C162,data!$A:$U,15,FALSE)</f>
        <v>0</v>
      </c>
      <c r="L162" s="3">
        <f ca="1">VLOOKUP($B162&amp;$C162,data!$A:$U,16,FALSE)</f>
        <v>0</v>
      </c>
      <c r="M162" s="3">
        <f ca="1">VLOOKUP($B162&amp;$C162,data!$A:$U,8,FALSE)</f>
        <v>0</v>
      </c>
      <c r="N162" s="3">
        <f ca="1">VLOOKUP($B162&amp;$C162,data!$A:$U,9,FALSE)</f>
        <v>0</v>
      </c>
      <c r="O162" s="3">
        <f ca="1">VLOOKUP($B162&amp;$C162,data!$A:$U,10,FALSE)</f>
        <v>0</v>
      </c>
      <c r="P162" s="3">
        <f ca="1">VLOOKUP($B162&amp;$C162,data!$A:$U,11,FALSE)</f>
        <v>7</v>
      </c>
      <c r="Q162" s="3">
        <f ca="1">VLOOKUP($B162&amp;$C162,data!$A:$U,12,FALSE)</f>
        <v>0</v>
      </c>
      <c r="R162" s="3">
        <f ca="1">VLOOKUP($B162&amp;$C162,data!$A:$U,13,FALSE)</f>
        <v>0</v>
      </c>
      <c r="S162" s="3">
        <f ca="1">VLOOKUP($B162&amp;$C162,data!$A:$U,5,FALSE)</f>
        <v>7</v>
      </c>
      <c r="T162" s="3">
        <f ca="1">VLOOKUP($B162&amp;$C162,data!$A:$U,6,FALSE)</f>
        <v>0</v>
      </c>
      <c r="U162" s="3">
        <f ca="1">VLOOKUP($B162&amp;$C162,data!$A:$U,7,FALSE)</f>
        <v>7</v>
      </c>
      <c r="V162" s="16"/>
      <c r="W162" s="9"/>
      <c r="X162" s="9"/>
      <c r="Y162" s="3"/>
      <c r="Z162" s="13">
        <f t="shared" ca="1" si="1"/>
        <v>3.5650103009757004</v>
      </c>
    </row>
    <row r="163" spans="1:26" ht="13" x14ac:dyDescent="0.15">
      <c r="A163" s="3">
        <v>162</v>
      </c>
      <c r="B163" s="3" t="s">
        <v>18</v>
      </c>
      <c r="C163" s="3" t="s">
        <v>454</v>
      </c>
      <c r="D163" s="10" t="e">
        <f t="shared" ca="1" si="0"/>
        <v>#DIV/0!</v>
      </c>
      <c r="E163" s="5">
        <f ca="1">VLOOKUP($B163&amp;$C163,data!$A:$U,20,FALSE)</f>
        <v>44302.524340277698</v>
      </c>
      <c r="F163" s="3" t="str">
        <f ca="1">VLOOKUP($B163&amp;$C163,data!$A:$U,21,FALSE)</f>
        <v>Report on 16.04.2021</v>
      </c>
      <c r="G163" s="3">
        <f ca="1">VLOOKUP($B163&amp;$C163,data!$A:$U,17,FALSE)</f>
        <v>0</v>
      </c>
      <c r="H163" s="3">
        <f ca="1">VLOOKUP($B163&amp;$C163,data!$A:$U,18,FALSE)</f>
        <v>0</v>
      </c>
      <c r="I163" s="3">
        <f ca="1">VLOOKUP($B163&amp;$C163,data!$A:$U,19,FALSE)</f>
        <v>0</v>
      </c>
      <c r="J163" s="3">
        <f ca="1">VLOOKUP($B163&amp;$C163,data!$A:$U,14,FALSE)</f>
        <v>0</v>
      </c>
      <c r="K163" s="3">
        <f ca="1">VLOOKUP($B163&amp;$C163,data!$A:$U,15,FALSE)</f>
        <v>0</v>
      </c>
      <c r="L163" s="3">
        <f ca="1">VLOOKUP($B163&amp;$C163,data!$A:$U,16,FALSE)</f>
        <v>0</v>
      </c>
      <c r="M163" s="3">
        <f ca="1">VLOOKUP($B163&amp;$C163,data!$A:$U,8,FALSE)</f>
        <v>0</v>
      </c>
      <c r="N163" s="3">
        <f ca="1">VLOOKUP($B163&amp;$C163,data!$A:$U,9,FALSE)</f>
        <v>0</v>
      </c>
      <c r="O163" s="3">
        <f ca="1">VLOOKUP($B163&amp;$C163,data!$A:$U,10,FALSE)</f>
        <v>0</v>
      </c>
      <c r="P163" s="3">
        <f ca="1">VLOOKUP($B163&amp;$C163,data!$A:$U,11,FALSE)</f>
        <v>0</v>
      </c>
      <c r="Q163" s="3">
        <f ca="1">VLOOKUP($B163&amp;$C163,data!$A:$U,12,FALSE)</f>
        <v>0</v>
      </c>
      <c r="R163" s="3">
        <f ca="1">VLOOKUP($B163&amp;$C163,data!$A:$U,13,FALSE)</f>
        <v>0</v>
      </c>
      <c r="S163" s="3">
        <f ca="1">VLOOKUP($B163&amp;$C163,data!$A:$U,5,FALSE)</f>
        <v>0</v>
      </c>
      <c r="T163" s="3">
        <f ca="1">VLOOKUP($B163&amp;$C163,data!$A:$U,6,FALSE)</f>
        <v>0</v>
      </c>
      <c r="U163" s="3">
        <f ca="1">VLOOKUP($B163&amp;$C163,data!$A:$U,7,FALSE)</f>
        <v>0</v>
      </c>
      <c r="V163" s="16"/>
      <c r="W163" s="9"/>
      <c r="X163" s="9"/>
      <c r="Y163" s="3"/>
      <c r="Z163" s="13">
        <f t="shared" ca="1" si="1"/>
        <v>3.5625681713790982</v>
      </c>
    </row>
    <row r="164" spans="1:26" ht="13" x14ac:dyDescent="0.15">
      <c r="A164" s="3">
        <v>163</v>
      </c>
      <c r="B164" s="3" t="s">
        <v>18</v>
      </c>
      <c r="C164" s="3" t="s">
        <v>455</v>
      </c>
      <c r="D164" s="10">
        <f t="shared" ca="1" si="0"/>
        <v>0.78918918918918923</v>
      </c>
      <c r="E164" s="5">
        <f ca="1">VLOOKUP($B164&amp;$C164,data!$A:$U,20,FALSE)</f>
        <v>44305.469270833302</v>
      </c>
      <c r="F164" s="3" t="str">
        <f ca="1">VLOOKUP($B164&amp;$C164,data!$A:$U,21,FALSE)</f>
        <v>Nill.</v>
      </c>
      <c r="G164" s="3">
        <f ca="1">VLOOKUP($B164&amp;$C164,data!$A:$U,17,FALSE)</f>
        <v>10</v>
      </c>
      <c r="H164" s="3">
        <f ca="1">VLOOKUP($B164&amp;$C164,data!$A:$U,18,FALSE)</f>
        <v>0</v>
      </c>
      <c r="I164" s="3">
        <f ca="1">VLOOKUP($B164&amp;$C164,data!$A:$U,19,FALSE)</f>
        <v>10</v>
      </c>
      <c r="J164" s="3">
        <f ca="1">VLOOKUP($B164&amp;$C164,data!$A:$U,14,FALSE)</f>
        <v>10</v>
      </c>
      <c r="K164" s="3">
        <f ca="1">VLOOKUP($B164&amp;$C164,data!$A:$U,15,FALSE)</f>
        <v>0</v>
      </c>
      <c r="L164" s="3">
        <f ca="1">VLOOKUP($B164&amp;$C164,data!$A:$U,16,FALSE)</f>
        <v>10</v>
      </c>
      <c r="M164" s="3">
        <f ca="1">VLOOKUP($B164&amp;$C164,data!$A:$U,8,FALSE)</f>
        <v>60</v>
      </c>
      <c r="N164" s="3">
        <f ca="1">VLOOKUP($B164&amp;$C164,data!$A:$U,9,FALSE)</f>
        <v>39</v>
      </c>
      <c r="O164" s="3">
        <f ca="1">VLOOKUP($B164&amp;$C164,data!$A:$U,10,FALSE)</f>
        <v>21</v>
      </c>
      <c r="P164" s="3">
        <f ca="1">VLOOKUP($B164&amp;$C164,data!$A:$U,11,FALSE)</f>
        <v>120</v>
      </c>
      <c r="Q164" s="3">
        <f ca="1">VLOOKUP($B164&amp;$C164,data!$A:$U,12,FALSE)</f>
        <v>0</v>
      </c>
      <c r="R164" s="3">
        <f ca="1">VLOOKUP($B164&amp;$C164,data!$A:$U,13,FALSE)</f>
        <v>120</v>
      </c>
      <c r="S164" s="3">
        <f ca="1">VLOOKUP($B164&amp;$C164,data!$A:$U,5,FALSE)</f>
        <v>180</v>
      </c>
      <c r="T164" s="3">
        <f ca="1">VLOOKUP($B164&amp;$C164,data!$A:$U,6,FALSE)</f>
        <v>39</v>
      </c>
      <c r="U164" s="3">
        <f ca="1">VLOOKUP($B164&amp;$C164,data!$A:$U,7,FALSE)</f>
        <v>141</v>
      </c>
      <c r="V164" s="18" t="s">
        <v>456</v>
      </c>
      <c r="W164" s="17" t="s">
        <v>457</v>
      </c>
      <c r="X164" s="17" t="s">
        <v>458</v>
      </c>
      <c r="Y164" s="4" t="s">
        <v>459</v>
      </c>
      <c r="Z164" s="13">
        <f t="shared" ca="1" si="1"/>
        <v>0.61763761577458354</v>
      </c>
    </row>
    <row r="165" spans="1:26" ht="13" x14ac:dyDescent="0.15">
      <c r="A165" s="3">
        <v>164</v>
      </c>
      <c r="B165" s="3" t="s">
        <v>18</v>
      </c>
      <c r="C165" s="3" t="s">
        <v>460</v>
      </c>
      <c r="D165" s="10">
        <f t="shared" ca="1" si="0"/>
        <v>0.41666666666666669</v>
      </c>
      <c r="E165" s="5">
        <f ca="1">VLOOKUP($B165&amp;$C165,data!$A:$U,20,FALSE)</f>
        <v>44302.522280092497</v>
      </c>
      <c r="F165" s="3" t="str">
        <f ca="1">VLOOKUP($B165&amp;$C165,data!$A:$U,21,FALSE)</f>
        <v>Report on 16.04.2021</v>
      </c>
      <c r="G165" s="3">
        <f ca="1">VLOOKUP($B165&amp;$C165,data!$A:$U,17,FALSE)</f>
        <v>0</v>
      </c>
      <c r="H165" s="3">
        <f ca="1">VLOOKUP($B165&amp;$C165,data!$A:$U,18,FALSE)</f>
        <v>0</v>
      </c>
      <c r="I165" s="3">
        <f ca="1">VLOOKUP($B165&amp;$C165,data!$A:$U,19,FALSE)</f>
        <v>0</v>
      </c>
      <c r="J165" s="3">
        <f ca="1">VLOOKUP($B165&amp;$C165,data!$A:$U,14,FALSE)</f>
        <v>1</v>
      </c>
      <c r="K165" s="3">
        <f ca="1">VLOOKUP($B165&amp;$C165,data!$A:$U,15,FALSE)</f>
        <v>0</v>
      </c>
      <c r="L165" s="3">
        <f ca="1">VLOOKUP($B165&amp;$C165,data!$A:$U,16,FALSE)</f>
        <v>1</v>
      </c>
      <c r="M165" s="3">
        <f ca="1">VLOOKUP($B165&amp;$C165,data!$A:$U,8,FALSE)</f>
        <v>2</v>
      </c>
      <c r="N165" s="3">
        <f ca="1">VLOOKUP($B165&amp;$C165,data!$A:$U,9,FALSE)</f>
        <v>0</v>
      </c>
      <c r="O165" s="3">
        <f ca="1">VLOOKUP($B165&amp;$C165,data!$A:$U,10,FALSE)</f>
        <v>2</v>
      </c>
      <c r="P165" s="3">
        <f ca="1">VLOOKUP($B165&amp;$C165,data!$A:$U,11,FALSE)</f>
        <v>2</v>
      </c>
      <c r="Q165" s="3">
        <f ca="1">VLOOKUP($B165&amp;$C165,data!$A:$U,12,FALSE)</f>
        <v>0</v>
      </c>
      <c r="R165" s="3">
        <f ca="1">VLOOKUP($B165&amp;$C165,data!$A:$U,13,FALSE)</f>
        <v>2</v>
      </c>
      <c r="S165" s="3">
        <f ca="1">VLOOKUP($B165&amp;$C165,data!$A:$U,5,FALSE)</f>
        <v>7</v>
      </c>
      <c r="T165" s="3">
        <f ca="1">VLOOKUP($B165&amp;$C165,data!$A:$U,6,FALSE)</f>
        <v>0</v>
      </c>
      <c r="U165" s="3">
        <f ca="1">VLOOKUP($B165&amp;$C165,data!$A:$U,7,FALSE)</f>
        <v>0</v>
      </c>
      <c r="V165" s="16"/>
      <c r="W165" s="9"/>
      <c r="X165" s="9"/>
      <c r="Y165" s="3"/>
      <c r="Z165" s="13">
        <f t="shared" ca="1" si="1"/>
        <v>3.564628356580215</v>
      </c>
    </row>
    <row r="166" spans="1:26" ht="13" x14ac:dyDescent="0.15">
      <c r="A166" s="3">
        <v>165</v>
      </c>
      <c r="B166" s="3" t="s">
        <v>18</v>
      </c>
      <c r="C166" s="3" t="s">
        <v>461</v>
      </c>
      <c r="D166" s="10">
        <f t="shared" ca="1" si="0"/>
        <v>1</v>
      </c>
      <c r="E166" s="5">
        <f ca="1">VLOOKUP($B166&amp;$C166,data!$A:$U,20,FALSE)</f>
        <v>44302.522638888797</v>
      </c>
      <c r="F166" s="3" t="str">
        <f ca="1">VLOOKUP($B166&amp;$C166,data!$A:$U,21,FALSE)</f>
        <v>Today report 16-04-2021</v>
      </c>
      <c r="G166" s="3">
        <f ca="1">VLOOKUP($B166&amp;$C166,data!$A:$U,17,FALSE)</f>
        <v>2</v>
      </c>
      <c r="H166" s="3">
        <f ca="1">VLOOKUP($B166&amp;$C166,data!$A:$U,18,FALSE)</f>
        <v>0</v>
      </c>
      <c r="I166" s="3">
        <f ca="1">VLOOKUP($B166&amp;$C166,data!$A:$U,19,FALSE)</f>
        <v>2</v>
      </c>
      <c r="J166" s="3">
        <f ca="1">VLOOKUP($B166&amp;$C166,data!$A:$U,14,FALSE)</f>
        <v>3</v>
      </c>
      <c r="K166" s="3">
        <f ca="1">VLOOKUP($B166&amp;$C166,data!$A:$U,15,FALSE)</f>
        <v>0</v>
      </c>
      <c r="L166" s="3">
        <f ca="1">VLOOKUP($B166&amp;$C166,data!$A:$U,16,FALSE)</f>
        <v>3</v>
      </c>
      <c r="M166" s="3">
        <f ca="1">VLOOKUP($B166&amp;$C166,data!$A:$U,8,FALSE)</f>
        <v>4</v>
      </c>
      <c r="N166" s="3">
        <f ca="1">VLOOKUP($B166&amp;$C166,data!$A:$U,9,FALSE)</f>
        <v>0</v>
      </c>
      <c r="O166" s="3">
        <f ca="1">VLOOKUP($B166&amp;$C166,data!$A:$U,10,FALSE)</f>
        <v>4</v>
      </c>
      <c r="P166" s="3">
        <f ca="1">VLOOKUP($B166&amp;$C166,data!$A:$U,11,FALSE)</f>
        <v>3</v>
      </c>
      <c r="Q166" s="3">
        <f ca="1">VLOOKUP($B166&amp;$C166,data!$A:$U,12,FALSE)</f>
        <v>0</v>
      </c>
      <c r="R166" s="3">
        <f ca="1">VLOOKUP($B166&amp;$C166,data!$A:$U,13,FALSE)</f>
        <v>3</v>
      </c>
      <c r="S166" s="3">
        <f ca="1">VLOOKUP($B166&amp;$C166,data!$A:$U,5,FALSE)</f>
        <v>10</v>
      </c>
      <c r="T166" s="3">
        <f ca="1">VLOOKUP($B166&amp;$C166,data!$A:$U,6,FALSE)</f>
        <v>0</v>
      </c>
      <c r="U166" s="3">
        <f ca="1">VLOOKUP($B166&amp;$C166,data!$A:$U,7,FALSE)</f>
        <v>10</v>
      </c>
      <c r="V166" s="23" t="s">
        <v>462</v>
      </c>
      <c r="W166" s="17" t="s">
        <v>463</v>
      </c>
      <c r="X166" s="9"/>
      <c r="Y166" s="4" t="s">
        <v>464</v>
      </c>
      <c r="Z166" s="13">
        <f t="shared" ca="1" si="1"/>
        <v>3.5642695602800814</v>
      </c>
    </row>
    <row r="167" spans="1:26" ht="13" x14ac:dyDescent="0.15">
      <c r="A167" s="3">
        <v>166</v>
      </c>
      <c r="B167" s="3" t="s">
        <v>18</v>
      </c>
      <c r="C167" s="3" t="s">
        <v>465</v>
      </c>
      <c r="D167" s="10">
        <f t="shared" ca="1" si="0"/>
        <v>0</v>
      </c>
      <c r="E167" s="5">
        <f ca="1">VLOOKUP($B167&amp;$C167,data!$A:$U,20,FALSE)</f>
        <v>44302.523194444402</v>
      </c>
      <c r="F167" s="3" t="str">
        <f ca="1">VLOOKUP($B167&amp;$C167,data!$A:$U,21,FALSE)</f>
        <v>Report 16.04.2021</v>
      </c>
      <c r="G167" s="3">
        <f ca="1">VLOOKUP($B167&amp;$C167,data!$A:$U,17,FALSE)</f>
        <v>0</v>
      </c>
      <c r="H167" s="3">
        <f ca="1">VLOOKUP($B167&amp;$C167,data!$A:$U,18,FALSE)</f>
        <v>0</v>
      </c>
      <c r="I167" s="3">
        <f ca="1">VLOOKUP($B167&amp;$C167,data!$A:$U,19,FALSE)</f>
        <v>0</v>
      </c>
      <c r="J167" s="3">
        <f ca="1">VLOOKUP($B167&amp;$C167,data!$A:$U,14,FALSE)</f>
        <v>0</v>
      </c>
      <c r="K167" s="3">
        <f ca="1">VLOOKUP($B167&amp;$C167,data!$A:$U,15,FALSE)</f>
        <v>0</v>
      </c>
      <c r="L167" s="3">
        <f ca="1">VLOOKUP($B167&amp;$C167,data!$A:$U,16,FALSE)</f>
        <v>0</v>
      </c>
      <c r="M167" s="3">
        <f ca="1">VLOOKUP($B167&amp;$C167,data!$A:$U,8,FALSE)</f>
        <v>0</v>
      </c>
      <c r="N167" s="3">
        <f ca="1">VLOOKUP($B167&amp;$C167,data!$A:$U,9,FALSE)</f>
        <v>0</v>
      </c>
      <c r="O167" s="3">
        <f ca="1">VLOOKUP($B167&amp;$C167,data!$A:$U,10,FALSE)</f>
        <v>0</v>
      </c>
      <c r="P167" s="3">
        <f ca="1">VLOOKUP($B167&amp;$C167,data!$A:$U,11,FALSE)</f>
        <v>0</v>
      </c>
      <c r="Q167" s="3">
        <f ca="1">VLOOKUP($B167&amp;$C167,data!$A:$U,12,FALSE)</f>
        <v>0</v>
      </c>
      <c r="R167" s="3">
        <f ca="1">VLOOKUP($B167&amp;$C167,data!$A:$U,13,FALSE)</f>
        <v>0</v>
      </c>
      <c r="S167" s="3">
        <f ca="1">VLOOKUP($B167&amp;$C167,data!$A:$U,5,FALSE)</f>
        <v>3</v>
      </c>
      <c r="T167" s="3">
        <f ca="1">VLOOKUP($B167&amp;$C167,data!$A:$U,6,FALSE)</f>
        <v>0</v>
      </c>
      <c r="U167" s="3">
        <f ca="1">VLOOKUP($B167&amp;$C167,data!$A:$U,7,FALSE)</f>
        <v>0</v>
      </c>
      <c r="V167" s="16"/>
      <c r="W167" s="9"/>
      <c r="X167" s="9"/>
      <c r="Y167" s="3"/>
      <c r="Z167" s="13">
        <f t="shared" ca="1" si="1"/>
        <v>3.5637140046746936</v>
      </c>
    </row>
    <row r="168" spans="1:26" ht="13" x14ac:dyDescent="0.15">
      <c r="A168" s="3">
        <v>167</v>
      </c>
      <c r="B168" s="3" t="s">
        <v>18</v>
      </c>
      <c r="C168" s="3" t="s">
        <v>466</v>
      </c>
      <c r="D168" s="10">
        <f t="shared" ca="1" si="0"/>
        <v>1</v>
      </c>
      <c r="E168" s="5">
        <f ca="1">VLOOKUP($B168&amp;$C168,data!$A:$U,20,FALSE)</f>
        <v>44303.444571759203</v>
      </c>
      <c r="F168" s="3" t="str">
        <f ca="1">VLOOKUP($B168&amp;$C168,data!$A:$U,21,FALSE)</f>
        <v>Report on 17.04.2021</v>
      </c>
      <c r="G168" s="3">
        <f ca="1">VLOOKUP($B168&amp;$C168,data!$A:$U,17,FALSE)</f>
        <v>1</v>
      </c>
      <c r="H168" s="3">
        <f ca="1">VLOOKUP($B168&amp;$C168,data!$A:$U,18,FALSE)</f>
        <v>0</v>
      </c>
      <c r="I168" s="3">
        <f ca="1">VLOOKUP($B168&amp;$C168,data!$A:$U,19,FALSE)</f>
        <v>1</v>
      </c>
      <c r="J168" s="3">
        <f ca="1">VLOOKUP($B168&amp;$C168,data!$A:$U,14,FALSE)</f>
        <v>0</v>
      </c>
      <c r="K168" s="3">
        <f ca="1">VLOOKUP($B168&amp;$C168,data!$A:$U,15,FALSE)</f>
        <v>0</v>
      </c>
      <c r="L168" s="3">
        <f ca="1">VLOOKUP($B168&amp;$C168,data!$A:$U,16,FALSE)</f>
        <v>0</v>
      </c>
      <c r="M168" s="3">
        <f ca="1">VLOOKUP($B168&amp;$C168,data!$A:$U,8,FALSE)</f>
        <v>0</v>
      </c>
      <c r="N168" s="3">
        <f ca="1">VLOOKUP($B168&amp;$C168,data!$A:$U,9,FALSE)</f>
        <v>0</v>
      </c>
      <c r="O168" s="3">
        <f ca="1">VLOOKUP($B168&amp;$C168,data!$A:$U,10,FALSE)</f>
        <v>0</v>
      </c>
      <c r="P168" s="3">
        <f ca="1">VLOOKUP($B168&amp;$C168,data!$A:$U,11,FALSE)</f>
        <v>7</v>
      </c>
      <c r="Q168" s="3">
        <f ca="1">VLOOKUP($B168&amp;$C168,data!$A:$U,12,FALSE)</f>
        <v>0</v>
      </c>
      <c r="R168" s="3">
        <f ca="1">VLOOKUP($B168&amp;$C168,data!$A:$U,13,FALSE)</f>
        <v>7</v>
      </c>
      <c r="S168" s="3">
        <f ca="1">VLOOKUP($B168&amp;$C168,data!$A:$U,5,FALSE)</f>
        <v>7</v>
      </c>
      <c r="T168" s="3">
        <f ca="1">VLOOKUP($B168&amp;$C168,data!$A:$U,6,FALSE)</f>
        <v>0</v>
      </c>
      <c r="U168" s="3">
        <f ca="1">VLOOKUP($B168&amp;$C168,data!$A:$U,7,FALSE)</f>
        <v>7</v>
      </c>
      <c r="V168" s="23" t="s">
        <v>467</v>
      </c>
      <c r="W168" s="17" t="s">
        <v>468</v>
      </c>
      <c r="X168" s="9"/>
      <c r="Y168" s="4" t="s">
        <v>469</v>
      </c>
      <c r="Z168" s="13">
        <f t="shared" ca="1" si="1"/>
        <v>2.6423366898743552</v>
      </c>
    </row>
    <row r="169" spans="1:26" ht="13" x14ac:dyDescent="0.15">
      <c r="A169" s="3">
        <v>168</v>
      </c>
      <c r="B169" s="3" t="s">
        <v>18</v>
      </c>
      <c r="C169" s="3" t="s">
        <v>470</v>
      </c>
      <c r="D169" s="10" t="e">
        <f t="shared" ca="1" si="0"/>
        <v>#DIV/0!</v>
      </c>
      <c r="E169" s="5">
        <f ca="1">VLOOKUP($B169&amp;$C169,data!$A:$U,20,FALSE)</f>
        <v>44302.524606481398</v>
      </c>
      <c r="F169" s="3" t="str">
        <f ca="1">VLOOKUP($B169&amp;$C169,data!$A:$U,21,FALSE)</f>
        <v>Report on 16.04.2021</v>
      </c>
      <c r="G169" s="3">
        <f ca="1">VLOOKUP($B169&amp;$C169,data!$A:$U,17,FALSE)</f>
        <v>0</v>
      </c>
      <c r="H169" s="3">
        <f ca="1">VLOOKUP($B169&amp;$C169,data!$A:$U,18,FALSE)</f>
        <v>0</v>
      </c>
      <c r="I169" s="3">
        <f ca="1">VLOOKUP($B169&amp;$C169,data!$A:$U,19,FALSE)</f>
        <v>0</v>
      </c>
      <c r="J169" s="3">
        <f ca="1">VLOOKUP($B169&amp;$C169,data!$A:$U,14,FALSE)</f>
        <v>0</v>
      </c>
      <c r="K169" s="3">
        <f ca="1">VLOOKUP($B169&amp;$C169,data!$A:$U,15,FALSE)</f>
        <v>0</v>
      </c>
      <c r="L169" s="3">
        <f ca="1">VLOOKUP($B169&amp;$C169,data!$A:$U,16,FALSE)</f>
        <v>0</v>
      </c>
      <c r="M169" s="3">
        <f ca="1">VLOOKUP($B169&amp;$C169,data!$A:$U,8,FALSE)</f>
        <v>0</v>
      </c>
      <c r="N169" s="3">
        <f ca="1">VLOOKUP($B169&amp;$C169,data!$A:$U,9,FALSE)</f>
        <v>0</v>
      </c>
      <c r="O169" s="3">
        <f ca="1">VLOOKUP($B169&amp;$C169,data!$A:$U,10,FALSE)</f>
        <v>0</v>
      </c>
      <c r="P169" s="3">
        <f ca="1">VLOOKUP($B169&amp;$C169,data!$A:$U,11,FALSE)</f>
        <v>0</v>
      </c>
      <c r="Q169" s="3">
        <f ca="1">VLOOKUP($B169&amp;$C169,data!$A:$U,12,FALSE)</f>
        <v>0</v>
      </c>
      <c r="R169" s="3">
        <f ca="1">VLOOKUP($B169&amp;$C169,data!$A:$U,13,FALSE)</f>
        <v>0</v>
      </c>
      <c r="S169" s="3">
        <f ca="1">VLOOKUP($B169&amp;$C169,data!$A:$U,5,FALSE)</f>
        <v>0</v>
      </c>
      <c r="T169" s="3">
        <f ca="1">VLOOKUP($B169&amp;$C169,data!$A:$U,6,FALSE)</f>
        <v>0</v>
      </c>
      <c r="U169" s="3">
        <f ca="1">VLOOKUP($B169&amp;$C169,data!$A:$U,7,FALSE)</f>
        <v>0</v>
      </c>
      <c r="V169" s="16"/>
      <c r="W169" s="9"/>
      <c r="X169" s="9"/>
      <c r="Y169" s="3"/>
      <c r="Z169" s="13">
        <f t="shared" ca="1" si="1"/>
        <v>3.5623019676786498</v>
      </c>
    </row>
    <row r="170" spans="1:26" ht="13" x14ac:dyDescent="0.15">
      <c r="A170" s="3">
        <v>169</v>
      </c>
      <c r="B170" s="3" t="s">
        <v>18</v>
      </c>
      <c r="C170" s="3" t="s">
        <v>471</v>
      </c>
      <c r="D170" s="10">
        <f t="shared" ca="1" si="0"/>
        <v>0.5</v>
      </c>
      <c r="E170" s="5">
        <f ca="1">VLOOKUP($B170&amp;$C170,data!$A:$U,20,FALSE)</f>
        <v>44302.522928240702</v>
      </c>
      <c r="F170" s="3" t="str">
        <f ca="1">VLOOKUP($B170&amp;$C170,data!$A:$U,21,FALSE)</f>
        <v>Report on 16.04.2021</v>
      </c>
      <c r="G170" s="3">
        <f ca="1">VLOOKUP($B170&amp;$C170,data!$A:$U,17,FALSE)</f>
        <v>0</v>
      </c>
      <c r="H170" s="3">
        <f ca="1">VLOOKUP($B170&amp;$C170,data!$A:$U,18,FALSE)</f>
        <v>0</v>
      </c>
      <c r="I170" s="3">
        <f ca="1">VLOOKUP($B170&amp;$C170,data!$A:$U,19,FALSE)</f>
        <v>0</v>
      </c>
      <c r="J170" s="3">
        <f ca="1">VLOOKUP($B170&amp;$C170,data!$A:$U,14,FALSE)</f>
        <v>0</v>
      </c>
      <c r="K170" s="3">
        <f ca="1">VLOOKUP($B170&amp;$C170,data!$A:$U,15,FALSE)</f>
        <v>0</v>
      </c>
      <c r="L170" s="3">
        <f ca="1">VLOOKUP($B170&amp;$C170,data!$A:$U,16,FALSE)</f>
        <v>0</v>
      </c>
      <c r="M170" s="3">
        <f ca="1">VLOOKUP($B170&amp;$C170,data!$A:$U,8,FALSE)</f>
        <v>7</v>
      </c>
      <c r="N170" s="3">
        <f ca="1">VLOOKUP($B170&amp;$C170,data!$A:$U,9,FALSE)</f>
        <v>0</v>
      </c>
      <c r="O170" s="3">
        <f ca="1">VLOOKUP($B170&amp;$C170,data!$A:$U,10,FALSE)</f>
        <v>0</v>
      </c>
      <c r="P170" s="3">
        <f ca="1">VLOOKUP($B170&amp;$C170,data!$A:$U,11,FALSE)</f>
        <v>0</v>
      </c>
      <c r="Q170" s="3">
        <f ca="1">VLOOKUP($B170&amp;$C170,data!$A:$U,12,FALSE)</f>
        <v>0</v>
      </c>
      <c r="R170" s="3">
        <f ca="1">VLOOKUP($B170&amp;$C170,data!$A:$U,13,FALSE)</f>
        <v>0</v>
      </c>
      <c r="S170" s="3">
        <f ca="1">VLOOKUP($B170&amp;$C170,data!$A:$U,5,FALSE)</f>
        <v>7</v>
      </c>
      <c r="T170" s="3">
        <f ca="1">VLOOKUP($B170&amp;$C170,data!$A:$U,6,FALSE)</f>
        <v>0</v>
      </c>
      <c r="U170" s="3">
        <f ca="1">VLOOKUP($B170&amp;$C170,data!$A:$U,7,FALSE)</f>
        <v>7</v>
      </c>
      <c r="V170" s="16"/>
      <c r="W170" s="9"/>
      <c r="X170" s="9"/>
      <c r="Y170" s="3"/>
      <c r="Z170" s="13">
        <f t="shared" ca="1" si="1"/>
        <v>3.563980208375142</v>
      </c>
    </row>
    <row r="171" spans="1:26" ht="13" x14ac:dyDescent="0.15">
      <c r="A171" s="3">
        <v>170</v>
      </c>
      <c r="B171" s="3" t="s">
        <v>18</v>
      </c>
      <c r="C171" s="3" t="s">
        <v>472</v>
      </c>
      <c r="D171" s="10" t="e">
        <f t="shared" ca="1" si="0"/>
        <v>#DIV/0!</v>
      </c>
      <c r="E171" s="5">
        <f ca="1">VLOOKUP($B171&amp;$C171,data!$A:$U,20,FALSE)</f>
        <v>44305.662719907399</v>
      </c>
      <c r="F171" s="3" t="str">
        <f ca="1">VLOOKUP($B171&amp;$C171,data!$A:$U,21,FALSE)</f>
        <v>Today report 0 19/04/2021</v>
      </c>
      <c r="G171" s="3">
        <f ca="1">VLOOKUP($B171&amp;$C171,data!$A:$U,17,FALSE)</f>
        <v>0</v>
      </c>
      <c r="H171" s="3">
        <f ca="1">VLOOKUP($B171&amp;$C171,data!$A:$U,18,FALSE)</f>
        <v>0</v>
      </c>
      <c r="I171" s="3">
        <f ca="1">VLOOKUP($B171&amp;$C171,data!$A:$U,19,FALSE)</f>
        <v>0</v>
      </c>
      <c r="J171" s="3">
        <f ca="1">VLOOKUP($B171&amp;$C171,data!$A:$U,14,FALSE)</f>
        <v>0</v>
      </c>
      <c r="K171" s="3">
        <f ca="1">VLOOKUP($B171&amp;$C171,data!$A:$U,15,FALSE)</f>
        <v>0</v>
      </c>
      <c r="L171" s="3">
        <f ca="1">VLOOKUP($B171&amp;$C171,data!$A:$U,16,FALSE)</f>
        <v>0</v>
      </c>
      <c r="M171" s="3">
        <f ca="1">VLOOKUP($B171&amp;$C171,data!$A:$U,8,FALSE)</f>
        <v>0</v>
      </c>
      <c r="N171" s="3">
        <f ca="1">VLOOKUP($B171&amp;$C171,data!$A:$U,9,FALSE)</f>
        <v>0</v>
      </c>
      <c r="O171" s="3">
        <f ca="1">VLOOKUP($B171&amp;$C171,data!$A:$U,10,FALSE)</f>
        <v>0</v>
      </c>
      <c r="P171" s="3">
        <f ca="1">VLOOKUP($B171&amp;$C171,data!$A:$U,11,FALSE)</f>
        <v>0</v>
      </c>
      <c r="Q171" s="3">
        <f ca="1">VLOOKUP($B171&amp;$C171,data!$A:$U,12,FALSE)</f>
        <v>0</v>
      </c>
      <c r="R171" s="3">
        <f ca="1">VLOOKUP($B171&amp;$C171,data!$A:$U,13,FALSE)</f>
        <v>0</v>
      </c>
      <c r="S171" s="3">
        <f ca="1">VLOOKUP($B171&amp;$C171,data!$A:$U,5,FALSE)</f>
        <v>0</v>
      </c>
      <c r="T171" s="3">
        <f ca="1">VLOOKUP($B171&amp;$C171,data!$A:$U,6,FALSE)</f>
        <v>0</v>
      </c>
      <c r="U171" s="3">
        <f ca="1">VLOOKUP($B171&amp;$C171,data!$A:$U,7,FALSE)</f>
        <v>0</v>
      </c>
      <c r="V171" s="16"/>
      <c r="W171" s="9"/>
      <c r="X171" s="9"/>
      <c r="Y171" s="3"/>
      <c r="Z171" s="13">
        <f t="shared" ca="1" si="1"/>
        <v>0.42418854167772224</v>
      </c>
    </row>
    <row r="172" spans="1:26" ht="13" x14ac:dyDescent="0.15">
      <c r="A172" s="3">
        <v>171</v>
      </c>
      <c r="B172" s="3" t="s">
        <v>18</v>
      </c>
      <c r="C172" s="3" t="s">
        <v>473</v>
      </c>
      <c r="D172" s="10" t="e">
        <f t="shared" ca="1" si="0"/>
        <v>#DIV/0!</v>
      </c>
      <c r="E172" s="5">
        <f ca="1">VLOOKUP($B172&amp;$C172,data!$A:$U,20,FALSE)</f>
        <v>44305.3945717592</v>
      </c>
      <c r="F172" s="3" t="str">
        <f ca="1">VLOOKUP($B172&amp;$C172,data!$A:$U,21,FALSE)</f>
        <v>Report on 19.04.2021</v>
      </c>
      <c r="G172" s="3">
        <f ca="1">VLOOKUP($B172&amp;$C172,data!$A:$U,17,FALSE)</f>
        <v>0</v>
      </c>
      <c r="H172" s="3">
        <f ca="1">VLOOKUP($B172&amp;$C172,data!$A:$U,18,FALSE)</f>
        <v>0</v>
      </c>
      <c r="I172" s="3">
        <f ca="1">VLOOKUP($B172&amp;$C172,data!$A:$U,19,FALSE)</f>
        <v>0</v>
      </c>
      <c r="J172" s="3">
        <f ca="1">VLOOKUP($B172&amp;$C172,data!$A:$U,14,FALSE)</f>
        <v>0</v>
      </c>
      <c r="K172" s="3">
        <f ca="1">VLOOKUP($B172&amp;$C172,data!$A:$U,15,FALSE)</f>
        <v>0</v>
      </c>
      <c r="L172" s="3">
        <f ca="1">VLOOKUP($B172&amp;$C172,data!$A:$U,16,FALSE)</f>
        <v>0</v>
      </c>
      <c r="M172" s="3">
        <f ca="1">VLOOKUP($B172&amp;$C172,data!$A:$U,8,FALSE)</f>
        <v>0</v>
      </c>
      <c r="N172" s="3">
        <f ca="1">VLOOKUP($B172&amp;$C172,data!$A:$U,9,FALSE)</f>
        <v>0</v>
      </c>
      <c r="O172" s="3">
        <f ca="1">VLOOKUP($B172&amp;$C172,data!$A:$U,10,FALSE)</f>
        <v>0</v>
      </c>
      <c r="P172" s="3">
        <f ca="1">VLOOKUP($B172&amp;$C172,data!$A:$U,11,FALSE)</f>
        <v>0</v>
      </c>
      <c r="Q172" s="3">
        <f ca="1">VLOOKUP($B172&amp;$C172,data!$A:$U,12,FALSE)</f>
        <v>0</v>
      </c>
      <c r="R172" s="3">
        <f ca="1">VLOOKUP($B172&amp;$C172,data!$A:$U,13,FALSE)</f>
        <v>0</v>
      </c>
      <c r="S172" s="3">
        <f ca="1">VLOOKUP($B172&amp;$C172,data!$A:$U,5,FALSE)</f>
        <v>0</v>
      </c>
      <c r="T172" s="3">
        <f ca="1">VLOOKUP($B172&amp;$C172,data!$A:$U,6,FALSE)</f>
        <v>0</v>
      </c>
      <c r="U172" s="3">
        <f ca="1">VLOOKUP($B172&amp;$C172,data!$A:$U,7,FALSE)</f>
        <v>0</v>
      </c>
      <c r="V172" s="16"/>
      <c r="W172" s="9"/>
      <c r="X172" s="9"/>
      <c r="Y172" s="3"/>
      <c r="Z172" s="13">
        <f t="shared" ca="1" si="1"/>
        <v>0.6923366898772656</v>
      </c>
    </row>
    <row r="173" spans="1:26" ht="13" x14ac:dyDescent="0.15">
      <c r="A173" s="3">
        <v>172</v>
      </c>
      <c r="B173" s="3" t="s">
        <v>19</v>
      </c>
      <c r="C173" s="3" t="s">
        <v>474</v>
      </c>
      <c r="D173" s="10">
        <f t="shared" ca="1" si="0"/>
        <v>1</v>
      </c>
      <c r="E173" s="5">
        <f ca="1">VLOOKUP($B173&amp;$C173,data!$A:$U,20,FALSE)</f>
        <v>44305.403113425898</v>
      </c>
      <c r="F173" s="3" t="str">
        <f ca="1">VLOOKUP($B173&amp;$C173,data!$A:$U,21,FALSE)</f>
        <v>NIL</v>
      </c>
      <c r="G173" s="3">
        <f ca="1">VLOOKUP($B173&amp;$C173,data!$A:$U,17,FALSE)</f>
        <v>3</v>
      </c>
      <c r="H173" s="3">
        <f ca="1">VLOOKUP($B173&amp;$C173,data!$A:$U,18,FALSE)</f>
        <v>0</v>
      </c>
      <c r="I173" s="3">
        <f ca="1">VLOOKUP($B173&amp;$C173,data!$A:$U,19,FALSE)</f>
        <v>3</v>
      </c>
      <c r="J173" s="3">
        <f ca="1">VLOOKUP($B173&amp;$C173,data!$A:$U,14,FALSE)</f>
        <v>10</v>
      </c>
      <c r="K173" s="3">
        <f ca="1">VLOOKUP($B173&amp;$C173,data!$A:$U,15,FALSE)</f>
        <v>0</v>
      </c>
      <c r="L173" s="3">
        <f ca="1">VLOOKUP($B173&amp;$C173,data!$A:$U,16,FALSE)</f>
        <v>10</v>
      </c>
      <c r="M173" s="3">
        <f ca="1">VLOOKUP($B173&amp;$C173,data!$A:$U,8,FALSE)</f>
        <v>20</v>
      </c>
      <c r="N173" s="3">
        <f ca="1">VLOOKUP($B173&amp;$C173,data!$A:$U,9,FALSE)</f>
        <v>0</v>
      </c>
      <c r="O173" s="3">
        <f ca="1">VLOOKUP($B173&amp;$C173,data!$A:$U,10,FALSE)</f>
        <v>20</v>
      </c>
      <c r="P173" s="3">
        <f ca="1">VLOOKUP($B173&amp;$C173,data!$A:$U,11,FALSE)</f>
        <v>0</v>
      </c>
      <c r="Q173" s="3">
        <f ca="1">VLOOKUP($B173&amp;$C173,data!$A:$U,12,FALSE)</f>
        <v>0</v>
      </c>
      <c r="R173" s="3">
        <f ca="1">VLOOKUP($B173&amp;$C173,data!$A:$U,13,FALSE)</f>
        <v>0</v>
      </c>
      <c r="S173" s="3">
        <f ca="1">VLOOKUP($B173&amp;$C173,data!$A:$U,5,FALSE)</f>
        <v>30</v>
      </c>
      <c r="T173" s="3">
        <f ca="1">VLOOKUP($B173&amp;$C173,data!$A:$U,6,FALSE)</f>
        <v>0</v>
      </c>
      <c r="U173" s="3">
        <f ca="1">VLOOKUP($B173&amp;$C173,data!$A:$U,7,FALSE)</f>
        <v>30</v>
      </c>
      <c r="V173" s="18" t="s">
        <v>475</v>
      </c>
      <c r="W173" s="17" t="s">
        <v>476</v>
      </c>
      <c r="X173" s="17" t="s">
        <v>477</v>
      </c>
      <c r="Y173" s="4" t="s">
        <v>478</v>
      </c>
      <c r="Z173" s="13">
        <f t="shared" ca="1" si="1"/>
        <v>0.68379502317839069</v>
      </c>
    </row>
    <row r="174" spans="1:26" ht="13" x14ac:dyDescent="0.15">
      <c r="A174" s="3">
        <v>173</v>
      </c>
      <c r="B174" s="3" t="s">
        <v>20</v>
      </c>
      <c r="C174" s="3" t="s">
        <v>479</v>
      </c>
      <c r="D174" s="10">
        <f t="shared" ca="1" si="0"/>
        <v>0.92500000000000004</v>
      </c>
      <c r="E174" s="5">
        <f ca="1">VLOOKUP($B174&amp;$C174,data!$A:$U,20,FALSE)</f>
        <v>44305.379583333299</v>
      </c>
      <c r="F174" s="3">
        <f ca="1">VLOOKUP($B174&amp;$C174,data!$A:$U,21,FALSE)</f>
        <v>0</v>
      </c>
      <c r="G174" s="3">
        <f ca="1">VLOOKUP($B174&amp;$C174,data!$A:$U,17,FALSE)</f>
        <v>1</v>
      </c>
      <c r="H174" s="3">
        <f ca="1">VLOOKUP($B174&amp;$C174,data!$A:$U,18,FALSE)</f>
        <v>0</v>
      </c>
      <c r="I174" s="3">
        <f ca="1">VLOOKUP($B174&amp;$C174,data!$A:$U,19,FALSE)</f>
        <v>1</v>
      </c>
      <c r="J174" s="3">
        <f ca="1">VLOOKUP($B174&amp;$C174,data!$A:$U,14,FALSE)</f>
        <v>4</v>
      </c>
      <c r="K174" s="3">
        <f ca="1">VLOOKUP($B174&amp;$C174,data!$A:$U,15,FALSE)</f>
        <v>0</v>
      </c>
      <c r="L174" s="3">
        <f ca="1">VLOOKUP($B174&amp;$C174,data!$A:$U,16,FALSE)</f>
        <v>4</v>
      </c>
      <c r="M174" s="3">
        <f ca="1">VLOOKUP($B174&amp;$C174,data!$A:$U,8,FALSE)</f>
        <v>36</v>
      </c>
      <c r="N174" s="3">
        <f ca="1">VLOOKUP($B174&amp;$C174,data!$A:$U,9,FALSE)</f>
        <v>3</v>
      </c>
      <c r="O174" s="3">
        <f ca="1">VLOOKUP($B174&amp;$C174,data!$A:$U,10,FALSE)</f>
        <v>33</v>
      </c>
      <c r="P174" s="3">
        <f ca="1">VLOOKUP($B174&amp;$C174,data!$A:$U,11,FALSE)</f>
        <v>0</v>
      </c>
      <c r="Q174" s="3">
        <f ca="1">VLOOKUP($B174&amp;$C174,data!$A:$U,12,FALSE)</f>
        <v>0</v>
      </c>
      <c r="R174" s="3">
        <f ca="1">VLOOKUP($B174&amp;$C174,data!$A:$U,13,FALSE)</f>
        <v>0</v>
      </c>
      <c r="S174" s="3">
        <f ca="1">VLOOKUP($B174&amp;$C174,data!$A:$U,5,FALSE)</f>
        <v>40</v>
      </c>
      <c r="T174" s="3">
        <f ca="1">VLOOKUP($B174&amp;$C174,data!$A:$U,6,FALSE)</f>
        <v>3</v>
      </c>
      <c r="U174" s="3">
        <f ca="1">VLOOKUP($B174&amp;$C174,data!$A:$U,7,FALSE)</f>
        <v>37</v>
      </c>
      <c r="V174" s="18" t="s">
        <v>480</v>
      </c>
      <c r="W174" s="17" t="s">
        <v>481</v>
      </c>
      <c r="X174" s="17" t="s">
        <v>482</v>
      </c>
      <c r="Y174" s="4" t="s">
        <v>483</v>
      </c>
      <c r="Z174" s="13">
        <f t="shared" ca="1" si="1"/>
        <v>0.707325115778076</v>
      </c>
    </row>
    <row r="175" spans="1:26" ht="13" x14ac:dyDescent="0.15">
      <c r="A175" s="3">
        <v>174</v>
      </c>
      <c r="B175" s="3" t="s">
        <v>20</v>
      </c>
      <c r="C175" s="3" t="s">
        <v>484</v>
      </c>
      <c r="D175" s="10">
        <f t="shared" ca="1" si="0"/>
        <v>1</v>
      </c>
      <c r="E175" s="5">
        <f ca="1">VLOOKUP($B175&amp;$C175,data!$A:$U,20,FALSE)</f>
        <v>44305.380844907399</v>
      </c>
      <c r="F175" s="3">
        <f ca="1">VLOOKUP($B175&amp;$C175,data!$A:$U,21,FALSE)</f>
        <v>0</v>
      </c>
      <c r="G175" s="3">
        <f ca="1">VLOOKUP($B175&amp;$C175,data!$A:$U,17,FALSE)</f>
        <v>2</v>
      </c>
      <c r="H175" s="3">
        <f ca="1">VLOOKUP($B175&amp;$C175,data!$A:$U,18,FALSE)</f>
        <v>0</v>
      </c>
      <c r="I175" s="3">
        <f ca="1">VLOOKUP($B175&amp;$C175,data!$A:$U,19,FALSE)</f>
        <v>2</v>
      </c>
      <c r="J175" s="3">
        <f ca="1">VLOOKUP($B175&amp;$C175,data!$A:$U,14,FALSE)</f>
        <v>4</v>
      </c>
      <c r="K175" s="3">
        <f ca="1">VLOOKUP($B175&amp;$C175,data!$A:$U,15,FALSE)</f>
        <v>0</v>
      </c>
      <c r="L175" s="3">
        <f ca="1">VLOOKUP($B175&amp;$C175,data!$A:$U,16,FALSE)</f>
        <v>4</v>
      </c>
      <c r="M175" s="3">
        <f ca="1">VLOOKUP($B175&amp;$C175,data!$A:$U,8,FALSE)</f>
        <v>0</v>
      </c>
      <c r="N175" s="3">
        <f ca="1">VLOOKUP($B175&amp;$C175,data!$A:$U,9,FALSE)</f>
        <v>0</v>
      </c>
      <c r="O175" s="3">
        <f ca="1">VLOOKUP($B175&amp;$C175,data!$A:$U,10,FALSE)</f>
        <v>0</v>
      </c>
      <c r="P175" s="3">
        <f ca="1">VLOOKUP($B175&amp;$C175,data!$A:$U,11,FALSE)</f>
        <v>27</v>
      </c>
      <c r="Q175" s="3">
        <f ca="1">VLOOKUP($B175&amp;$C175,data!$A:$U,12,FALSE)</f>
        <v>0</v>
      </c>
      <c r="R175" s="3">
        <f ca="1">VLOOKUP($B175&amp;$C175,data!$A:$U,13,FALSE)</f>
        <v>27</v>
      </c>
      <c r="S175" s="3">
        <f ca="1">VLOOKUP($B175&amp;$C175,data!$A:$U,5,FALSE)</f>
        <v>31</v>
      </c>
      <c r="T175" s="3">
        <f ca="1">VLOOKUP($B175&amp;$C175,data!$A:$U,6,FALSE)</f>
        <v>0</v>
      </c>
      <c r="U175" s="3">
        <f ca="1">VLOOKUP($B175&amp;$C175,data!$A:$U,7,FALSE)</f>
        <v>31</v>
      </c>
      <c r="V175" s="23" t="s">
        <v>485</v>
      </c>
      <c r="W175" s="17" t="s">
        <v>486</v>
      </c>
      <c r="X175" s="17" t="s">
        <v>487</v>
      </c>
      <c r="Y175" s="4" t="s">
        <v>488</v>
      </c>
      <c r="Z175" s="13">
        <f t="shared" ca="1" si="1"/>
        <v>0.70606354167830432</v>
      </c>
    </row>
    <row r="176" spans="1:26" ht="13" x14ac:dyDescent="0.15">
      <c r="A176" s="3">
        <v>175</v>
      </c>
      <c r="B176" s="3" t="s">
        <v>20</v>
      </c>
      <c r="C176" s="3" t="s">
        <v>489</v>
      </c>
      <c r="D176" s="10">
        <f t="shared" ca="1" si="0"/>
        <v>1</v>
      </c>
      <c r="E176" s="5">
        <f ca="1">VLOOKUP($B176&amp;$C176,data!$A:$U,20,FALSE)</f>
        <v>44305.3789004629</v>
      </c>
      <c r="F176" s="3">
        <f ca="1">VLOOKUP($B176&amp;$C176,data!$A:$U,21,FALSE)</f>
        <v>0</v>
      </c>
      <c r="G176" s="3">
        <f ca="1">VLOOKUP($B176&amp;$C176,data!$A:$U,17,FALSE)</f>
        <v>2</v>
      </c>
      <c r="H176" s="3">
        <f ca="1">VLOOKUP($B176&amp;$C176,data!$A:$U,18,FALSE)</f>
        <v>0</v>
      </c>
      <c r="I176" s="3">
        <f ca="1">VLOOKUP($B176&amp;$C176,data!$A:$U,19,FALSE)</f>
        <v>2</v>
      </c>
      <c r="J176" s="3">
        <f ca="1">VLOOKUP($B176&amp;$C176,data!$A:$U,14,FALSE)</f>
        <v>9</v>
      </c>
      <c r="K176" s="3">
        <f ca="1">VLOOKUP($B176&amp;$C176,data!$A:$U,15,FALSE)</f>
        <v>0</v>
      </c>
      <c r="L176" s="3">
        <f ca="1">VLOOKUP($B176&amp;$C176,data!$A:$U,16,FALSE)</f>
        <v>9</v>
      </c>
      <c r="M176" s="3">
        <f ca="1">VLOOKUP($B176&amp;$C176,data!$A:$U,8,FALSE)</f>
        <v>21</v>
      </c>
      <c r="N176" s="3">
        <f ca="1">VLOOKUP($B176&amp;$C176,data!$A:$U,9,FALSE)</f>
        <v>0</v>
      </c>
      <c r="O176" s="3">
        <f ca="1">VLOOKUP($B176&amp;$C176,data!$A:$U,10,FALSE)</f>
        <v>21</v>
      </c>
      <c r="P176" s="3">
        <f ca="1">VLOOKUP($B176&amp;$C176,data!$A:$U,11,FALSE)</f>
        <v>20</v>
      </c>
      <c r="Q176" s="3">
        <f ca="1">VLOOKUP($B176&amp;$C176,data!$A:$U,12,FALSE)</f>
        <v>0</v>
      </c>
      <c r="R176" s="3">
        <f ca="1">VLOOKUP($B176&amp;$C176,data!$A:$U,13,FALSE)</f>
        <v>20</v>
      </c>
      <c r="S176" s="3">
        <f ca="1">VLOOKUP($B176&amp;$C176,data!$A:$U,5,FALSE)</f>
        <v>50</v>
      </c>
      <c r="T176" s="3">
        <f ca="1">VLOOKUP($B176&amp;$C176,data!$A:$U,6,FALSE)</f>
        <v>0</v>
      </c>
      <c r="U176" s="3">
        <f ca="1">VLOOKUP($B176&amp;$C176,data!$A:$U,7,FALSE)</f>
        <v>50</v>
      </c>
      <c r="V176" s="18" t="s">
        <v>490</v>
      </c>
      <c r="W176" s="17" t="s">
        <v>491</v>
      </c>
      <c r="X176" s="9"/>
      <c r="Y176" s="4" t="s">
        <v>492</v>
      </c>
      <c r="Z176" s="13">
        <f t="shared" ca="1" si="1"/>
        <v>0.70800798617710825</v>
      </c>
    </row>
    <row r="177" spans="1:26" ht="13" x14ac:dyDescent="0.15">
      <c r="A177" s="3">
        <v>176</v>
      </c>
      <c r="B177" s="3" t="s">
        <v>21</v>
      </c>
      <c r="C177" s="3" t="s">
        <v>493</v>
      </c>
      <c r="D177" s="10">
        <f t="shared" ca="1" si="0"/>
        <v>0.99183673469387756</v>
      </c>
      <c r="E177" s="5">
        <f ca="1">VLOOKUP($B177&amp;$C177,data!$A:$U,20,FALSE)</f>
        <v>44305.404606481403</v>
      </c>
      <c r="F177" s="3">
        <f ca="1">VLOOKUP($B177&amp;$C177,data!$A:$U,21,FALSE)</f>
        <v>0</v>
      </c>
      <c r="G177" s="3">
        <f ca="1">VLOOKUP($B177&amp;$C177,data!$A:$U,17,FALSE)</f>
        <v>5</v>
      </c>
      <c r="H177" s="3">
        <f ca="1">VLOOKUP($B177&amp;$C177,data!$A:$U,18,FALSE)</f>
        <v>2</v>
      </c>
      <c r="I177" s="3">
        <f ca="1">VLOOKUP($B177&amp;$C177,data!$A:$U,19,FALSE)</f>
        <v>3</v>
      </c>
      <c r="J177" s="3">
        <f ca="1">VLOOKUP($B177&amp;$C177,data!$A:$U,14,FALSE)</f>
        <v>5</v>
      </c>
      <c r="K177" s="3">
        <f ca="1">VLOOKUP($B177&amp;$C177,data!$A:$U,15,FALSE)</f>
        <v>0</v>
      </c>
      <c r="L177" s="3">
        <f ca="1">VLOOKUP($B177&amp;$C177,data!$A:$U,16,FALSE)</f>
        <v>5</v>
      </c>
      <c r="M177" s="3">
        <f ca="1">VLOOKUP($B177&amp;$C177,data!$A:$U,8,FALSE)</f>
        <v>30</v>
      </c>
      <c r="N177" s="3">
        <f ca="1">VLOOKUP($B177&amp;$C177,data!$A:$U,9,FALSE)</f>
        <v>0</v>
      </c>
      <c r="O177" s="3">
        <f ca="1">VLOOKUP($B177&amp;$C177,data!$A:$U,10,FALSE)</f>
        <v>30</v>
      </c>
      <c r="P177" s="3">
        <f ca="1">VLOOKUP($B177&amp;$C177,data!$A:$U,11,FALSE)</f>
        <v>90</v>
      </c>
      <c r="Q177" s="3">
        <f ca="1">VLOOKUP($B177&amp;$C177,data!$A:$U,12,FALSE)</f>
        <v>0</v>
      </c>
      <c r="R177" s="3">
        <f ca="1">VLOOKUP($B177&amp;$C177,data!$A:$U,13,FALSE)</f>
        <v>89</v>
      </c>
      <c r="S177" s="3">
        <f ca="1">VLOOKUP($B177&amp;$C177,data!$A:$U,5,FALSE)</f>
        <v>120</v>
      </c>
      <c r="T177" s="3">
        <f ca="1">VLOOKUP($B177&amp;$C177,data!$A:$U,6,FALSE)</f>
        <v>1</v>
      </c>
      <c r="U177" s="3">
        <f ca="1">VLOOKUP($B177&amp;$C177,data!$A:$U,7,FALSE)</f>
        <v>119</v>
      </c>
      <c r="V177" s="18" t="s">
        <v>494</v>
      </c>
      <c r="W177" s="17" t="s">
        <v>495</v>
      </c>
      <c r="X177" s="17" t="s">
        <v>496</v>
      </c>
      <c r="Y177" s="4" t="s">
        <v>497</v>
      </c>
      <c r="Z177" s="13">
        <f t="shared" ca="1" si="1"/>
        <v>0.6823019676739932</v>
      </c>
    </row>
    <row r="178" spans="1:26" ht="13" x14ac:dyDescent="0.15">
      <c r="A178" s="3">
        <v>177</v>
      </c>
      <c r="B178" s="3" t="s">
        <v>21</v>
      </c>
      <c r="C178" s="3" t="s">
        <v>498</v>
      </c>
      <c r="D178" s="10">
        <f t="shared" ca="1" si="0"/>
        <v>0.13043478260869565</v>
      </c>
      <c r="E178" s="5">
        <f ca="1">VLOOKUP($B178&amp;$C178,data!$A:$U,20,FALSE)</f>
        <v>44305.517974536997</v>
      </c>
      <c r="F178" s="3">
        <f ca="1">VLOOKUP($B178&amp;$C178,data!$A:$U,21,FALSE)</f>
        <v>0</v>
      </c>
      <c r="G178" s="3">
        <f ca="1">VLOOKUP($B178&amp;$C178,data!$A:$U,17,FALSE)</f>
        <v>2</v>
      </c>
      <c r="H178" s="3">
        <f ca="1">VLOOKUP($B178&amp;$C178,data!$A:$U,18,FALSE)</f>
        <v>0</v>
      </c>
      <c r="I178" s="3">
        <f ca="1">VLOOKUP($B178&amp;$C178,data!$A:$U,19,FALSE)</f>
        <v>2</v>
      </c>
      <c r="J178" s="3">
        <f ca="1">VLOOKUP($B178&amp;$C178,data!$A:$U,14,FALSE)</f>
        <v>8</v>
      </c>
      <c r="K178" s="3">
        <f ca="1">VLOOKUP($B178&amp;$C178,data!$A:$U,15,FALSE)</f>
        <v>8</v>
      </c>
      <c r="L178" s="3">
        <f ca="1">VLOOKUP($B178&amp;$C178,data!$A:$U,16,FALSE)</f>
        <v>0</v>
      </c>
      <c r="M178" s="3">
        <f ca="1">VLOOKUP($B178&amp;$C178,data!$A:$U,8,FALSE)</f>
        <v>43</v>
      </c>
      <c r="N178" s="3">
        <f ca="1">VLOOKUP($B178&amp;$C178,data!$A:$U,9,FALSE)</f>
        <v>43</v>
      </c>
      <c r="O178" s="3">
        <f ca="1">VLOOKUP($B178&amp;$C178,data!$A:$U,10,FALSE)</f>
        <v>0</v>
      </c>
      <c r="P178" s="3">
        <f ca="1">VLOOKUP($B178&amp;$C178,data!$A:$U,11,FALSE)</f>
        <v>64</v>
      </c>
      <c r="Q178" s="3">
        <f ca="1">VLOOKUP($B178&amp;$C178,data!$A:$U,12,FALSE)</f>
        <v>0</v>
      </c>
      <c r="R178" s="3">
        <f ca="1">VLOOKUP($B178&amp;$C178,data!$A:$U,13,FALSE)</f>
        <v>15</v>
      </c>
      <c r="S178" s="3">
        <f ca="1">VLOOKUP($B178&amp;$C178,data!$A:$U,5,FALSE)</f>
        <v>115</v>
      </c>
      <c r="T178" s="3">
        <f ca="1">VLOOKUP($B178&amp;$C178,data!$A:$U,6,FALSE)</f>
        <v>100</v>
      </c>
      <c r="U178" s="3">
        <f ca="1">VLOOKUP($B178&amp;$C178,data!$A:$U,7,FALSE)</f>
        <v>15</v>
      </c>
      <c r="V178" s="18" t="s">
        <v>499</v>
      </c>
      <c r="W178" s="17" t="s">
        <v>500</v>
      </c>
      <c r="X178" s="17" t="s">
        <v>501</v>
      </c>
      <c r="Y178" s="4" t="s">
        <v>502</v>
      </c>
      <c r="Z178" s="13">
        <f t="shared" ca="1" si="1"/>
        <v>0.56893391207995592</v>
      </c>
    </row>
    <row r="179" spans="1:26" ht="13" x14ac:dyDescent="0.15">
      <c r="A179" s="3">
        <v>178</v>
      </c>
      <c r="B179" s="3" t="s">
        <v>21</v>
      </c>
      <c r="C179" s="3" t="s">
        <v>503</v>
      </c>
      <c r="D179" s="10">
        <f t="shared" ca="1" si="0"/>
        <v>0</v>
      </c>
      <c r="E179" s="5">
        <f ca="1">VLOOKUP($B179&amp;$C179,data!$A:$U,20,FALSE)</f>
        <v>44305.527592592502</v>
      </c>
      <c r="F179" s="3" t="str">
        <f ca="1">VLOOKUP($B179&amp;$C179,data!$A:$U,21,FALSE)</f>
        <v>Nil</v>
      </c>
      <c r="G179" s="3">
        <f ca="1">VLOOKUP($B179&amp;$C179,data!$A:$U,17,FALSE)</f>
        <v>5</v>
      </c>
      <c r="H179" s="3">
        <f ca="1">VLOOKUP($B179&amp;$C179,data!$A:$U,18,FALSE)</f>
        <v>4</v>
      </c>
      <c r="I179" s="3">
        <f ca="1">VLOOKUP($B179&amp;$C179,data!$A:$U,19,FALSE)</f>
        <v>1</v>
      </c>
      <c r="J179" s="3">
        <f ca="1">VLOOKUP($B179&amp;$C179,data!$A:$U,14,FALSE)</f>
        <v>7</v>
      </c>
      <c r="K179" s="3">
        <f ca="1">VLOOKUP($B179&amp;$C179,data!$A:$U,15,FALSE)</f>
        <v>7</v>
      </c>
      <c r="L179" s="3">
        <f ca="1">VLOOKUP($B179&amp;$C179,data!$A:$U,16,FALSE)</f>
        <v>0</v>
      </c>
      <c r="M179" s="3">
        <f ca="1">VLOOKUP($B179&amp;$C179,data!$A:$U,8,FALSE)</f>
        <v>33</v>
      </c>
      <c r="N179" s="3">
        <f ca="1">VLOOKUP($B179&amp;$C179,data!$A:$U,9,FALSE)</f>
        <v>33</v>
      </c>
      <c r="O179" s="3">
        <f ca="1">VLOOKUP($B179&amp;$C179,data!$A:$U,10,FALSE)</f>
        <v>0</v>
      </c>
      <c r="P179" s="3">
        <f ca="1">VLOOKUP($B179&amp;$C179,data!$A:$U,11,FALSE)</f>
        <v>0</v>
      </c>
      <c r="Q179" s="3">
        <f ca="1">VLOOKUP($B179&amp;$C179,data!$A:$U,12,FALSE)</f>
        <v>0</v>
      </c>
      <c r="R179" s="3">
        <f ca="1">VLOOKUP($B179&amp;$C179,data!$A:$U,13,FALSE)</f>
        <v>0</v>
      </c>
      <c r="S179" s="3">
        <f ca="1">VLOOKUP($B179&amp;$C179,data!$A:$U,5,FALSE)</f>
        <v>40</v>
      </c>
      <c r="T179" s="3">
        <f ca="1">VLOOKUP($B179&amp;$C179,data!$A:$U,6,FALSE)</f>
        <v>40</v>
      </c>
      <c r="U179" s="3">
        <f ca="1">VLOOKUP($B179&amp;$C179,data!$A:$U,7,FALSE)</f>
        <v>0</v>
      </c>
      <c r="V179" s="23" t="s">
        <v>504</v>
      </c>
      <c r="W179" s="17" t="s">
        <v>505</v>
      </c>
      <c r="X179" s="17" t="s">
        <v>506</v>
      </c>
      <c r="Y179" s="4" t="s">
        <v>507</v>
      </c>
      <c r="Z179" s="13">
        <f t="shared" ca="1" si="1"/>
        <v>0.55931585657526739</v>
      </c>
    </row>
    <row r="180" spans="1:26" ht="13" x14ac:dyDescent="0.15">
      <c r="A180" s="3">
        <v>179</v>
      </c>
      <c r="B180" s="3" t="s">
        <v>21</v>
      </c>
      <c r="C180" s="3" t="s">
        <v>508</v>
      </c>
      <c r="D180" s="10">
        <f t="shared" ca="1" si="0"/>
        <v>0.44090909090909092</v>
      </c>
      <c r="E180" s="5">
        <f ca="1">VLOOKUP($B180&amp;$C180,data!$A:$U,20,FALSE)</f>
        <v>44305.451990740701</v>
      </c>
      <c r="F180" s="3" t="str">
        <f ca="1">VLOOKUP($B180&amp;$C180,data!$A:$U,21,FALSE)</f>
        <v>Nil</v>
      </c>
      <c r="G180" s="3">
        <f ca="1">VLOOKUP($B180&amp;$C180,data!$A:$U,17,FALSE)</f>
        <v>10</v>
      </c>
      <c r="H180" s="3">
        <f ca="1">VLOOKUP($B180&amp;$C180,data!$A:$U,18,FALSE)</f>
        <v>7</v>
      </c>
      <c r="I180" s="3">
        <f ca="1">VLOOKUP($B180&amp;$C180,data!$A:$U,19,FALSE)</f>
        <v>3</v>
      </c>
      <c r="J180" s="3">
        <f ca="1">VLOOKUP($B180&amp;$C180,data!$A:$U,14,FALSE)</f>
        <v>20</v>
      </c>
      <c r="K180" s="3">
        <f ca="1">VLOOKUP($B180&amp;$C180,data!$A:$U,15,FALSE)</f>
        <v>1</v>
      </c>
      <c r="L180" s="3">
        <f ca="1">VLOOKUP($B180&amp;$C180,data!$A:$U,16,FALSE)</f>
        <v>2</v>
      </c>
      <c r="M180" s="3">
        <f ca="1">VLOOKUP($B180&amp;$C180,data!$A:$U,8,FALSE)</f>
        <v>85</v>
      </c>
      <c r="N180" s="3">
        <f ca="1">VLOOKUP($B180&amp;$C180,data!$A:$U,9,FALSE)</f>
        <v>20</v>
      </c>
      <c r="O180" s="3">
        <f ca="1">VLOOKUP($B180&amp;$C180,data!$A:$U,10,FALSE)</f>
        <v>65</v>
      </c>
      <c r="P180" s="3">
        <f ca="1">VLOOKUP($B180&amp;$C180,data!$A:$U,11,FALSE)</f>
        <v>20</v>
      </c>
      <c r="Q180" s="3">
        <f ca="1">VLOOKUP($B180&amp;$C180,data!$A:$U,12,FALSE)</f>
        <v>0</v>
      </c>
      <c r="R180" s="3">
        <f ca="1">VLOOKUP($B180&amp;$C180,data!$A:$U,13,FALSE)</f>
        <v>0</v>
      </c>
      <c r="S180" s="3">
        <f ca="1">VLOOKUP($B180&amp;$C180,data!$A:$U,5,FALSE)</f>
        <v>95</v>
      </c>
      <c r="T180" s="3">
        <f ca="1">VLOOKUP($B180&amp;$C180,data!$A:$U,6,FALSE)</f>
        <v>65</v>
      </c>
      <c r="U180" s="3">
        <f ca="1">VLOOKUP($B180&amp;$C180,data!$A:$U,7,FALSE)</f>
        <v>30</v>
      </c>
      <c r="V180" s="18" t="s">
        <v>509</v>
      </c>
      <c r="W180" s="17" t="s">
        <v>510</v>
      </c>
      <c r="X180" s="17" t="s">
        <v>511</v>
      </c>
      <c r="Y180" s="4" t="s">
        <v>512</v>
      </c>
      <c r="Z180" s="13">
        <f t="shared" ca="1" si="1"/>
        <v>0.63491770837572403</v>
      </c>
    </row>
    <row r="181" spans="1:26" ht="13" x14ac:dyDescent="0.15">
      <c r="A181" s="3">
        <v>180</v>
      </c>
      <c r="B181" s="3" t="s">
        <v>21</v>
      </c>
      <c r="C181" s="3" t="s">
        <v>513</v>
      </c>
      <c r="D181" s="10">
        <f t="shared" ca="1" si="0"/>
        <v>6.25E-2</v>
      </c>
      <c r="E181" s="5">
        <f ca="1">VLOOKUP($B181&amp;$C181,data!$A:$U,20,FALSE)</f>
        <v>44305.403981481402</v>
      </c>
      <c r="F181" s="3">
        <f ca="1">VLOOKUP($B181&amp;$C181,data!$A:$U,21,FALSE)</f>
        <v>0</v>
      </c>
      <c r="G181" s="3">
        <f ca="1">VLOOKUP($B181&amp;$C181,data!$A:$U,17,FALSE)</f>
        <v>2</v>
      </c>
      <c r="H181" s="3">
        <f ca="1">VLOOKUP($B181&amp;$C181,data!$A:$U,18,FALSE)</f>
        <v>0</v>
      </c>
      <c r="I181" s="3">
        <f ca="1">VLOOKUP($B181&amp;$C181,data!$A:$U,19,FALSE)</f>
        <v>2</v>
      </c>
      <c r="J181" s="3">
        <f ca="1">VLOOKUP($B181&amp;$C181,data!$A:$U,14,FALSE)</f>
        <v>3</v>
      </c>
      <c r="K181" s="3">
        <f ca="1">VLOOKUP($B181&amp;$C181,data!$A:$U,15,FALSE)</f>
        <v>2</v>
      </c>
      <c r="L181" s="3">
        <f ca="1">VLOOKUP($B181&amp;$C181,data!$A:$U,16,FALSE)</f>
        <v>1</v>
      </c>
      <c r="M181" s="3">
        <f ca="1">VLOOKUP($B181&amp;$C181,data!$A:$U,8,FALSE)</f>
        <v>19</v>
      </c>
      <c r="N181" s="3">
        <f ca="1">VLOOKUP($B181&amp;$C181,data!$A:$U,9,FALSE)</f>
        <v>18</v>
      </c>
      <c r="O181" s="3">
        <f ca="1">VLOOKUP($B181&amp;$C181,data!$A:$U,10,FALSE)</f>
        <v>1</v>
      </c>
      <c r="P181" s="3">
        <f ca="1">VLOOKUP($B181&amp;$C181,data!$A:$U,11,FALSE)</f>
        <v>11</v>
      </c>
      <c r="Q181" s="3">
        <f ca="1">VLOOKUP($B181&amp;$C181,data!$A:$U,12,FALSE)</f>
        <v>11</v>
      </c>
      <c r="R181" s="3">
        <f ca="1">VLOOKUP($B181&amp;$C181,data!$A:$U,13,FALSE)</f>
        <v>0</v>
      </c>
      <c r="S181" s="3">
        <f ca="1">VLOOKUP($B181&amp;$C181,data!$A:$U,5,FALSE)</f>
        <v>31</v>
      </c>
      <c r="T181" s="3">
        <f ca="1">VLOOKUP($B181&amp;$C181,data!$A:$U,6,FALSE)</f>
        <v>29</v>
      </c>
      <c r="U181" s="3">
        <f ca="1">VLOOKUP($B181&amp;$C181,data!$A:$U,7,FALSE)</f>
        <v>2</v>
      </c>
      <c r="V181" s="18" t="s">
        <v>514</v>
      </c>
      <c r="W181" s="17" t="s">
        <v>515</v>
      </c>
      <c r="X181" s="17" t="s">
        <v>516</v>
      </c>
      <c r="Y181" s="4" t="s">
        <v>517</v>
      </c>
      <c r="Z181" s="13">
        <f t="shared" ca="1" si="1"/>
        <v>0.68292696767457528</v>
      </c>
    </row>
    <row r="182" spans="1:26" ht="13" x14ac:dyDescent="0.15">
      <c r="A182" s="3">
        <v>181</v>
      </c>
      <c r="B182" s="3" t="s">
        <v>21</v>
      </c>
      <c r="C182" s="3" t="s">
        <v>518</v>
      </c>
      <c r="D182" s="10">
        <f t="shared" ca="1" si="0"/>
        <v>0.54285714285714282</v>
      </c>
      <c r="E182" s="5">
        <f ca="1">VLOOKUP($B182&amp;$C182,data!$A:$U,20,FALSE)</f>
        <v>44305.505254629599</v>
      </c>
      <c r="F182" s="3">
        <f ca="1">VLOOKUP($B182&amp;$C182,data!$A:$U,21,FALSE)</f>
        <v>0</v>
      </c>
      <c r="G182" s="3">
        <f ca="1">VLOOKUP($B182&amp;$C182,data!$A:$U,17,FALSE)</f>
        <v>7</v>
      </c>
      <c r="H182" s="3">
        <f ca="1">VLOOKUP($B182&amp;$C182,data!$A:$U,18,FALSE)</f>
        <v>0</v>
      </c>
      <c r="I182" s="3">
        <f ca="1">VLOOKUP($B182&amp;$C182,data!$A:$U,19,FALSE)</f>
        <v>7</v>
      </c>
      <c r="J182" s="3">
        <f ca="1">VLOOKUP($B182&amp;$C182,data!$A:$U,14,FALSE)</f>
        <v>20</v>
      </c>
      <c r="K182" s="3">
        <f ca="1">VLOOKUP($B182&amp;$C182,data!$A:$U,15,FALSE)</f>
        <v>0</v>
      </c>
      <c r="L182" s="3">
        <f ca="1">VLOOKUP($B182&amp;$C182,data!$A:$U,16,FALSE)</f>
        <v>20</v>
      </c>
      <c r="M182" s="3">
        <f ca="1">VLOOKUP($B182&amp;$C182,data!$A:$U,8,FALSE)</f>
        <v>60</v>
      </c>
      <c r="N182" s="3">
        <f ca="1">VLOOKUP($B182&amp;$C182,data!$A:$U,9,FALSE)</f>
        <v>32</v>
      </c>
      <c r="O182" s="3">
        <f ca="1">VLOOKUP($B182&amp;$C182,data!$A:$U,10,FALSE)</f>
        <v>28</v>
      </c>
      <c r="P182" s="3">
        <f ca="1">VLOOKUP($B182&amp;$C182,data!$A:$U,11,FALSE)</f>
        <v>0</v>
      </c>
      <c r="Q182" s="3">
        <f ca="1">VLOOKUP($B182&amp;$C182,data!$A:$U,12,FALSE)</f>
        <v>0</v>
      </c>
      <c r="R182" s="3">
        <f ca="1">VLOOKUP($B182&amp;$C182,data!$A:$U,13,FALSE)</f>
        <v>0</v>
      </c>
      <c r="S182" s="3">
        <f ca="1">VLOOKUP($B182&amp;$C182,data!$A:$U,5,FALSE)</f>
        <v>60</v>
      </c>
      <c r="T182" s="3">
        <f ca="1">VLOOKUP($B182&amp;$C182,data!$A:$U,6,FALSE)</f>
        <v>32</v>
      </c>
      <c r="U182" s="3">
        <f ca="1">VLOOKUP($B182&amp;$C182,data!$A:$U,7,FALSE)</f>
        <v>28</v>
      </c>
      <c r="V182" s="18" t="s">
        <v>519</v>
      </c>
      <c r="W182" s="17" t="s">
        <v>520</v>
      </c>
      <c r="X182" s="17" t="s">
        <v>521</v>
      </c>
      <c r="Y182" s="4" t="s">
        <v>522</v>
      </c>
      <c r="Z182" s="13">
        <f t="shared" ca="1" si="1"/>
        <v>0.58165381947765127</v>
      </c>
    </row>
    <row r="183" spans="1:26" ht="13" x14ac:dyDescent="0.15">
      <c r="A183" s="3">
        <v>182</v>
      </c>
      <c r="B183" s="3" t="s">
        <v>21</v>
      </c>
      <c r="C183" s="3" t="s">
        <v>523</v>
      </c>
      <c r="D183" s="10">
        <f t="shared" ca="1" si="0"/>
        <v>0.65714285714285714</v>
      </c>
      <c r="E183" s="5">
        <f ca="1">VLOOKUP($B183&amp;$C183,data!$A:$U,20,FALSE)</f>
        <v>44305.4295949074</v>
      </c>
      <c r="F183" s="3" t="str">
        <f ca="1">VLOOKUP($B183&amp;$C183,data!$A:$U,21,FALSE)</f>
        <v>nil</v>
      </c>
      <c r="G183" s="3">
        <f ca="1">VLOOKUP($B183&amp;$C183,data!$A:$U,17,FALSE)</f>
        <v>1</v>
      </c>
      <c r="H183" s="3">
        <f ca="1">VLOOKUP($B183&amp;$C183,data!$A:$U,18,FALSE)</f>
        <v>0</v>
      </c>
      <c r="I183" s="3">
        <f ca="1">VLOOKUP($B183&amp;$C183,data!$A:$U,19,FALSE)</f>
        <v>1</v>
      </c>
      <c r="J183" s="3">
        <f ca="1">VLOOKUP($B183&amp;$C183,data!$A:$U,14,FALSE)</f>
        <v>10</v>
      </c>
      <c r="K183" s="3">
        <f ca="1">VLOOKUP($B183&amp;$C183,data!$A:$U,15,FALSE)</f>
        <v>1</v>
      </c>
      <c r="L183" s="3">
        <f ca="1">VLOOKUP($B183&amp;$C183,data!$A:$U,16,FALSE)</f>
        <v>7</v>
      </c>
      <c r="M183" s="3">
        <f ca="1">VLOOKUP($B183&amp;$C183,data!$A:$U,8,FALSE)</f>
        <v>5</v>
      </c>
      <c r="N183" s="3">
        <f ca="1">VLOOKUP($B183&amp;$C183,data!$A:$U,9,FALSE)</f>
        <v>0</v>
      </c>
      <c r="O183" s="3">
        <f ca="1">VLOOKUP($B183&amp;$C183,data!$A:$U,10,FALSE)</f>
        <v>17</v>
      </c>
      <c r="P183" s="3">
        <f ca="1">VLOOKUP($B183&amp;$C183,data!$A:$U,11,FALSE)</f>
        <v>5</v>
      </c>
      <c r="Q183" s="3">
        <f ca="1">VLOOKUP($B183&amp;$C183,data!$A:$U,12,FALSE)</f>
        <v>4</v>
      </c>
      <c r="R183" s="3">
        <f ca="1">VLOOKUP($B183&amp;$C183,data!$A:$U,13,FALSE)</f>
        <v>3</v>
      </c>
      <c r="S183" s="3">
        <f ca="1">VLOOKUP($B183&amp;$C183,data!$A:$U,5,FALSE)</f>
        <v>50</v>
      </c>
      <c r="T183" s="3">
        <f ca="1">VLOOKUP($B183&amp;$C183,data!$A:$U,6,FALSE)</f>
        <v>31</v>
      </c>
      <c r="U183" s="3">
        <f ca="1">VLOOKUP($B183&amp;$C183,data!$A:$U,7,FALSE)</f>
        <v>19</v>
      </c>
      <c r="V183" s="18" t="s">
        <v>524</v>
      </c>
      <c r="W183" s="17" t="s">
        <v>525</v>
      </c>
      <c r="X183" s="17" t="s">
        <v>526</v>
      </c>
      <c r="Y183" s="4" t="s">
        <v>527</v>
      </c>
      <c r="Z183" s="13">
        <f t="shared" ca="1" si="1"/>
        <v>0.65731354167655809</v>
      </c>
    </row>
    <row r="184" spans="1:26" ht="13" x14ac:dyDescent="0.15">
      <c r="A184" s="3">
        <v>183</v>
      </c>
      <c r="B184" s="3" t="s">
        <v>21</v>
      </c>
      <c r="C184" s="3" t="s">
        <v>528</v>
      </c>
      <c r="D184" s="10">
        <f t="shared" ca="1" si="0"/>
        <v>0.32467532467532467</v>
      </c>
      <c r="E184" s="5">
        <f ca="1">VLOOKUP($B184&amp;$C184,data!$A:$U,20,FALSE)</f>
        <v>44304.429884259203</v>
      </c>
      <c r="F184" s="3">
        <f ca="1">VLOOKUP($B184&amp;$C184,data!$A:$U,21,FALSE)</f>
        <v>0</v>
      </c>
      <c r="G184" s="3">
        <f ca="1">VLOOKUP($B184&amp;$C184,data!$A:$U,17,FALSE)</f>
        <v>0</v>
      </c>
      <c r="H184" s="3">
        <f ca="1">VLOOKUP($B184&amp;$C184,data!$A:$U,18,FALSE)</f>
        <v>0</v>
      </c>
      <c r="I184" s="3">
        <f ca="1">VLOOKUP($B184&amp;$C184,data!$A:$U,19,FALSE)</f>
        <v>0</v>
      </c>
      <c r="J184" s="3">
        <f ca="1">VLOOKUP($B184&amp;$C184,data!$A:$U,14,FALSE)</f>
        <v>0</v>
      </c>
      <c r="K184" s="3">
        <f ca="1">VLOOKUP($B184&amp;$C184,data!$A:$U,15,FALSE)</f>
        <v>0</v>
      </c>
      <c r="L184" s="3">
        <f ca="1">VLOOKUP($B184&amp;$C184,data!$A:$U,16,FALSE)</f>
        <v>0</v>
      </c>
      <c r="M184" s="3">
        <f ca="1">VLOOKUP($B184&amp;$C184,data!$A:$U,8,FALSE)</f>
        <v>32</v>
      </c>
      <c r="N184" s="3">
        <f ca="1">VLOOKUP($B184&amp;$C184,data!$A:$U,9,FALSE)</f>
        <v>8</v>
      </c>
      <c r="O184" s="3">
        <f ca="1">VLOOKUP($B184&amp;$C184,data!$A:$U,10,FALSE)</f>
        <v>22</v>
      </c>
      <c r="P184" s="3">
        <f ca="1">VLOOKUP($B184&amp;$C184,data!$A:$U,11,FALSE)</f>
        <v>0</v>
      </c>
      <c r="Q184" s="3">
        <f ca="1">VLOOKUP($B184&amp;$C184,data!$A:$U,12,FALSE)</f>
        <v>0</v>
      </c>
      <c r="R184" s="3">
        <f ca="1">VLOOKUP($B184&amp;$C184,data!$A:$U,13,FALSE)</f>
        <v>0</v>
      </c>
      <c r="S184" s="3">
        <f ca="1">VLOOKUP($B184&amp;$C184,data!$A:$U,5,FALSE)</f>
        <v>45</v>
      </c>
      <c r="T184" s="3">
        <f ca="1">VLOOKUP($B184&amp;$C184,data!$A:$U,6,FALSE)</f>
        <v>38</v>
      </c>
      <c r="U184" s="3">
        <f ca="1">VLOOKUP($B184&amp;$C184,data!$A:$U,7,FALSE)</f>
        <v>3</v>
      </c>
      <c r="V184" s="16"/>
      <c r="W184" s="9"/>
      <c r="X184" s="9"/>
      <c r="Y184" s="3"/>
      <c r="Z184" s="13">
        <f t="shared" ca="1" si="1"/>
        <v>1.6570241898734821</v>
      </c>
    </row>
    <row r="185" spans="1:26" ht="13" x14ac:dyDescent="0.15">
      <c r="A185" s="3">
        <v>184</v>
      </c>
      <c r="B185" s="3" t="s">
        <v>21</v>
      </c>
      <c r="C185" s="3" t="s">
        <v>529</v>
      </c>
      <c r="D185" s="10">
        <f t="shared" ca="1" si="0"/>
        <v>8.8888888888888892E-2</v>
      </c>
      <c r="E185" s="5">
        <f ca="1">VLOOKUP($B185&amp;$C185,data!$A:$U,20,FALSE)</f>
        <v>44305.428333333301</v>
      </c>
      <c r="F185" s="3" t="str">
        <f ca="1">VLOOKUP($B185&amp;$C185,data!$A:$U,21,FALSE)</f>
        <v>19-04-21</v>
      </c>
      <c r="G185" s="3">
        <f ca="1">VLOOKUP($B185&amp;$C185,data!$A:$U,17,FALSE)</f>
        <v>2</v>
      </c>
      <c r="H185" s="3">
        <f ca="1">VLOOKUP($B185&amp;$C185,data!$A:$U,18,FALSE)</f>
        <v>0</v>
      </c>
      <c r="I185" s="3">
        <f ca="1">VLOOKUP($B185&amp;$C185,data!$A:$U,19,FALSE)</f>
        <v>2</v>
      </c>
      <c r="J185" s="3">
        <f ca="1">VLOOKUP($B185&amp;$C185,data!$A:$U,14,FALSE)</f>
        <v>4</v>
      </c>
      <c r="K185" s="3">
        <f ca="1">VLOOKUP($B185&amp;$C185,data!$A:$U,15,FALSE)</f>
        <v>4</v>
      </c>
      <c r="L185" s="3">
        <f ca="1">VLOOKUP($B185&amp;$C185,data!$A:$U,16,FALSE)</f>
        <v>4</v>
      </c>
      <c r="M185" s="3">
        <f ca="1">VLOOKUP($B185&amp;$C185,data!$A:$U,8,FALSE)</f>
        <v>29</v>
      </c>
      <c r="N185" s="3">
        <f ca="1">VLOOKUP($B185&amp;$C185,data!$A:$U,9,FALSE)</f>
        <v>27</v>
      </c>
      <c r="O185" s="3">
        <f ca="1">VLOOKUP($B185&amp;$C185,data!$A:$U,10,FALSE)</f>
        <v>2</v>
      </c>
      <c r="P185" s="3">
        <f ca="1">VLOOKUP($B185&amp;$C185,data!$A:$U,11,FALSE)</f>
        <v>57</v>
      </c>
      <c r="Q185" s="3">
        <f ca="1">VLOOKUP($B185&amp;$C185,data!$A:$U,12,FALSE)</f>
        <v>53</v>
      </c>
      <c r="R185" s="3">
        <f ca="1">VLOOKUP($B185&amp;$C185,data!$A:$U,13,FALSE)</f>
        <v>4</v>
      </c>
      <c r="S185" s="3">
        <f ca="1">VLOOKUP($B185&amp;$C185,data!$A:$U,5,FALSE)</f>
        <v>90</v>
      </c>
      <c r="T185" s="3">
        <f ca="1">VLOOKUP($B185&amp;$C185,data!$A:$U,6,FALSE)</f>
        <v>84</v>
      </c>
      <c r="U185" s="3">
        <f ca="1">VLOOKUP($B185&amp;$C185,data!$A:$U,7,FALSE)</f>
        <v>6</v>
      </c>
      <c r="V185" s="23" t="s">
        <v>530</v>
      </c>
      <c r="W185" s="17" t="s">
        <v>531</v>
      </c>
      <c r="X185" s="9"/>
      <c r="Y185" s="4" t="s">
        <v>532</v>
      </c>
      <c r="Z185" s="13">
        <f t="shared" ca="1" si="1"/>
        <v>0.65857511577632977</v>
      </c>
    </row>
    <row r="186" spans="1:26" ht="13" x14ac:dyDescent="0.15">
      <c r="A186" s="3">
        <v>185</v>
      </c>
      <c r="B186" s="3" t="s">
        <v>21</v>
      </c>
      <c r="C186" s="3" t="s">
        <v>533</v>
      </c>
      <c r="D186" s="10">
        <f t="shared" ca="1" si="0"/>
        <v>0.61875000000000002</v>
      </c>
      <c r="E186" s="5">
        <f ca="1">VLOOKUP($B186&amp;$C186,data!$A:$U,20,FALSE)</f>
        <v>44305.5108564814</v>
      </c>
      <c r="F186" s="3">
        <f ca="1">VLOOKUP($B186&amp;$C186,data!$A:$U,21,FALSE)</f>
        <v>0</v>
      </c>
      <c r="G186" s="3">
        <f ca="1">VLOOKUP($B186&amp;$C186,data!$A:$U,17,FALSE)</f>
        <v>2</v>
      </c>
      <c r="H186" s="3">
        <f ca="1">VLOOKUP($B186&amp;$C186,data!$A:$U,18,FALSE)</f>
        <v>0</v>
      </c>
      <c r="I186" s="3">
        <f ca="1">VLOOKUP($B186&amp;$C186,data!$A:$U,19,FALSE)</f>
        <v>2</v>
      </c>
      <c r="J186" s="3">
        <f ca="1">VLOOKUP($B186&amp;$C186,data!$A:$U,14,FALSE)</f>
        <v>9</v>
      </c>
      <c r="K186" s="3">
        <f ca="1">VLOOKUP($B186&amp;$C186,data!$A:$U,15,FALSE)</f>
        <v>0</v>
      </c>
      <c r="L186" s="3">
        <f ca="1">VLOOKUP($B186&amp;$C186,data!$A:$U,16,FALSE)</f>
        <v>0</v>
      </c>
      <c r="M186" s="3">
        <f ca="1">VLOOKUP($B186&amp;$C186,data!$A:$U,8,FALSE)</f>
        <v>24</v>
      </c>
      <c r="N186" s="3">
        <f ca="1">VLOOKUP($B186&amp;$C186,data!$A:$U,9,FALSE)</f>
        <v>0</v>
      </c>
      <c r="O186" s="3">
        <f ca="1">VLOOKUP($B186&amp;$C186,data!$A:$U,10,FALSE)</f>
        <v>0</v>
      </c>
      <c r="P186" s="3">
        <f ca="1">VLOOKUP($B186&amp;$C186,data!$A:$U,11,FALSE)</f>
        <v>47</v>
      </c>
      <c r="Q186" s="3">
        <f ca="1">VLOOKUP($B186&amp;$C186,data!$A:$U,12,FALSE)</f>
        <v>0</v>
      </c>
      <c r="R186" s="3">
        <f ca="1">VLOOKUP($B186&amp;$C186,data!$A:$U,13,FALSE)</f>
        <v>19</v>
      </c>
      <c r="S186" s="3">
        <f ca="1">VLOOKUP($B186&amp;$C186,data!$A:$U,5,FALSE)</f>
        <v>80</v>
      </c>
      <c r="T186" s="3">
        <f ca="1">VLOOKUP($B186&amp;$C186,data!$A:$U,6,FALSE)</f>
        <v>0</v>
      </c>
      <c r="U186" s="3">
        <f ca="1">VLOOKUP($B186&amp;$C186,data!$A:$U,7,FALSE)</f>
        <v>80</v>
      </c>
      <c r="V186" s="23" t="s">
        <v>534</v>
      </c>
      <c r="W186" s="17" t="s">
        <v>535</v>
      </c>
      <c r="X186" s="9"/>
      <c r="Y186" s="4" t="s">
        <v>536</v>
      </c>
      <c r="Z186" s="13">
        <f t="shared" ca="1" si="1"/>
        <v>0.57605196767690359</v>
      </c>
    </row>
    <row r="187" spans="1:26" ht="13" x14ac:dyDescent="0.15">
      <c r="A187" s="3">
        <v>186</v>
      </c>
      <c r="B187" s="3" t="s">
        <v>21</v>
      </c>
      <c r="C187" s="3" t="s">
        <v>537</v>
      </c>
      <c r="D187" s="10">
        <f t="shared" ca="1" si="0"/>
        <v>0.91475409836065569</v>
      </c>
      <c r="E187" s="5">
        <f ca="1">VLOOKUP($B187&amp;$C187,data!$A:$U,20,FALSE)</f>
        <v>44305.496076388801</v>
      </c>
      <c r="F187" s="3">
        <f ca="1">VLOOKUP($B187&amp;$C187,data!$A:$U,21,FALSE)</f>
        <v>0</v>
      </c>
      <c r="G187" s="3">
        <f ca="1">VLOOKUP($B187&amp;$C187,data!$A:$U,17,FALSE)</f>
        <v>5</v>
      </c>
      <c r="H187" s="3">
        <f ca="1">VLOOKUP($B187&amp;$C187,data!$A:$U,18,FALSE)</f>
        <v>0</v>
      </c>
      <c r="I187" s="3">
        <f ca="1">VLOOKUP($B187&amp;$C187,data!$A:$U,19,FALSE)</f>
        <v>5</v>
      </c>
      <c r="J187" s="3">
        <f ca="1">VLOOKUP($B187&amp;$C187,data!$A:$U,14,FALSE)</f>
        <v>15</v>
      </c>
      <c r="K187" s="3">
        <f ca="1">VLOOKUP($B187&amp;$C187,data!$A:$U,15,FALSE)</f>
        <v>0</v>
      </c>
      <c r="L187" s="3">
        <f ca="1">VLOOKUP($B187&amp;$C187,data!$A:$U,16,FALSE)</f>
        <v>15</v>
      </c>
      <c r="M187" s="3">
        <f ca="1">VLOOKUP($B187&amp;$C187,data!$A:$U,8,FALSE)</f>
        <v>45</v>
      </c>
      <c r="N187" s="3">
        <f ca="1">VLOOKUP($B187&amp;$C187,data!$A:$U,9,FALSE)</f>
        <v>0</v>
      </c>
      <c r="O187" s="3">
        <f ca="1">VLOOKUP($B187&amp;$C187,data!$A:$U,10,FALSE)</f>
        <v>45</v>
      </c>
      <c r="P187" s="3">
        <f ca="1">VLOOKUP($B187&amp;$C187,data!$A:$U,11,FALSE)</f>
        <v>100</v>
      </c>
      <c r="Q187" s="3">
        <f ca="1">VLOOKUP($B187&amp;$C187,data!$A:$U,12,FALSE)</f>
        <v>9</v>
      </c>
      <c r="R187" s="3">
        <f ca="1">VLOOKUP($B187&amp;$C187,data!$A:$U,13,FALSE)</f>
        <v>91</v>
      </c>
      <c r="S187" s="3">
        <f ca="1">VLOOKUP($B187&amp;$C187,data!$A:$U,5,FALSE)</f>
        <v>145</v>
      </c>
      <c r="T187" s="3">
        <f ca="1">VLOOKUP($B187&amp;$C187,data!$A:$U,6,FALSE)</f>
        <v>17</v>
      </c>
      <c r="U187" s="3">
        <f ca="1">VLOOKUP($B187&amp;$C187,data!$A:$U,7,FALSE)</f>
        <v>128</v>
      </c>
      <c r="V187" s="18" t="s">
        <v>538</v>
      </c>
      <c r="W187" s="17" t="s">
        <v>539</v>
      </c>
      <c r="X187" s="17" t="s">
        <v>540</v>
      </c>
      <c r="Y187" s="4" t="s">
        <v>541</v>
      </c>
      <c r="Z187" s="13">
        <f t="shared" ca="1" si="1"/>
        <v>0.59083194452978205</v>
      </c>
    </row>
    <row r="188" spans="1:26" ht="13" x14ac:dyDescent="0.15">
      <c r="A188" s="3">
        <v>187</v>
      </c>
      <c r="B188" s="3" t="s">
        <v>22</v>
      </c>
      <c r="C188" s="3" t="s">
        <v>542</v>
      </c>
      <c r="D188" s="10">
        <f t="shared" ca="1" si="0"/>
        <v>0.83750000000000002</v>
      </c>
      <c r="E188" s="5">
        <f ca="1">VLOOKUP($B188&amp;$C188,data!$A:$U,20,FALSE)</f>
        <v>44305.403611111098</v>
      </c>
      <c r="F188" s="3" t="str">
        <f ca="1">VLOOKUP($B188&amp;$C188,data!$A:$U,21,FALSE)</f>
        <v>19/04/2021 Positive - 8 Suspected-2 Total=10</v>
      </c>
      <c r="G188" s="3">
        <f ca="1">VLOOKUP($B188&amp;$C188,data!$A:$U,17,FALSE)</f>
        <v>4</v>
      </c>
      <c r="H188" s="3">
        <f ca="1">VLOOKUP($B188&amp;$C188,data!$A:$U,18,FALSE)</f>
        <v>0</v>
      </c>
      <c r="I188" s="3">
        <f ca="1">VLOOKUP($B188&amp;$C188,data!$A:$U,19,FALSE)</f>
        <v>4</v>
      </c>
      <c r="J188" s="3">
        <f ca="1">VLOOKUP($B188&amp;$C188,data!$A:$U,14,FALSE)</f>
        <v>5</v>
      </c>
      <c r="K188" s="3">
        <f ca="1">VLOOKUP($B188&amp;$C188,data!$A:$U,15,FALSE)</f>
        <v>0</v>
      </c>
      <c r="L188" s="3">
        <f ca="1">VLOOKUP($B188&amp;$C188,data!$A:$U,16,FALSE)</f>
        <v>5</v>
      </c>
      <c r="M188" s="3">
        <f ca="1">VLOOKUP($B188&amp;$C188,data!$A:$U,8,FALSE)</f>
        <v>35</v>
      </c>
      <c r="N188" s="3">
        <f ca="1">VLOOKUP($B188&amp;$C188,data!$A:$U,9,FALSE)</f>
        <v>3</v>
      </c>
      <c r="O188" s="3">
        <f ca="1">VLOOKUP($B188&amp;$C188,data!$A:$U,10,FALSE)</f>
        <v>32</v>
      </c>
      <c r="P188" s="3">
        <f ca="1">VLOOKUP($B188&amp;$C188,data!$A:$U,11,FALSE)</f>
        <v>0</v>
      </c>
      <c r="Q188" s="3">
        <f ca="1">VLOOKUP($B188&amp;$C188,data!$A:$U,12,FALSE)</f>
        <v>0</v>
      </c>
      <c r="R188" s="3">
        <f ca="1">VLOOKUP($B188&amp;$C188,data!$A:$U,13,FALSE)</f>
        <v>0</v>
      </c>
      <c r="S188" s="3">
        <f ca="1">VLOOKUP($B188&amp;$C188,data!$A:$U,5,FALSE)</f>
        <v>40</v>
      </c>
      <c r="T188" s="3">
        <f ca="1">VLOOKUP($B188&amp;$C188,data!$A:$U,6,FALSE)</f>
        <v>10</v>
      </c>
      <c r="U188" s="3">
        <f ca="1">VLOOKUP($B188&amp;$C188,data!$A:$U,7,FALSE)</f>
        <v>30</v>
      </c>
      <c r="V188" s="18" t="s">
        <v>543</v>
      </c>
      <c r="W188" s="9"/>
      <c r="X188" s="22" t="s">
        <v>506</v>
      </c>
      <c r="Y188" s="4" t="s">
        <v>544</v>
      </c>
      <c r="Z188" s="13">
        <f t="shared" ca="1" si="1"/>
        <v>0.68329733797872905</v>
      </c>
    </row>
    <row r="189" spans="1:26" ht="13" x14ac:dyDescent="0.15">
      <c r="A189" s="3">
        <v>188</v>
      </c>
      <c r="B189" s="3" t="s">
        <v>24</v>
      </c>
      <c r="C189" s="3" t="s">
        <v>545</v>
      </c>
      <c r="D189" s="10">
        <f t="shared" ca="1" si="0"/>
        <v>0.64634146341463417</v>
      </c>
      <c r="E189" s="5">
        <f ca="1">VLOOKUP($B189&amp;$C189,data!$A:$U,20,FALSE)</f>
        <v>44305.354583333297</v>
      </c>
      <c r="F189" s="3" t="str">
        <f ca="1">VLOOKUP($B189&amp;$C189,data!$A:$U,21,FALSE)</f>
        <v>COVID-19 POSITIVE:15/SUSPECTED:15 TOTAL OCCUPIED BEDs :30 VACANT :18</v>
      </c>
      <c r="G189" s="3">
        <f ca="1">VLOOKUP($B189&amp;$C189,data!$A:$U,17,FALSE)</f>
        <v>12</v>
      </c>
      <c r="H189" s="3">
        <f ca="1">VLOOKUP($B189&amp;$C189,data!$A:$U,18,FALSE)</f>
        <v>1</v>
      </c>
      <c r="I189" s="3">
        <f ca="1">VLOOKUP($B189&amp;$C189,data!$A:$U,19,FALSE)</f>
        <v>11</v>
      </c>
      <c r="J189" s="3">
        <f ca="1">VLOOKUP($B189&amp;$C189,data!$A:$U,14,FALSE)</f>
        <v>20</v>
      </c>
      <c r="K189" s="3">
        <f ca="1">VLOOKUP($B189&amp;$C189,data!$A:$U,15,FALSE)</f>
        <v>15</v>
      </c>
      <c r="L189" s="3">
        <f ca="1">VLOOKUP($B189&amp;$C189,data!$A:$U,16,FALSE)</f>
        <v>6</v>
      </c>
      <c r="M189" s="3">
        <f ca="1">VLOOKUP($B189&amp;$C189,data!$A:$U,8,FALSE)</f>
        <v>48</v>
      </c>
      <c r="N189" s="3">
        <f ca="1">VLOOKUP($B189&amp;$C189,data!$A:$U,9,FALSE)</f>
        <v>6</v>
      </c>
      <c r="O189" s="3">
        <f ca="1">VLOOKUP($B189&amp;$C189,data!$A:$U,10,FALSE)</f>
        <v>42</v>
      </c>
      <c r="P189" s="3">
        <f ca="1">VLOOKUP($B189&amp;$C189,data!$A:$U,11,FALSE)</f>
        <v>48</v>
      </c>
      <c r="Q189" s="3">
        <f ca="1">VLOOKUP($B189&amp;$C189,data!$A:$U,12,FALSE)</f>
        <v>8</v>
      </c>
      <c r="R189" s="3">
        <f ca="1">VLOOKUP($B189&amp;$C189,data!$A:$U,13,FALSE)</f>
        <v>40</v>
      </c>
      <c r="S189" s="3">
        <f ca="1">VLOOKUP($B189&amp;$C189,data!$A:$U,5,FALSE)</f>
        <v>48</v>
      </c>
      <c r="T189" s="3">
        <f ca="1">VLOOKUP($B189&amp;$C189,data!$A:$U,6,FALSE)</f>
        <v>30</v>
      </c>
      <c r="U189" s="3">
        <f ca="1">VLOOKUP($B189&amp;$C189,data!$A:$U,7,FALSE)</f>
        <v>18</v>
      </c>
      <c r="V189" s="18" t="s">
        <v>546</v>
      </c>
      <c r="W189" s="17" t="s">
        <v>547</v>
      </c>
      <c r="X189" s="17" t="s">
        <v>548</v>
      </c>
      <c r="Y189" s="4" t="s">
        <v>549</v>
      </c>
      <c r="Z189" s="13">
        <f t="shared" ca="1" si="1"/>
        <v>0.73232511577953119</v>
      </c>
    </row>
    <row r="190" spans="1:26" ht="13" x14ac:dyDescent="0.15">
      <c r="A190" s="3">
        <v>189</v>
      </c>
      <c r="B190" s="3" t="s">
        <v>24</v>
      </c>
      <c r="C190" s="3" t="s">
        <v>550</v>
      </c>
      <c r="D190" s="10">
        <f t="shared" ca="1" si="0"/>
        <v>1.9047619047619049E-2</v>
      </c>
      <c r="E190" s="5">
        <f ca="1">VLOOKUP($B190&amp;$C190,data!$A:$U,20,FALSE)</f>
        <v>44305.458888888803</v>
      </c>
      <c r="F190" s="3" t="str">
        <f ca="1">VLOOKUP($B190&amp;$C190,data!$A:$U,21,FALSE)</f>
        <v>Positive-83, SARI-20</v>
      </c>
      <c r="G190" s="3">
        <f ca="1">VLOOKUP($B190&amp;$C190,data!$A:$U,17,FALSE)</f>
        <v>2</v>
      </c>
      <c r="H190" s="3">
        <f ca="1">VLOOKUP($B190&amp;$C190,data!$A:$U,18,FALSE)</f>
        <v>0</v>
      </c>
      <c r="I190" s="3">
        <f ca="1">VLOOKUP($B190&amp;$C190,data!$A:$U,19,FALSE)</f>
        <v>2</v>
      </c>
      <c r="J190" s="3">
        <f ca="1">VLOOKUP($B190&amp;$C190,data!$A:$U,14,FALSE)</f>
        <v>30</v>
      </c>
      <c r="K190" s="3">
        <f ca="1">VLOOKUP($B190&amp;$C190,data!$A:$U,15,FALSE)</f>
        <v>30</v>
      </c>
      <c r="L190" s="3">
        <f ca="1">VLOOKUP($B190&amp;$C190,data!$A:$U,16,FALSE)</f>
        <v>0</v>
      </c>
      <c r="M190" s="3">
        <f ca="1">VLOOKUP($B190&amp;$C190,data!$A:$U,8,FALSE)</f>
        <v>20</v>
      </c>
      <c r="N190" s="3">
        <f ca="1">VLOOKUP($B190&amp;$C190,data!$A:$U,9,FALSE)</f>
        <v>18</v>
      </c>
      <c r="O190" s="3">
        <f ca="1">VLOOKUP($B190&amp;$C190,data!$A:$U,10,FALSE)</f>
        <v>2</v>
      </c>
      <c r="P190" s="3">
        <f ca="1">VLOOKUP($B190&amp;$C190,data!$A:$U,11,FALSE)</f>
        <v>55</v>
      </c>
      <c r="Q190" s="3">
        <f ca="1">VLOOKUP($B190&amp;$C190,data!$A:$U,12,FALSE)</f>
        <v>55</v>
      </c>
      <c r="R190" s="3">
        <f ca="1">VLOOKUP($B190&amp;$C190,data!$A:$U,13,FALSE)</f>
        <v>0</v>
      </c>
      <c r="S190" s="3">
        <f ca="1">VLOOKUP($B190&amp;$C190,data!$A:$U,5,FALSE)</f>
        <v>105</v>
      </c>
      <c r="T190" s="3">
        <f ca="1">VLOOKUP($B190&amp;$C190,data!$A:$U,6,FALSE)</f>
        <v>103</v>
      </c>
      <c r="U190" s="3">
        <f ca="1">VLOOKUP($B190&amp;$C190,data!$A:$U,7,FALSE)</f>
        <v>2</v>
      </c>
      <c r="V190" s="18" t="s">
        <v>551</v>
      </c>
      <c r="W190" s="17" t="s">
        <v>552</v>
      </c>
      <c r="X190" s="17" t="s">
        <v>553</v>
      </c>
      <c r="Y190" s="4" t="s">
        <v>554</v>
      </c>
      <c r="Z190" s="13">
        <f t="shared" ca="1" si="1"/>
        <v>0.62801944452803582</v>
      </c>
    </row>
    <row r="191" spans="1:26" ht="13" x14ac:dyDescent="0.15">
      <c r="A191" s="3">
        <v>190</v>
      </c>
      <c r="B191" s="3" t="s">
        <v>32</v>
      </c>
      <c r="C191" s="3" t="s">
        <v>555</v>
      </c>
      <c r="D191" s="10">
        <f t="shared" ca="1" si="0"/>
        <v>3.4482758620689655E-2</v>
      </c>
      <c r="E191" s="5">
        <f ca="1">VLOOKUP($B191&amp;$C191,data!$A:$U,20,FALSE)</f>
        <v>44305.717870370303</v>
      </c>
      <c r="F191" s="3" t="str">
        <f ca="1">VLOOKUP($B191&amp;$C191,data!$A:$U,21,FALSE)</f>
        <v>19-04-2021</v>
      </c>
      <c r="G191" s="3">
        <f ca="1">VLOOKUP($B191&amp;$C191,data!$A:$U,17,FALSE)</f>
        <v>3</v>
      </c>
      <c r="H191" s="3">
        <f ca="1">VLOOKUP($B191&amp;$C191,data!$A:$U,18,FALSE)</f>
        <v>0</v>
      </c>
      <c r="I191" s="3">
        <f ca="1">VLOOKUP($B191&amp;$C191,data!$A:$U,19,FALSE)</f>
        <v>6</v>
      </c>
      <c r="J191" s="3">
        <f ca="1">VLOOKUP($B191&amp;$C191,data!$A:$U,14,FALSE)</f>
        <v>6</v>
      </c>
      <c r="K191" s="3">
        <f ca="1">VLOOKUP($B191&amp;$C191,data!$A:$U,15,FALSE)</f>
        <v>6</v>
      </c>
      <c r="L191" s="3">
        <f ca="1">VLOOKUP($B191&amp;$C191,data!$A:$U,16,FALSE)</f>
        <v>0</v>
      </c>
      <c r="M191" s="3">
        <f ca="1">VLOOKUP($B191&amp;$C191,data!$A:$U,8,FALSE)</f>
        <v>55</v>
      </c>
      <c r="N191" s="3">
        <f ca="1">VLOOKUP($B191&amp;$C191,data!$A:$U,9,FALSE)</f>
        <v>53</v>
      </c>
      <c r="O191" s="3">
        <f ca="1">VLOOKUP($B191&amp;$C191,data!$A:$U,10,FALSE)</f>
        <v>2</v>
      </c>
      <c r="P191" s="3">
        <f ca="1">VLOOKUP($B191&amp;$C191,data!$A:$U,11,FALSE)</f>
        <v>0</v>
      </c>
      <c r="Q191" s="3">
        <f ca="1">VLOOKUP($B191&amp;$C191,data!$A:$U,12,FALSE)</f>
        <v>0</v>
      </c>
      <c r="R191" s="3">
        <f ca="1">VLOOKUP($B191&amp;$C191,data!$A:$U,13,FALSE)</f>
        <v>0</v>
      </c>
      <c r="S191" s="3">
        <f ca="1">VLOOKUP($B191&amp;$C191,data!$A:$U,5,FALSE)</f>
        <v>55</v>
      </c>
      <c r="T191" s="3">
        <f ca="1">VLOOKUP($B191&amp;$C191,data!$A:$U,6,FALSE)</f>
        <v>53</v>
      </c>
      <c r="U191" s="3">
        <f ca="1">VLOOKUP($B191&amp;$C191,data!$A:$U,7,FALSE)</f>
        <v>2</v>
      </c>
      <c r="V191" s="18" t="s">
        <v>556</v>
      </c>
      <c r="W191" s="9"/>
      <c r="X191" s="9"/>
      <c r="Y191" s="4" t="s">
        <v>557</v>
      </c>
      <c r="Z191" s="13">
        <f t="shared" ca="1" si="1"/>
        <v>0.36903807877388317</v>
      </c>
    </row>
    <row r="192" spans="1:26" ht="13" x14ac:dyDescent="0.15">
      <c r="A192" s="3">
        <v>191</v>
      </c>
      <c r="B192" s="3" t="s">
        <v>32</v>
      </c>
      <c r="C192" s="3" t="s">
        <v>558</v>
      </c>
      <c r="D192" s="10">
        <f t="shared" ca="1" si="0"/>
        <v>1</v>
      </c>
      <c r="E192" s="5">
        <f ca="1">VLOOKUP($B192&amp;$C192,data!$A:$U,20,FALSE)</f>
        <v>44305.300578703696</v>
      </c>
      <c r="F192" s="3">
        <f ca="1">VLOOKUP($B192&amp;$C192,data!$A:$U,21,FALSE)</f>
        <v>0</v>
      </c>
      <c r="G192" s="3">
        <f ca="1">VLOOKUP($B192&amp;$C192,data!$A:$U,17,FALSE)</f>
        <v>0</v>
      </c>
      <c r="H192" s="3">
        <f ca="1">VLOOKUP($B192&amp;$C192,data!$A:$U,18,FALSE)</f>
        <v>0</v>
      </c>
      <c r="I192" s="3">
        <f ca="1">VLOOKUP($B192&amp;$C192,data!$A:$U,19,FALSE)</f>
        <v>0</v>
      </c>
      <c r="J192" s="3">
        <f ca="1">VLOOKUP($B192&amp;$C192,data!$A:$U,14,FALSE)</f>
        <v>0</v>
      </c>
      <c r="K192" s="3">
        <f ca="1">VLOOKUP($B192&amp;$C192,data!$A:$U,15,FALSE)</f>
        <v>0</v>
      </c>
      <c r="L192" s="3">
        <f ca="1">VLOOKUP($B192&amp;$C192,data!$A:$U,16,FALSE)</f>
        <v>0</v>
      </c>
      <c r="M192" s="3">
        <f ca="1">VLOOKUP($B192&amp;$C192,data!$A:$U,8,FALSE)</f>
        <v>10</v>
      </c>
      <c r="N192" s="3">
        <f ca="1">VLOOKUP($B192&amp;$C192,data!$A:$U,9,FALSE)</f>
        <v>0</v>
      </c>
      <c r="O192" s="3">
        <f ca="1">VLOOKUP($B192&amp;$C192,data!$A:$U,10,FALSE)</f>
        <v>10</v>
      </c>
      <c r="P192" s="3">
        <f ca="1">VLOOKUP($B192&amp;$C192,data!$A:$U,11,FALSE)</f>
        <v>40</v>
      </c>
      <c r="Q192" s="3">
        <f ca="1">VLOOKUP($B192&amp;$C192,data!$A:$U,12,FALSE)</f>
        <v>0</v>
      </c>
      <c r="R192" s="3">
        <f ca="1">VLOOKUP($B192&amp;$C192,data!$A:$U,13,FALSE)</f>
        <v>40</v>
      </c>
      <c r="S192" s="3">
        <f ca="1">VLOOKUP($B192&amp;$C192,data!$A:$U,5,FALSE)</f>
        <v>50</v>
      </c>
      <c r="T192" s="3">
        <f ca="1">VLOOKUP($B192&amp;$C192,data!$A:$U,6,FALSE)</f>
        <v>0</v>
      </c>
      <c r="U192" s="3">
        <f ca="1">VLOOKUP($B192&amp;$C192,data!$A:$U,7,FALSE)</f>
        <v>50</v>
      </c>
      <c r="V192" s="16"/>
      <c r="W192" s="9"/>
      <c r="X192" s="9"/>
      <c r="Y192" s="3"/>
      <c r="Z192" s="13">
        <f t="shared" ca="1" si="1"/>
        <v>0.78632962963456521</v>
      </c>
    </row>
    <row r="193" spans="1:26" ht="13" x14ac:dyDescent="0.15">
      <c r="A193" s="3">
        <v>192</v>
      </c>
      <c r="B193" s="3" t="s">
        <v>32</v>
      </c>
      <c r="C193" s="3" t="s">
        <v>559</v>
      </c>
      <c r="D193" s="10">
        <f t="shared" ca="1" si="0"/>
        <v>7.407407407407407E-2</v>
      </c>
      <c r="E193" s="5">
        <f ca="1">VLOOKUP($B193&amp;$C193,data!$A:$U,20,FALSE)</f>
        <v>44305.396435185103</v>
      </c>
      <c r="F193" s="3" t="str">
        <f ca="1">VLOOKUP($B193&amp;$C193,data!$A:$U,21,FALSE)</f>
        <v>update 19/04/2021</v>
      </c>
      <c r="G193" s="3">
        <f ca="1">VLOOKUP($B193&amp;$C193,data!$A:$U,17,FALSE)</f>
        <v>1</v>
      </c>
      <c r="H193" s="3">
        <f ca="1">VLOOKUP($B193&amp;$C193,data!$A:$U,18,FALSE)</f>
        <v>0</v>
      </c>
      <c r="I193" s="3">
        <f ca="1">VLOOKUP($B193&amp;$C193,data!$A:$U,19,FALSE)</f>
        <v>1</v>
      </c>
      <c r="J193" s="3">
        <f ca="1">VLOOKUP($B193&amp;$C193,data!$A:$U,14,FALSE)</f>
        <v>6</v>
      </c>
      <c r="K193" s="3">
        <f ca="1">VLOOKUP($B193&amp;$C193,data!$A:$U,15,FALSE)</f>
        <v>5</v>
      </c>
      <c r="L193" s="3">
        <f ca="1">VLOOKUP($B193&amp;$C193,data!$A:$U,16,FALSE)</f>
        <v>1</v>
      </c>
      <c r="M193" s="3">
        <f ca="1">VLOOKUP($B193&amp;$C193,data!$A:$U,8,FALSE)</f>
        <v>19</v>
      </c>
      <c r="N193" s="3">
        <f ca="1">VLOOKUP($B193&amp;$C193,data!$A:$U,9,FALSE)</f>
        <v>19</v>
      </c>
      <c r="O193" s="3">
        <f ca="1">VLOOKUP($B193&amp;$C193,data!$A:$U,10,FALSE)</f>
        <v>0</v>
      </c>
      <c r="P193" s="3">
        <f ca="1">VLOOKUP($B193&amp;$C193,data!$A:$U,11,FALSE)</f>
        <v>2</v>
      </c>
      <c r="Q193" s="3">
        <f ca="1">VLOOKUP($B193&amp;$C193,data!$A:$U,12,FALSE)</f>
        <v>0</v>
      </c>
      <c r="R193" s="3">
        <f ca="1">VLOOKUP($B193&amp;$C193,data!$A:$U,13,FALSE)</f>
        <v>2</v>
      </c>
      <c r="S193" s="3">
        <f ca="1">VLOOKUP($B193&amp;$C193,data!$A:$U,5,FALSE)</f>
        <v>27</v>
      </c>
      <c r="T193" s="3">
        <f ca="1">VLOOKUP($B193&amp;$C193,data!$A:$U,6,FALSE)</f>
        <v>24</v>
      </c>
      <c r="U193" s="3">
        <f ca="1">VLOOKUP($B193&amp;$C193,data!$A:$U,7,FALSE)</f>
        <v>1</v>
      </c>
      <c r="V193" s="18" t="s">
        <v>560</v>
      </c>
      <c r="W193" s="17" t="s">
        <v>561</v>
      </c>
      <c r="X193" s="17" t="s">
        <v>562</v>
      </c>
      <c r="Y193" s="4" t="s">
        <v>563</v>
      </c>
      <c r="Z193" s="13">
        <f t="shared" ca="1" si="1"/>
        <v>0.69047326397412689</v>
      </c>
    </row>
    <row r="194" spans="1:26" ht="13" x14ac:dyDescent="0.15">
      <c r="A194" s="3">
        <v>193</v>
      </c>
      <c r="B194" s="3" t="s">
        <v>32</v>
      </c>
      <c r="C194" s="3" t="s">
        <v>564</v>
      </c>
      <c r="D194" s="10">
        <f t="shared" ca="1" si="0"/>
        <v>4.1666666666666664E-2</v>
      </c>
      <c r="E194" s="5">
        <f ca="1">VLOOKUP($B194&amp;$C194,data!$A:$U,20,FALSE)</f>
        <v>44305.461828703701</v>
      </c>
      <c r="F194" s="3" t="str">
        <f ca="1">VLOOKUP($B194&amp;$C194,data!$A:$U,21,FALSE)</f>
        <v>19/ 04/ 2021 8 AM</v>
      </c>
      <c r="G194" s="3">
        <f ca="1">VLOOKUP($B194&amp;$C194,data!$A:$U,17,FALSE)</f>
        <v>2</v>
      </c>
      <c r="H194" s="3">
        <f ca="1">VLOOKUP($B194&amp;$C194,data!$A:$U,18,FALSE)</f>
        <v>2</v>
      </c>
      <c r="I194" s="3">
        <f ca="1">VLOOKUP($B194&amp;$C194,data!$A:$U,19,FALSE)</f>
        <v>0</v>
      </c>
      <c r="J194" s="3">
        <f ca="1">VLOOKUP($B194&amp;$C194,data!$A:$U,14,FALSE)</f>
        <v>7</v>
      </c>
      <c r="K194" s="3">
        <f ca="1">VLOOKUP($B194&amp;$C194,data!$A:$U,15,FALSE)</f>
        <v>7</v>
      </c>
      <c r="L194" s="3">
        <f ca="1">VLOOKUP($B194&amp;$C194,data!$A:$U,16,FALSE)</f>
        <v>0</v>
      </c>
      <c r="M194" s="3">
        <f ca="1">VLOOKUP($B194&amp;$C194,data!$A:$U,8,FALSE)</f>
        <v>17</v>
      </c>
      <c r="N194" s="3">
        <f ca="1">VLOOKUP($B194&amp;$C194,data!$A:$U,9,FALSE)</f>
        <v>16</v>
      </c>
      <c r="O194" s="3">
        <f ca="1">VLOOKUP($B194&amp;$C194,data!$A:$U,10,FALSE)</f>
        <v>1</v>
      </c>
      <c r="P194" s="3">
        <f ca="1">VLOOKUP($B194&amp;$C194,data!$A:$U,11,FALSE)</f>
        <v>0</v>
      </c>
      <c r="Q194" s="3">
        <f ca="1">VLOOKUP($B194&amp;$C194,data!$A:$U,12,FALSE)</f>
        <v>0</v>
      </c>
      <c r="R194" s="3">
        <f ca="1">VLOOKUP($B194&amp;$C194,data!$A:$U,13,FALSE)</f>
        <v>0</v>
      </c>
      <c r="S194" s="3">
        <f ca="1">VLOOKUP($B194&amp;$C194,data!$A:$U,5,FALSE)</f>
        <v>24</v>
      </c>
      <c r="T194" s="3">
        <f ca="1">VLOOKUP($B194&amp;$C194,data!$A:$U,6,FALSE)</f>
        <v>23</v>
      </c>
      <c r="U194" s="3">
        <f ca="1">VLOOKUP($B194&amp;$C194,data!$A:$U,7,FALSE)</f>
        <v>1</v>
      </c>
      <c r="V194" s="16"/>
      <c r="W194" s="9"/>
      <c r="X194" s="9"/>
      <c r="Y194" s="3"/>
      <c r="Z194" s="13">
        <f t="shared" ca="1" si="1"/>
        <v>0.62507974537584232</v>
      </c>
    </row>
    <row r="195" spans="1:26" ht="13" x14ac:dyDescent="0.15">
      <c r="A195" s="3">
        <v>194</v>
      </c>
      <c r="B195" s="3" t="s">
        <v>32</v>
      </c>
      <c r="C195" s="3" t="s">
        <v>565</v>
      </c>
      <c r="D195" s="10">
        <f t="shared" ca="1" si="0"/>
        <v>5.7971014492753624E-2</v>
      </c>
      <c r="E195" s="5">
        <f ca="1">VLOOKUP($B195&amp;$C195,data!$A:$U,20,FALSE)</f>
        <v>44305.5499652777</v>
      </c>
      <c r="F195" s="3" t="str">
        <f ca="1">VLOOKUP($B195&amp;$C195,data!$A:$U,21,FALSE)</f>
        <v>Updated</v>
      </c>
      <c r="G195" s="3">
        <f ca="1">VLOOKUP($B195&amp;$C195,data!$A:$U,17,FALSE)</f>
        <v>1</v>
      </c>
      <c r="H195" s="3">
        <f ca="1">VLOOKUP($B195&amp;$C195,data!$A:$U,18,FALSE)</f>
        <v>0</v>
      </c>
      <c r="I195" s="3">
        <f ca="1">VLOOKUP($B195&amp;$C195,data!$A:$U,19,FALSE)</f>
        <v>0</v>
      </c>
      <c r="J195" s="3">
        <f ca="1">VLOOKUP($B195&amp;$C195,data!$A:$U,14,FALSE)</f>
        <v>3</v>
      </c>
      <c r="K195" s="3">
        <f ca="1">VLOOKUP($B195&amp;$C195,data!$A:$U,15,FALSE)</f>
        <v>0</v>
      </c>
      <c r="L195" s="3">
        <f ca="1">VLOOKUP($B195&amp;$C195,data!$A:$U,16,FALSE)</f>
        <v>3</v>
      </c>
      <c r="M195" s="3">
        <f ca="1">VLOOKUP($B195&amp;$C195,data!$A:$U,8,FALSE)</f>
        <v>21</v>
      </c>
      <c r="N195" s="3">
        <f ca="1">VLOOKUP($B195&amp;$C195,data!$A:$U,9,FALSE)</f>
        <v>20</v>
      </c>
      <c r="O195" s="3">
        <f ca="1">VLOOKUP($B195&amp;$C195,data!$A:$U,10,FALSE)</f>
        <v>1</v>
      </c>
      <c r="P195" s="3">
        <f ca="1">VLOOKUP($B195&amp;$C195,data!$A:$U,11,FALSE)</f>
        <v>21</v>
      </c>
      <c r="Q195" s="3">
        <f ca="1">VLOOKUP($B195&amp;$C195,data!$A:$U,12,FALSE)</f>
        <v>0</v>
      </c>
      <c r="R195" s="3">
        <f ca="1">VLOOKUP($B195&amp;$C195,data!$A:$U,13,FALSE)</f>
        <v>0</v>
      </c>
      <c r="S195" s="3">
        <f ca="1">VLOOKUP($B195&amp;$C195,data!$A:$U,5,FALSE)</f>
        <v>24</v>
      </c>
      <c r="T195" s="3">
        <f ca="1">VLOOKUP($B195&amp;$C195,data!$A:$U,6,FALSE)</f>
        <v>24</v>
      </c>
      <c r="U195" s="3">
        <f ca="1">VLOOKUP($B195&amp;$C195,data!$A:$U,7,FALSE)</f>
        <v>0</v>
      </c>
      <c r="V195" s="16"/>
      <c r="W195" s="9"/>
      <c r="X195" s="9"/>
      <c r="Y195" s="3"/>
      <c r="Z195" s="13">
        <f t="shared" ca="1" si="1"/>
        <v>0.53694305563112721</v>
      </c>
    </row>
    <row r="196" spans="1:26" ht="13" x14ac:dyDescent="0.15">
      <c r="A196" s="3">
        <v>195</v>
      </c>
      <c r="B196" s="3" t="s">
        <v>32</v>
      </c>
      <c r="C196" s="3" t="s">
        <v>566</v>
      </c>
      <c r="D196" s="10" t="e">
        <f t="shared" ca="1" si="0"/>
        <v>#DIV/0!</v>
      </c>
      <c r="E196" s="5">
        <f ca="1">VLOOKUP($B196&amp;$C196,data!$A:$U,20,FALSE)</f>
        <v>44305.356967592503</v>
      </c>
      <c r="F196" s="3" t="str">
        <f ca="1">VLOOKUP($B196&amp;$C196,data!$A:$U,21,FALSE)</f>
        <v>19.04.2021</v>
      </c>
      <c r="G196" s="3">
        <f ca="1">VLOOKUP($B196&amp;$C196,data!$A:$U,17,FALSE)</f>
        <v>0</v>
      </c>
      <c r="H196" s="3">
        <f ca="1">VLOOKUP($B196&amp;$C196,data!$A:$U,18,FALSE)</f>
        <v>0</v>
      </c>
      <c r="I196" s="3">
        <f ca="1">VLOOKUP($B196&amp;$C196,data!$A:$U,19,FALSE)</f>
        <v>0</v>
      </c>
      <c r="J196" s="3">
        <f ca="1">VLOOKUP($B196&amp;$C196,data!$A:$U,14,FALSE)</f>
        <v>0</v>
      </c>
      <c r="K196" s="3">
        <f ca="1">VLOOKUP($B196&amp;$C196,data!$A:$U,15,FALSE)</f>
        <v>0</v>
      </c>
      <c r="L196" s="3">
        <f ca="1">VLOOKUP($B196&amp;$C196,data!$A:$U,16,FALSE)</f>
        <v>0</v>
      </c>
      <c r="M196" s="3">
        <f ca="1">VLOOKUP($B196&amp;$C196,data!$A:$U,8,FALSE)</f>
        <v>0</v>
      </c>
      <c r="N196" s="3">
        <f ca="1">VLOOKUP($B196&amp;$C196,data!$A:$U,9,FALSE)</f>
        <v>0</v>
      </c>
      <c r="O196" s="3">
        <f ca="1">VLOOKUP($B196&amp;$C196,data!$A:$U,10,FALSE)</f>
        <v>0</v>
      </c>
      <c r="P196" s="3">
        <f ca="1">VLOOKUP($B196&amp;$C196,data!$A:$U,11,FALSE)</f>
        <v>0</v>
      </c>
      <c r="Q196" s="3">
        <f ca="1">VLOOKUP($B196&amp;$C196,data!$A:$U,12,FALSE)</f>
        <v>0</v>
      </c>
      <c r="R196" s="3">
        <f ca="1">VLOOKUP($B196&amp;$C196,data!$A:$U,13,FALSE)</f>
        <v>0</v>
      </c>
      <c r="S196" s="3">
        <f ca="1">VLOOKUP($B196&amp;$C196,data!$A:$U,5,FALSE)</f>
        <v>0</v>
      </c>
      <c r="T196" s="3">
        <f ca="1">VLOOKUP($B196&amp;$C196,data!$A:$U,6,FALSE)</f>
        <v>0</v>
      </c>
      <c r="U196" s="3">
        <f ca="1">VLOOKUP($B196&amp;$C196,data!$A:$U,7,FALSE)</f>
        <v>0</v>
      </c>
      <c r="V196" s="16"/>
      <c r="W196" s="9"/>
      <c r="X196" s="9"/>
      <c r="Y196" s="3"/>
      <c r="Z196" s="13">
        <f t="shared" ca="1" si="1"/>
        <v>0.72994085657410324</v>
      </c>
    </row>
    <row r="197" spans="1:26" ht="13" x14ac:dyDescent="0.15">
      <c r="A197" s="3">
        <v>196</v>
      </c>
      <c r="B197" s="3" t="s">
        <v>32</v>
      </c>
      <c r="C197" s="3" t="s">
        <v>567</v>
      </c>
      <c r="D197" s="10">
        <f t="shared" ca="1" si="0"/>
        <v>4.1666666666666664E-2</v>
      </c>
      <c r="E197" s="5">
        <f ca="1">VLOOKUP($B197&amp;$C197,data!$A:$U,20,FALSE)</f>
        <v>44305.724340277702</v>
      </c>
      <c r="F197" s="3" t="str">
        <f ca="1">VLOOKUP($B197&amp;$C197,data!$A:$U,21,FALSE)</f>
        <v>updated 18.04.2021</v>
      </c>
      <c r="G197" s="3">
        <f ca="1">VLOOKUP($B197&amp;$C197,data!$A:$U,17,FALSE)</f>
        <v>2</v>
      </c>
      <c r="H197" s="3">
        <f ca="1">VLOOKUP($B197&amp;$C197,data!$A:$U,18,FALSE)</f>
        <v>0</v>
      </c>
      <c r="I197" s="3">
        <f ca="1">VLOOKUP($B197&amp;$C197,data!$A:$U,19,FALSE)</f>
        <v>0</v>
      </c>
      <c r="J197" s="3">
        <f ca="1">VLOOKUP($B197&amp;$C197,data!$A:$U,14,FALSE)</f>
        <v>2</v>
      </c>
      <c r="K197" s="3">
        <f ca="1">VLOOKUP($B197&amp;$C197,data!$A:$U,15,FALSE)</f>
        <v>0</v>
      </c>
      <c r="L197" s="3">
        <f ca="1">VLOOKUP($B197&amp;$C197,data!$A:$U,16,FALSE)</f>
        <v>2</v>
      </c>
      <c r="M197" s="3">
        <f ca="1">VLOOKUP($B197&amp;$C197,data!$A:$U,8,FALSE)</f>
        <v>23</v>
      </c>
      <c r="N197" s="3">
        <f ca="1">VLOOKUP($B197&amp;$C197,data!$A:$U,9,FALSE)</f>
        <v>23</v>
      </c>
      <c r="O197" s="3">
        <f ca="1">VLOOKUP($B197&amp;$C197,data!$A:$U,10,FALSE)</f>
        <v>0</v>
      </c>
      <c r="P197" s="3">
        <f ca="1">VLOOKUP($B197&amp;$C197,data!$A:$U,11,FALSE)</f>
        <v>0</v>
      </c>
      <c r="Q197" s="3">
        <f ca="1">VLOOKUP($B197&amp;$C197,data!$A:$U,12,FALSE)</f>
        <v>0</v>
      </c>
      <c r="R197" s="3">
        <f ca="1">VLOOKUP($B197&amp;$C197,data!$A:$U,13,FALSE)</f>
        <v>0</v>
      </c>
      <c r="S197" s="3">
        <f ca="1">VLOOKUP($B197&amp;$C197,data!$A:$U,5,FALSE)</f>
        <v>23</v>
      </c>
      <c r="T197" s="3">
        <f ca="1">VLOOKUP($B197&amp;$C197,data!$A:$U,6,FALSE)</f>
        <v>23</v>
      </c>
      <c r="U197" s="3">
        <f ca="1">VLOOKUP($B197&amp;$C197,data!$A:$U,7,FALSE)</f>
        <v>0</v>
      </c>
      <c r="V197" s="16"/>
      <c r="W197" s="9"/>
      <c r="X197" s="9"/>
      <c r="Y197" s="3"/>
      <c r="Z197" s="13">
        <f t="shared" ca="1" si="1"/>
        <v>0.36256817137473263</v>
      </c>
    </row>
    <row r="198" spans="1:26" ht="13" x14ac:dyDescent="0.15">
      <c r="A198" s="3">
        <v>197</v>
      </c>
      <c r="B198" s="3" t="s">
        <v>33</v>
      </c>
      <c r="C198" s="3" t="s">
        <v>568</v>
      </c>
      <c r="D198" s="10">
        <f t="shared" ca="1" si="0"/>
        <v>0.52941176470588236</v>
      </c>
      <c r="E198" s="5">
        <f ca="1">VLOOKUP($B198&amp;$C198,data!$A:$U,20,FALSE)</f>
        <v>44305.374212962903</v>
      </c>
      <c r="F198" s="3">
        <f ca="1">VLOOKUP($B198&amp;$C198,data!$A:$U,21,FALSE)</f>
        <v>0</v>
      </c>
      <c r="G198" s="3">
        <f ca="1">VLOOKUP($B198&amp;$C198,data!$A:$U,17,FALSE)</f>
        <v>2</v>
      </c>
      <c r="H198" s="3">
        <f ca="1">VLOOKUP($B198&amp;$C198,data!$A:$U,18,FALSE)</f>
        <v>0</v>
      </c>
      <c r="I198" s="3">
        <f ca="1">VLOOKUP($B198&amp;$C198,data!$A:$U,19,FALSE)</f>
        <v>2</v>
      </c>
      <c r="J198" s="3">
        <f ca="1">VLOOKUP($B198&amp;$C198,data!$A:$U,14,FALSE)</f>
        <v>20</v>
      </c>
      <c r="K198" s="3">
        <f ca="1">VLOOKUP($B198&amp;$C198,data!$A:$U,15,FALSE)</f>
        <v>0</v>
      </c>
      <c r="L198" s="3">
        <f ca="1">VLOOKUP($B198&amp;$C198,data!$A:$U,16,FALSE)</f>
        <v>20</v>
      </c>
      <c r="M198" s="3">
        <f ca="1">VLOOKUP($B198&amp;$C198,data!$A:$U,8,FALSE)</f>
        <v>20</v>
      </c>
      <c r="N198" s="3">
        <f ca="1">VLOOKUP($B198&amp;$C198,data!$A:$U,9,FALSE)</f>
        <v>0</v>
      </c>
      <c r="O198" s="3">
        <f ca="1">VLOOKUP($B198&amp;$C198,data!$A:$U,10,FALSE)</f>
        <v>20</v>
      </c>
      <c r="P198" s="3">
        <f ca="1">VLOOKUP($B198&amp;$C198,data!$A:$U,11,FALSE)</f>
        <v>55</v>
      </c>
      <c r="Q198" s="3">
        <f ca="1">VLOOKUP($B198&amp;$C198,data!$A:$U,12,FALSE)</f>
        <v>40</v>
      </c>
      <c r="R198" s="3">
        <f ca="1">VLOOKUP($B198&amp;$C198,data!$A:$U,13,FALSE)</f>
        <v>15</v>
      </c>
      <c r="S198" s="3">
        <f ca="1">VLOOKUP($B198&amp;$C198,data!$A:$U,5,FALSE)</f>
        <v>75</v>
      </c>
      <c r="T198" s="3">
        <f ca="1">VLOOKUP($B198&amp;$C198,data!$A:$U,6,FALSE)</f>
        <v>40</v>
      </c>
      <c r="U198" s="3">
        <f ca="1">VLOOKUP($B198&amp;$C198,data!$A:$U,7,FALSE)</f>
        <v>35</v>
      </c>
      <c r="V198" s="18" t="s">
        <v>569</v>
      </c>
      <c r="W198" s="17" t="s">
        <v>570</v>
      </c>
      <c r="X198" s="17" t="s">
        <v>571</v>
      </c>
      <c r="Y198" s="4" t="s">
        <v>572</v>
      </c>
      <c r="Z198" s="13">
        <f t="shared" ca="1" si="1"/>
        <v>0.71269537042826414</v>
      </c>
    </row>
    <row r="199" spans="1:26" ht="13" x14ac:dyDescent="0.15">
      <c r="A199" s="3">
        <v>198</v>
      </c>
      <c r="B199" s="3" t="s">
        <v>29</v>
      </c>
      <c r="C199" s="3" t="s">
        <v>573</v>
      </c>
      <c r="D199" s="10">
        <f t="shared" ca="1" si="0"/>
        <v>0.74285714285714288</v>
      </c>
      <c r="E199" s="5">
        <f ca="1">VLOOKUP($B199&amp;$C199,data!$A:$U,20,FALSE)</f>
        <v>44305.365416666602</v>
      </c>
      <c r="F199" s="3" t="str">
        <f ca="1">VLOOKUP($B199&amp;$C199,data!$A:$U,21,FALSE)</f>
        <v>19.04.2021</v>
      </c>
      <c r="G199" s="3">
        <f ca="1">VLOOKUP($B199&amp;$C199,data!$A:$U,17,FALSE)</f>
        <v>1</v>
      </c>
      <c r="H199" s="3">
        <f ca="1">VLOOKUP($B199&amp;$C199,data!$A:$U,18,FALSE)</f>
        <v>0</v>
      </c>
      <c r="I199" s="3">
        <f ca="1">VLOOKUP($B199&amp;$C199,data!$A:$U,19,FALSE)</f>
        <v>1</v>
      </c>
      <c r="J199" s="3">
        <f ca="1">VLOOKUP($B199&amp;$C199,data!$A:$U,14,FALSE)</f>
        <v>2</v>
      </c>
      <c r="K199" s="3">
        <f ca="1">VLOOKUP($B199&amp;$C199,data!$A:$U,15,FALSE)</f>
        <v>0</v>
      </c>
      <c r="L199" s="3">
        <f ca="1">VLOOKUP($B199&amp;$C199,data!$A:$U,16,FALSE)</f>
        <v>2</v>
      </c>
      <c r="M199" s="3">
        <f ca="1">VLOOKUP($B199&amp;$C199,data!$A:$U,8,FALSE)</f>
        <v>28</v>
      </c>
      <c r="N199" s="3">
        <f ca="1">VLOOKUP($B199&amp;$C199,data!$A:$U,9,FALSE)</f>
        <v>4</v>
      </c>
      <c r="O199" s="3">
        <f ca="1">VLOOKUP($B199&amp;$C199,data!$A:$U,10,FALSE)</f>
        <v>24</v>
      </c>
      <c r="P199" s="3">
        <f ca="1">VLOOKUP($B199&amp;$C199,data!$A:$U,11,FALSE)</f>
        <v>5</v>
      </c>
      <c r="Q199" s="3">
        <f ca="1">VLOOKUP($B199&amp;$C199,data!$A:$U,12,FALSE)</f>
        <v>5</v>
      </c>
      <c r="R199" s="3">
        <f ca="1">VLOOKUP($B199&amp;$C199,data!$A:$U,13,FALSE)</f>
        <v>0</v>
      </c>
      <c r="S199" s="3">
        <f ca="1">VLOOKUP($B199&amp;$C199,data!$A:$U,5,FALSE)</f>
        <v>35</v>
      </c>
      <c r="T199" s="3">
        <f ca="1">VLOOKUP($B199&amp;$C199,data!$A:$U,6,FALSE)</f>
        <v>9</v>
      </c>
      <c r="U199" s="3">
        <f ca="1">VLOOKUP($B199&amp;$C199,data!$A:$U,7,FALSE)</f>
        <v>26</v>
      </c>
      <c r="V199" s="23" t="s">
        <v>574</v>
      </c>
      <c r="W199" s="17" t="s">
        <v>575</v>
      </c>
      <c r="X199" s="17" t="s">
        <v>576</v>
      </c>
      <c r="Y199" s="4" t="s">
        <v>577</v>
      </c>
      <c r="Z199" s="13">
        <f t="shared" ca="1" si="1"/>
        <v>0.72149178247491363</v>
      </c>
    </row>
    <row r="200" spans="1:26" ht="13" x14ac:dyDescent="0.15">
      <c r="A200" s="3">
        <v>199</v>
      </c>
      <c r="B200" s="3" t="s">
        <v>29</v>
      </c>
      <c r="C200" s="3" t="s">
        <v>578</v>
      </c>
      <c r="D200" s="10">
        <f t="shared" ca="1" si="0"/>
        <v>0.4</v>
      </c>
      <c r="E200" s="5">
        <f ca="1">VLOOKUP($B200&amp;$C200,data!$A:$U,20,FALSE)</f>
        <v>44305.397245370303</v>
      </c>
      <c r="F200" s="3" t="str">
        <f ca="1">VLOOKUP($B200&amp;$C200,data!$A:$U,21,FALSE)</f>
        <v>SRI HOSPITALS.</v>
      </c>
      <c r="G200" s="3">
        <f ca="1">VLOOKUP($B200&amp;$C200,data!$A:$U,17,FALSE)</f>
        <v>1</v>
      </c>
      <c r="H200" s="3">
        <f ca="1">VLOOKUP($B200&amp;$C200,data!$A:$U,18,FALSE)</f>
        <v>0</v>
      </c>
      <c r="I200" s="3">
        <f ca="1">VLOOKUP($B200&amp;$C200,data!$A:$U,19,FALSE)</f>
        <v>1</v>
      </c>
      <c r="J200" s="3">
        <f ca="1">VLOOKUP($B200&amp;$C200,data!$A:$U,14,FALSE)</f>
        <v>4</v>
      </c>
      <c r="K200" s="3">
        <f ca="1">VLOOKUP($B200&amp;$C200,data!$A:$U,15,FALSE)</f>
        <v>2</v>
      </c>
      <c r="L200" s="3">
        <f ca="1">VLOOKUP($B200&amp;$C200,data!$A:$U,16,FALSE)</f>
        <v>2</v>
      </c>
      <c r="M200" s="3">
        <f ca="1">VLOOKUP($B200&amp;$C200,data!$A:$U,8,FALSE)</f>
        <v>21</v>
      </c>
      <c r="N200" s="3">
        <f ca="1">VLOOKUP($B200&amp;$C200,data!$A:$U,9,FALSE)</f>
        <v>14</v>
      </c>
      <c r="O200" s="3">
        <f ca="1">VLOOKUP($B200&amp;$C200,data!$A:$U,10,FALSE)</f>
        <v>7</v>
      </c>
      <c r="P200" s="3">
        <f ca="1">VLOOKUP($B200&amp;$C200,data!$A:$U,11,FALSE)</f>
        <v>0</v>
      </c>
      <c r="Q200" s="3">
        <f ca="1">VLOOKUP($B200&amp;$C200,data!$A:$U,12,FALSE)</f>
        <v>0</v>
      </c>
      <c r="R200" s="3">
        <f ca="1">VLOOKUP($B200&amp;$C200,data!$A:$U,13,FALSE)</f>
        <v>0</v>
      </c>
      <c r="S200" s="3">
        <f ca="1">VLOOKUP($B200&amp;$C200,data!$A:$U,5,FALSE)</f>
        <v>25</v>
      </c>
      <c r="T200" s="3">
        <f ca="1">VLOOKUP($B200&amp;$C200,data!$A:$U,6,FALSE)</f>
        <v>14</v>
      </c>
      <c r="U200" s="3">
        <f ca="1">VLOOKUP($B200&amp;$C200,data!$A:$U,7,FALSE)</f>
        <v>11</v>
      </c>
      <c r="V200" s="23" t="s">
        <v>579</v>
      </c>
      <c r="W200" s="17" t="s">
        <v>580</v>
      </c>
      <c r="X200" s="25"/>
      <c r="Y200" s="4" t="s">
        <v>581</v>
      </c>
      <c r="Z200" s="13">
        <f t="shared" ca="1" si="1"/>
        <v>0.68966296302824048</v>
      </c>
    </row>
    <row r="201" spans="1:26" ht="13" x14ac:dyDescent="0.15">
      <c r="A201" s="3">
        <v>200</v>
      </c>
      <c r="B201" s="3" t="s">
        <v>30</v>
      </c>
      <c r="C201" s="3" t="s">
        <v>582</v>
      </c>
      <c r="D201" s="10">
        <f t="shared" ca="1" si="0"/>
        <v>0</v>
      </c>
      <c r="E201" s="5">
        <f ca="1">VLOOKUP($B201&amp;$C201,data!$A:$U,20,FALSE)</f>
        <v>44305.356435185102</v>
      </c>
      <c r="F201" s="3" t="str">
        <f ca="1">VLOOKUP($B201&amp;$C201,data!$A:$U,21,FALSE)</f>
        <v>Positive - 26, Suspected - 4 19-4-2021</v>
      </c>
      <c r="G201" s="3">
        <f ca="1">VLOOKUP($B201&amp;$C201,data!$A:$U,17,FALSE)</f>
        <v>2</v>
      </c>
      <c r="H201" s="3">
        <f ca="1">VLOOKUP($B201&amp;$C201,data!$A:$U,18,FALSE)</f>
        <v>0</v>
      </c>
      <c r="I201" s="3">
        <f ca="1">VLOOKUP($B201&amp;$C201,data!$A:$U,19,FALSE)</f>
        <v>2</v>
      </c>
      <c r="J201" s="3">
        <f ca="1">VLOOKUP($B201&amp;$C201,data!$A:$U,14,FALSE)</f>
        <v>3</v>
      </c>
      <c r="K201" s="3">
        <f ca="1">VLOOKUP($B201&amp;$C201,data!$A:$U,15,FALSE)</f>
        <v>3</v>
      </c>
      <c r="L201" s="3">
        <f ca="1">VLOOKUP($B201&amp;$C201,data!$A:$U,16,FALSE)</f>
        <v>0</v>
      </c>
      <c r="M201" s="3">
        <f ca="1">VLOOKUP($B201&amp;$C201,data!$A:$U,8,FALSE)</f>
        <v>15</v>
      </c>
      <c r="N201" s="3">
        <f ca="1">VLOOKUP($B201&amp;$C201,data!$A:$U,9,FALSE)</f>
        <v>15</v>
      </c>
      <c r="O201" s="3">
        <f ca="1">VLOOKUP($B201&amp;$C201,data!$A:$U,10,FALSE)</f>
        <v>0</v>
      </c>
      <c r="P201" s="3">
        <f ca="1">VLOOKUP($B201&amp;$C201,data!$A:$U,11,FALSE)</f>
        <v>12</v>
      </c>
      <c r="Q201" s="3">
        <f ca="1">VLOOKUP($B201&amp;$C201,data!$A:$U,12,FALSE)</f>
        <v>12</v>
      </c>
      <c r="R201" s="3">
        <f ca="1">VLOOKUP($B201&amp;$C201,data!$A:$U,13,FALSE)</f>
        <v>0</v>
      </c>
      <c r="S201" s="3">
        <f ca="1">VLOOKUP($B201&amp;$C201,data!$A:$U,5,FALSE)</f>
        <v>26</v>
      </c>
      <c r="T201" s="3">
        <f ca="1">VLOOKUP($B201&amp;$C201,data!$A:$U,6,FALSE)</f>
        <v>26</v>
      </c>
      <c r="U201" s="3">
        <f ca="1">VLOOKUP($B201&amp;$C201,data!$A:$U,7,FALSE)</f>
        <v>0</v>
      </c>
      <c r="V201" s="18" t="s">
        <v>583</v>
      </c>
      <c r="W201" s="17" t="s">
        <v>584</v>
      </c>
      <c r="X201" s="17" t="s">
        <v>585</v>
      </c>
      <c r="Y201" s="4" t="s">
        <v>586</v>
      </c>
      <c r="Z201" s="13">
        <f t="shared" ca="1" si="1"/>
        <v>0.73047326397500001</v>
      </c>
    </row>
    <row r="202" spans="1:26" ht="13" x14ac:dyDescent="0.15">
      <c r="A202" s="3">
        <v>201</v>
      </c>
      <c r="B202" s="3" t="s">
        <v>30</v>
      </c>
      <c r="C202" s="3" t="s">
        <v>587</v>
      </c>
      <c r="D202" s="10">
        <f t="shared" ca="1" si="0"/>
        <v>0.42222222222222222</v>
      </c>
      <c r="E202" s="5">
        <f ca="1">VLOOKUP($B202&amp;$C202,data!$A:$U,20,FALSE)</f>
        <v>44305.405150462902</v>
      </c>
      <c r="F202" s="3">
        <f ca="1">VLOOKUP($B202&amp;$C202,data!$A:$U,21,FALSE)</f>
        <v>0</v>
      </c>
      <c r="G202" s="3">
        <f ca="1">VLOOKUP($B202&amp;$C202,data!$A:$U,17,FALSE)</f>
        <v>0</v>
      </c>
      <c r="H202" s="3">
        <f ca="1">VLOOKUP($B202&amp;$C202,data!$A:$U,18,FALSE)</f>
        <v>0</v>
      </c>
      <c r="I202" s="3">
        <f ca="1">VLOOKUP($B202&amp;$C202,data!$A:$U,19,FALSE)</f>
        <v>0</v>
      </c>
      <c r="J202" s="3">
        <f ca="1">VLOOKUP($B202&amp;$C202,data!$A:$U,14,FALSE)</f>
        <v>0</v>
      </c>
      <c r="K202" s="3">
        <f ca="1">VLOOKUP($B202&amp;$C202,data!$A:$U,15,FALSE)</f>
        <v>0</v>
      </c>
      <c r="L202" s="3">
        <f ca="1">VLOOKUP($B202&amp;$C202,data!$A:$U,16,FALSE)</f>
        <v>0</v>
      </c>
      <c r="M202" s="3">
        <f ca="1">VLOOKUP($B202&amp;$C202,data!$A:$U,8,FALSE)</f>
        <v>30</v>
      </c>
      <c r="N202" s="3">
        <f ca="1">VLOOKUP($B202&amp;$C202,data!$A:$U,9,FALSE)</f>
        <v>11</v>
      </c>
      <c r="O202" s="3">
        <f ca="1">VLOOKUP($B202&amp;$C202,data!$A:$U,10,FALSE)</f>
        <v>19</v>
      </c>
      <c r="P202" s="3">
        <f ca="1">VLOOKUP($B202&amp;$C202,data!$A:$U,11,FALSE)</f>
        <v>30</v>
      </c>
      <c r="Q202" s="3">
        <f ca="1">VLOOKUP($B202&amp;$C202,data!$A:$U,12,FALSE)</f>
        <v>0</v>
      </c>
      <c r="R202" s="3">
        <f ca="1">VLOOKUP($B202&amp;$C202,data!$A:$U,13,FALSE)</f>
        <v>0</v>
      </c>
      <c r="S202" s="3">
        <f ca="1">VLOOKUP($B202&amp;$C202,data!$A:$U,5,FALSE)</f>
        <v>30</v>
      </c>
      <c r="T202" s="3">
        <f ca="1">VLOOKUP($B202&amp;$C202,data!$A:$U,6,FALSE)</f>
        <v>11</v>
      </c>
      <c r="U202" s="3">
        <f ca="1">VLOOKUP($B202&amp;$C202,data!$A:$U,7,FALSE)</f>
        <v>19</v>
      </c>
      <c r="V202" s="16"/>
      <c r="W202" s="9"/>
      <c r="X202" s="9"/>
      <c r="Y202" s="3"/>
      <c r="Z202" s="13">
        <f t="shared" ca="1" si="1"/>
        <v>0.68175798617448891</v>
      </c>
    </row>
    <row r="203" spans="1:26" ht="13" x14ac:dyDescent="0.15">
      <c r="A203" s="3">
        <v>202</v>
      </c>
      <c r="B203" s="3" t="s">
        <v>30</v>
      </c>
      <c r="C203" s="3" t="s">
        <v>588</v>
      </c>
      <c r="D203" s="10">
        <f t="shared" ca="1" si="0"/>
        <v>0</v>
      </c>
      <c r="E203" s="5">
        <f ca="1">VLOOKUP($B203&amp;$C203,data!$A:$U,20,FALSE)</f>
        <v>44305.266226851803</v>
      </c>
      <c r="F203" s="3">
        <f ca="1">VLOOKUP($B203&amp;$C203,data!$A:$U,21,FALSE)</f>
        <v>0</v>
      </c>
      <c r="G203" s="3">
        <f ca="1">VLOOKUP($B203&amp;$C203,data!$A:$U,17,FALSE)</f>
        <v>0</v>
      </c>
      <c r="H203" s="3">
        <f ca="1">VLOOKUP($B203&amp;$C203,data!$A:$U,18,FALSE)</f>
        <v>0</v>
      </c>
      <c r="I203" s="3">
        <f ca="1">VLOOKUP($B203&amp;$C203,data!$A:$U,19,FALSE)</f>
        <v>0</v>
      </c>
      <c r="J203" s="3">
        <f ca="1">VLOOKUP($B203&amp;$C203,data!$A:$U,14,FALSE)</f>
        <v>0</v>
      </c>
      <c r="K203" s="3">
        <f ca="1">VLOOKUP($B203&amp;$C203,data!$A:$U,15,FALSE)</f>
        <v>0</v>
      </c>
      <c r="L203" s="3">
        <f ca="1">VLOOKUP($B203&amp;$C203,data!$A:$U,16,FALSE)</f>
        <v>0</v>
      </c>
      <c r="M203" s="3">
        <f ca="1">VLOOKUP($B203&amp;$C203,data!$A:$U,8,FALSE)</f>
        <v>15</v>
      </c>
      <c r="N203" s="3">
        <f ca="1">VLOOKUP($B203&amp;$C203,data!$A:$U,9,FALSE)</f>
        <v>15</v>
      </c>
      <c r="O203" s="3">
        <f ca="1">VLOOKUP($B203&amp;$C203,data!$A:$U,10,FALSE)</f>
        <v>0</v>
      </c>
      <c r="P203" s="3">
        <f ca="1">VLOOKUP($B203&amp;$C203,data!$A:$U,11,FALSE)</f>
        <v>15</v>
      </c>
      <c r="Q203" s="3">
        <f ca="1">VLOOKUP($B203&amp;$C203,data!$A:$U,12,FALSE)</f>
        <v>15</v>
      </c>
      <c r="R203" s="3">
        <f ca="1">VLOOKUP($B203&amp;$C203,data!$A:$U,13,FALSE)</f>
        <v>0</v>
      </c>
      <c r="S203" s="3">
        <f ca="1">VLOOKUP($B203&amp;$C203,data!$A:$U,5,FALSE)</f>
        <v>30</v>
      </c>
      <c r="T203" s="3">
        <f ca="1">VLOOKUP($B203&amp;$C203,data!$A:$U,6,FALSE)</f>
        <v>30</v>
      </c>
      <c r="U203" s="3">
        <f ca="1">VLOOKUP($B203&amp;$C203,data!$A:$U,7,FALSE)</f>
        <v>0</v>
      </c>
      <c r="V203" s="16"/>
      <c r="W203" s="9"/>
      <c r="X203" s="9"/>
      <c r="Y203" s="3"/>
      <c r="Z203" s="13">
        <f t="shared" ca="1" si="1"/>
        <v>0.82068148152757203</v>
      </c>
    </row>
    <row r="204" spans="1:26" ht="13" x14ac:dyDescent="0.15">
      <c r="A204" s="3">
        <v>203</v>
      </c>
      <c r="B204" s="3" t="s">
        <v>7</v>
      </c>
      <c r="C204" s="3" t="s">
        <v>589</v>
      </c>
      <c r="D204" s="10">
        <f t="shared" ca="1" si="0"/>
        <v>0.8</v>
      </c>
      <c r="E204" s="5">
        <f ca="1">VLOOKUP($B204&amp;$C204,data!$A:$U,20,FALSE)</f>
        <v>44305.329618055497</v>
      </c>
      <c r="F204" s="3" t="str">
        <f ca="1">VLOOKUP($B204&amp;$C204,data!$A:$U,21,FALSE)</f>
        <v>19.04.2021</v>
      </c>
      <c r="G204" s="3">
        <f ca="1">VLOOKUP($B204&amp;$C204,data!$A:$U,17,FALSE)</f>
        <v>0</v>
      </c>
      <c r="H204" s="3">
        <f ca="1">VLOOKUP($B204&amp;$C204,data!$A:$U,18,FALSE)</f>
        <v>0</v>
      </c>
      <c r="I204" s="3">
        <f ca="1">VLOOKUP($B204&amp;$C204,data!$A:$U,19,FALSE)</f>
        <v>0</v>
      </c>
      <c r="J204" s="3">
        <f ca="1">VLOOKUP($B204&amp;$C204,data!$A:$U,14,FALSE)</f>
        <v>6</v>
      </c>
      <c r="K204" s="3">
        <f ca="1">VLOOKUP($B204&amp;$C204,data!$A:$U,15,FALSE)</f>
        <v>0</v>
      </c>
      <c r="L204" s="3">
        <f ca="1">VLOOKUP($B204&amp;$C204,data!$A:$U,16,FALSE)</f>
        <v>6</v>
      </c>
      <c r="M204" s="3">
        <f ca="1">VLOOKUP($B204&amp;$C204,data!$A:$U,8,FALSE)</f>
        <v>4</v>
      </c>
      <c r="N204" s="3">
        <f ca="1">VLOOKUP($B204&amp;$C204,data!$A:$U,9,FALSE)</f>
        <v>0</v>
      </c>
      <c r="O204" s="3">
        <f ca="1">VLOOKUP($B204&amp;$C204,data!$A:$U,10,FALSE)</f>
        <v>4</v>
      </c>
      <c r="P204" s="3">
        <f ca="1">VLOOKUP($B204&amp;$C204,data!$A:$U,11,FALSE)</f>
        <v>0</v>
      </c>
      <c r="Q204" s="3">
        <f ca="1">VLOOKUP($B204&amp;$C204,data!$A:$U,12,FALSE)</f>
        <v>0</v>
      </c>
      <c r="R204" s="3">
        <f ca="1">VLOOKUP($B204&amp;$C204,data!$A:$U,13,FALSE)</f>
        <v>0</v>
      </c>
      <c r="S204" s="3">
        <f ca="1">VLOOKUP($B204&amp;$C204,data!$A:$U,5,FALSE)</f>
        <v>10</v>
      </c>
      <c r="T204" s="3">
        <f ca="1">VLOOKUP($B204&amp;$C204,data!$A:$U,6,FALSE)</f>
        <v>4</v>
      </c>
      <c r="U204" s="3">
        <f ca="1">VLOOKUP($B204&amp;$C204,data!$A:$U,7,FALSE)</f>
        <v>6</v>
      </c>
      <c r="V204" s="16"/>
      <c r="W204" s="9"/>
      <c r="X204" s="9"/>
      <c r="Y204" s="3"/>
      <c r="Z204" s="13">
        <f t="shared" ca="1" si="1"/>
        <v>0.75729039357975125</v>
      </c>
    </row>
    <row r="205" spans="1:26" ht="13" x14ac:dyDescent="0.15">
      <c r="A205" s="3">
        <v>204</v>
      </c>
      <c r="B205" s="3" t="s">
        <v>31</v>
      </c>
      <c r="C205" s="3" t="s">
        <v>590</v>
      </c>
      <c r="D205" s="10">
        <f t="shared" ca="1" si="0"/>
        <v>8.6538461538461536E-2</v>
      </c>
      <c r="E205" s="5">
        <f ca="1">VLOOKUP($B205&amp;$C205,data!$A:$U,20,FALSE)</f>
        <v>44305.675856481401</v>
      </c>
      <c r="F205" s="3" t="str">
        <f ca="1">VLOOKUP($B205&amp;$C205,data!$A:$U,21,FALSE)</f>
        <v>NILL</v>
      </c>
      <c r="G205" s="3">
        <f ca="1">VLOOKUP($B205&amp;$C205,data!$A:$U,17,FALSE)</f>
        <v>10</v>
      </c>
      <c r="H205" s="3">
        <f ca="1">VLOOKUP($B205&amp;$C205,data!$A:$U,18,FALSE)</f>
        <v>4</v>
      </c>
      <c r="I205" s="3">
        <f ca="1">VLOOKUP($B205&amp;$C205,data!$A:$U,19,FALSE)</f>
        <v>6</v>
      </c>
      <c r="J205" s="3">
        <f ca="1">VLOOKUP($B205&amp;$C205,data!$A:$U,14,FALSE)</f>
        <v>10</v>
      </c>
      <c r="K205" s="3">
        <f ca="1">VLOOKUP($B205&amp;$C205,data!$A:$U,15,FALSE)</f>
        <v>8</v>
      </c>
      <c r="L205" s="3">
        <f ca="1">VLOOKUP($B205&amp;$C205,data!$A:$U,16,FALSE)</f>
        <v>2</v>
      </c>
      <c r="M205" s="3">
        <f ca="1">VLOOKUP($B205&amp;$C205,data!$A:$U,8,FALSE)</f>
        <v>10</v>
      </c>
      <c r="N205" s="3">
        <f ca="1">VLOOKUP($B205&amp;$C205,data!$A:$U,9,FALSE)</f>
        <v>10</v>
      </c>
      <c r="O205" s="3">
        <f ca="1">VLOOKUP($B205&amp;$C205,data!$A:$U,10,FALSE)</f>
        <v>0</v>
      </c>
      <c r="P205" s="3">
        <f ca="1">VLOOKUP($B205&amp;$C205,data!$A:$U,11,FALSE)</f>
        <v>37</v>
      </c>
      <c r="Q205" s="3">
        <f ca="1">VLOOKUP($B205&amp;$C205,data!$A:$U,12,FALSE)</f>
        <v>40</v>
      </c>
      <c r="R205" s="3">
        <f ca="1">VLOOKUP($B205&amp;$C205,data!$A:$U,13,FALSE)</f>
        <v>0</v>
      </c>
      <c r="S205" s="3">
        <f ca="1">VLOOKUP($B205&amp;$C205,data!$A:$U,5,FALSE)</f>
        <v>47</v>
      </c>
      <c r="T205" s="3">
        <f ca="1">VLOOKUP($B205&amp;$C205,data!$A:$U,6,FALSE)</f>
        <v>40</v>
      </c>
      <c r="U205" s="3">
        <f ca="1">VLOOKUP($B205&amp;$C205,data!$A:$U,7,FALSE)</f>
        <v>7</v>
      </c>
      <c r="V205" s="18" t="s">
        <v>591</v>
      </c>
      <c r="W205" s="17" t="s">
        <v>592</v>
      </c>
      <c r="X205" s="17" t="s">
        <v>593</v>
      </c>
      <c r="Y205" s="4" t="s">
        <v>594</v>
      </c>
      <c r="Z205" s="13">
        <f t="shared" ca="1" si="1"/>
        <v>0.41105196767603047</v>
      </c>
    </row>
    <row r="206" spans="1:26" ht="13" x14ac:dyDescent="0.15">
      <c r="A206" s="3">
        <v>205</v>
      </c>
      <c r="B206" s="3" t="s">
        <v>28</v>
      </c>
      <c r="C206" s="3" t="s">
        <v>595</v>
      </c>
      <c r="D206" s="10">
        <f t="shared" ca="1" si="0"/>
        <v>1</v>
      </c>
      <c r="E206" s="5">
        <f ca="1">VLOOKUP($B206&amp;$C206,data!$A:$U,20,FALSE)</f>
        <v>44305.366631944402</v>
      </c>
      <c r="F206" s="3" t="str">
        <f ca="1">VLOOKUP($B206&amp;$C206,data!$A:$U,21,FALSE)</f>
        <v>Updated on 19.04.2021</v>
      </c>
      <c r="G206" s="3">
        <f ca="1">VLOOKUP($B206&amp;$C206,data!$A:$U,17,FALSE)</f>
        <v>1</v>
      </c>
      <c r="H206" s="3">
        <f ca="1">VLOOKUP($B206&amp;$C206,data!$A:$U,18,FALSE)</f>
        <v>0</v>
      </c>
      <c r="I206" s="3">
        <f ca="1">VLOOKUP($B206&amp;$C206,data!$A:$U,19,FALSE)</f>
        <v>1</v>
      </c>
      <c r="J206" s="3">
        <f ca="1">VLOOKUP($B206&amp;$C206,data!$A:$U,14,FALSE)</f>
        <v>5</v>
      </c>
      <c r="K206" s="3">
        <f ca="1">VLOOKUP($B206&amp;$C206,data!$A:$U,15,FALSE)</f>
        <v>0</v>
      </c>
      <c r="L206" s="3">
        <f ca="1">VLOOKUP($B206&amp;$C206,data!$A:$U,16,FALSE)</f>
        <v>5</v>
      </c>
      <c r="M206" s="3">
        <f ca="1">VLOOKUP($B206&amp;$C206,data!$A:$U,8,FALSE)</f>
        <v>30</v>
      </c>
      <c r="N206" s="3">
        <f ca="1">VLOOKUP($B206&amp;$C206,data!$A:$U,9,FALSE)</f>
        <v>0</v>
      </c>
      <c r="O206" s="3">
        <f ca="1">VLOOKUP($B206&amp;$C206,data!$A:$U,10,FALSE)</f>
        <v>30</v>
      </c>
      <c r="P206" s="3">
        <f ca="1">VLOOKUP($B206&amp;$C206,data!$A:$U,11,FALSE)</f>
        <v>0</v>
      </c>
      <c r="Q206" s="3">
        <f ca="1">VLOOKUP($B206&amp;$C206,data!$A:$U,12,FALSE)</f>
        <v>0</v>
      </c>
      <c r="R206" s="3">
        <f ca="1">VLOOKUP($B206&amp;$C206,data!$A:$U,13,FALSE)</f>
        <v>0</v>
      </c>
      <c r="S206" s="3">
        <f ca="1">VLOOKUP($B206&amp;$C206,data!$A:$U,5,FALSE)</f>
        <v>30</v>
      </c>
      <c r="T206" s="3">
        <f ca="1">VLOOKUP($B206&amp;$C206,data!$A:$U,6,FALSE)</f>
        <v>0</v>
      </c>
      <c r="U206" s="3">
        <f ca="1">VLOOKUP($B206&amp;$C206,data!$A:$U,7,FALSE)</f>
        <v>30</v>
      </c>
      <c r="V206" s="18" t="s">
        <v>596</v>
      </c>
      <c r="W206" s="17" t="s">
        <v>597</v>
      </c>
      <c r="X206" s="17" t="s">
        <v>598</v>
      </c>
      <c r="Y206" s="4" t="s">
        <v>599</v>
      </c>
      <c r="Z206" s="13">
        <f t="shared" ca="1" si="1"/>
        <v>0.72027638892905088</v>
      </c>
    </row>
    <row r="207" spans="1:26" ht="13" x14ac:dyDescent="0.15">
      <c r="A207" s="3">
        <v>206</v>
      </c>
      <c r="B207" s="3" t="s">
        <v>28</v>
      </c>
      <c r="C207" s="3" t="s">
        <v>600</v>
      </c>
      <c r="D207" s="10">
        <f t="shared" ca="1" si="0"/>
        <v>0.33333333333333331</v>
      </c>
      <c r="E207" s="5">
        <f ca="1">VLOOKUP($B207&amp;$C207,data!$A:$U,20,FALSE)</f>
        <v>44305.299837962899</v>
      </c>
      <c r="F207" s="3" t="str">
        <f ca="1">VLOOKUP($B207&amp;$C207,data!$A:$U,21,FALSE)</f>
        <v>Updated</v>
      </c>
      <c r="G207" s="3">
        <f ca="1">VLOOKUP($B207&amp;$C207,data!$A:$U,17,FALSE)</f>
        <v>1</v>
      </c>
      <c r="H207" s="3">
        <f ca="1">VLOOKUP($B207&amp;$C207,data!$A:$U,18,FALSE)</f>
        <v>0</v>
      </c>
      <c r="I207" s="3">
        <f ca="1">VLOOKUP($B207&amp;$C207,data!$A:$U,19,FALSE)</f>
        <v>1</v>
      </c>
      <c r="J207" s="3">
        <f ca="1">VLOOKUP($B207&amp;$C207,data!$A:$U,14,FALSE)</f>
        <v>0</v>
      </c>
      <c r="K207" s="3">
        <f ca="1">VLOOKUP($B207&amp;$C207,data!$A:$U,15,FALSE)</f>
        <v>0</v>
      </c>
      <c r="L207" s="3">
        <f ca="1">VLOOKUP($B207&amp;$C207,data!$A:$U,16,FALSE)</f>
        <v>0</v>
      </c>
      <c r="M207" s="3">
        <f ca="1">VLOOKUP($B207&amp;$C207,data!$A:$U,8,FALSE)</f>
        <v>30</v>
      </c>
      <c r="N207" s="3">
        <f ca="1">VLOOKUP($B207&amp;$C207,data!$A:$U,9,FALSE)</f>
        <v>20</v>
      </c>
      <c r="O207" s="3">
        <f ca="1">VLOOKUP($B207&amp;$C207,data!$A:$U,10,FALSE)</f>
        <v>10</v>
      </c>
      <c r="P207" s="3">
        <f ca="1">VLOOKUP($B207&amp;$C207,data!$A:$U,11,FALSE)</f>
        <v>0</v>
      </c>
      <c r="Q207" s="3">
        <f ca="1">VLOOKUP($B207&amp;$C207,data!$A:$U,12,FALSE)</f>
        <v>0</v>
      </c>
      <c r="R207" s="3">
        <f ca="1">VLOOKUP($B207&amp;$C207,data!$A:$U,13,FALSE)</f>
        <v>0</v>
      </c>
      <c r="S207" s="3">
        <f ca="1">VLOOKUP($B207&amp;$C207,data!$A:$U,5,FALSE)</f>
        <v>30</v>
      </c>
      <c r="T207" s="3">
        <f ca="1">VLOOKUP($B207&amp;$C207,data!$A:$U,6,FALSE)</f>
        <v>20</v>
      </c>
      <c r="U207" s="3">
        <f ca="1">VLOOKUP($B207&amp;$C207,data!$A:$U,7,FALSE)</f>
        <v>10</v>
      </c>
      <c r="V207" s="23" t="s">
        <v>601</v>
      </c>
      <c r="W207" s="17" t="s">
        <v>602</v>
      </c>
      <c r="X207" s="9"/>
      <c r="Y207" s="4" t="s">
        <v>603</v>
      </c>
      <c r="Z207" s="13">
        <f t="shared" ca="1" si="1"/>
        <v>0.78707048617798137</v>
      </c>
    </row>
    <row r="208" spans="1:26" ht="13" x14ac:dyDescent="0.15">
      <c r="A208" s="3">
        <v>207</v>
      </c>
      <c r="B208" s="3" t="s">
        <v>27</v>
      </c>
      <c r="C208" s="3" t="s">
        <v>604</v>
      </c>
      <c r="D208" s="10">
        <f t="shared" ca="1" si="0"/>
        <v>0.4</v>
      </c>
      <c r="E208" s="5">
        <f ca="1">VLOOKUP($B208&amp;$C208,data!$A:$U,20,FALSE)</f>
        <v>44305.464687500003</v>
      </c>
      <c r="F208" s="3" t="str">
        <f ca="1">VLOOKUP($B208&amp;$C208,data!$A:$U,21,FALSE)</f>
        <v>1 VENTILATOR 1 HIF 9 O2 SUPPORT 4 NON-02 SUPPORT</v>
      </c>
      <c r="G208" s="3">
        <f ca="1">VLOOKUP($B208&amp;$C208,data!$A:$U,17,FALSE)</f>
        <v>6</v>
      </c>
      <c r="H208" s="3">
        <f ca="1">VLOOKUP($B208&amp;$C208,data!$A:$U,18,FALSE)</f>
        <v>1</v>
      </c>
      <c r="I208" s="3">
        <f ca="1">VLOOKUP($B208&amp;$C208,data!$A:$U,19,FALSE)</f>
        <v>5</v>
      </c>
      <c r="J208" s="3">
        <f ca="1">VLOOKUP($B208&amp;$C208,data!$A:$U,14,FALSE)</f>
        <v>6</v>
      </c>
      <c r="K208" s="3">
        <f ca="1">VLOOKUP($B208&amp;$C208,data!$A:$U,15,FALSE)</f>
        <v>2</v>
      </c>
      <c r="L208" s="3">
        <f ca="1">VLOOKUP($B208&amp;$C208,data!$A:$U,16,FALSE)</f>
        <v>4</v>
      </c>
      <c r="M208" s="3">
        <f ca="1">VLOOKUP($B208&amp;$C208,data!$A:$U,8,FALSE)</f>
        <v>11</v>
      </c>
      <c r="N208" s="3">
        <f ca="1">VLOOKUP($B208&amp;$C208,data!$A:$U,9,FALSE)</f>
        <v>9</v>
      </c>
      <c r="O208" s="3">
        <f ca="1">VLOOKUP($B208&amp;$C208,data!$A:$U,10,FALSE)</f>
        <v>0</v>
      </c>
      <c r="P208" s="3">
        <f ca="1">VLOOKUP($B208&amp;$C208,data!$A:$U,11,FALSE)</f>
        <v>8</v>
      </c>
      <c r="Q208" s="3">
        <f ca="1">VLOOKUP($B208&amp;$C208,data!$A:$U,12,FALSE)</f>
        <v>4</v>
      </c>
      <c r="R208" s="3">
        <f ca="1">VLOOKUP($B208&amp;$C208,data!$A:$U,13,FALSE)</f>
        <v>6</v>
      </c>
      <c r="S208" s="3">
        <f ca="1">VLOOKUP($B208&amp;$C208,data!$A:$U,5,FALSE)</f>
        <v>25</v>
      </c>
      <c r="T208" s="3">
        <f ca="1">VLOOKUP($B208&amp;$C208,data!$A:$U,6,FALSE)</f>
        <v>15</v>
      </c>
      <c r="U208" s="3">
        <f ca="1">VLOOKUP($B208&amp;$C208,data!$A:$U,7,FALSE)</f>
        <v>10</v>
      </c>
      <c r="V208" s="18">
        <v>914312221222</v>
      </c>
      <c r="W208" s="17" t="s">
        <v>605</v>
      </c>
      <c r="X208" s="17" t="s">
        <v>606</v>
      </c>
      <c r="Y208" s="4" t="s">
        <v>607</v>
      </c>
      <c r="Z208" s="13">
        <f t="shared" ca="1" si="1"/>
        <v>0.6222208333274466</v>
      </c>
    </row>
    <row r="209" spans="1:26" ht="13" x14ac:dyDescent="0.15">
      <c r="A209" s="3">
        <v>208</v>
      </c>
      <c r="B209" s="3" t="s">
        <v>27</v>
      </c>
      <c r="C209" s="3" t="s">
        <v>608</v>
      </c>
      <c r="D209" s="10">
        <f t="shared" ca="1" si="0"/>
        <v>0.77777777777777779</v>
      </c>
      <c r="E209" s="5">
        <f ca="1">VLOOKUP($B209&amp;$C209,data!$A:$U,20,FALSE)</f>
        <v>44305.384409722203</v>
      </c>
      <c r="F209" s="3" t="str">
        <f ca="1">VLOOKUP($B209&amp;$C209,data!$A:$U,21,FALSE)</f>
        <v>Nil</v>
      </c>
      <c r="G209" s="3">
        <f ca="1">VLOOKUP($B209&amp;$C209,data!$A:$U,17,FALSE)</f>
        <v>2</v>
      </c>
      <c r="H209" s="3">
        <f ca="1">VLOOKUP($B209&amp;$C209,data!$A:$U,18,FALSE)</f>
        <v>0</v>
      </c>
      <c r="I209" s="3">
        <f ca="1">VLOOKUP($B209&amp;$C209,data!$A:$U,19,FALSE)</f>
        <v>2</v>
      </c>
      <c r="J209" s="3">
        <f ca="1">VLOOKUP($B209&amp;$C209,data!$A:$U,14,FALSE)</f>
        <v>20</v>
      </c>
      <c r="K209" s="3">
        <f ca="1">VLOOKUP($B209&amp;$C209,data!$A:$U,15,FALSE)</f>
        <v>0</v>
      </c>
      <c r="L209" s="3">
        <f ca="1">VLOOKUP($B209&amp;$C209,data!$A:$U,16,FALSE)</f>
        <v>20</v>
      </c>
      <c r="M209" s="3">
        <f ca="1">VLOOKUP($B209&amp;$C209,data!$A:$U,8,FALSE)</f>
        <v>10</v>
      </c>
      <c r="N209" s="3">
        <f ca="1">VLOOKUP($B209&amp;$C209,data!$A:$U,9,FALSE)</f>
        <v>2</v>
      </c>
      <c r="O209" s="3">
        <f ca="1">VLOOKUP($B209&amp;$C209,data!$A:$U,10,FALSE)</f>
        <v>8</v>
      </c>
      <c r="P209" s="3">
        <f ca="1">VLOOKUP($B209&amp;$C209,data!$A:$U,11,FALSE)</f>
        <v>20</v>
      </c>
      <c r="Q209" s="3">
        <f ca="1">VLOOKUP($B209&amp;$C209,data!$A:$U,12,FALSE)</f>
        <v>8</v>
      </c>
      <c r="R209" s="3">
        <f ca="1">VLOOKUP($B209&amp;$C209,data!$A:$U,13,FALSE)</f>
        <v>12</v>
      </c>
      <c r="S209" s="3">
        <f ca="1">VLOOKUP($B209&amp;$C209,data!$A:$U,5,FALSE)</f>
        <v>40</v>
      </c>
      <c r="T209" s="3">
        <f ca="1">VLOOKUP($B209&amp;$C209,data!$A:$U,6,FALSE)</f>
        <v>10</v>
      </c>
      <c r="U209" s="3">
        <f ca="1">VLOOKUP($B209&amp;$C209,data!$A:$U,7,FALSE)</f>
        <v>30</v>
      </c>
      <c r="V209" s="16"/>
      <c r="W209" s="9"/>
      <c r="X209" s="17" t="s">
        <v>609</v>
      </c>
      <c r="Y209" s="4" t="s">
        <v>610</v>
      </c>
      <c r="Z209" s="13">
        <f t="shared" ca="1" si="1"/>
        <v>0.70249872687418247</v>
      </c>
    </row>
    <row r="210" spans="1:26" ht="13" x14ac:dyDescent="0.15">
      <c r="A210" s="3">
        <v>209</v>
      </c>
      <c r="B210" s="3" t="s">
        <v>27</v>
      </c>
      <c r="C210" s="3" t="s">
        <v>611</v>
      </c>
      <c r="D210" s="10">
        <f t="shared" ca="1" si="0"/>
        <v>1</v>
      </c>
      <c r="E210" s="5">
        <f ca="1">VLOOKUP($B210&amp;$C210,data!$A:$U,20,FALSE)</f>
        <v>44305.382129629601</v>
      </c>
      <c r="F210" s="3" t="str">
        <f ca="1">VLOOKUP($B210&amp;$C210,data!$A:$U,21,FALSE)</f>
        <v>Nil</v>
      </c>
      <c r="G210" s="3">
        <f ca="1">VLOOKUP($B210&amp;$C210,data!$A:$U,17,FALSE)</f>
        <v>2</v>
      </c>
      <c r="H210" s="3">
        <f ca="1">VLOOKUP($B210&amp;$C210,data!$A:$U,18,FALSE)</f>
        <v>0</v>
      </c>
      <c r="I210" s="3">
        <f ca="1">VLOOKUP($B210&amp;$C210,data!$A:$U,19,FALSE)</f>
        <v>2</v>
      </c>
      <c r="J210" s="3">
        <f ca="1">VLOOKUP($B210&amp;$C210,data!$A:$U,14,FALSE)</f>
        <v>2</v>
      </c>
      <c r="K210" s="3">
        <f ca="1">VLOOKUP($B210&amp;$C210,data!$A:$U,15,FALSE)</f>
        <v>0</v>
      </c>
      <c r="L210" s="3">
        <f ca="1">VLOOKUP($B210&amp;$C210,data!$A:$U,16,FALSE)</f>
        <v>2</v>
      </c>
      <c r="M210" s="3">
        <f ca="1">VLOOKUP($B210&amp;$C210,data!$A:$U,8,FALSE)</f>
        <v>2</v>
      </c>
      <c r="N210" s="3">
        <f ca="1">VLOOKUP($B210&amp;$C210,data!$A:$U,9,FALSE)</f>
        <v>0</v>
      </c>
      <c r="O210" s="3">
        <f ca="1">VLOOKUP($B210&amp;$C210,data!$A:$U,10,FALSE)</f>
        <v>2</v>
      </c>
      <c r="P210" s="3">
        <f ca="1">VLOOKUP($B210&amp;$C210,data!$A:$U,11,FALSE)</f>
        <v>22</v>
      </c>
      <c r="Q210" s="3">
        <f ca="1">VLOOKUP($B210&amp;$C210,data!$A:$U,12,FALSE)</f>
        <v>0</v>
      </c>
      <c r="R210" s="3">
        <f ca="1">VLOOKUP($B210&amp;$C210,data!$A:$U,13,FALSE)</f>
        <v>22</v>
      </c>
      <c r="S210" s="3">
        <f ca="1">VLOOKUP($B210&amp;$C210,data!$A:$U,5,FALSE)</f>
        <v>26</v>
      </c>
      <c r="T210" s="3">
        <f ca="1">VLOOKUP($B210&amp;$C210,data!$A:$U,6,FALSE)</f>
        <v>0</v>
      </c>
      <c r="U210" s="3">
        <f ca="1">VLOOKUP($B210&amp;$C210,data!$A:$U,7,FALSE)</f>
        <v>26</v>
      </c>
      <c r="V210" s="18" t="s">
        <v>612</v>
      </c>
      <c r="W210" s="17" t="s">
        <v>613</v>
      </c>
      <c r="X210" s="17" t="s">
        <v>614</v>
      </c>
      <c r="Y210" s="4" t="s">
        <v>615</v>
      </c>
      <c r="Z210" s="13">
        <f t="shared" ca="1" si="1"/>
        <v>0.70477881947590504</v>
      </c>
    </row>
    <row r="211" spans="1:26" ht="13" x14ac:dyDescent="0.15">
      <c r="A211" s="3">
        <v>210</v>
      </c>
      <c r="B211" s="3" t="s">
        <v>27</v>
      </c>
      <c r="C211" s="3" t="s">
        <v>616</v>
      </c>
      <c r="D211" s="10">
        <f t="shared" ca="1" si="0"/>
        <v>0</v>
      </c>
      <c r="E211" s="5">
        <f ca="1">VLOOKUP($B211&amp;$C211,data!$A:$U,20,FALSE)</f>
        <v>44305.363749999997</v>
      </c>
      <c r="F211" s="3" t="str">
        <f ca="1">VLOOKUP($B211&amp;$C211,data!$A:$U,21,FALSE)</f>
        <v>Nil</v>
      </c>
      <c r="G211" s="3">
        <f ca="1">VLOOKUP($B211&amp;$C211,data!$A:$U,17,FALSE)</f>
        <v>10</v>
      </c>
      <c r="H211" s="3">
        <f ca="1">VLOOKUP($B211&amp;$C211,data!$A:$U,18,FALSE)</f>
        <v>0</v>
      </c>
      <c r="I211" s="3">
        <f ca="1">VLOOKUP($B211&amp;$C211,data!$A:$U,19,FALSE)</f>
        <v>10</v>
      </c>
      <c r="J211" s="3">
        <f ca="1">VLOOKUP($B211&amp;$C211,data!$A:$U,14,FALSE)</f>
        <v>16</v>
      </c>
      <c r="K211" s="3">
        <f ca="1">VLOOKUP($B211&amp;$C211,data!$A:$U,15,FALSE)</f>
        <v>16</v>
      </c>
      <c r="L211" s="3">
        <f ca="1">VLOOKUP($B211&amp;$C211,data!$A:$U,16,FALSE)</f>
        <v>0</v>
      </c>
      <c r="M211" s="3">
        <f ca="1">VLOOKUP($B211&amp;$C211,data!$A:$U,8,FALSE)</f>
        <v>21</v>
      </c>
      <c r="N211" s="3">
        <f ca="1">VLOOKUP($B211&amp;$C211,data!$A:$U,9,FALSE)</f>
        <v>21</v>
      </c>
      <c r="O211" s="3">
        <f ca="1">VLOOKUP($B211&amp;$C211,data!$A:$U,10,FALSE)</f>
        <v>0</v>
      </c>
      <c r="P211" s="3">
        <f ca="1">VLOOKUP($B211&amp;$C211,data!$A:$U,11,FALSE)</f>
        <v>30</v>
      </c>
      <c r="Q211" s="3">
        <f ca="1">VLOOKUP($B211&amp;$C211,data!$A:$U,12,FALSE)</f>
        <v>30</v>
      </c>
      <c r="R211" s="3">
        <f ca="1">VLOOKUP($B211&amp;$C211,data!$A:$U,13,FALSE)</f>
        <v>0</v>
      </c>
      <c r="S211" s="3">
        <f ca="1">VLOOKUP($B211&amp;$C211,data!$A:$U,5,FALSE)</f>
        <v>67</v>
      </c>
      <c r="T211" s="3">
        <f ca="1">VLOOKUP($B211&amp;$C211,data!$A:$U,6,FALSE)</f>
        <v>67</v>
      </c>
      <c r="U211" s="3">
        <f ca="1">VLOOKUP($B211&amp;$C211,data!$A:$U,7,FALSE)</f>
        <v>0</v>
      </c>
      <c r="V211" s="23" t="s">
        <v>617</v>
      </c>
      <c r="W211" s="17" t="s">
        <v>618</v>
      </c>
      <c r="X211" s="17" t="s">
        <v>506</v>
      </c>
      <c r="Y211" s="4" t="s">
        <v>619</v>
      </c>
      <c r="Z211" s="13">
        <f t="shared" ca="1" si="1"/>
        <v>0.72315833333414048</v>
      </c>
    </row>
    <row r="212" spans="1:26" ht="13" x14ac:dyDescent="0.15">
      <c r="A212" s="3">
        <v>211</v>
      </c>
      <c r="B212" s="3" t="s">
        <v>27</v>
      </c>
      <c r="C212" s="3" t="s">
        <v>620</v>
      </c>
      <c r="D212" s="10">
        <f t="shared" ca="1" si="0"/>
        <v>0.31</v>
      </c>
      <c r="E212" s="5">
        <f ca="1">VLOOKUP($B212&amp;$C212,data!$A:$U,20,FALSE)</f>
        <v>44305.380312499998</v>
      </c>
      <c r="F212" s="3">
        <f ca="1">VLOOKUP($B212&amp;$C212,data!$A:$U,21,FALSE)</f>
        <v>0</v>
      </c>
      <c r="G212" s="3">
        <f ca="1">VLOOKUP($B212&amp;$C212,data!$A:$U,17,FALSE)</f>
        <v>4</v>
      </c>
      <c r="H212" s="3">
        <f ca="1">VLOOKUP($B212&amp;$C212,data!$A:$U,18,FALSE)</f>
        <v>2</v>
      </c>
      <c r="I212" s="3">
        <f ca="1">VLOOKUP($B212&amp;$C212,data!$A:$U,19,FALSE)</f>
        <v>2</v>
      </c>
      <c r="J212" s="3">
        <f ca="1">VLOOKUP($B212&amp;$C212,data!$A:$U,14,FALSE)</f>
        <v>10</v>
      </c>
      <c r="K212" s="3">
        <f ca="1">VLOOKUP($B212&amp;$C212,data!$A:$U,15,FALSE)</f>
        <v>7</v>
      </c>
      <c r="L212" s="3">
        <f ca="1">VLOOKUP($B212&amp;$C212,data!$A:$U,16,FALSE)</f>
        <v>3</v>
      </c>
      <c r="M212" s="3">
        <f ca="1">VLOOKUP($B212&amp;$C212,data!$A:$U,8,FALSE)</f>
        <v>30</v>
      </c>
      <c r="N212" s="3">
        <f ca="1">VLOOKUP($B212&amp;$C212,data!$A:$U,9,FALSE)</f>
        <v>23</v>
      </c>
      <c r="O212" s="3">
        <f ca="1">VLOOKUP($B212&amp;$C212,data!$A:$U,10,FALSE)</f>
        <v>7</v>
      </c>
      <c r="P212" s="3">
        <f ca="1">VLOOKUP($B212&amp;$C212,data!$A:$U,11,FALSE)</f>
        <v>10</v>
      </c>
      <c r="Q212" s="3">
        <f ca="1">VLOOKUP($B212&amp;$C212,data!$A:$U,12,FALSE)</f>
        <v>5</v>
      </c>
      <c r="R212" s="3">
        <f ca="1">VLOOKUP($B212&amp;$C212,data!$A:$U,13,FALSE)</f>
        <v>5</v>
      </c>
      <c r="S212" s="3">
        <f ca="1">VLOOKUP($B212&amp;$C212,data!$A:$U,5,FALSE)</f>
        <v>50</v>
      </c>
      <c r="T212" s="3">
        <f ca="1">VLOOKUP($B212&amp;$C212,data!$A:$U,6,FALSE)</f>
        <v>34</v>
      </c>
      <c r="U212" s="3">
        <f ca="1">VLOOKUP($B212&amp;$C212,data!$A:$U,7,FALSE)</f>
        <v>16</v>
      </c>
      <c r="V212" s="18" t="s">
        <v>621</v>
      </c>
      <c r="W212" s="17" t="s">
        <v>622</v>
      </c>
      <c r="X212" s="17" t="s">
        <v>623</v>
      </c>
      <c r="Y212" s="4" t="s">
        <v>624</v>
      </c>
      <c r="Z212" s="13">
        <f t="shared" ca="1" si="1"/>
        <v>0.70659594907920109</v>
      </c>
    </row>
    <row r="213" spans="1:26" ht="13" x14ac:dyDescent="0.15">
      <c r="A213" s="3">
        <v>212</v>
      </c>
      <c r="B213" s="3" t="s">
        <v>27</v>
      </c>
      <c r="C213" s="3" t="s">
        <v>625</v>
      </c>
      <c r="D213" s="10">
        <f t="shared" ca="1" si="0"/>
        <v>0.02</v>
      </c>
      <c r="E213" s="5">
        <f ca="1">VLOOKUP($B213&amp;$C213,data!$A:$U,20,FALSE)</f>
        <v>44305.327210648102</v>
      </c>
      <c r="F213" s="3" t="str">
        <f ca="1">VLOOKUP($B213&amp;$C213,data!$A:$U,21,FALSE)</f>
        <v>Nil</v>
      </c>
      <c r="G213" s="3">
        <f ca="1">VLOOKUP($B213&amp;$C213,data!$A:$U,17,FALSE)</f>
        <v>7</v>
      </c>
      <c r="H213" s="3">
        <f ca="1">VLOOKUP($B213&amp;$C213,data!$A:$U,18,FALSE)</f>
        <v>0</v>
      </c>
      <c r="I213" s="3">
        <f ca="1">VLOOKUP($B213&amp;$C213,data!$A:$U,19,FALSE)</f>
        <v>7</v>
      </c>
      <c r="J213" s="3">
        <f ca="1">VLOOKUP($B213&amp;$C213,data!$A:$U,14,FALSE)</f>
        <v>7</v>
      </c>
      <c r="K213" s="3">
        <f ca="1">VLOOKUP($B213&amp;$C213,data!$A:$U,15,FALSE)</f>
        <v>6</v>
      </c>
      <c r="L213" s="3">
        <f ca="1">VLOOKUP($B213&amp;$C213,data!$A:$U,16,FALSE)</f>
        <v>1</v>
      </c>
      <c r="M213" s="3">
        <f ca="1">VLOOKUP($B213&amp;$C213,data!$A:$U,8,FALSE)</f>
        <v>26</v>
      </c>
      <c r="N213" s="3">
        <f ca="1">VLOOKUP($B213&amp;$C213,data!$A:$U,9,FALSE)</f>
        <v>26</v>
      </c>
      <c r="O213" s="3">
        <f ca="1">VLOOKUP($B213&amp;$C213,data!$A:$U,10,FALSE)</f>
        <v>0</v>
      </c>
      <c r="P213" s="3">
        <f ca="1">VLOOKUP($B213&amp;$C213,data!$A:$U,11,FALSE)</f>
        <v>17</v>
      </c>
      <c r="Q213" s="3">
        <f ca="1">VLOOKUP($B213&amp;$C213,data!$A:$U,12,FALSE)</f>
        <v>17</v>
      </c>
      <c r="R213" s="3">
        <f ca="1">VLOOKUP($B213&amp;$C213,data!$A:$U,13,FALSE)</f>
        <v>0</v>
      </c>
      <c r="S213" s="3">
        <f ca="1">VLOOKUP($B213&amp;$C213,data!$A:$U,5,FALSE)</f>
        <v>50</v>
      </c>
      <c r="T213" s="3">
        <f ca="1">VLOOKUP($B213&amp;$C213,data!$A:$U,6,FALSE)</f>
        <v>49</v>
      </c>
      <c r="U213" s="3">
        <f ca="1">VLOOKUP($B213&amp;$C213,data!$A:$U,7,FALSE)</f>
        <v>1</v>
      </c>
      <c r="V213" s="23" t="s">
        <v>626</v>
      </c>
      <c r="W213" s="17" t="s">
        <v>627</v>
      </c>
      <c r="X213" s="9"/>
      <c r="Y213" s="4" t="s">
        <v>628</v>
      </c>
      <c r="Z213" s="13">
        <f t="shared" ca="1" si="1"/>
        <v>0.7596978009751183</v>
      </c>
    </row>
    <row r="214" spans="1:26" ht="13" x14ac:dyDescent="0.15">
      <c r="A214" s="3">
        <v>213</v>
      </c>
      <c r="B214" s="3" t="s">
        <v>27</v>
      </c>
      <c r="C214" s="3" t="s">
        <v>629</v>
      </c>
      <c r="D214" s="10">
        <f t="shared" ca="1" si="0"/>
        <v>0.5</v>
      </c>
      <c r="E214" s="5">
        <f ca="1">VLOOKUP($B214&amp;$C214,data!$A:$U,20,FALSE)</f>
        <v>44305.412245370302</v>
      </c>
      <c r="F214" s="3" t="str">
        <f ca="1">VLOOKUP($B214&amp;$C214,data!$A:$U,21,FALSE)</f>
        <v>Nil</v>
      </c>
      <c r="G214" s="3">
        <f ca="1">VLOOKUP($B214&amp;$C214,data!$A:$U,17,FALSE)</f>
        <v>0</v>
      </c>
      <c r="H214" s="3">
        <f ca="1">VLOOKUP($B214&amp;$C214,data!$A:$U,18,FALSE)</f>
        <v>0</v>
      </c>
      <c r="I214" s="3">
        <f ca="1">VLOOKUP($B214&amp;$C214,data!$A:$U,19,FALSE)</f>
        <v>0</v>
      </c>
      <c r="J214" s="3">
        <f ca="1">VLOOKUP($B214&amp;$C214,data!$A:$U,14,FALSE)</f>
        <v>20</v>
      </c>
      <c r="K214" s="3">
        <f ca="1">VLOOKUP($B214&amp;$C214,data!$A:$U,15,FALSE)</f>
        <v>3</v>
      </c>
      <c r="L214" s="3">
        <f ca="1">VLOOKUP($B214&amp;$C214,data!$A:$U,16,FALSE)</f>
        <v>17</v>
      </c>
      <c r="M214" s="3">
        <f ca="1">VLOOKUP($B214&amp;$C214,data!$A:$U,8,FALSE)</f>
        <v>90</v>
      </c>
      <c r="N214" s="3">
        <f ca="1">VLOOKUP($B214&amp;$C214,data!$A:$U,9,FALSE)</f>
        <v>18</v>
      </c>
      <c r="O214" s="3">
        <f ca="1">VLOOKUP($B214&amp;$C214,data!$A:$U,10,FALSE)</f>
        <v>72</v>
      </c>
      <c r="P214" s="3">
        <f ca="1">VLOOKUP($B214&amp;$C214,data!$A:$U,11,FALSE)</f>
        <v>90</v>
      </c>
      <c r="Q214" s="3">
        <f ca="1">VLOOKUP($B214&amp;$C214,data!$A:$U,12,FALSE)</f>
        <v>79</v>
      </c>
      <c r="R214" s="3">
        <f ca="1">VLOOKUP($B214&amp;$C214,data!$A:$U,13,FALSE)</f>
        <v>11</v>
      </c>
      <c r="S214" s="3">
        <f ca="1">VLOOKUP($B214&amp;$C214,data!$A:$U,5,FALSE)</f>
        <v>200</v>
      </c>
      <c r="T214" s="3">
        <f ca="1">VLOOKUP($B214&amp;$C214,data!$A:$U,6,FALSE)</f>
        <v>100</v>
      </c>
      <c r="U214" s="3">
        <f ca="1">VLOOKUP($B214&amp;$C214,data!$A:$U,7,FALSE)</f>
        <v>100</v>
      </c>
      <c r="V214" s="16"/>
      <c r="W214" s="9"/>
      <c r="X214" s="9"/>
      <c r="Y214" s="3"/>
      <c r="Z214" s="13">
        <f t="shared" ca="1" si="1"/>
        <v>0.67466296302882256</v>
      </c>
    </row>
    <row r="215" spans="1:26" ht="13" x14ac:dyDescent="0.15">
      <c r="A215" s="3">
        <v>214</v>
      </c>
      <c r="B215" s="3" t="s">
        <v>27</v>
      </c>
      <c r="C215" s="3" t="s">
        <v>630</v>
      </c>
      <c r="D215" s="10">
        <f t="shared" ca="1" si="0"/>
        <v>0</v>
      </c>
      <c r="E215" s="5">
        <f ca="1">VLOOKUP($B215&amp;$C215,data!$A:$U,20,FALSE)</f>
        <v>44305.483078703699</v>
      </c>
      <c r="F215" s="3" t="str">
        <f ca="1">VLOOKUP($B215&amp;$C215,data!$A:$U,21,FALSE)</f>
        <v>Nil</v>
      </c>
      <c r="G215" s="3">
        <f ca="1">VLOOKUP($B215&amp;$C215,data!$A:$U,17,FALSE)</f>
        <v>4</v>
      </c>
      <c r="H215" s="3">
        <f ca="1">VLOOKUP($B215&amp;$C215,data!$A:$U,18,FALSE)</f>
        <v>0</v>
      </c>
      <c r="I215" s="3">
        <f ca="1">VLOOKUP($B215&amp;$C215,data!$A:$U,19,FALSE)</f>
        <v>4</v>
      </c>
      <c r="J215" s="3">
        <f ca="1">VLOOKUP($B215&amp;$C215,data!$A:$U,14,FALSE)</f>
        <v>5</v>
      </c>
      <c r="K215" s="3">
        <f ca="1">VLOOKUP($B215&amp;$C215,data!$A:$U,15,FALSE)</f>
        <v>5</v>
      </c>
      <c r="L215" s="3">
        <f ca="1">VLOOKUP($B215&amp;$C215,data!$A:$U,16,FALSE)</f>
        <v>0</v>
      </c>
      <c r="M215" s="3">
        <f ca="1">VLOOKUP($B215&amp;$C215,data!$A:$U,8,FALSE)</f>
        <v>15</v>
      </c>
      <c r="N215" s="3">
        <f ca="1">VLOOKUP($B215&amp;$C215,data!$A:$U,9,FALSE)</f>
        <v>15</v>
      </c>
      <c r="O215" s="3">
        <f ca="1">VLOOKUP($B215&amp;$C215,data!$A:$U,10,FALSE)</f>
        <v>0</v>
      </c>
      <c r="P215" s="3">
        <f ca="1">VLOOKUP($B215&amp;$C215,data!$A:$U,11,FALSE)</f>
        <v>0</v>
      </c>
      <c r="Q215" s="3">
        <f ca="1">VLOOKUP($B215&amp;$C215,data!$A:$U,12,FALSE)</f>
        <v>0</v>
      </c>
      <c r="R215" s="3">
        <f ca="1">VLOOKUP($B215&amp;$C215,data!$A:$U,13,FALSE)</f>
        <v>0</v>
      </c>
      <c r="S215" s="3">
        <f ca="1">VLOOKUP($B215&amp;$C215,data!$A:$U,5,FALSE)</f>
        <v>20</v>
      </c>
      <c r="T215" s="3">
        <f ca="1">VLOOKUP($B215&amp;$C215,data!$A:$U,6,FALSE)</f>
        <v>20</v>
      </c>
      <c r="U215" s="3">
        <f ca="1">VLOOKUP($B215&amp;$C215,data!$A:$U,7,FALSE)</f>
        <v>0</v>
      </c>
      <c r="V215" s="18" t="s">
        <v>631</v>
      </c>
      <c r="W215" s="17" t="s">
        <v>632</v>
      </c>
      <c r="X215" s="17" t="s">
        <v>633</v>
      </c>
      <c r="Y215" s="4" t="s">
        <v>634</v>
      </c>
      <c r="Z215" s="13">
        <f t="shared" ca="1" si="1"/>
        <v>0.60382974537787959</v>
      </c>
    </row>
    <row r="216" spans="1:26" ht="13" x14ac:dyDescent="0.15">
      <c r="A216" s="3">
        <v>215</v>
      </c>
      <c r="B216" s="3" t="s">
        <v>27</v>
      </c>
      <c r="C216" s="3" t="s">
        <v>635</v>
      </c>
      <c r="D216" s="10">
        <f t="shared" ca="1" si="0"/>
        <v>0.43243243243243246</v>
      </c>
      <c r="E216" s="5">
        <f ca="1">VLOOKUP($B216&amp;$C216,data!$A:$U,20,FALSE)</f>
        <v>44305.405624999999</v>
      </c>
      <c r="F216" s="3" t="str">
        <f ca="1">VLOOKUP($B216&amp;$C216,data!$A:$U,21,FALSE)</f>
        <v>Nil</v>
      </c>
      <c r="G216" s="3">
        <f ca="1">VLOOKUP($B216&amp;$C216,data!$A:$U,17,FALSE)</f>
        <v>2</v>
      </c>
      <c r="H216" s="3">
        <f ca="1">VLOOKUP($B216&amp;$C216,data!$A:$U,18,FALSE)</f>
        <v>0</v>
      </c>
      <c r="I216" s="3">
        <f ca="1">VLOOKUP($B216&amp;$C216,data!$A:$U,19,FALSE)</f>
        <v>2</v>
      </c>
      <c r="J216" s="3">
        <f ca="1">VLOOKUP($B216&amp;$C216,data!$A:$U,14,FALSE)</f>
        <v>8</v>
      </c>
      <c r="K216" s="3">
        <f ca="1">VLOOKUP($B216&amp;$C216,data!$A:$U,15,FALSE)</f>
        <v>6</v>
      </c>
      <c r="L216" s="3">
        <f ca="1">VLOOKUP($B216&amp;$C216,data!$A:$U,16,FALSE)</f>
        <v>2</v>
      </c>
      <c r="M216" s="3">
        <f ca="1">VLOOKUP($B216&amp;$C216,data!$A:$U,8,FALSE)</f>
        <v>15</v>
      </c>
      <c r="N216" s="3">
        <f ca="1">VLOOKUP($B216&amp;$C216,data!$A:$U,9,FALSE)</f>
        <v>11</v>
      </c>
      <c r="O216" s="3">
        <f ca="1">VLOOKUP($B216&amp;$C216,data!$A:$U,10,FALSE)</f>
        <v>4</v>
      </c>
      <c r="P216" s="3">
        <f ca="1">VLOOKUP($B216&amp;$C216,data!$A:$U,11,FALSE)</f>
        <v>18</v>
      </c>
      <c r="Q216" s="3">
        <f ca="1">VLOOKUP($B216&amp;$C216,data!$A:$U,12,FALSE)</f>
        <v>7</v>
      </c>
      <c r="R216" s="3">
        <f ca="1">VLOOKUP($B216&amp;$C216,data!$A:$U,13,FALSE)</f>
        <v>11</v>
      </c>
      <c r="S216" s="3">
        <f ca="1">VLOOKUP($B216&amp;$C216,data!$A:$U,5,FALSE)</f>
        <v>33</v>
      </c>
      <c r="T216" s="3">
        <f ca="1">VLOOKUP($B216&amp;$C216,data!$A:$U,6,FALSE)</f>
        <v>18</v>
      </c>
      <c r="U216" s="3">
        <f ca="1">VLOOKUP($B216&amp;$C216,data!$A:$U,7,FALSE)</f>
        <v>15</v>
      </c>
      <c r="V216" s="18" t="s">
        <v>636</v>
      </c>
      <c r="W216" s="17" t="s">
        <v>637</v>
      </c>
      <c r="X216" s="9"/>
      <c r="Y216" s="4" t="s">
        <v>638</v>
      </c>
      <c r="Z216" s="13">
        <f t="shared" ca="1" si="1"/>
        <v>0.68128344907745486</v>
      </c>
    </row>
    <row r="217" spans="1:26" ht="13" x14ac:dyDescent="0.15">
      <c r="A217" s="3">
        <v>216</v>
      </c>
      <c r="B217" s="3" t="s">
        <v>27</v>
      </c>
      <c r="C217" s="3" t="s">
        <v>639</v>
      </c>
      <c r="D217" s="10">
        <f t="shared" ca="1" si="0"/>
        <v>0.1111111111111111</v>
      </c>
      <c r="E217" s="5">
        <f ca="1">VLOOKUP($B217&amp;$C217,data!$A:$U,20,FALSE)</f>
        <v>44305.352534722202</v>
      </c>
      <c r="F217" s="3" t="str">
        <f ca="1">VLOOKUP($B217&amp;$C217,data!$A:$U,21,FALSE)</f>
        <v>Nil</v>
      </c>
      <c r="G217" s="3">
        <f ca="1">VLOOKUP($B217&amp;$C217,data!$A:$U,17,FALSE)</f>
        <v>2</v>
      </c>
      <c r="H217" s="3">
        <f ca="1">VLOOKUP($B217&amp;$C217,data!$A:$U,18,FALSE)</f>
        <v>0</v>
      </c>
      <c r="I217" s="3">
        <f ca="1">VLOOKUP($B217&amp;$C217,data!$A:$U,19,FALSE)</f>
        <v>2</v>
      </c>
      <c r="J217" s="3">
        <f ca="1">VLOOKUP($B217&amp;$C217,data!$A:$U,14,FALSE)</f>
        <v>8</v>
      </c>
      <c r="K217" s="3">
        <f ca="1">VLOOKUP($B217&amp;$C217,data!$A:$U,15,FALSE)</f>
        <v>5</v>
      </c>
      <c r="L217" s="3">
        <f ca="1">VLOOKUP($B217&amp;$C217,data!$A:$U,16,FALSE)</f>
        <v>3</v>
      </c>
      <c r="M217" s="3">
        <f ca="1">VLOOKUP($B217&amp;$C217,data!$A:$U,8,FALSE)</f>
        <v>28</v>
      </c>
      <c r="N217" s="3">
        <f ca="1">VLOOKUP($B217&amp;$C217,data!$A:$U,9,FALSE)</f>
        <v>26</v>
      </c>
      <c r="O217" s="3">
        <f ca="1">VLOOKUP($B217&amp;$C217,data!$A:$U,10,FALSE)</f>
        <v>2</v>
      </c>
      <c r="P217" s="3">
        <f ca="1">VLOOKUP($B217&amp;$C217,data!$A:$U,11,FALSE)</f>
        <v>9</v>
      </c>
      <c r="Q217" s="3">
        <f ca="1">VLOOKUP($B217&amp;$C217,data!$A:$U,12,FALSE)</f>
        <v>9</v>
      </c>
      <c r="R217" s="3">
        <f ca="1">VLOOKUP($B217&amp;$C217,data!$A:$U,13,FALSE)</f>
        <v>0</v>
      </c>
      <c r="S217" s="3">
        <f ca="1">VLOOKUP($B217&amp;$C217,data!$A:$U,5,FALSE)</f>
        <v>45</v>
      </c>
      <c r="T217" s="3">
        <f ca="1">VLOOKUP($B217&amp;$C217,data!$A:$U,6,FALSE)</f>
        <v>40</v>
      </c>
      <c r="U217" s="3">
        <f ca="1">VLOOKUP($B217&amp;$C217,data!$A:$U,7,FALSE)</f>
        <v>5</v>
      </c>
      <c r="V217" s="23" t="s">
        <v>640</v>
      </c>
      <c r="W217" s="17" t="s">
        <v>641</v>
      </c>
      <c r="X217" s="9"/>
      <c r="Y217" s="4" t="s">
        <v>642</v>
      </c>
      <c r="Z217" s="13">
        <f t="shared" ca="1" si="1"/>
        <v>0.73437372687476454</v>
      </c>
    </row>
    <row r="218" spans="1:26" ht="13" x14ac:dyDescent="0.15">
      <c r="A218" s="3">
        <v>217</v>
      </c>
      <c r="B218" s="3" t="s">
        <v>29</v>
      </c>
      <c r="C218" s="3" t="s">
        <v>643</v>
      </c>
      <c r="D218" s="10">
        <f t="shared" ca="1" si="0"/>
        <v>0</v>
      </c>
      <c r="E218" s="5">
        <f ca="1">VLOOKUP($B218&amp;$C218,data!$A:$U,20,FALSE)</f>
        <v>44305.577141203699</v>
      </c>
      <c r="F218" s="3" t="str">
        <f ca="1">VLOOKUP($B218&amp;$C218,data!$A:$U,21,FALSE)</f>
        <v>.</v>
      </c>
      <c r="G218" s="3">
        <f ca="1">VLOOKUP($B218&amp;$C218,data!$A:$U,17,FALSE)</f>
        <v>1</v>
      </c>
      <c r="H218" s="3">
        <f ca="1">VLOOKUP($B218&amp;$C218,data!$A:$U,18,FALSE)</f>
        <v>0</v>
      </c>
      <c r="I218" s="3">
        <f ca="1">VLOOKUP($B218&amp;$C218,data!$A:$U,19,FALSE)</f>
        <v>1</v>
      </c>
      <c r="J218" s="3">
        <f ca="1">VLOOKUP($B218&amp;$C218,data!$A:$U,14,FALSE)</f>
        <v>3</v>
      </c>
      <c r="K218" s="3">
        <f ca="1">VLOOKUP($B218&amp;$C218,data!$A:$U,15,FALSE)</f>
        <v>3</v>
      </c>
      <c r="L218" s="3">
        <f ca="1">VLOOKUP($B218&amp;$C218,data!$A:$U,16,FALSE)</f>
        <v>0</v>
      </c>
      <c r="M218" s="3">
        <f ca="1">VLOOKUP($B218&amp;$C218,data!$A:$U,8,FALSE)</f>
        <v>14</v>
      </c>
      <c r="N218" s="3">
        <f ca="1">VLOOKUP($B218&amp;$C218,data!$A:$U,9,FALSE)</f>
        <v>14</v>
      </c>
      <c r="O218" s="3">
        <f ca="1">VLOOKUP($B218&amp;$C218,data!$A:$U,10,FALSE)</f>
        <v>0</v>
      </c>
      <c r="P218" s="3">
        <f ca="1">VLOOKUP($B218&amp;$C218,data!$A:$U,11,FALSE)</f>
        <v>4</v>
      </c>
      <c r="Q218" s="3">
        <f ca="1">VLOOKUP($B218&amp;$C218,data!$A:$U,12,FALSE)</f>
        <v>4</v>
      </c>
      <c r="R218" s="3">
        <f ca="1">VLOOKUP($B218&amp;$C218,data!$A:$U,13,FALSE)</f>
        <v>0</v>
      </c>
      <c r="S218" s="3">
        <f ca="1">VLOOKUP($B218&amp;$C218,data!$A:$U,5,FALSE)</f>
        <v>21</v>
      </c>
      <c r="T218" s="3">
        <f ca="1">VLOOKUP($B218&amp;$C218,data!$A:$U,6,FALSE)</f>
        <v>21</v>
      </c>
      <c r="U218" s="3">
        <f ca="1">VLOOKUP($B218&amp;$C218,data!$A:$U,7,FALSE)</f>
        <v>0</v>
      </c>
      <c r="V218" s="18" t="s">
        <v>644</v>
      </c>
      <c r="W218" s="17" t="s">
        <v>645</v>
      </c>
      <c r="X218" s="17" t="s">
        <v>646</v>
      </c>
      <c r="Y218" s="4" t="s">
        <v>647</v>
      </c>
      <c r="Z218" s="13">
        <f t="shared" ca="1" si="1"/>
        <v>0.50976724537758855</v>
      </c>
    </row>
    <row r="219" spans="1:26" ht="13" x14ac:dyDescent="0.15">
      <c r="A219" s="3">
        <v>218</v>
      </c>
      <c r="B219" s="3" t="s">
        <v>34</v>
      </c>
      <c r="C219" s="3" t="s">
        <v>648</v>
      </c>
      <c r="D219" s="10">
        <f t="shared" ca="1" si="0"/>
        <v>0</v>
      </c>
      <c r="E219" s="5">
        <f ca="1">VLOOKUP($B219&amp;$C219,data!$A:$U,20,FALSE)</f>
        <v>44305.502175925903</v>
      </c>
      <c r="F219" s="3">
        <f ca="1">VLOOKUP($B219&amp;$C219,data!$A:$U,21,FALSE)</f>
        <v>0</v>
      </c>
      <c r="G219" s="3">
        <f ca="1">VLOOKUP($B219&amp;$C219,data!$A:$U,17,FALSE)</f>
        <v>0</v>
      </c>
      <c r="H219" s="3">
        <f ca="1">VLOOKUP($B219&amp;$C219,data!$A:$U,18,FALSE)</f>
        <v>0</v>
      </c>
      <c r="I219" s="3">
        <f ca="1">VLOOKUP($B219&amp;$C219,data!$A:$U,19,FALSE)</f>
        <v>0</v>
      </c>
      <c r="J219" s="3">
        <f ca="1">VLOOKUP($B219&amp;$C219,data!$A:$U,14,FALSE)</f>
        <v>0</v>
      </c>
      <c r="K219" s="3">
        <f ca="1">VLOOKUP($B219&amp;$C219,data!$A:$U,15,FALSE)</f>
        <v>0</v>
      </c>
      <c r="L219" s="3">
        <f ca="1">VLOOKUP($B219&amp;$C219,data!$A:$U,16,FALSE)</f>
        <v>0</v>
      </c>
      <c r="M219" s="3">
        <f ca="1">VLOOKUP($B219&amp;$C219,data!$A:$U,8,FALSE)</f>
        <v>10</v>
      </c>
      <c r="N219" s="3">
        <f ca="1">VLOOKUP($B219&amp;$C219,data!$A:$U,9,FALSE)</f>
        <v>10</v>
      </c>
      <c r="O219" s="3">
        <f ca="1">VLOOKUP($B219&amp;$C219,data!$A:$U,10,FALSE)</f>
        <v>0</v>
      </c>
      <c r="P219" s="3">
        <f ca="1">VLOOKUP($B219&amp;$C219,data!$A:$U,11,FALSE)</f>
        <v>8</v>
      </c>
      <c r="Q219" s="3">
        <f ca="1">VLOOKUP($B219&amp;$C219,data!$A:$U,12,FALSE)</f>
        <v>0</v>
      </c>
      <c r="R219" s="3">
        <f ca="1">VLOOKUP($B219&amp;$C219,data!$A:$U,13,FALSE)</f>
        <v>0</v>
      </c>
      <c r="S219" s="3">
        <f ca="1">VLOOKUP($B219&amp;$C219,data!$A:$U,5,FALSE)</f>
        <v>18</v>
      </c>
      <c r="T219" s="3">
        <f ca="1">VLOOKUP($B219&amp;$C219,data!$A:$U,6,FALSE)</f>
        <v>18</v>
      </c>
      <c r="U219" s="3">
        <f ca="1">VLOOKUP($B219&amp;$C219,data!$A:$U,7,FALSE)</f>
        <v>0</v>
      </c>
      <c r="V219" s="16"/>
      <c r="W219" s="9"/>
      <c r="X219" s="9"/>
      <c r="Y219" s="3"/>
      <c r="Z219" s="13">
        <f t="shared" ca="1" si="1"/>
        <v>0.58473240742750932</v>
      </c>
    </row>
    <row r="220" spans="1:26" ht="13" x14ac:dyDescent="0.15">
      <c r="A220" s="3">
        <v>219</v>
      </c>
      <c r="B220" s="3" t="s">
        <v>34</v>
      </c>
      <c r="C220" s="3" t="s">
        <v>649</v>
      </c>
      <c r="D220" s="10">
        <f t="shared" ca="1" si="0"/>
        <v>9.815950920245399E-2</v>
      </c>
      <c r="E220" s="5">
        <f ca="1">VLOOKUP($B220&amp;$C220,data!$A:$U,20,FALSE)</f>
        <v>44305.649293981398</v>
      </c>
      <c r="F220" s="3">
        <f ca="1">VLOOKUP($B220&amp;$C220,data!$A:$U,21,FALSE)</f>
        <v>0</v>
      </c>
      <c r="G220" s="3">
        <f ca="1">VLOOKUP($B220&amp;$C220,data!$A:$U,17,FALSE)</f>
        <v>12</v>
      </c>
      <c r="H220" s="3">
        <f ca="1">VLOOKUP($B220&amp;$C220,data!$A:$U,18,FALSE)</f>
        <v>12</v>
      </c>
      <c r="I220" s="3">
        <f ca="1">VLOOKUP($B220&amp;$C220,data!$A:$U,19,FALSE)</f>
        <v>0</v>
      </c>
      <c r="J220" s="3">
        <f ca="1">VLOOKUP($B220&amp;$C220,data!$A:$U,14,FALSE)</f>
        <v>20</v>
      </c>
      <c r="K220" s="3">
        <f ca="1">VLOOKUP($B220&amp;$C220,data!$A:$U,15,FALSE)</f>
        <v>20</v>
      </c>
      <c r="L220" s="3">
        <f ca="1">VLOOKUP($B220&amp;$C220,data!$A:$U,16,FALSE)</f>
        <v>0</v>
      </c>
      <c r="M220" s="3">
        <f ca="1">VLOOKUP($B220&amp;$C220,data!$A:$U,8,FALSE)</f>
        <v>217</v>
      </c>
      <c r="N220" s="3">
        <f ca="1">VLOOKUP($B220&amp;$C220,data!$A:$U,9,FALSE)</f>
        <v>54</v>
      </c>
      <c r="O220" s="3">
        <f ca="1">VLOOKUP($B220&amp;$C220,data!$A:$U,10,FALSE)</f>
        <v>43</v>
      </c>
      <c r="P220" s="3">
        <f ca="1">VLOOKUP($B220&amp;$C220,data!$A:$U,11,FALSE)</f>
        <v>0</v>
      </c>
      <c r="Q220" s="3">
        <f ca="1">VLOOKUP($B220&amp;$C220,data!$A:$U,12,FALSE)</f>
        <v>0</v>
      </c>
      <c r="R220" s="3">
        <f ca="1">VLOOKUP($B220&amp;$C220,data!$A:$U,13,FALSE)</f>
        <v>0</v>
      </c>
      <c r="S220" s="3">
        <f ca="1">VLOOKUP($B220&amp;$C220,data!$A:$U,5,FALSE)</f>
        <v>252</v>
      </c>
      <c r="T220" s="3">
        <f ca="1">VLOOKUP($B220&amp;$C220,data!$A:$U,6,FALSE)</f>
        <v>247</v>
      </c>
      <c r="U220" s="3">
        <f ca="1">VLOOKUP($B220&amp;$C220,data!$A:$U,7,FALSE)</f>
        <v>5</v>
      </c>
      <c r="V220" s="18" t="s">
        <v>650</v>
      </c>
      <c r="W220" s="17" t="s">
        <v>651</v>
      </c>
      <c r="X220" s="17" t="s">
        <v>652</v>
      </c>
      <c r="Y220" s="4" t="s">
        <v>653</v>
      </c>
      <c r="Z220" s="13">
        <f t="shared" ca="1" si="1"/>
        <v>0.43761446767894085</v>
      </c>
    </row>
    <row r="221" spans="1:26" ht="13" x14ac:dyDescent="0.15">
      <c r="A221" s="3">
        <v>220</v>
      </c>
      <c r="B221" s="3" t="s">
        <v>34</v>
      </c>
      <c r="C221" s="3" t="s">
        <v>654</v>
      </c>
      <c r="D221" s="10">
        <f t="shared" ca="1" si="0"/>
        <v>0.9107142857142857</v>
      </c>
      <c r="E221" s="5">
        <f ca="1">VLOOKUP($B221&amp;$C221,data!$A:$U,20,FALSE)</f>
        <v>44138.315949074</v>
      </c>
      <c r="F221" s="3">
        <f ca="1">VLOOKUP($B221&amp;$C221,data!$A:$U,21,FALSE)</f>
        <v>0</v>
      </c>
      <c r="G221" s="3">
        <f ca="1">VLOOKUP($B221&amp;$C221,data!$A:$U,17,FALSE)</f>
        <v>0</v>
      </c>
      <c r="H221" s="3">
        <f ca="1">VLOOKUP($B221&amp;$C221,data!$A:$U,18,FALSE)</f>
        <v>0</v>
      </c>
      <c r="I221" s="3">
        <f ca="1">VLOOKUP($B221&amp;$C221,data!$A:$U,19,FALSE)</f>
        <v>0</v>
      </c>
      <c r="J221" s="3">
        <f ca="1">VLOOKUP($B221&amp;$C221,data!$A:$U,14,FALSE)</f>
        <v>0</v>
      </c>
      <c r="K221" s="3">
        <f ca="1">VLOOKUP($B221&amp;$C221,data!$A:$U,15,FALSE)</f>
        <v>0</v>
      </c>
      <c r="L221" s="3">
        <f ca="1">VLOOKUP($B221&amp;$C221,data!$A:$U,16,FALSE)</f>
        <v>0</v>
      </c>
      <c r="M221" s="3">
        <f ca="1">VLOOKUP($B221&amp;$C221,data!$A:$U,8,FALSE)</f>
        <v>56</v>
      </c>
      <c r="N221" s="3">
        <f ca="1">VLOOKUP($B221&amp;$C221,data!$A:$U,9,FALSE)</f>
        <v>5</v>
      </c>
      <c r="O221" s="3">
        <f ca="1">VLOOKUP($B221&amp;$C221,data!$A:$U,10,FALSE)</f>
        <v>51</v>
      </c>
      <c r="P221" s="3">
        <f ca="1">VLOOKUP($B221&amp;$C221,data!$A:$U,11,FALSE)</f>
        <v>0</v>
      </c>
      <c r="Q221" s="3">
        <f ca="1">VLOOKUP($B221&amp;$C221,data!$A:$U,12,FALSE)</f>
        <v>0</v>
      </c>
      <c r="R221" s="3">
        <f ca="1">VLOOKUP($B221&amp;$C221,data!$A:$U,13,FALSE)</f>
        <v>0</v>
      </c>
      <c r="S221" s="3">
        <f ca="1">VLOOKUP($B221&amp;$C221,data!$A:$U,5,FALSE)</f>
        <v>56</v>
      </c>
      <c r="T221" s="3">
        <f ca="1">VLOOKUP($B221&amp;$C221,data!$A:$U,6,FALSE)</f>
        <v>5</v>
      </c>
      <c r="U221" s="3">
        <f ca="1">VLOOKUP($B221&amp;$C221,data!$A:$U,7,FALSE)</f>
        <v>51</v>
      </c>
      <c r="V221" s="16"/>
      <c r="W221" s="9"/>
      <c r="X221" s="9"/>
      <c r="Y221" s="3"/>
      <c r="Z221" s="13">
        <f t="shared" ca="1" si="1"/>
        <v>167.77095937507693</v>
      </c>
    </row>
    <row r="222" spans="1:26" ht="13" x14ac:dyDescent="0.15">
      <c r="A222" s="3">
        <v>221</v>
      </c>
      <c r="B222" s="3" t="s">
        <v>34</v>
      </c>
      <c r="C222" s="3" t="s">
        <v>655</v>
      </c>
      <c r="D222" s="10">
        <f t="shared" ca="1" si="0"/>
        <v>7.874015748031496E-3</v>
      </c>
      <c r="E222" s="5">
        <f ca="1">VLOOKUP($B222&amp;$C222,data!$A:$U,20,FALSE)</f>
        <v>44305.4031944444</v>
      </c>
      <c r="F222" s="3" t="str">
        <f ca="1">VLOOKUP($B222&amp;$C222,data!$A:$U,21,FALSE)</f>
        <v>Report date 19.04.2021</v>
      </c>
      <c r="G222" s="3">
        <f ca="1">VLOOKUP($B222&amp;$C222,data!$A:$U,17,FALSE)</f>
        <v>24</v>
      </c>
      <c r="H222" s="3">
        <f ca="1">VLOOKUP($B222&amp;$C222,data!$A:$U,18,FALSE)</f>
        <v>0</v>
      </c>
      <c r="I222" s="3">
        <f ca="1">VLOOKUP($B222&amp;$C222,data!$A:$U,19,FALSE)</f>
        <v>24</v>
      </c>
      <c r="J222" s="3">
        <f ca="1">VLOOKUP($B222&amp;$C222,data!$A:$U,14,FALSE)</f>
        <v>1</v>
      </c>
      <c r="K222" s="3">
        <f ca="1">VLOOKUP($B222&amp;$C222,data!$A:$U,15,FALSE)</f>
        <v>0</v>
      </c>
      <c r="L222" s="3">
        <f ca="1">VLOOKUP($B222&amp;$C222,data!$A:$U,16,FALSE)</f>
        <v>1</v>
      </c>
      <c r="M222" s="3">
        <f ca="1">VLOOKUP($B222&amp;$C222,data!$A:$U,8,FALSE)</f>
        <v>63</v>
      </c>
      <c r="N222" s="3">
        <f ca="1">VLOOKUP($B222&amp;$C222,data!$A:$U,9,FALSE)</f>
        <v>63</v>
      </c>
      <c r="O222" s="3">
        <f ca="1">VLOOKUP($B222&amp;$C222,data!$A:$U,10,FALSE)</f>
        <v>0</v>
      </c>
      <c r="P222" s="3">
        <f ca="1">VLOOKUP($B222&amp;$C222,data!$A:$U,11,FALSE)</f>
        <v>0</v>
      </c>
      <c r="Q222" s="3">
        <f ca="1">VLOOKUP($B222&amp;$C222,data!$A:$U,12,FALSE)</f>
        <v>0</v>
      </c>
      <c r="R222" s="3">
        <f ca="1">VLOOKUP($B222&amp;$C222,data!$A:$U,13,FALSE)</f>
        <v>0</v>
      </c>
      <c r="S222" s="3">
        <f ca="1">VLOOKUP($B222&amp;$C222,data!$A:$U,5,FALSE)</f>
        <v>63</v>
      </c>
      <c r="T222" s="3">
        <f ca="1">VLOOKUP($B222&amp;$C222,data!$A:$U,6,FALSE)</f>
        <v>63</v>
      </c>
      <c r="U222" s="3">
        <f ca="1">VLOOKUP($B222&amp;$C222,data!$A:$U,7,FALSE)</f>
        <v>0</v>
      </c>
      <c r="V222" s="18" t="s">
        <v>656</v>
      </c>
      <c r="W222" s="17" t="s">
        <v>657</v>
      </c>
      <c r="X222" s="12" t="s">
        <v>658</v>
      </c>
      <c r="Y222" s="4" t="s">
        <v>659</v>
      </c>
      <c r="Z222" s="13">
        <f t="shared" ca="1" si="1"/>
        <v>0.68371388893137919</v>
      </c>
    </row>
    <row r="223" spans="1:26" ht="13" x14ac:dyDescent="0.15">
      <c r="A223" s="3">
        <v>222</v>
      </c>
      <c r="B223" s="3" t="s">
        <v>35</v>
      </c>
      <c r="C223" s="3" t="s">
        <v>660</v>
      </c>
      <c r="D223" s="10">
        <f t="shared" ca="1" si="0"/>
        <v>0.75</v>
      </c>
      <c r="E223" s="5">
        <f ca="1">VLOOKUP($B223&amp;$C223,data!$A:$U,20,FALSE)</f>
        <v>44305.332060185101</v>
      </c>
      <c r="F223" s="3" t="str">
        <f ca="1">VLOOKUP($B223&amp;$C223,data!$A:$U,21,FALSE)</f>
        <v>5- patient Admitted only</v>
      </c>
      <c r="G223" s="3">
        <f ca="1">VLOOKUP($B223&amp;$C223,data!$A:$U,17,FALSE)</f>
        <v>2</v>
      </c>
      <c r="H223" s="3">
        <f ca="1">VLOOKUP($B223&amp;$C223,data!$A:$U,18,FALSE)</f>
        <v>0</v>
      </c>
      <c r="I223" s="3">
        <f ca="1">VLOOKUP($B223&amp;$C223,data!$A:$U,19,FALSE)</f>
        <v>2</v>
      </c>
      <c r="J223" s="3">
        <f ca="1">VLOOKUP($B223&amp;$C223,data!$A:$U,14,FALSE)</f>
        <v>5</v>
      </c>
      <c r="K223" s="3">
        <f ca="1">VLOOKUP($B223&amp;$C223,data!$A:$U,15,FALSE)</f>
        <v>2</v>
      </c>
      <c r="L223" s="3">
        <f ca="1">VLOOKUP($B223&amp;$C223,data!$A:$U,16,FALSE)</f>
        <v>3</v>
      </c>
      <c r="M223" s="3">
        <f ca="1">VLOOKUP($B223&amp;$C223,data!$A:$U,8,FALSE)</f>
        <v>10</v>
      </c>
      <c r="N223" s="3">
        <f ca="1">VLOOKUP($B223&amp;$C223,data!$A:$U,9,FALSE)</f>
        <v>3</v>
      </c>
      <c r="O223" s="3">
        <f ca="1">VLOOKUP($B223&amp;$C223,data!$A:$U,10,FALSE)</f>
        <v>7</v>
      </c>
      <c r="P223" s="3">
        <f ca="1">VLOOKUP($B223&amp;$C223,data!$A:$U,11,FALSE)</f>
        <v>5</v>
      </c>
      <c r="Q223" s="3">
        <f ca="1">VLOOKUP($B223&amp;$C223,data!$A:$U,12,FALSE)</f>
        <v>0</v>
      </c>
      <c r="R223" s="3">
        <f ca="1">VLOOKUP($B223&amp;$C223,data!$A:$U,13,FALSE)</f>
        <v>5</v>
      </c>
      <c r="S223" s="3">
        <f ca="1">VLOOKUP($B223&amp;$C223,data!$A:$U,5,FALSE)</f>
        <v>20</v>
      </c>
      <c r="T223" s="3">
        <f ca="1">VLOOKUP($B223&amp;$C223,data!$A:$U,6,FALSE)</f>
        <v>5</v>
      </c>
      <c r="U223" s="3">
        <f ca="1">VLOOKUP($B223&amp;$C223,data!$A:$U,7,FALSE)</f>
        <v>15</v>
      </c>
      <c r="V223" s="23" t="s">
        <v>661</v>
      </c>
      <c r="W223" s="17" t="s">
        <v>662</v>
      </c>
      <c r="X223" s="9"/>
      <c r="Y223" s="4" t="s">
        <v>663</v>
      </c>
      <c r="Z223" s="13">
        <f t="shared" ca="1" si="1"/>
        <v>0.75484826397587312</v>
      </c>
    </row>
    <row r="224" spans="1:26" ht="13" x14ac:dyDescent="0.15">
      <c r="A224" s="3">
        <v>223</v>
      </c>
      <c r="B224" s="3" t="s">
        <v>35</v>
      </c>
      <c r="C224" s="3" t="s">
        <v>664</v>
      </c>
      <c r="D224" s="10">
        <f t="shared" ca="1" si="0"/>
        <v>0.80952380952380953</v>
      </c>
      <c r="E224" s="5">
        <f ca="1">VLOOKUP($B224&amp;$C224,data!$A:$U,20,FALSE)</f>
        <v>44305.300833333298</v>
      </c>
      <c r="F224" s="3" t="str">
        <f ca="1">VLOOKUP($B224&amp;$C224,data!$A:$U,21,FALSE)</f>
        <v>Nil</v>
      </c>
      <c r="G224" s="3">
        <f ca="1">VLOOKUP($B224&amp;$C224,data!$A:$U,17,FALSE)</f>
        <v>2</v>
      </c>
      <c r="H224" s="3">
        <f ca="1">VLOOKUP($B224&amp;$C224,data!$A:$U,18,FALSE)</f>
        <v>0</v>
      </c>
      <c r="I224" s="3">
        <f ca="1">VLOOKUP($B224&amp;$C224,data!$A:$U,19,FALSE)</f>
        <v>2</v>
      </c>
      <c r="J224" s="3">
        <f ca="1">VLOOKUP($B224&amp;$C224,data!$A:$U,14,FALSE)</f>
        <v>2</v>
      </c>
      <c r="K224" s="3">
        <f ca="1">VLOOKUP($B224&amp;$C224,data!$A:$U,15,FALSE)</f>
        <v>0</v>
      </c>
      <c r="L224" s="3">
        <f ca="1">VLOOKUP($B224&amp;$C224,data!$A:$U,16,FALSE)</f>
        <v>2</v>
      </c>
      <c r="M224" s="3">
        <f ca="1">VLOOKUP($B224&amp;$C224,data!$A:$U,8,FALSE)</f>
        <v>20</v>
      </c>
      <c r="N224" s="3">
        <f ca="1">VLOOKUP($B224&amp;$C224,data!$A:$U,9,FALSE)</f>
        <v>4</v>
      </c>
      <c r="O224" s="3">
        <f ca="1">VLOOKUP($B224&amp;$C224,data!$A:$U,10,FALSE)</f>
        <v>16</v>
      </c>
      <c r="P224" s="3">
        <f ca="1">VLOOKUP($B224&amp;$C224,data!$A:$U,11,FALSE)</f>
        <v>0</v>
      </c>
      <c r="Q224" s="3">
        <f ca="1">VLOOKUP($B224&amp;$C224,data!$A:$U,12,FALSE)</f>
        <v>0</v>
      </c>
      <c r="R224" s="3">
        <f ca="1">VLOOKUP($B224&amp;$C224,data!$A:$U,13,FALSE)</f>
        <v>0</v>
      </c>
      <c r="S224" s="3">
        <f ca="1">VLOOKUP($B224&amp;$C224,data!$A:$U,5,FALSE)</f>
        <v>20</v>
      </c>
      <c r="T224" s="3">
        <f ca="1">VLOOKUP($B224&amp;$C224,data!$A:$U,6,FALSE)</f>
        <v>4</v>
      </c>
      <c r="U224" s="3">
        <f ca="1">VLOOKUP($B224&amp;$C224,data!$A:$U,7,FALSE)</f>
        <v>16</v>
      </c>
      <c r="V224" s="18" t="s">
        <v>665</v>
      </c>
      <c r="W224" s="17" t="s">
        <v>666</v>
      </c>
      <c r="X224" s="17" t="s">
        <v>667</v>
      </c>
      <c r="Y224" s="4" t="s">
        <v>668</v>
      </c>
      <c r="Z224" s="13">
        <f t="shared" ca="1" si="1"/>
        <v>0.78607500003272435</v>
      </c>
    </row>
    <row r="225" spans="1:26" ht="13" x14ac:dyDescent="0.15">
      <c r="A225" s="3">
        <v>224</v>
      </c>
      <c r="B225" s="3" t="s">
        <v>2</v>
      </c>
      <c r="C225" s="3" t="s">
        <v>669</v>
      </c>
      <c r="D225" s="10">
        <f t="shared" ca="1" si="0"/>
        <v>1</v>
      </c>
      <c r="E225" s="5">
        <f ca="1">VLOOKUP($B225&amp;$C225,data!$A:$U,20,FALSE)</f>
        <v>44305.304212962903</v>
      </c>
      <c r="F225" s="3" t="str">
        <f ca="1">VLOOKUP($B225&amp;$C225,data!$A:$U,21,FALSE)</f>
        <v>19.04.2021</v>
      </c>
      <c r="G225" s="3">
        <f ca="1">VLOOKUP($B225&amp;$C225,data!$A:$U,17,FALSE)</f>
        <v>1</v>
      </c>
      <c r="H225" s="3">
        <f ca="1">VLOOKUP($B225&amp;$C225,data!$A:$U,18,FALSE)</f>
        <v>0</v>
      </c>
      <c r="I225" s="3">
        <f ca="1">VLOOKUP($B225&amp;$C225,data!$A:$U,19,FALSE)</f>
        <v>1</v>
      </c>
      <c r="J225" s="3">
        <f ca="1">VLOOKUP($B225&amp;$C225,data!$A:$U,14,FALSE)</f>
        <v>1</v>
      </c>
      <c r="K225" s="3">
        <f ca="1">VLOOKUP($B225&amp;$C225,data!$A:$U,15,FALSE)</f>
        <v>0</v>
      </c>
      <c r="L225" s="3">
        <f ca="1">VLOOKUP($B225&amp;$C225,data!$A:$U,16,FALSE)</f>
        <v>1</v>
      </c>
      <c r="M225" s="3">
        <f ca="1">VLOOKUP($B225&amp;$C225,data!$A:$U,8,FALSE)</f>
        <v>4</v>
      </c>
      <c r="N225" s="3">
        <f ca="1">VLOOKUP($B225&amp;$C225,data!$A:$U,9,FALSE)</f>
        <v>0</v>
      </c>
      <c r="O225" s="3">
        <f ca="1">VLOOKUP($B225&amp;$C225,data!$A:$U,10,FALSE)</f>
        <v>4</v>
      </c>
      <c r="P225" s="3">
        <f ca="1">VLOOKUP($B225&amp;$C225,data!$A:$U,11,FALSE)</f>
        <v>3</v>
      </c>
      <c r="Q225" s="3">
        <f ca="1">VLOOKUP($B225&amp;$C225,data!$A:$U,12,FALSE)</f>
        <v>0</v>
      </c>
      <c r="R225" s="3">
        <f ca="1">VLOOKUP($B225&amp;$C225,data!$A:$U,13,FALSE)</f>
        <v>3</v>
      </c>
      <c r="S225" s="3">
        <f ca="1">VLOOKUP($B225&amp;$C225,data!$A:$U,5,FALSE)</f>
        <v>8</v>
      </c>
      <c r="T225" s="3">
        <f ca="1">VLOOKUP($B225&amp;$C225,data!$A:$U,6,FALSE)</f>
        <v>0</v>
      </c>
      <c r="U225" s="3">
        <f ca="1">VLOOKUP($B225&amp;$C225,data!$A:$U,7,FALSE)</f>
        <v>8</v>
      </c>
      <c r="V225" s="18" t="s">
        <v>670</v>
      </c>
      <c r="W225" s="17" t="s">
        <v>671</v>
      </c>
      <c r="X225" s="17" t="s">
        <v>672</v>
      </c>
      <c r="Y225" s="4" t="s">
        <v>673</v>
      </c>
      <c r="Z225" s="13">
        <f t="shared" ca="1" si="1"/>
        <v>0.78269548617390683</v>
      </c>
    </row>
    <row r="226" spans="1:26" ht="14" x14ac:dyDescent="0.15">
      <c r="A226" s="3">
        <v>225</v>
      </c>
      <c r="B226" s="3" t="s">
        <v>7</v>
      </c>
      <c r="C226" s="3" t="s">
        <v>674</v>
      </c>
      <c r="D226" s="10">
        <f t="shared" ca="1" si="0"/>
        <v>0.8571428571428571</v>
      </c>
      <c r="E226" s="5">
        <f ca="1">VLOOKUP($B226&amp;$C226,data!$A:$U,20,FALSE)</f>
        <v>44305.304560185097</v>
      </c>
      <c r="F226" s="3" t="str">
        <f ca="1">VLOOKUP($B226&amp;$C226,data!$A:$U,21,FALSE)</f>
        <v>19/04/2021.</v>
      </c>
      <c r="G226" s="3">
        <f ca="1">VLOOKUP($B226&amp;$C226,data!$A:$U,17,FALSE)</f>
        <v>1</v>
      </c>
      <c r="H226" s="3">
        <f ca="1">VLOOKUP($B226&amp;$C226,data!$A:$U,18,FALSE)</f>
        <v>0</v>
      </c>
      <c r="I226" s="3">
        <f ca="1">VLOOKUP($B226&amp;$C226,data!$A:$U,19,FALSE)</f>
        <v>1</v>
      </c>
      <c r="J226" s="3">
        <f ca="1">VLOOKUP($B226&amp;$C226,data!$A:$U,14,FALSE)</f>
        <v>2</v>
      </c>
      <c r="K226" s="3">
        <f ca="1">VLOOKUP($B226&amp;$C226,data!$A:$U,15,FALSE)</f>
        <v>0</v>
      </c>
      <c r="L226" s="3">
        <f ca="1">VLOOKUP($B226&amp;$C226,data!$A:$U,16,FALSE)</f>
        <v>1</v>
      </c>
      <c r="M226" s="3">
        <f ca="1">VLOOKUP($B226&amp;$C226,data!$A:$U,8,FALSE)</f>
        <v>20</v>
      </c>
      <c r="N226" s="3">
        <f ca="1">VLOOKUP($B226&amp;$C226,data!$A:$U,9,FALSE)</f>
        <v>0</v>
      </c>
      <c r="O226" s="3">
        <f ca="1">VLOOKUP($B226&amp;$C226,data!$A:$U,10,FALSE)</f>
        <v>15</v>
      </c>
      <c r="P226" s="3">
        <f ca="1">VLOOKUP($B226&amp;$C226,data!$A:$U,11,FALSE)</f>
        <v>0</v>
      </c>
      <c r="Q226" s="3">
        <f ca="1">VLOOKUP($B226&amp;$C226,data!$A:$U,12,FALSE)</f>
        <v>0</v>
      </c>
      <c r="R226" s="3">
        <f ca="1">VLOOKUP($B226&amp;$C226,data!$A:$U,13,FALSE)</f>
        <v>0</v>
      </c>
      <c r="S226" s="3">
        <f ca="1">VLOOKUP($B226&amp;$C226,data!$A:$U,5,FALSE)</f>
        <v>20</v>
      </c>
      <c r="T226" s="3">
        <f ca="1">VLOOKUP($B226&amp;$C226,data!$A:$U,6,FALSE)</f>
        <v>0</v>
      </c>
      <c r="U226" s="3">
        <f ca="1">VLOOKUP($B226&amp;$C226,data!$A:$U,7,FALSE)</f>
        <v>20</v>
      </c>
      <c r="V226" s="18" t="s">
        <v>675</v>
      </c>
      <c r="W226" s="17" t="s">
        <v>676</v>
      </c>
      <c r="X226" s="9"/>
      <c r="Y226" s="26" t="s">
        <v>677</v>
      </c>
      <c r="Z226" s="13">
        <f t="shared" ca="1" si="1"/>
        <v>0.78234826397965662</v>
      </c>
    </row>
    <row r="227" spans="1:26" ht="13" x14ac:dyDescent="0.15">
      <c r="A227" s="3">
        <v>226</v>
      </c>
      <c r="B227" s="3" t="s">
        <v>7</v>
      </c>
      <c r="C227" s="3" t="s">
        <v>678</v>
      </c>
      <c r="D227" s="10">
        <f t="shared" ca="1" si="0"/>
        <v>0.22857142857142856</v>
      </c>
      <c r="E227" s="5">
        <f ca="1">VLOOKUP($B227&amp;$C227,data!$A:$U,20,FALSE)</f>
        <v>44305.245393518497</v>
      </c>
      <c r="F227" s="3" t="str">
        <f ca="1">VLOOKUP($B227&amp;$C227,data!$A:$U,21,FALSE)</f>
        <v>19/04/2021</v>
      </c>
      <c r="G227" s="3">
        <f ca="1">VLOOKUP($B227&amp;$C227,data!$A:$U,17,FALSE)</f>
        <v>1</v>
      </c>
      <c r="H227" s="3">
        <f ca="1">VLOOKUP($B227&amp;$C227,data!$A:$U,18,FALSE)</f>
        <v>0</v>
      </c>
      <c r="I227" s="3">
        <f ca="1">VLOOKUP($B227&amp;$C227,data!$A:$U,19,FALSE)</f>
        <v>1</v>
      </c>
      <c r="J227" s="3">
        <f ca="1">VLOOKUP($B227&amp;$C227,data!$A:$U,14,FALSE)</f>
        <v>0</v>
      </c>
      <c r="K227" s="3">
        <f ca="1">VLOOKUP($B227&amp;$C227,data!$A:$U,15,FALSE)</f>
        <v>0</v>
      </c>
      <c r="L227" s="3">
        <f ca="1">VLOOKUP($B227&amp;$C227,data!$A:$U,16,FALSE)</f>
        <v>0</v>
      </c>
      <c r="M227" s="3">
        <f ca="1">VLOOKUP($B227&amp;$C227,data!$A:$U,8,FALSE)</f>
        <v>16</v>
      </c>
      <c r="N227" s="3">
        <f ca="1">VLOOKUP($B227&amp;$C227,data!$A:$U,9,FALSE)</f>
        <v>12</v>
      </c>
      <c r="O227" s="3">
        <f ca="1">VLOOKUP($B227&amp;$C227,data!$A:$U,10,FALSE)</f>
        <v>4</v>
      </c>
      <c r="P227" s="3">
        <f ca="1">VLOOKUP($B227&amp;$C227,data!$A:$U,11,FALSE)</f>
        <v>3</v>
      </c>
      <c r="Q227" s="3">
        <f ca="1">VLOOKUP($B227&amp;$C227,data!$A:$U,12,FALSE)</f>
        <v>0</v>
      </c>
      <c r="R227" s="3">
        <f ca="1">VLOOKUP($B227&amp;$C227,data!$A:$U,13,FALSE)</f>
        <v>0</v>
      </c>
      <c r="S227" s="3">
        <f ca="1">VLOOKUP($B227&amp;$C227,data!$A:$U,5,FALSE)</f>
        <v>16</v>
      </c>
      <c r="T227" s="3">
        <f ca="1">VLOOKUP($B227&amp;$C227,data!$A:$U,6,FALSE)</f>
        <v>12</v>
      </c>
      <c r="U227" s="3">
        <f ca="1">VLOOKUP($B227&amp;$C227,data!$A:$U,7,FALSE)</f>
        <v>4</v>
      </c>
      <c r="V227" s="18" t="s">
        <v>679</v>
      </c>
      <c r="W227" s="17" t="s">
        <v>680</v>
      </c>
      <c r="X227" s="9"/>
      <c r="Y227" s="4" t="s">
        <v>681</v>
      </c>
      <c r="Z227" s="13">
        <f t="shared" ca="1" si="1"/>
        <v>0.84151481483422685</v>
      </c>
    </row>
    <row r="228" spans="1:26" ht="13" x14ac:dyDescent="0.15">
      <c r="A228" s="3">
        <v>227</v>
      </c>
      <c r="B228" s="3" t="s">
        <v>14</v>
      </c>
      <c r="C228" s="3" t="s">
        <v>682</v>
      </c>
      <c r="D228" s="10">
        <f t="shared" ca="1" si="0"/>
        <v>0.88</v>
      </c>
      <c r="E228" s="5">
        <f ca="1">VLOOKUP($B228&amp;$C228,data!$A:$U,20,FALSE)</f>
        <v>44305.406655092498</v>
      </c>
      <c r="F228" s="3" t="str">
        <f ca="1">VLOOKUP($B228&amp;$C228,data!$A:$U,21,FALSE)</f>
        <v>Updated 19-04-2021</v>
      </c>
      <c r="G228" s="3">
        <f ca="1">VLOOKUP($B228&amp;$C228,data!$A:$U,17,FALSE)</f>
        <v>2</v>
      </c>
      <c r="H228" s="3">
        <f ca="1">VLOOKUP($B228&amp;$C228,data!$A:$U,18,FALSE)</f>
        <v>0</v>
      </c>
      <c r="I228" s="3">
        <f ca="1">VLOOKUP($B228&amp;$C228,data!$A:$U,19,FALSE)</f>
        <v>2</v>
      </c>
      <c r="J228" s="3">
        <f ca="1">VLOOKUP($B228&amp;$C228,data!$A:$U,14,FALSE)</f>
        <v>6</v>
      </c>
      <c r="K228" s="3">
        <f ca="1">VLOOKUP($B228&amp;$C228,data!$A:$U,15,FALSE)</f>
        <v>0</v>
      </c>
      <c r="L228" s="3">
        <f ca="1">VLOOKUP($B228&amp;$C228,data!$A:$U,16,FALSE)</f>
        <v>6</v>
      </c>
      <c r="M228" s="3">
        <f ca="1">VLOOKUP($B228&amp;$C228,data!$A:$U,8,FALSE)</f>
        <v>14</v>
      </c>
      <c r="N228" s="3">
        <f ca="1">VLOOKUP($B228&amp;$C228,data!$A:$U,9,FALSE)</f>
        <v>4</v>
      </c>
      <c r="O228" s="3">
        <f ca="1">VLOOKUP($B228&amp;$C228,data!$A:$U,10,FALSE)</f>
        <v>11</v>
      </c>
      <c r="P228" s="3">
        <f ca="1">VLOOKUP($B228&amp;$C228,data!$A:$U,11,FALSE)</f>
        <v>5</v>
      </c>
      <c r="Q228" s="3">
        <f ca="1">VLOOKUP($B228&amp;$C228,data!$A:$U,12,FALSE)</f>
        <v>0</v>
      </c>
      <c r="R228" s="3">
        <f ca="1">VLOOKUP($B228&amp;$C228,data!$A:$U,13,FALSE)</f>
        <v>5</v>
      </c>
      <c r="S228" s="3">
        <f ca="1">VLOOKUP($B228&amp;$C228,data!$A:$U,5,FALSE)</f>
        <v>25</v>
      </c>
      <c r="T228" s="3">
        <f ca="1">VLOOKUP($B228&amp;$C228,data!$A:$U,6,FALSE)</f>
        <v>4</v>
      </c>
      <c r="U228" s="3">
        <f ca="1">VLOOKUP($B228&amp;$C228,data!$A:$U,7,FALSE)</f>
        <v>22</v>
      </c>
      <c r="V228" s="18" t="s">
        <v>683</v>
      </c>
      <c r="W228" s="17" t="s">
        <v>684</v>
      </c>
      <c r="X228" s="17" t="s">
        <v>685</v>
      </c>
      <c r="Y228" s="4" t="s">
        <v>686</v>
      </c>
      <c r="Z228" s="13">
        <f t="shared" ca="1" si="1"/>
        <v>0.68025335657875985</v>
      </c>
    </row>
    <row r="229" spans="1:26" ht="13" x14ac:dyDescent="0.15">
      <c r="A229" s="3">
        <v>228</v>
      </c>
      <c r="B229" s="3" t="s">
        <v>20</v>
      </c>
      <c r="C229" s="3" t="s">
        <v>687</v>
      </c>
      <c r="D229" s="10">
        <f t="shared" ca="1" si="0"/>
        <v>1</v>
      </c>
      <c r="E229" s="5">
        <f ca="1">VLOOKUP($B229&amp;$C229,data!$A:$U,20,FALSE)</f>
        <v>44305.379293981401</v>
      </c>
      <c r="F229" s="3">
        <f ca="1">VLOOKUP($B229&amp;$C229,data!$A:$U,21,FALSE)</f>
        <v>0</v>
      </c>
      <c r="G229" s="3">
        <f ca="1">VLOOKUP($B229&amp;$C229,data!$A:$U,17,FALSE)</f>
        <v>1</v>
      </c>
      <c r="H229" s="3">
        <f ca="1">VLOOKUP($B229&amp;$C229,data!$A:$U,18,FALSE)</f>
        <v>0</v>
      </c>
      <c r="I229" s="3">
        <f ca="1">VLOOKUP($B229&amp;$C229,data!$A:$U,19,FALSE)</f>
        <v>1</v>
      </c>
      <c r="J229" s="3">
        <f ca="1">VLOOKUP($B229&amp;$C229,data!$A:$U,14,FALSE)</f>
        <v>5</v>
      </c>
      <c r="K229" s="3">
        <f ca="1">VLOOKUP($B229&amp;$C229,data!$A:$U,15,FALSE)</f>
        <v>0</v>
      </c>
      <c r="L229" s="3">
        <f ca="1">VLOOKUP($B229&amp;$C229,data!$A:$U,16,FALSE)</f>
        <v>5</v>
      </c>
      <c r="M229" s="3">
        <f ca="1">VLOOKUP($B229&amp;$C229,data!$A:$U,8,FALSE)</f>
        <v>15</v>
      </c>
      <c r="N229" s="3">
        <f ca="1">VLOOKUP($B229&amp;$C229,data!$A:$U,9,FALSE)</f>
        <v>0</v>
      </c>
      <c r="O229" s="3">
        <f ca="1">VLOOKUP($B229&amp;$C229,data!$A:$U,10,FALSE)</f>
        <v>15</v>
      </c>
      <c r="P229" s="3">
        <f ca="1">VLOOKUP($B229&amp;$C229,data!$A:$U,11,FALSE)</f>
        <v>0</v>
      </c>
      <c r="Q229" s="3">
        <f ca="1">VLOOKUP($B229&amp;$C229,data!$A:$U,12,FALSE)</f>
        <v>0</v>
      </c>
      <c r="R229" s="3">
        <f ca="1">VLOOKUP($B229&amp;$C229,data!$A:$U,13,FALSE)</f>
        <v>0</v>
      </c>
      <c r="S229" s="3">
        <f ca="1">VLOOKUP($B229&amp;$C229,data!$A:$U,5,FALSE)</f>
        <v>20</v>
      </c>
      <c r="T229" s="3">
        <f ca="1">VLOOKUP($B229&amp;$C229,data!$A:$U,6,FALSE)</f>
        <v>0</v>
      </c>
      <c r="U229" s="3">
        <f ca="1">VLOOKUP($B229&amp;$C229,data!$A:$U,7,FALSE)</f>
        <v>20</v>
      </c>
      <c r="V229" s="18" t="s">
        <v>688</v>
      </c>
      <c r="W229" s="17" t="s">
        <v>689</v>
      </c>
      <c r="X229" s="17" t="s">
        <v>690</v>
      </c>
      <c r="Y229" s="4" t="s">
        <v>691</v>
      </c>
      <c r="Z229" s="13">
        <f t="shared" ca="1" si="1"/>
        <v>0.70761446767573943</v>
      </c>
    </row>
    <row r="230" spans="1:26" ht="13" x14ac:dyDescent="0.15">
      <c r="A230" s="3">
        <v>229</v>
      </c>
      <c r="B230" s="3" t="s">
        <v>21</v>
      </c>
      <c r="C230" s="3" t="s">
        <v>692</v>
      </c>
      <c r="D230" s="10">
        <f t="shared" ca="1" si="0"/>
        <v>0.25</v>
      </c>
      <c r="E230" s="5">
        <f ca="1">VLOOKUP($B230&amp;$C230,data!$A:$U,20,FALSE)</f>
        <v>44305.552662037</v>
      </c>
      <c r="F230" s="3" t="str">
        <f ca="1">VLOOKUP($B230&amp;$C230,data!$A:$U,21,FALSE)</f>
        <v>19.04.2021</v>
      </c>
      <c r="G230" s="3">
        <f ca="1">VLOOKUP($B230&amp;$C230,data!$A:$U,17,FALSE)</f>
        <v>3</v>
      </c>
      <c r="H230" s="3">
        <f ca="1">VLOOKUP($B230&amp;$C230,data!$A:$U,18,FALSE)</f>
        <v>0</v>
      </c>
      <c r="I230" s="3">
        <f ca="1">VLOOKUP($B230&amp;$C230,data!$A:$U,19,FALSE)</f>
        <v>3</v>
      </c>
      <c r="J230" s="3">
        <f ca="1">VLOOKUP($B230&amp;$C230,data!$A:$U,14,FALSE)</f>
        <v>6</v>
      </c>
      <c r="K230" s="3">
        <f ca="1">VLOOKUP($B230&amp;$C230,data!$A:$U,15,FALSE)</f>
        <v>0</v>
      </c>
      <c r="L230" s="3">
        <f ca="1">VLOOKUP($B230&amp;$C230,data!$A:$U,16,FALSE)</f>
        <v>6</v>
      </c>
      <c r="M230" s="3">
        <f ca="1">VLOOKUP($B230&amp;$C230,data!$A:$U,8,FALSE)</f>
        <v>34</v>
      </c>
      <c r="N230" s="3">
        <f ca="1">VLOOKUP($B230&amp;$C230,data!$A:$U,9,FALSE)</f>
        <v>30</v>
      </c>
      <c r="O230" s="3">
        <f ca="1">VLOOKUP($B230&amp;$C230,data!$A:$U,10,FALSE)</f>
        <v>4</v>
      </c>
      <c r="P230" s="3">
        <f ca="1">VLOOKUP($B230&amp;$C230,data!$A:$U,11,FALSE)</f>
        <v>0</v>
      </c>
      <c r="Q230" s="3">
        <f ca="1">VLOOKUP($B230&amp;$C230,data!$A:$U,12,FALSE)</f>
        <v>0</v>
      </c>
      <c r="R230" s="3">
        <f ca="1">VLOOKUP($B230&amp;$C230,data!$A:$U,13,FALSE)</f>
        <v>0</v>
      </c>
      <c r="S230" s="3">
        <f ca="1">VLOOKUP($B230&amp;$C230,data!$A:$U,5,FALSE)</f>
        <v>40</v>
      </c>
      <c r="T230" s="3">
        <f ca="1">VLOOKUP($B230&amp;$C230,data!$A:$U,6,FALSE)</f>
        <v>30</v>
      </c>
      <c r="U230" s="3">
        <f ca="1">VLOOKUP($B230&amp;$C230,data!$A:$U,7,FALSE)</f>
        <v>10</v>
      </c>
      <c r="V230" s="23" t="s">
        <v>693</v>
      </c>
      <c r="W230" s="17" t="s">
        <v>694</v>
      </c>
      <c r="X230" s="17" t="s">
        <v>695</v>
      </c>
      <c r="Y230" s="4" t="s">
        <v>696</v>
      </c>
      <c r="Z230" s="13">
        <f t="shared" ca="1" si="1"/>
        <v>0.53424629633082077</v>
      </c>
    </row>
    <row r="231" spans="1:26" ht="13" x14ac:dyDescent="0.15">
      <c r="A231" s="3">
        <v>230</v>
      </c>
      <c r="B231" s="3" t="s">
        <v>27</v>
      </c>
      <c r="C231" s="3" t="s">
        <v>697</v>
      </c>
      <c r="D231" s="10">
        <f t="shared" ca="1" si="0"/>
        <v>0.14285714285714285</v>
      </c>
      <c r="E231" s="5">
        <f ca="1">VLOOKUP($B231&amp;$C231,data!$A:$U,20,FALSE)</f>
        <v>44305.668287036999</v>
      </c>
      <c r="F231" s="3" t="str">
        <f ca="1">VLOOKUP($B231&amp;$C231,data!$A:$U,21,FALSE)</f>
        <v>Nil</v>
      </c>
      <c r="G231" s="3">
        <f ca="1">VLOOKUP($B231&amp;$C231,data!$A:$U,17,FALSE)</f>
        <v>0</v>
      </c>
      <c r="H231" s="3">
        <f ca="1">VLOOKUP($B231&amp;$C231,data!$A:$U,18,FALSE)</f>
        <v>0</v>
      </c>
      <c r="I231" s="3">
        <f ca="1">VLOOKUP($B231&amp;$C231,data!$A:$U,19,FALSE)</f>
        <v>0</v>
      </c>
      <c r="J231" s="3">
        <f ca="1">VLOOKUP($B231&amp;$C231,data!$A:$U,14,FALSE)</f>
        <v>0</v>
      </c>
      <c r="K231" s="3">
        <f ca="1">VLOOKUP($B231&amp;$C231,data!$A:$U,15,FALSE)</f>
        <v>0</v>
      </c>
      <c r="L231" s="3">
        <f ca="1">VLOOKUP($B231&amp;$C231,data!$A:$U,16,FALSE)</f>
        <v>0</v>
      </c>
      <c r="M231" s="3">
        <f ca="1">VLOOKUP($B231&amp;$C231,data!$A:$U,8,FALSE)</f>
        <v>14</v>
      </c>
      <c r="N231" s="3">
        <f ca="1">VLOOKUP($B231&amp;$C231,data!$A:$U,9,FALSE)</f>
        <v>11</v>
      </c>
      <c r="O231" s="3">
        <f ca="1">VLOOKUP($B231&amp;$C231,data!$A:$U,10,FALSE)</f>
        <v>3</v>
      </c>
      <c r="P231" s="3">
        <f ca="1">VLOOKUP($B231&amp;$C231,data!$A:$U,11,FALSE)</f>
        <v>14</v>
      </c>
      <c r="Q231" s="3">
        <f ca="1">VLOOKUP($B231&amp;$C231,data!$A:$U,12,FALSE)</f>
        <v>0</v>
      </c>
      <c r="R231" s="3">
        <f ca="1">VLOOKUP($B231&amp;$C231,data!$A:$U,13,FALSE)</f>
        <v>0</v>
      </c>
      <c r="S231" s="3">
        <f ca="1">VLOOKUP($B231&amp;$C231,data!$A:$U,5,FALSE)</f>
        <v>14</v>
      </c>
      <c r="T231" s="3">
        <f ca="1">VLOOKUP($B231&amp;$C231,data!$A:$U,6,FALSE)</f>
        <v>11</v>
      </c>
      <c r="U231" s="3">
        <f ca="1">VLOOKUP($B231&amp;$C231,data!$A:$U,7,FALSE)</f>
        <v>3</v>
      </c>
      <c r="V231" s="16"/>
      <c r="W231" s="9"/>
      <c r="X231" s="9"/>
      <c r="Y231" s="3"/>
      <c r="Z231" s="13">
        <f t="shared" ca="1" si="1"/>
        <v>0.41862141207820969</v>
      </c>
    </row>
    <row r="232" spans="1:26" ht="13" x14ac:dyDescent="0.15">
      <c r="A232" s="3">
        <v>231</v>
      </c>
      <c r="B232" s="3" t="s">
        <v>14</v>
      </c>
      <c r="C232" s="3" t="s">
        <v>698</v>
      </c>
      <c r="D232" s="10">
        <f t="shared" ca="1" si="0"/>
        <v>0</v>
      </c>
      <c r="E232" s="5">
        <f ca="1">VLOOKUP($B232&amp;$C232,data!$A:$U,20,FALSE)</f>
        <v>44305.432500000003</v>
      </c>
      <c r="F232" s="3" t="str">
        <f ca="1">VLOOKUP($B232&amp;$C232,data!$A:$U,21,FALSE)</f>
        <v>Updated......</v>
      </c>
      <c r="G232" s="3">
        <f ca="1">VLOOKUP($B232&amp;$C232,data!$A:$U,17,FALSE)</f>
        <v>0</v>
      </c>
      <c r="H232" s="3">
        <f ca="1">VLOOKUP($B232&amp;$C232,data!$A:$U,18,FALSE)</f>
        <v>0</v>
      </c>
      <c r="I232" s="3">
        <f ca="1">VLOOKUP($B232&amp;$C232,data!$A:$U,19,FALSE)</f>
        <v>0</v>
      </c>
      <c r="J232" s="3">
        <f ca="1">VLOOKUP($B232&amp;$C232,data!$A:$U,14,FALSE)</f>
        <v>0</v>
      </c>
      <c r="K232" s="3">
        <f ca="1">VLOOKUP($B232&amp;$C232,data!$A:$U,15,FALSE)</f>
        <v>0</v>
      </c>
      <c r="L232" s="3">
        <f ca="1">VLOOKUP($B232&amp;$C232,data!$A:$U,16,FALSE)</f>
        <v>0</v>
      </c>
      <c r="M232" s="3">
        <f ca="1">VLOOKUP($B232&amp;$C232,data!$A:$U,8,FALSE)</f>
        <v>8</v>
      </c>
      <c r="N232" s="3">
        <f ca="1">VLOOKUP($B232&amp;$C232,data!$A:$U,9,FALSE)</f>
        <v>8</v>
      </c>
      <c r="O232" s="3">
        <f ca="1">VLOOKUP($B232&amp;$C232,data!$A:$U,10,FALSE)</f>
        <v>0</v>
      </c>
      <c r="P232" s="3">
        <f ca="1">VLOOKUP($B232&amp;$C232,data!$A:$U,11,FALSE)</f>
        <v>4</v>
      </c>
      <c r="Q232" s="3">
        <f ca="1">VLOOKUP($B232&amp;$C232,data!$A:$U,12,FALSE)</f>
        <v>4</v>
      </c>
      <c r="R232" s="3">
        <f ca="1">VLOOKUP($B232&amp;$C232,data!$A:$U,13,FALSE)</f>
        <v>0</v>
      </c>
      <c r="S232" s="3">
        <f ca="1">VLOOKUP($B232&amp;$C232,data!$A:$U,5,FALSE)</f>
        <v>12</v>
      </c>
      <c r="T232" s="3">
        <f ca="1">VLOOKUP($B232&amp;$C232,data!$A:$U,6,FALSE)</f>
        <v>12</v>
      </c>
      <c r="U232" s="3">
        <f ca="1">VLOOKUP($B232&amp;$C232,data!$A:$U,7,FALSE)</f>
        <v>0</v>
      </c>
      <c r="V232" s="16"/>
      <c r="W232" s="9"/>
      <c r="X232" s="9"/>
      <c r="Y232" s="3"/>
      <c r="Z232" s="13">
        <f t="shared" ca="1" si="1"/>
        <v>0.65440844907425344</v>
      </c>
    </row>
    <row r="233" spans="1:26" ht="13" x14ac:dyDescent="0.15">
      <c r="A233" s="3">
        <v>232</v>
      </c>
      <c r="B233" s="3" t="s">
        <v>14</v>
      </c>
      <c r="C233" s="3" t="s">
        <v>699</v>
      </c>
      <c r="D233" s="10">
        <f t="shared" ca="1" si="0"/>
        <v>1</v>
      </c>
      <c r="E233" s="5">
        <f ca="1">VLOOKUP($B233&amp;$C233,data!$A:$U,20,FALSE)</f>
        <v>44305.3722569444</v>
      </c>
      <c r="F233" s="3" t="str">
        <f ca="1">VLOOKUP($B233&amp;$C233,data!$A:$U,21,FALSE)</f>
        <v>Nil - 19.04.2021.</v>
      </c>
      <c r="G233" s="3">
        <f ca="1">VLOOKUP($B233&amp;$C233,data!$A:$U,17,FALSE)</f>
        <v>2</v>
      </c>
      <c r="H233" s="3">
        <f ca="1">VLOOKUP($B233&amp;$C233,data!$A:$U,18,FALSE)</f>
        <v>0</v>
      </c>
      <c r="I233" s="3">
        <f ca="1">VLOOKUP($B233&amp;$C233,data!$A:$U,19,FALSE)</f>
        <v>2</v>
      </c>
      <c r="J233" s="3">
        <f ca="1">VLOOKUP($B233&amp;$C233,data!$A:$U,14,FALSE)</f>
        <v>2</v>
      </c>
      <c r="K233" s="3">
        <f ca="1">VLOOKUP($B233&amp;$C233,data!$A:$U,15,FALSE)</f>
        <v>0</v>
      </c>
      <c r="L233" s="3">
        <f ca="1">VLOOKUP($B233&amp;$C233,data!$A:$U,16,FALSE)</f>
        <v>2</v>
      </c>
      <c r="M233" s="3">
        <f ca="1">VLOOKUP($B233&amp;$C233,data!$A:$U,8,FALSE)</f>
        <v>3</v>
      </c>
      <c r="N233" s="3">
        <f ca="1">VLOOKUP($B233&amp;$C233,data!$A:$U,9,FALSE)</f>
        <v>0</v>
      </c>
      <c r="O233" s="3">
        <f ca="1">VLOOKUP($B233&amp;$C233,data!$A:$U,10,FALSE)</f>
        <v>3</v>
      </c>
      <c r="P233" s="3">
        <f ca="1">VLOOKUP($B233&amp;$C233,data!$A:$U,11,FALSE)</f>
        <v>15</v>
      </c>
      <c r="Q233" s="3">
        <f ca="1">VLOOKUP($B233&amp;$C233,data!$A:$U,12,FALSE)</f>
        <v>0</v>
      </c>
      <c r="R233" s="3">
        <f ca="1">VLOOKUP($B233&amp;$C233,data!$A:$U,13,FALSE)</f>
        <v>15</v>
      </c>
      <c r="S233" s="3">
        <f ca="1">VLOOKUP($B233&amp;$C233,data!$A:$U,5,FALSE)</f>
        <v>20</v>
      </c>
      <c r="T233" s="3">
        <f ca="1">VLOOKUP($B233&amp;$C233,data!$A:$U,6,FALSE)</f>
        <v>0</v>
      </c>
      <c r="U233" s="3">
        <f ca="1">VLOOKUP($B233&amp;$C233,data!$A:$U,7,FALSE)</f>
        <v>20</v>
      </c>
      <c r="V233" s="18" t="s">
        <v>700</v>
      </c>
      <c r="W233" s="17" t="s">
        <v>701</v>
      </c>
      <c r="X233" s="17" t="s">
        <v>702</v>
      </c>
      <c r="Y233" s="4" t="s">
        <v>703</v>
      </c>
      <c r="Z233" s="13">
        <f t="shared" ca="1" si="1"/>
        <v>0.71465150467702188</v>
      </c>
    </row>
    <row r="234" spans="1:26" ht="13" x14ac:dyDescent="0.15">
      <c r="A234" s="3">
        <v>233</v>
      </c>
      <c r="B234" s="3" t="s">
        <v>14</v>
      </c>
      <c r="C234" s="3" t="s">
        <v>704</v>
      </c>
      <c r="D234" s="10">
        <f t="shared" ca="1" si="0"/>
        <v>1.25</v>
      </c>
      <c r="E234" s="5">
        <f ca="1">VLOOKUP($B234&amp;$C234,data!$A:$U,20,FALSE)</f>
        <v>44305.366354166603</v>
      </c>
      <c r="F234" s="3">
        <f ca="1">VLOOKUP($B234&amp;$C234,data!$A:$U,21,FALSE)</f>
        <v>5</v>
      </c>
      <c r="G234" s="3">
        <f ca="1">VLOOKUP($B234&amp;$C234,data!$A:$U,17,FALSE)</f>
        <v>2</v>
      </c>
      <c r="H234" s="3">
        <f ca="1">VLOOKUP($B234&amp;$C234,data!$A:$U,18,FALSE)</f>
        <v>0</v>
      </c>
      <c r="I234" s="3">
        <f ca="1">VLOOKUP($B234&amp;$C234,data!$A:$U,19,FALSE)</f>
        <v>2</v>
      </c>
      <c r="J234" s="3">
        <f ca="1">VLOOKUP($B234&amp;$C234,data!$A:$U,14,FALSE)</f>
        <v>10</v>
      </c>
      <c r="K234" s="3">
        <f ca="1">VLOOKUP($B234&amp;$C234,data!$A:$U,15,FALSE)</f>
        <v>1</v>
      </c>
      <c r="L234" s="3">
        <f ca="1">VLOOKUP($B234&amp;$C234,data!$A:$U,16,FALSE)</f>
        <v>9</v>
      </c>
      <c r="M234" s="3">
        <f ca="1">VLOOKUP($B234&amp;$C234,data!$A:$U,8,FALSE)</f>
        <v>10</v>
      </c>
      <c r="N234" s="3">
        <f ca="1">VLOOKUP($B234&amp;$C234,data!$A:$U,9,FALSE)</f>
        <v>4</v>
      </c>
      <c r="O234" s="3">
        <f ca="1">VLOOKUP($B234&amp;$C234,data!$A:$U,10,FALSE)</f>
        <v>6</v>
      </c>
      <c r="P234" s="3">
        <f ca="1">VLOOKUP($B234&amp;$C234,data!$A:$U,11,FALSE)</f>
        <v>0</v>
      </c>
      <c r="Q234" s="3">
        <f ca="1">VLOOKUP($B234&amp;$C234,data!$A:$U,12,FALSE)</f>
        <v>20</v>
      </c>
      <c r="R234" s="3">
        <f ca="1">VLOOKUP($B234&amp;$C234,data!$A:$U,13,FALSE)</f>
        <v>20</v>
      </c>
      <c r="S234" s="3">
        <f ca="1">VLOOKUP($B234&amp;$C234,data!$A:$U,5,FALSE)</f>
        <v>20</v>
      </c>
      <c r="T234" s="3">
        <f ca="1">VLOOKUP($B234&amp;$C234,data!$A:$U,6,FALSE)</f>
        <v>5</v>
      </c>
      <c r="U234" s="3">
        <f ca="1">VLOOKUP($B234&amp;$C234,data!$A:$U,7,FALSE)</f>
        <v>15</v>
      </c>
      <c r="V234" s="18" t="s">
        <v>705</v>
      </c>
      <c r="W234" s="17" t="s">
        <v>706</v>
      </c>
      <c r="X234" s="17" t="s">
        <v>707</v>
      </c>
      <c r="Y234" s="4" t="s">
        <v>708</v>
      </c>
      <c r="Z234" s="13">
        <f t="shared" ca="1" si="1"/>
        <v>0.72055428247404052</v>
      </c>
    </row>
    <row r="235" spans="1:26" ht="13" x14ac:dyDescent="0.15">
      <c r="A235" s="3">
        <v>234</v>
      </c>
      <c r="B235" s="3" t="s">
        <v>14</v>
      </c>
      <c r="C235" s="3" t="s">
        <v>709</v>
      </c>
      <c r="D235" s="10">
        <f t="shared" ca="1" si="0"/>
        <v>0.1</v>
      </c>
      <c r="E235" s="5">
        <f ca="1">VLOOKUP($B235&amp;$C235,data!$A:$U,20,FALSE)</f>
        <v>44305.342141203699</v>
      </c>
      <c r="F235" s="3" t="str">
        <f ca="1">VLOOKUP($B235&amp;$C235,data!$A:$U,21,FALSE)</f>
        <v>updated 19.04.2021</v>
      </c>
      <c r="G235" s="3">
        <f ca="1">VLOOKUP($B235&amp;$C235,data!$A:$U,17,FALSE)</f>
        <v>1</v>
      </c>
      <c r="H235" s="3">
        <f ca="1">VLOOKUP($B235&amp;$C235,data!$A:$U,18,FALSE)</f>
        <v>0</v>
      </c>
      <c r="I235" s="3">
        <f ca="1">VLOOKUP($B235&amp;$C235,data!$A:$U,19,FALSE)</f>
        <v>1</v>
      </c>
      <c r="J235" s="3">
        <f ca="1">VLOOKUP($B235&amp;$C235,data!$A:$U,14,FALSE)</f>
        <v>6</v>
      </c>
      <c r="K235" s="3">
        <f ca="1">VLOOKUP($B235&amp;$C235,data!$A:$U,15,FALSE)</f>
        <v>5</v>
      </c>
      <c r="L235" s="3">
        <f ca="1">VLOOKUP($B235&amp;$C235,data!$A:$U,16,FALSE)</f>
        <v>1</v>
      </c>
      <c r="M235" s="3">
        <f ca="1">VLOOKUP($B235&amp;$C235,data!$A:$U,8,FALSE)</f>
        <v>4</v>
      </c>
      <c r="N235" s="3">
        <f ca="1">VLOOKUP($B235&amp;$C235,data!$A:$U,9,FALSE)</f>
        <v>4</v>
      </c>
      <c r="O235" s="3">
        <f ca="1">VLOOKUP($B235&amp;$C235,data!$A:$U,10,FALSE)</f>
        <v>0</v>
      </c>
      <c r="P235" s="3">
        <f ca="1">VLOOKUP($B235&amp;$C235,data!$A:$U,11,FALSE)</f>
        <v>0</v>
      </c>
      <c r="Q235" s="3">
        <f ca="1">VLOOKUP($B235&amp;$C235,data!$A:$U,12,FALSE)</f>
        <v>0</v>
      </c>
      <c r="R235" s="3">
        <f ca="1">VLOOKUP($B235&amp;$C235,data!$A:$U,13,FALSE)</f>
        <v>0</v>
      </c>
      <c r="S235" s="3">
        <f ca="1">VLOOKUP($B235&amp;$C235,data!$A:$U,5,FALSE)</f>
        <v>10</v>
      </c>
      <c r="T235" s="3">
        <f ca="1">VLOOKUP($B235&amp;$C235,data!$A:$U,6,FALSE)</f>
        <v>9</v>
      </c>
      <c r="U235" s="3">
        <f ca="1">VLOOKUP($B235&amp;$C235,data!$A:$U,7,FALSE)</f>
        <v>1</v>
      </c>
      <c r="V235" s="18">
        <v>9894280747</v>
      </c>
      <c r="W235" s="17" t="s">
        <v>710</v>
      </c>
      <c r="X235" s="9"/>
      <c r="Y235" s="4" t="s">
        <v>711</v>
      </c>
      <c r="Z235" s="13">
        <f t="shared" ca="1" si="1"/>
        <v>0.74476724537817063</v>
      </c>
    </row>
    <row r="236" spans="1:26" ht="13" x14ac:dyDescent="0.15">
      <c r="A236" s="3">
        <v>235</v>
      </c>
      <c r="B236" s="3" t="s">
        <v>14</v>
      </c>
      <c r="C236" s="3" t="s">
        <v>712</v>
      </c>
      <c r="D236" s="10">
        <f t="shared" ca="1" si="0"/>
        <v>0</v>
      </c>
      <c r="E236" s="5">
        <f ca="1">VLOOKUP($B236&amp;$C236,data!$A:$U,20,FALSE)</f>
        <v>44305.292233796201</v>
      </c>
      <c r="F236" s="3" t="str">
        <f ca="1">VLOOKUP($B236&amp;$C236,data!$A:$U,21,FALSE)</f>
        <v>Covid - 19 patients today updated 19.04.2021. Thanking You !</v>
      </c>
      <c r="G236" s="3">
        <f ca="1">VLOOKUP($B236&amp;$C236,data!$A:$U,17,FALSE)</f>
        <v>2</v>
      </c>
      <c r="H236" s="3">
        <f ca="1">VLOOKUP($B236&amp;$C236,data!$A:$U,18,FALSE)</f>
        <v>0</v>
      </c>
      <c r="I236" s="3">
        <f ca="1">VLOOKUP($B236&amp;$C236,data!$A:$U,19,FALSE)</f>
        <v>2</v>
      </c>
      <c r="J236" s="3">
        <f ca="1">VLOOKUP($B236&amp;$C236,data!$A:$U,14,FALSE)</f>
        <v>0</v>
      </c>
      <c r="K236" s="3">
        <f ca="1">VLOOKUP($B236&amp;$C236,data!$A:$U,15,FALSE)</f>
        <v>0</v>
      </c>
      <c r="L236" s="3">
        <f ca="1">VLOOKUP($B236&amp;$C236,data!$A:$U,16,FALSE)</f>
        <v>0</v>
      </c>
      <c r="M236" s="3">
        <f ca="1">VLOOKUP($B236&amp;$C236,data!$A:$U,8,FALSE)</f>
        <v>10</v>
      </c>
      <c r="N236" s="3">
        <f ca="1">VLOOKUP($B236&amp;$C236,data!$A:$U,9,FALSE)</f>
        <v>3</v>
      </c>
      <c r="O236" s="3">
        <f ca="1">VLOOKUP($B236&amp;$C236,data!$A:$U,10,FALSE)</f>
        <v>0</v>
      </c>
      <c r="P236" s="3">
        <f ca="1">VLOOKUP($B236&amp;$C236,data!$A:$U,11,FALSE)</f>
        <v>10</v>
      </c>
      <c r="Q236" s="3">
        <f ca="1">VLOOKUP($B236&amp;$C236,data!$A:$U,12,FALSE)</f>
        <v>8</v>
      </c>
      <c r="R236" s="3">
        <f ca="1">VLOOKUP($B236&amp;$C236,data!$A:$U,13,FALSE)</f>
        <v>0</v>
      </c>
      <c r="S236" s="3">
        <f ca="1">VLOOKUP($B236&amp;$C236,data!$A:$U,5,FALSE)</f>
        <v>10</v>
      </c>
      <c r="T236" s="3">
        <f ca="1">VLOOKUP($B236&amp;$C236,data!$A:$U,6,FALSE)</f>
        <v>11</v>
      </c>
      <c r="U236" s="3">
        <f ca="1">VLOOKUP($B236&amp;$C236,data!$A:$U,7,FALSE)</f>
        <v>0</v>
      </c>
      <c r="V236" s="18" t="s">
        <v>713</v>
      </c>
      <c r="W236" s="17" t="s">
        <v>714</v>
      </c>
      <c r="X236" s="17" t="s">
        <v>715</v>
      </c>
      <c r="Y236" s="4" t="s">
        <v>716</v>
      </c>
      <c r="Z236" s="13">
        <f t="shared" ca="1" si="1"/>
        <v>0.79467465287598316</v>
      </c>
    </row>
    <row r="237" spans="1:26" ht="13" x14ac:dyDescent="0.15">
      <c r="A237" s="3">
        <v>236</v>
      </c>
      <c r="B237" s="3" t="s">
        <v>14</v>
      </c>
      <c r="C237" s="3" t="s">
        <v>717</v>
      </c>
      <c r="D237" s="10">
        <f t="shared" ca="1" si="0"/>
        <v>0.42857142857142855</v>
      </c>
      <c r="E237" s="5">
        <f ca="1">VLOOKUP($B237&amp;$C237,data!$A:$U,20,FALSE)</f>
        <v>44305.587546296199</v>
      </c>
      <c r="F237" s="3" t="str">
        <f ca="1">VLOOKUP($B237&amp;$C237,data!$A:$U,21,FALSE)</f>
        <v>NTC HOSPITALS MADURAI 19-04-2021 2 PM</v>
      </c>
      <c r="G237" s="3">
        <f ca="1">VLOOKUP($B237&amp;$C237,data!$A:$U,17,FALSE)</f>
        <v>2</v>
      </c>
      <c r="H237" s="3">
        <f ca="1">VLOOKUP($B237&amp;$C237,data!$A:$U,18,FALSE)</f>
        <v>1</v>
      </c>
      <c r="I237" s="3">
        <f ca="1">VLOOKUP($B237&amp;$C237,data!$A:$U,19,FALSE)</f>
        <v>1</v>
      </c>
      <c r="J237" s="3">
        <f ca="1">VLOOKUP($B237&amp;$C237,data!$A:$U,14,FALSE)</f>
        <v>20</v>
      </c>
      <c r="K237" s="3">
        <f ca="1">VLOOKUP($B237&amp;$C237,data!$A:$U,15,FALSE)</f>
        <v>10</v>
      </c>
      <c r="L237" s="3">
        <f ca="1">VLOOKUP($B237&amp;$C237,data!$A:$U,16,FALSE)</f>
        <v>10</v>
      </c>
      <c r="M237" s="3">
        <f ca="1">VLOOKUP($B237&amp;$C237,data!$A:$U,8,FALSE)</f>
        <v>25</v>
      </c>
      <c r="N237" s="3">
        <f ca="1">VLOOKUP($B237&amp;$C237,data!$A:$U,9,FALSE)</f>
        <v>15</v>
      </c>
      <c r="O237" s="3">
        <f ca="1">VLOOKUP($B237&amp;$C237,data!$A:$U,10,FALSE)</f>
        <v>10</v>
      </c>
      <c r="P237" s="3">
        <f ca="1">VLOOKUP($B237&amp;$C237,data!$A:$U,11,FALSE)</f>
        <v>0</v>
      </c>
      <c r="Q237" s="3">
        <f ca="1">VLOOKUP($B237&amp;$C237,data!$A:$U,12,FALSE)</f>
        <v>0</v>
      </c>
      <c r="R237" s="3">
        <f ca="1">VLOOKUP($B237&amp;$C237,data!$A:$U,13,FALSE)</f>
        <v>0</v>
      </c>
      <c r="S237" s="3">
        <f ca="1">VLOOKUP($B237&amp;$C237,data!$A:$U,5,FALSE)</f>
        <v>25</v>
      </c>
      <c r="T237" s="3">
        <f ca="1">VLOOKUP($B237&amp;$C237,data!$A:$U,6,FALSE)</f>
        <v>15</v>
      </c>
      <c r="U237" s="3">
        <f ca="1">VLOOKUP($B237&amp;$C237,data!$A:$U,7,FALSE)</f>
        <v>10</v>
      </c>
      <c r="V237" s="23" t="s">
        <v>718</v>
      </c>
      <c r="W237" s="17" t="s">
        <v>719</v>
      </c>
      <c r="X237" s="17" t="s">
        <v>720</v>
      </c>
      <c r="Y237" s="4" t="s">
        <v>721</v>
      </c>
      <c r="Z237" s="13">
        <f t="shared" ca="1" si="1"/>
        <v>0.49936203713150462</v>
      </c>
    </row>
    <row r="238" spans="1:26" ht="13" x14ac:dyDescent="0.15">
      <c r="A238" s="3">
        <v>237</v>
      </c>
      <c r="B238" s="3" t="s">
        <v>14</v>
      </c>
      <c r="C238" s="3" t="s">
        <v>722</v>
      </c>
      <c r="D238" s="10">
        <f t="shared" ca="1" si="0"/>
        <v>2.6315789473684209E-2</v>
      </c>
      <c r="E238" s="5">
        <f ca="1">VLOOKUP($B238&amp;$C238,data!$A:$U,20,FALSE)</f>
        <v>44305.434317129599</v>
      </c>
      <c r="F238" s="3" t="str">
        <f ca="1">VLOOKUP($B238&amp;$C238,data!$A:$U,21,FALSE)</f>
        <v>as on 19.04.2021</v>
      </c>
      <c r="G238" s="3">
        <f ca="1">VLOOKUP($B238&amp;$C238,data!$A:$U,17,FALSE)</f>
        <v>5</v>
      </c>
      <c r="H238" s="3">
        <f ca="1">VLOOKUP($B238&amp;$C238,data!$A:$U,18,FALSE)</f>
        <v>0</v>
      </c>
      <c r="I238" s="3">
        <f ca="1">VLOOKUP($B238&amp;$C238,data!$A:$U,19,FALSE)</f>
        <v>5</v>
      </c>
      <c r="J238" s="3">
        <f ca="1">VLOOKUP($B238&amp;$C238,data!$A:$U,14,FALSE)</f>
        <v>4</v>
      </c>
      <c r="K238" s="3">
        <f ca="1">VLOOKUP($B238&amp;$C238,data!$A:$U,15,FALSE)</f>
        <v>4</v>
      </c>
      <c r="L238" s="3">
        <f ca="1">VLOOKUP($B238&amp;$C238,data!$A:$U,16,FALSE)</f>
        <v>0</v>
      </c>
      <c r="M238" s="3">
        <f ca="1">VLOOKUP($B238&amp;$C238,data!$A:$U,8,FALSE)</f>
        <v>15</v>
      </c>
      <c r="N238" s="3">
        <f ca="1">VLOOKUP($B238&amp;$C238,data!$A:$U,9,FALSE)</f>
        <v>15</v>
      </c>
      <c r="O238" s="3">
        <f ca="1">VLOOKUP($B238&amp;$C238,data!$A:$U,10,FALSE)</f>
        <v>0</v>
      </c>
      <c r="P238" s="3">
        <f ca="1">VLOOKUP($B238&amp;$C238,data!$A:$U,11,FALSE)</f>
        <v>0</v>
      </c>
      <c r="Q238" s="3">
        <f ca="1">VLOOKUP($B238&amp;$C238,data!$A:$U,12,FALSE)</f>
        <v>0</v>
      </c>
      <c r="R238" s="3">
        <f ca="1">VLOOKUP($B238&amp;$C238,data!$A:$U,13,FALSE)</f>
        <v>0</v>
      </c>
      <c r="S238" s="3">
        <f ca="1">VLOOKUP($B238&amp;$C238,data!$A:$U,5,FALSE)</f>
        <v>19</v>
      </c>
      <c r="T238" s="3">
        <f ca="1">VLOOKUP($B238&amp;$C238,data!$A:$U,6,FALSE)</f>
        <v>18</v>
      </c>
      <c r="U238" s="3">
        <f ca="1">VLOOKUP($B238&amp;$C238,data!$A:$U,7,FALSE)</f>
        <v>1</v>
      </c>
      <c r="V238" s="23" t="s">
        <v>723</v>
      </c>
      <c r="W238" s="17" t="s">
        <v>724</v>
      </c>
      <c r="X238" s="17" t="s">
        <v>725</v>
      </c>
      <c r="Y238" s="4" t="s">
        <v>726</v>
      </c>
      <c r="Z238" s="13">
        <f t="shared" ca="1" si="1"/>
        <v>0.65259120373229962</v>
      </c>
    </row>
    <row r="239" spans="1:26" ht="13" x14ac:dyDescent="0.15">
      <c r="A239" s="3">
        <v>238</v>
      </c>
      <c r="B239" s="3" t="s">
        <v>4</v>
      </c>
      <c r="C239" s="3" t="s">
        <v>727</v>
      </c>
      <c r="D239" s="10">
        <f t="shared" ca="1" si="0"/>
        <v>0.25</v>
      </c>
      <c r="E239" s="5">
        <f ca="1">VLOOKUP($B239&amp;$C239,data!$A:$U,20,FALSE)</f>
        <v>44305.394513888801</v>
      </c>
      <c r="F239" s="3" t="str">
        <f ca="1">VLOOKUP($B239&amp;$C239,data!$A:$U,21,FALSE)</f>
        <v>Date 19/04/2021</v>
      </c>
      <c r="G239" s="3">
        <f ca="1">VLOOKUP($B239&amp;$C239,data!$A:$U,17,FALSE)</f>
        <v>2</v>
      </c>
      <c r="H239" s="3">
        <f ca="1">VLOOKUP($B239&amp;$C239,data!$A:$U,18,FALSE)</f>
        <v>2</v>
      </c>
      <c r="I239" s="3">
        <f ca="1">VLOOKUP($B239&amp;$C239,data!$A:$U,19,FALSE)</f>
        <v>0</v>
      </c>
      <c r="J239" s="3">
        <f ca="1">VLOOKUP($B239&amp;$C239,data!$A:$U,14,FALSE)</f>
        <v>5</v>
      </c>
      <c r="K239" s="3">
        <f ca="1">VLOOKUP($B239&amp;$C239,data!$A:$U,15,FALSE)</f>
        <v>5</v>
      </c>
      <c r="L239" s="3">
        <f ca="1">VLOOKUP($B239&amp;$C239,data!$A:$U,16,FALSE)</f>
        <v>0</v>
      </c>
      <c r="M239" s="3">
        <f ca="1">VLOOKUP($B239&amp;$C239,data!$A:$U,8,FALSE)</f>
        <v>37</v>
      </c>
      <c r="N239" s="3">
        <f ca="1">VLOOKUP($B239&amp;$C239,data!$A:$U,9,FALSE)</f>
        <v>28</v>
      </c>
      <c r="O239" s="3">
        <f ca="1">VLOOKUP($B239&amp;$C239,data!$A:$U,10,FALSE)</f>
        <v>9</v>
      </c>
      <c r="P239" s="3">
        <f ca="1">VLOOKUP($B239&amp;$C239,data!$A:$U,11,FALSE)</f>
        <v>2</v>
      </c>
      <c r="Q239" s="3">
        <f ca="1">VLOOKUP($B239&amp;$C239,data!$A:$U,12,FALSE)</f>
        <v>2</v>
      </c>
      <c r="R239" s="3">
        <f ca="1">VLOOKUP($B239&amp;$C239,data!$A:$U,13,FALSE)</f>
        <v>0</v>
      </c>
      <c r="S239" s="3">
        <f ca="1">VLOOKUP($B239&amp;$C239,data!$A:$U,5,FALSE)</f>
        <v>40</v>
      </c>
      <c r="T239" s="3">
        <f ca="1">VLOOKUP($B239&amp;$C239,data!$A:$U,6,FALSE)</f>
        <v>28</v>
      </c>
      <c r="U239" s="3">
        <f ca="1">VLOOKUP($B239&amp;$C239,data!$A:$U,7,FALSE)</f>
        <v>12</v>
      </c>
      <c r="V239" s="16"/>
      <c r="W239" s="9"/>
      <c r="X239" s="9"/>
      <c r="Y239" s="3"/>
      <c r="Z239" s="13">
        <f t="shared" ca="1" si="1"/>
        <v>0.69239456027571578</v>
      </c>
    </row>
    <row r="240" spans="1:26" ht="13" x14ac:dyDescent="0.15">
      <c r="A240" s="3">
        <v>239</v>
      </c>
      <c r="B240" s="3" t="s">
        <v>4</v>
      </c>
      <c r="C240" s="3" t="s">
        <v>728</v>
      </c>
      <c r="D240" s="10">
        <f t="shared" ca="1" si="0"/>
        <v>1</v>
      </c>
      <c r="E240" s="5">
        <f ca="1">VLOOKUP($B240&amp;$C240,data!$A:$U,20,FALSE)</f>
        <v>44305.399641203701</v>
      </c>
      <c r="F240" s="3" t="str">
        <f ca="1">VLOOKUP($B240&amp;$C240,data!$A:$U,21,FALSE)</f>
        <v>Updated 25 19/04/2021</v>
      </c>
      <c r="G240" s="3">
        <f ca="1">VLOOKUP($B240&amp;$C240,data!$A:$U,17,FALSE)</f>
        <v>1</v>
      </c>
      <c r="H240" s="3">
        <f ca="1">VLOOKUP($B240&amp;$C240,data!$A:$U,18,FALSE)</f>
        <v>0</v>
      </c>
      <c r="I240" s="3">
        <f ca="1">VLOOKUP($B240&amp;$C240,data!$A:$U,19,FALSE)</f>
        <v>1</v>
      </c>
      <c r="J240" s="3">
        <f ca="1">VLOOKUP($B240&amp;$C240,data!$A:$U,14,FALSE)</f>
        <v>2</v>
      </c>
      <c r="K240" s="3">
        <f ca="1">VLOOKUP($B240&amp;$C240,data!$A:$U,15,FALSE)</f>
        <v>0</v>
      </c>
      <c r="L240" s="3">
        <f ca="1">VLOOKUP($B240&amp;$C240,data!$A:$U,16,FALSE)</f>
        <v>2</v>
      </c>
      <c r="M240" s="3">
        <f ca="1">VLOOKUP($B240&amp;$C240,data!$A:$U,8,FALSE)</f>
        <v>2</v>
      </c>
      <c r="N240" s="3">
        <f ca="1">VLOOKUP($B240&amp;$C240,data!$A:$U,9,FALSE)</f>
        <v>0</v>
      </c>
      <c r="O240" s="3">
        <f ca="1">VLOOKUP($B240&amp;$C240,data!$A:$U,10,FALSE)</f>
        <v>2</v>
      </c>
      <c r="P240" s="3">
        <f ca="1">VLOOKUP($B240&amp;$C240,data!$A:$U,11,FALSE)</f>
        <v>2</v>
      </c>
      <c r="Q240" s="3">
        <f ca="1">VLOOKUP($B240&amp;$C240,data!$A:$U,12,FALSE)</f>
        <v>0</v>
      </c>
      <c r="R240" s="3">
        <f ca="1">VLOOKUP($B240&amp;$C240,data!$A:$U,13,FALSE)</f>
        <v>2</v>
      </c>
      <c r="S240" s="3">
        <f ca="1">VLOOKUP($B240&amp;$C240,data!$A:$U,5,FALSE)</f>
        <v>2</v>
      </c>
      <c r="T240" s="3">
        <f ca="1">VLOOKUP($B240&amp;$C240,data!$A:$U,6,FALSE)</f>
        <v>0</v>
      </c>
      <c r="U240" s="3">
        <f ca="1">VLOOKUP($B240&amp;$C240,data!$A:$U,7,FALSE)</f>
        <v>2</v>
      </c>
      <c r="V240" s="23" t="s">
        <v>729</v>
      </c>
      <c r="W240" s="17" t="s">
        <v>730</v>
      </c>
      <c r="X240" s="17" t="s">
        <v>731</v>
      </c>
      <c r="Y240" s="4" t="s">
        <v>732</v>
      </c>
      <c r="Z240" s="13">
        <f t="shared" ca="1" si="1"/>
        <v>0.68726712962961756</v>
      </c>
    </row>
    <row r="241" spans="1:26" ht="13" x14ac:dyDescent="0.15">
      <c r="A241" s="3">
        <v>240</v>
      </c>
      <c r="B241" s="3" t="s">
        <v>4</v>
      </c>
      <c r="C241" s="3" t="s">
        <v>733</v>
      </c>
      <c r="D241" s="10">
        <f t="shared" ca="1" si="0"/>
        <v>1</v>
      </c>
      <c r="E241" s="5">
        <f ca="1">VLOOKUP($B241&amp;$C241,data!$A:$U,20,FALSE)</f>
        <v>44305.360289351796</v>
      </c>
      <c r="F241" s="3" t="str">
        <f ca="1">VLOOKUP($B241&amp;$C241,data!$A:$U,21,FALSE)</f>
        <v>19/04/2021</v>
      </c>
      <c r="G241" s="3">
        <f ca="1">VLOOKUP($B241&amp;$C241,data!$A:$U,17,FALSE)</f>
        <v>1</v>
      </c>
      <c r="H241" s="3">
        <f ca="1">VLOOKUP($B241&amp;$C241,data!$A:$U,18,FALSE)</f>
        <v>0</v>
      </c>
      <c r="I241" s="3">
        <f ca="1">VLOOKUP($B241&amp;$C241,data!$A:$U,19,FALSE)</f>
        <v>1</v>
      </c>
      <c r="J241" s="3">
        <f ca="1">VLOOKUP($B241&amp;$C241,data!$A:$U,14,FALSE)</f>
        <v>2</v>
      </c>
      <c r="K241" s="3">
        <f ca="1">VLOOKUP($B241&amp;$C241,data!$A:$U,15,FALSE)</f>
        <v>0</v>
      </c>
      <c r="L241" s="3">
        <f ca="1">VLOOKUP($B241&amp;$C241,data!$A:$U,16,FALSE)</f>
        <v>2</v>
      </c>
      <c r="M241" s="3">
        <f ca="1">VLOOKUP($B241&amp;$C241,data!$A:$U,8,FALSE)</f>
        <v>3</v>
      </c>
      <c r="N241" s="3">
        <f ca="1">VLOOKUP($B241&amp;$C241,data!$A:$U,9,FALSE)</f>
        <v>0</v>
      </c>
      <c r="O241" s="3">
        <f ca="1">VLOOKUP($B241&amp;$C241,data!$A:$U,10,FALSE)</f>
        <v>3</v>
      </c>
      <c r="P241" s="3">
        <f ca="1">VLOOKUP($B241&amp;$C241,data!$A:$U,11,FALSE)</f>
        <v>5</v>
      </c>
      <c r="Q241" s="3">
        <f ca="1">VLOOKUP($B241&amp;$C241,data!$A:$U,12,FALSE)</f>
        <v>0</v>
      </c>
      <c r="R241" s="3">
        <f ca="1">VLOOKUP($B241&amp;$C241,data!$A:$U,13,FALSE)</f>
        <v>5</v>
      </c>
      <c r="S241" s="3">
        <f ca="1">VLOOKUP($B241&amp;$C241,data!$A:$U,5,FALSE)</f>
        <v>10</v>
      </c>
      <c r="T241" s="3">
        <f ca="1">VLOOKUP($B241&amp;$C241,data!$A:$U,6,FALSE)</f>
        <v>0</v>
      </c>
      <c r="U241" s="3">
        <f ca="1">VLOOKUP($B241&amp;$C241,data!$A:$U,7,FALSE)</f>
        <v>10</v>
      </c>
      <c r="V241" s="23" t="s">
        <v>729</v>
      </c>
      <c r="W241" s="17" t="s">
        <v>734</v>
      </c>
      <c r="X241" s="17" t="s">
        <v>735</v>
      </c>
      <c r="Y241" s="4" t="s">
        <v>736</v>
      </c>
      <c r="Z241" s="13">
        <f t="shared" ca="1" si="1"/>
        <v>0.72661909728049068</v>
      </c>
    </row>
    <row r="242" spans="1:26" ht="13" x14ac:dyDescent="0.15">
      <c r="A242" s="3">
        <v>241</v>
      </c>
      <c r="B242" s="3" t="s">
        <v>4</v>
      </c>
      <c r="C242" s="3" t="s">
        <v>737</v>
      </c>
      <c r="D242" s="10">
        <f t="shared" ca="1" si="0"/>
        <v>1</v>
      </c>
      <c r="E242" s="5">
        <f ca="1">VLOOKUP($B242&amp;$C242,data!$A:$U,20,FALSE)</f>
        <v>44305.360497685098</v>
      </c>
      <c r="F242" s="3" t="str">
        <f ca="1">VLOOKUP($B242&amp;$C242,data!$A:$U,21,FALSE)</f>
        <v>19/04/2021</v>
      </c>
      <c r="G242" s="3">
        <f ca="1">VLOOKUP($B242&amp;$C242,data!$A:$U,17,FALSE)</f>
        <v>2</v>
      </c>
      <c r="H242" s="3">
        <f ca="1">VLOOKUP($B242&amp;$C242,data!$A:$U,18,FALSE)</f>
        <v>0</v>
      </c>
      <c r="I242" s="3">
        <f ca="1">VLOOKUP($B242&amp;$C242,data!$A:$U,19,FALSE)</f>
        <v>2</v>
      </c>
      <c r="J242" s="3">
        <f ca="1">VLOOKUP($B242&amp;$C242,data!$A:$U,14,FALSE)</f>
        <v>2</v>
      </c>
      <c r="K242" s="3">
        <f ca="1">VLOOKUP($B242&amp;$C242,data!$A:$U,15,FALSE)</f>
        <v>0</v>
      </c>
      <c r="L242" s="3">
        <f ca="1">VLOOKUP($B242&amp;$C242,data!$A:$U,16,FALSE)</f>
        <v>2</v>
      </c>
      <c r="M242" s="3">
        <f ca="1">VLOOKUP($B242&amp;$C242,data!$A:$U,8,FALSE)</f>
        <v>2</v>
      </c>
      <c r="N242" s="3">
        <f ca="1">VLOOKUP($B242&amp;$C242,data!$A:$U,9,FALSE)</f>
        <v>0</v>
      </c>
      <c r="O242" s="3">
        <f ca="1">VLOOKUP($B242&amp;$C242,data!$A:$U,10,FALSE)</f>
        <v>2</v>
      </c>
      <c r="P242" s="3">
        <f ca="1">VLOOKUP($B242&amp;$C242,data!$A:$U,11,FALSE)</f>
        <v>2</v>
      </c>
      <c r="Q242" s="3">
        <f ca="1">VLOOKUP($B242&amp;$C242,data!$A:$U,12,FALSE)</f>
        <v>0</v>
      </c>
      <c r="R242" s="3">
        <f ca="1">VLOOKUP($B242&amp;$C242,data!$A:$U,13,FALSE)</f>
        <v>2</v>
      </c>
      <c r="S242" s="3">
        <f ca="1">VLOOKUP($B242&amp;$C242,data!$A:$U,5,FALSE)</f>
        <v>5</v>
      </c>
      <c r="T242" s="3">
        <f ca="1">VLOOKUP($B242&amp;$C242,data!$A:$U,6,FALSE)</f>
        <v>0</v>
      </c>
      <c r="U242" s="3">
        <f ca="1">VLOOKUP($B242&amp;$C242,data!$A:$U,7,FALSE)</f>
        <v>5</v>
      </c>
      <c r="V242" s="23" t="s">
        <v>738</v>
      </c>
      <c r="W242" s="17" t="s">
        <v>739</v>
      </c>
      <c r="X242" s="17" t="s">
        <v>740</v>
      </c>
      <c r="Y242" s="4" t="s">
        <v>741</v>
      </c>
      <c r="Z242" s="13">
        <f t="shared" ca="1" si="1"/>
        <v>0.72641076397849247</v>
      </c>
    </row>
    <row r="243" spans="1:26" ht="13" x14ac:dyDescent="0.15">
      <c r="A243" s="3">
        <v>242</v>
      </c>
      <c r="B243" s="3" t="s">
        <v>2</v>
      </c>
      <c r="C243" s="3" t="s">
        <v>742</v>
      </c>
      <c r="D243" s="10">
        <f t="shared" ca="1" si="0"/>
        <v>0</v>
      </c>
      <c r="E243" s="5">
        <f ca="1">VLOOKUP($B243&amp;$C243,data!$A:$U,20,FALSE)</f>
        <v>44305.272118055502</v>
      </c>
      <c r="F243" s="3" t="str">
        <f ca="1">VLOOKUP($B243&amp;$C243,data!$A:$U,21,FALSE)</f>
        <v>19.04.2021</v>
      </c>
      <c r="G243" s="3">
        <f ca="1">VLOOKUP($B243&amp;$C243,data!$A:$U,17,FALSE)</f>
        <v>3</v>
      </c>
      <c r="H243" s="3">
        <f ca="1">VLOOKUP($B243&amp;$C243,data!$A:$U,18,FALSE)</f>
        <v>0</v>
      </c>
      <c r="I243" s="3">
        <f ca="1">VLOOKUP($B243&amp;$C243,data!$A:$U,19,FALSE)</f>
        <v>0</v>
      </c>
      <c r="J243" s="3">
        <f ca="1">VLOOKUP($B243&amp;$C243,data!$A:$U,14,FALSE)</f>
        <v>18</v>
      </c>
      <c r="K243" s="3">
        <f ca="1">VLOOKUP($B243&amp;$C243,data!$A:$U,15,FALSE)</f>
        <v>18</v>
      </c>
      <c r="L243" s="3">
        <f ca="1">VLOOKUP($B243&amp;$C243,data!$A:$U,16,FALSE)</f>
        <v>0</v>
      </c>
      <c r="M243" s="3">
        <f ca="1">VLOOKUP($B243&amp;$C243,data!$A:$U,8,FALSE)</f>
        <v>9</v>
      </c>
      <c r="N243" s="3">
        <f ca="1">VLOOKUP($B243&amp;$C243,data!$A:$U,9,FALSE)</f>
        <v>9</v>
      </c>
      <c r="O243" s="3">
        <f ca="1">VLOOKUP($B243&amp;$C243,data!$A:$U,10,FALSE)</f>
        <v>0</v>
      </c>
      <c r="P243" s="3">
        <f ca="1">VLOOKUP($B243&amp;$C243,data!$A:$U,11,FALSE)</f>
        <v>0</v>
      </c>
      <c r="Q243" s="3">
        <f ca="1">VLOOKUP($B243&amp;$C243,data!$A:$U,12,FALSE)</f>
        <v>0</v>
      </c>
      <c r="R243" s="3">
        <f ca="1">VLOOKUP($B243&amp;$C243,data!$A:$U,13,FALSE)</f>
        <v>0</v>
      </c>
      <c r="S243" s="3">
        <f ca="1">VLOOKUP($B243&amp;$C243,data!$A:$U,5,FALSE)</f>
        <v>27</v>
      </c>
      <c r="T243" s="3">
        <f ca="1">VLOOKUP($B243&amp;$C243,data!$A:$U,6,FALSE)</f>
        <v>27</v>
      </c>
      <c r="U243" s="3">
        <f ca="1">VLOOKUP($B243&amp;$C243,data!$A:$U,7,FALSE)</f>
        <v>0</v>
      </c>
      <c r="V243" s="16"/>
      <c r="W243" s="9"/>
      <c r="X243" s="9"/>
      <c r="Y243" s="3"/>
      <c r="Z243" s="13">
        <f t="shared" ca="1" si="1"/>
        <v>0.81479027782916091</v>
      </c>
    </row>
    <row r="244" spans="1:26" ht="14" x14ac:dyDescent="0.15">
      <c r="A244" s="3">
        <v>243</v>
      </c>
      <c r="B244" s="3" t="s">
        <v>4</v>
      </c>
      <c r="C244" s="3" t="s">
        <v>743</v>
      </c>
      <c r="D244" s="10">
        <f t="shared" ca="1" si="0"/>
        <v>0.54545454545454541</v>
      </c>
      <c r="E244" s="5">
        <f ca="1">VLOOKUP($B244&amp;$C244,data!$A:$U,20,FALSE)</f>
        <v>44305.322326388799</v>
      </c>
      <c r="F244" s="3" t="str">
        <f ca="1">VLOOKUP($B244&amp;$C244,data!$A:$U,21,FALSE)</f>
        <v>19.04.2021</v>
      </c>
      <c r="G244" s="3">
        <f ca="1">VLOOKUP($B244&amp;$C244,data!$A:$U,17,FALSE)</f>
        <v>2</v>
      </c>
      <c r="H244" s="3">
        <f ca="1">VLOOKUP($B244&amp;$C244,data!$A:$U,18,FALSE)</f>
        <v>0</v>
      </c>
      <c r="I244" s="3">
        <f ca="1">VLOOKUP($B244&amp;$C244,data!$A:$U,19,FALSE)</f>
        <v>2</v>
      </c>
      <c r="J244" s="3">
        <f ca="1">VLOOKUP($B244&amp;$C244,data!$A:$U,14,FALSE)</f>
        <v>3</v>
      </c>
      <c r="K244" s="3">
        <f ca="1">VLOOKUP($B244&amp;$C244,data!$A:$U,15,FALSE)</f>
        <v>0</v>
      </c>
      <c r="L244" s="3">
        <f ca="1">VLOOKUP($B244&amp;$C244,data!$A:$U,16,FALSE)</f>
        <v>3</v>
      </c>
      <c r="M244" s="3">
        <f ca="1">VLOOKUP($B244&amp;$C244,data!$A:$U,8,FALSE)</f>
        <v>2</v>
      </c>
      <c r="N244" s="3">
        <f ca="1">VLOOKUP($B244&amp;$C244,data!$A:$U,9,FALSE)</f>
        <v>2</v>
      </c>
      <c r="O244" s="3">
        <f ca="1">VLOOKUP($B244&amp;$C244,data!$A:$U,10,FALSE)</f>
        <v>0</v>
      </c>
      <c r="P244" s="3">
        <f ca="1">VLOOKUP($B244&amp;$C244,data!$A:$U,11,FALSE)</f>
        <v>0</v>
      </c>
      <c r="Q244" s="3">
        <f ca="1">VLOOKUP($B244&amp;$C244,data!$A:$U,12,FALSE)</f>
        <v>0</v>
      </c>
      <c r="R244" s="3">
        <f ca="1">VLOOKUP($B244&amp;$C244,data!$A:$U,13,FALSE)</f>
        <v>0</v>
      </c>
      <c r="S244" s="3">
        <f ca="1">VLOOKUP($B244&amp;$C244,data!$A:$U,5,FALSE)</f>
        <v>6</v>
      </c>
      <c r="T244" s="3">
        <f ca="1">VLOOKUP($B244&amp;$C244,data!$A:$U,6,FALSE)</f>
        <v>3</v>
      </c>
      <c r="U244" s="3">
        <f ca="1">VLOOKUP($B244&amp;$C244,data!$A:$U,7,FALSE)</f>
        <v>3</v>
      </c>
      <c r="V244" s="27">
        <v>4443229641</v>
      </c>
      <c r="W244" s="17" t="s">
        <v>744</v>
      </c>
      <c r="X244" s="17" t="s">
        <v>745</v>
      </c>
      <c r="Y244" s="4" t="s">
        <v>746</v>
      </c>
      <c r="Z244" s="13">
        <f t="shared" ca="1" si="1"/>
        <v>0.76458206027746201</v>
      </c>
    </row>
    <row r="245" spans="1:26" ht="13" x14ac:dyDescent="0.15">
      <c r="A245" s="3">
        <v>244</v>
      </c>
      <c r="B245" s="3" t="s">
        <v>4</v>
      </c>
      <c r="C245" s="3" t="s">
        <v>747</v>
      </c>
      <c r="D245" s="10">
        <f t="shared" ca="1" si="0"/>
        <v>0</v>
      </c>
      <c r="E245" s="5">
        <f ca="1">VLOOKUP($B245&amp;$C245,data!$A:$U,20,FALSE)</f>
        <v>44298.314131944397</v>
      </c>
      <c r="F245" s="3" t="str">
        <f ca="1">VLOOKUP($B245&amp;$C245,data!$A:$U,21,FALSE)</f>
        <v>12.04.2021</v>
      </c>
      <c r="G245" s="3">
        <f ca="1">VLOOKUP($B245&amp;$C245,data!$A:$U,17,FALSE)</f>
        <v>1</v>
      </c>
      <c r="H245" s="3">
        <f ca="1">VLOOKUP($B245&amp;$C245,data!$A:$U,18,FALSE)</f>
        <v>1</v>
      </c>
      <c r="I245" s="3">
        <f ca="1">VLOOKUP($B245&amp;$C245,data!$A:$U,19,FALSE)</f>
        <v>0</v>
      </c>
      <c r="J245" s="3">
        <f ca="1">VLOOKUP($B245&amp;$C245,data!$A:$U,14,FALSE)</f>
        <v>3</v>
      </c>
      <c r="K245" s="3">
        <f ca="1">VLOOKUP($B245&amp;$C245,data!$A:$U,15,FALSE)</f>
        <v>0</v>
      </c>
      <c r="L245" s="3">
        <f ca="1">VLOOKUP($B245&amp;$C245,data!$A:$U,16,FALSE)</f>
        <v>0</v>
      </c>
      <c r="M245" s="3">
        <f ca="1">VLOOKUP($B245&amp;$C245,data!$A:$U,8,FALSE)</f>
        <v>9</v>
      </c>
      <c r="N245" s="3">
        <f ca="1">VLOOKUP($B245&amp;$C245,data!$A:$U,9,FALSE)</f>
        <v>9</v>
      </c>
      <c r="O245" s="3">
        <f ca="1">VLOOKUP($B245&amp;$C245,data!$A:$U,10,FALSE)</f>
        <v>0</v>
      </c>
      <c r="P245" s="3">
        <f ca="1">VLOOKUP($B245&amp;$C245,data!$A:$U,11,FALSE)</f>
        <v>1</v>
      </c>
      <c r="Q245" s="3">
        <f ca="1">VLOOKUP($B245&amp;$C245,data!$A:$U,12,FALSE)</f>
        <v>0</v>
      </c>
      <c r="R245" s="3">
        <f ca="1">VLOOKUP($B245&amp;$C245,data!$A:$U,13,FALSE)</f>
        <v>0</v>
      </c>
      <c r="S245" s="3">
        <f ca="1">VLOOKUP($B245&amp;$C245,data!$A:$U,5,FALSE)</f>
        <v>10</v>
      </c>
      <c r="T245" s="3">
        <f ca="1">VLOOKUP($B245&amp;$C245,data!$A:$U,6,FALSE)</f>
        <v>10</v>
      </c>
      <c r="U245" s="3">
        <f ca="1">VLOOKUP($B245&amp;$C245,data!$A:$U,7,FALSE)</f>
        <v>0</v>
      </c>
      <c r="V245" s="16"/>
      <c r="W245" s="9"/>
      <c r="X245" s="9"/>
      <c r="Y245" s="3"/>
      <c r="Z245" s="13">
        <f t="shared" ca="1" si="1"/>
        <v>7.7727763889342896</v>
      </c>
    </row>
    <row r="246" spans="1:26" ht="13" x14ac:dyDescent="0.15">
      <c r="A246" s="3">
        <v>245</v>
      </c>
      <c r="B246" s="3" t="s">
        <v>5</v>
      </c>
      <c r="C246" s="3" t="s">
        <v>748</v>
      </c>
      <c r="D246" s="10">
        <f t="shared" ca="1" si="0"/>
        <v>1</v>
      </c>
      <c r="E246" s="5">
        <f ca="1">VLOOKUP($B246&amp;$C246,data!$A:$U,20,FALSE)</f>
        <v>44305.456273148098</v>
      </c>
      <c r="F246" s="3" t="str">
        <f ca="1">VLOOKUP($B246&amp;$C246,data!$A:$U,21,FALSE)</f>
        <v>19.4.2021</v>
      </c>
      <c r="G246" s="3">
        <f ca="1">VLOOKUP($B246&amp;$C246,data!$A:$U,17,FALSE)</f>
        <v>0</v>
      </c>
      <c r="H246" s="3">
        <f ca="1">VLOOKUP($B246&amp;$C246,data!$A:$U,18,FALSE)</f>
        <v>0</v>
      </c>
      <c r="I246" s="3">
        <f ca="1">VLOOKUP($B246&amp;$C246,data!$A:$U,19,FALSE)</f>
        <v>0</v>
      </c>
      <c r="J246" s="3">
        <f ca="1">VLOOKUP($B246&amp;$C246,data!$A:$U,14,FALSE)</f>
        <v>0</v>
      </c>
      <c r="K246" s="3">
        <f ca="1">VLOOKUP($B246&amp;$C246,data!$A:$U,15,FALSE)</f>
        <v>0</v>
      </c>
      <c r="L246" s="3">
        <f ca="1">VLOOKUP($B246&amp;$C246,data!$A:$U,16,FALSE)</f>
        <v>0</v>
      </c>
      <c r="M246" s="3">
        <f ca="1">VLOOKUP($B246&amp;$C246,data!$A:$U,8,FALSE)</f>
        <v>0</v>
      </c>
      <c r="N246" s="3">
        <f ca="1">VLOOKUP($B246&amp;$C246,data!$A:$U,9,FALSE)</f>
        <v>0</v>
      </c>
      <c r="O246" s="3">
        <f ca="1">VLOOKUP($B246&amp;$C246,data!$A:$U,10,FALSE)</f>
        <v>0</v>
      </c>
      <c r="P246" s="3">
        <f ca="1">VLOOKUP($B246&amp;$C246,data!$A:$U,11,FALSE)</f>
        <v>40</v>
      </c>
      <c r="Q246" s="3">
        <f ca="1">VLOOKUP($B246&amp;$C246,data!$A:$U,12,FALSE)</f>
        <v>0</v>
      </c>
      <c r="R246" s="3">
        <f ca="1">VLOOKUP($B246&amp;$C246,data!$A:$U,13,FALSE)</f>
        <v>40</v>
      </c>
      <c r="S246" s="3">
        <f ca="1">VLOOKUP($B246&amp;$C246,data!$A:$U,5,FALSE)</f>
        <v>40</v>
      </c>
      <c r="T246" s="3">
        <f ca="1">VLOOKUP($B246&amp;$C246,data!$A:$U,6,FALSE)</f>
        <v>0</v>
      </c>
      <c r="U246" s="3">
        <f ca="1">VLOOKUP($B246&amp;$C246,data!$A:$U,7,FALSE)</f>
        <v>40</v>
      </c>
      <c r="V246" s="16"/>
      <c r="W246" s="9"/>
      <c r="X246" s="9"/>
      <c r="Y246" s="3"/>
      <c r="Z246" s="13">
        <f t="shared" ca="1" si="1"/>
        <v>0.63063530097861076</v>
      </c>
    </row>
    <row r="247" spans="1:26" ht="13" x14ac:dyDescent="0.15">
      <c r="A247" s="3">
        <v>246</v>
      </c>
      <c r="B247" s="3" t="s">
        <v>7</v>
      </c>
      <c r="C247" s="3" t="s">
        <v>749</v>
      </c>
      <c r="D247" s="10">
        <f t="shared" ca="1" si="0"/>
        <v>0.65217391304347827</v>
      </c>
      <c r="E247" s="5">
        <f ca="1">VLOOKUP($B247&amp;$C247,data!$A:$U,20,FALSE)</f>
        <v>44305.308657407397</v>
      </c>
      <c r="F247" s="3" t="str">
        <f ca="1">VLOOKUP($B247&amp;$C247,data!$A:$U,21,FALSE)</f>
        <v>19.04.2021</v>
      </c>
      <c r="G247" s="3">
        <f ca="1">VLOOKUP($B247&amp;$C247,data!$A:$U,17,FALSE)</f>
        <v>2</v>
      </c>
      <c r="H247" s="3">
        <f ca="1">VLOOKUP($B247&amp;$C247,data!$A:$U,18,FALSE)</f>
        <v>0</v>
      </c>
      <c r="I247" s="3">
        <f ca="1">VLOOKUP($B247&amp;$C247,data!$A:$U,19,FALSE)</f>
        <v>2</v>
      </c>
      <c r="J247" s="3">
        <f ca="1">VLOOKUP($B247&amp;$C247,data!$A:$U,14,FALSE)</f>
        <v>2</v>
      </c>
      <c r="K247" s="3">
        <f ca="1">VLOOKUP($B247&amp;$C247,data!$A:$U,15,FALSE)</f>
        <v>0</v>
      </c>
      <c r="L247" s="3">
        <f ca="1">VLOOKUP($B247&amp;$C247,data!$A:$U,16,FALSE)</f>
        <v>2</v>
      </c>
      <c r="M247" s="3">
        <f ca="1">VLOOKUP($B247&amp;$C247,data!$A:$U,8,FALSE)</f>
        <v>22</v>
      </c>
      <c r="N247" s="3">
        <f ca="1">VLOOKUP($B247&amp;$C247,data!$A:$U,9,FALSE)</f>
        <v>8</v>
      </c>
      <c r="O247" s="3">
        <f ca="1">VLOOKUP($B247&amp;$C247,data!$A:$U,10,FALSE)</f>
        <v>14</v>
      </c>
      <c r="P247" s="3">
        <f ca="1">VLOOKUP($B247&amp;$C247,data!$A:$U,11,FALSE)</f>
        <v>0</v>
      </c>
      <c r="Q247" s="3">
        <f ca="1">VLOOKUP($B247&amp;$C247,data!$A:$U,12,FALSE)</f>
        <v>0</v>
      </c>
      <c r="R247" s="3">
        <f ca="1">VLOOKUP($B247&amp;$C247,data!$A:$U,13,FALSE)</f>
        <v>0</v>
      </c>
      <c r="S247" s="3">
        <f ca="1">VLOOKUP($B247&amp;$C247,data!$A:$U,5,FALSE)</f>
        <v>22</v>
      </c>
      <c r="T247" s="3">
        <f ca="1">VLOOKUP($B247&amp;$C247,data!$A:$U,6,FALSE)</f>
        <v>8</v>
      </c>
      <c r="U247" s="3">
        <f ca="1">VLOOKUP($B247&amp;$C247,data!$A:$U,7,FALSE)</f>
        <v>14</v>
      </c>
      <c r="V247" s="18" t="s">
        <v>750</v>
      </c>
      <c r="W247" s="17" t="s">
        <v>751</v>
      </c>
      <c r="X247" s="17" t="s">
        <v>752</v>
      </c>
      <c r="Y247" s="4" t="s">
        <v>753</v>
      </c>
      <c r="Z247" s="13">
        <f t="shared" ca="1" si="1"/>
        <v>0.77825104168005055</v>
      </c>
    </row>
    <row r="248" spans="1:26" ht="14" x14ac:dyDescent="0.15">
      <c r="A248" s="3">
        <v>247</v>
      </c>
      <c r="B248" s="3" t="s">
        <v>7</v>
      </c>
      <c r="C248" s="3" t="s">
        <v>754</v>
      </c>
      <c r="D248" s="10">
        <f t="shared" ca="1" si="0"/>
        <v>0.10638297872340426</v>
      </c>
      <c r="E248" s="5">
        <f ca="1">VLOOKUP($B248&amp;$C248,data!$A:$U,20,FALSE)</f>
        <v>44305.308472222197</v>
      </c>
      <c r="F248" s="3" t="str">
        <f ca="1">VLOOKUP($B248&amp;$C248,data!$A:$U,21,FALSE)</f>
        <v>19/04/2021</v>
      </c>
      <c r="G248" s="3">
        <f ca="1">VLOOKUP($B248&amp;$C248,data!$A:$U,17,FALSE)</f>
        <v>3</v>
      </c>
      <c r="H248" s="3">
        <f ca="1">VLOOKUP($B248&amp;$C248,data!$A:$U,18,FALSE)</f>
        <v>0</v>
      </c>
      <c r="I248" s="3">
        <f ca="1">VLOOKUP($B248&amp;$C248,data!$A:$U,19,FALSE)</f>
        <v>3</v>
      </c>
      <c r="J248" s="3">
        <f ca="1">VLOOKUP($B248&amp;$C248,data!$A:$U,14,FALSE)</f>
        <v>3</v>
      </c>
      <c r="K248" s="3">
        <f ca="1">VLOOKUP($B248&amp;$C248,data!$A:$U,15,FALSE)</f>
        <v>0</v>
      </c>
      <c r="L248" s="3">
        <f ca="1">VLOOKUP($B248&amp;$C248,data!$A:$U,16,FALSE)</f>
        <v>3</v>
      </c>
      <c r="M248" s="3">
        <f ca="1">VLOOKUP($B248&amp;$C248,data!$A:$U,8,FALSE)</f>
        <v>22</v>
      </c>
      <c r="N248" s="3">
        <f ca="1">VLOOKUP($B248&amp;$C248,data!$A:$U,9,FALSE)</f>
        <v>21</v>
      </c>
      <c r="O248" s="3">
        <f ca="1">VLOOKUP($B248&amp;$C248,data!$A:$U,10,FALSE)</f>
        <v>1</v>
      </c>
      <c r="P248" s="3">
        <f ca="1">VLOOKUP($B248&amp;$C248,data!$A:$U,11,FALSE)</f>
        <v>0</v>
      </c>
      <c r="Q248" s="3">
        <f ca="1">VLOOKUP($B248&amp;$C248,data!$A:$U,12,FALSE)</f>
        <v>0</v>
      </c>
      <c r="R248" s="3">
        <f ca="1">VLOOKUP($B248&amp;$C248,data!$A:$U,13,FALSE)</f>
        <v>0</v>
      </c>
      <c r="S248" s="3">
        <f ca="1">VLOOKUP($B248&amp;$C248,data!$A:$U,5,FALSE)</f>
        <v>22</v>
      </c>
      <c r="T248" s="3">
        <f ca="1">VLOOKUP($B248&amp;$C248,data!$A:$U,6,FALSE)</f>
        <v>21</v>
      </c>
      <c r="U248" s="3">
        <f ca="1">VLOOKUP($B248&amp;$C248,data!$A:$U,7,FALSE)</f>
        <v>1</v>
      </c>
      <c r="V248" s="26" t="s">
        <v>755</v>
      </c>
      <c r="W248" s="17" t="s">
        <v>756</v>
      </c>
      <c r="X248" s="9"/>
      <c r="Y248" s="4" t="s">
        <v>757</v>
      </c>
      <c r="Z248" s="13">
        <f t="shared" ca="1" si="1"/>
        <v>0.77843611113348743</v>
      </c>
    </row>
    <row r="249" spans="1:26" ht="13" x14ac:dyDescent="0.15">
      <c r="A249" s="3">
        <v>248</v>
      </c>
      <c r="B249" s="3" t="s">
        <v>7</v>
      </c>
      <c r="C249" s="3" t="s">
        <v>758</v>
      </c>
      <c r="D249" s="10">
        <f t="shared" ca="1" si="0"/>
        <v>0.42105263157894735</v>
      </c>
      <c r="E249" s="5">
        <f ca="1">VLOOKUP($B249&amp;$C249,data!$A:$U,20,FALSE)</f>
        <v>44305.362129629597</v>
      </c>
      <c r="F249" s="3" t="str">
        <f ca="1">VLOOKUP($B249&amp;$C249,data!$A:$U,21,FALSE)</f>
        <v>19/04/2021</v>
      </c>
      <c r="G249" s="3">
        <f ca="1">VLOOKUP($B249&amp;$C249,data!$A:$U,17,FALSE)</f>
        <v>1</v>
      </c>
      <c r="H249" s="3">
        <f ca="1">VLOOKUP($B249&amp;$C249,data!$A:$U,18,FALSE)</f>
        <v>0</v>
      </c>
      <c r="I249" s="3">
        <f ca="1">VLOOKUP($B249&amp;$C249,data!$A:$U,19,FALSE)</f>
        <v>1</v>
      </c>
      <c r="J249" s="3">
        <f ca="1">VLOOKUP($B249&amp;$C249,data!$A:$U,14,FALSE)</f>
        <v>1</v>
      </c>
      <c r="K249" s="3">
        <f ca="1">VLOOKUP($B249&amp;$C249,data!$A:$U,15,FALSE)</f>
        <v>0</v>
      </c>
      <c r="L249" s="3">
        <f ca="1">VLOOKUP($B249&amp;$C249,data!$A:$U,16,FALSE)</f>
        <v>1</v>
      </c>
      <c r="M249" s="3">
        <f ca="1">VLOOKUP($B249&amp;$C249,data!$A:$U,8,FALSE)</f>
        <v>7</v>
      </c>
      <c r="N249" s="3">
        <f ca="1">VLOOKUP($B249&amp;$C249,data!$A:$U,9,FALSE)</f>
        <v>3</v>
      </c>
      <c r="O249" s="3">
        <f ca="1">VLOOKUP($B249&amp;$C249,data!$A:$U,10,FALSE)</f>
        <v>3</v>
      </c>
      <c r="P249" s="3">
        <f ca="1">VLOOKUP($B249&amp;$C249,data!$A:$U,11,FALSE)</f>
        <v>3</v>
      </c>
      <c r="Q249" s="3">
        <f ca="1">VLOOKUP($B249&amp;$C249,data!$A:$U,12,FALSE)</f>
        <v>1</v>
      </c>
      <c r="R249" s="3">
        <f ca="1">VLOOKUP($B249&amp;$C249,data!$A:$U,13,FALSE)</f>
        <v>0</v>
      </c>
      <c r="S249" s="3">
        <f ca="1">VLOOKUP($B249&amp;$C249,data!$A:$U,5,FALSE)</f>
        <v>8</v>
      </c>
      <c r="T249" s="3">
        <f ca="1">VLOOKUP($B249&amp;$C249,data!$A:$U,6,FALSE)</f>
        <v>4</v>
      </c>
      <c r="U249" s="3">
        <f ca="1">VLOOKUP($B249&amp;$C249,data!$A:$U,7,FALSE)</f>
        <v>4</v>
      </c>
      <c r="V249" s="23" t="s">
        <v>759</v>
      </c>
      <c r="W249" s="17" t="s">
        <v>760</v>
      </c>
      <c r="X249" s="9"/>
      <c r="Y249" s="4" t="s">
        <v>761</v>
      </c>
      <c r="Z249" s="13">
        <f t="shared" ca="1" si="1"/>
        <v>0.72477881947997957</v>
      </c>
    </row>
    <row r="250" spans="1:26" ht="13" x14ac:dyDescent="0.15">
      <c r="A250" s="3">
        <v>249</v>
      </c>
      <c r="B250" s="3" t="s">
        <v>11</v>
      </c>
      <c r="C250" s="3" t="s">
        <v>762</v>
      </c>
      <c r="D250" s="10">
        <f t="shared" ca="1" si="0"/>
        <v>1</v>
      </c>
      <c r="E250" s="5">
        <f ca="1">VLOOKUP($B250&amp;$C250,data!$A:$U,20,FALSE)</f>
        <v>44305.316793981401</v>
      </c>
      <c r="F250" s="3" t="str">
        <f ca="1">VLOOKUP($B250&amp;$C250,data!$A:$U,21,FALSE)</f>
        <v>.</v>
      </c>
      <c r="G250" s="3">
        <f ca="1">VLOOKUP($B250&amp;$C250,data!$A:$U,17,FALSE)</f>
        <v>1</v>
      </c>
      <c r="H250" s="3">
        <f ca="1">VLOOKUP($B250&amp;$C250,data!$A:$U,18,FALSE)</f>
        <v>0</v>
      </c>
      <c r="I250" s="3">
        <f ca="1">VLOOKUP($B250&amp;$C250,data!$A:$U,19,FALSE)</f>
        <v>1</v>
      </c>
      <c r="J250" s="3">
        <f ca="1">VLOOKUP($B250&amp;$C250,data!$A:$U,14,FALSE)</f>
        <v>7</v>
      </c>
      <c r="K250" s="3">
        <f ca="1">VLOOKUP($B250&amp;$C250,data!$A:$U,15,FALSE)</f>
        <v>0</v>
      </c>
      <c r="L250" s="3">
        <f ca="1">VLOOKUP($B250&amp;$C250,data!$A:$U,16,FALSE)</f>
        <v>7</v>
      </c>
      <c r="M250" s="3">
        <f ca="1">VLOOKUP($B250&amp;$C250,data!$A:$U,8,FALSE)</f>
        <v>17</v>
      </c>
      <c r="N250" s="3">
        <f ca="1">VLOOKUP($B250&amp;$C250,data!$A:$U,9,FALSE)</f>
        <v>0</v>
      </c>
      <c r="O250" s="3">
        <f ca="1">VLOOKUP($B250&amp;$C250,data!$A:$U,10,FALSE)</f>
        <v>17</v>
      </c>
      <c r="P250" s="3">
        <f ca="1">VLOOKUP($B250&amp;$C250,data!$A:$U,11,FALSE)</f>
        <v>16</v>
      </c>
      <c r="Q250" s="3">
        <f ca="1">VLOOKUP($B250&amp;$C250,data!$A:$U,12,FALSE)</f>
        <v>0</v>
      </c>
      <c r="R250" s="3">
        <f ca="1">VLOOKUP($B250&amp;$C250,data!$A:$U,13,FALSE)</f>
        <v>16</v>
      </c>
      <c r="S250" s="3">
        <f ca="1">VLOOKUP($B250&amp;$C250,data!$A:$U,5,FALSE)</f>
        <v>40</v>
      </c>
      <c r="T250" s="3">
        <f ca="1">VLOOKUP($B250&amp;$C250,data!$A:$U,6,FALSE)</f>
        <v>0</v>
      </c>
      <c r="U250" s="3">
        <f ca="1">VLOOKUP($B250&amp;$C250,data!$A:$U,7,FALSE)</f>
        <v>40</v>
      </c>
      <c r="V250" s="23" t="s">
        <v>763</v>
      </c>
      <c r="W250" s="17" t="s">
        <v>764</v>
      </c>
      <c r="X250" s="17" t="s">
        <v>765</v>
      </c>
      <c r="Y250" s="4" t="s">
        <v>766</v>
      </c>
      <c r="Z250" s="13">
        <f t="shared" ca="1" si="1"/>
        <v>0.77011446767573943</v>
      </c>
    </row>
    <row r="251" spans="1:26" ht="13" x14ac:dyDescent="0.15">
      <c r="A251" s="3">
        <v>250</v>
      </c>
      <c r="B251" s="3" t="s">
        <v>13</v>
      </c>
      <c r="C251" s="3" t="s">
        <v>767</v>
      </c>
      <c r="D251" s="10">
        <f t="shared" ca="1" si="0"/>
        <v>0.16666666666666666</v>
      </c>
      <c r="E251" s="5">
        <f ca="1">VLOOKUP($B251&amp;$C251,data!$A:$U,20,FALSE)</f>
        <v>44305.417650462899</v>
      </c>
      <c r="F251" s="3" t="str">
        <f ca="1">VLOOKUP($B251&amp;$C251,data!$A:$U,21,FALSE)</f>
        <v>.</v>
      </c>
      <c r="G251" s="3">
        <f ca="1">VLOOKUP($B251&amp;$C251,data!$A:$U,17,FALSE)</f>
        <v>0</v>
      </c>
      <c r="H251" s="3">
        <f ca="1">VLOOKUP($B251&amp;$C251,data!$A:$U,18,FALSE)</f>
        <v>0</v>
      </c>
      <c r="I251" s="3">
        <f ca="1">VLOOKUP($B251&amp;$C251,data!$A:$U,19,FALSE)</f>
        <v>0</v>
      </c>
      <c r="J251" s="3">
        <f ca="1">VLOOKUP($B251&amp;$C251,data!$A:$U,14,FALSE)</f>
        <v>0</v>
      </c>
      <c r="K251" s="3">
        <f ca="1">VLOOKUP($B251&amp;$C251,data!$A:$U,15,FALSE)</f>
        <v>0</v>
      </c>
      <c r="L251" s="3">
        <f ca="1">VLOOKUP($B251&amp;$C251,data!$A:$U,16,FALSE)</f>
        <v>0</v>
      </c>
      <c r="M251" s="3">
        <f ca="1">VLOOKUP($B251&amp;$C251,data!$A:$U,8,FALSE)</f>
        <v>30</v>
      </c>
      <c r="N251" s="3">
        <f ca="1">VLOOKUP($B251&amp;$C251,data!$A:$U,9,FALSE)</f>
        <v>25</v>
      </c>
      <c r="O251" s="3">
        <f ca="1">VLOOKUP($B251&amp;$C251,data!$A:$U,10,FALSE)</f>
        <v>5</v>
      </c>
      <c r="P251" s="3">
        <f ca="1">VLOOKUP($B251&amp;$C251,data!$A:$U,11,FALSE)</f>
        <v>0</v>
      </c>
      <c r="Q251" s="3">
        <f ca="1">VLOOKUP($B251&amp;$C251,data!$A:$U,12,FALSE)</f>
        <v>0</v>
      </c>
      <c r="R251" s="3">
        <f ca="1">VLOOKUP($B251&amp;$C251,data!$A:$U,13,FALSE)</f>
        <v>0</v>
      </c>
      <c r="S251" s="3">
        <f ca="1">VLOOKUP($B251&amp;$C251,data!$A:$U,5,FALSE)</f>
        <v>30</v>
      </c>
      <c r="T251" s="3">
        <f ca="1">VLOOKUP($B251&amp;$C251,data!$A:$U,6,FALSE)</f>
        <v>25</v>
      </c>
      <c r="U251" s="3">
        <f ca="1">VLOOKUP($B251&amp;$C251,data!$A:$U,7,FALSE)</f>
        <v>5</v>
      </c>
      <c r="V251" s="16"/>
      <c r="W251" s="9"/>
      <c r="X251" s="9"/>
      <c r="Y251" s="3"/>
      <c r="Z251" s="13">
        <f t="shared" ca="1" si="1"/>
        <v>0.66925787043146556</v>
      </c>
    </row>
    <row r="252" spans="1:26" ht="13" x14ac:dyDescent="0.15">
      <c r="A252" s="3">
        <v>251</v>
      </c>
      <c r="B252" s="3" t="s">
        <v>14</v>
      </c>
      <c r="C252" s="3" t="s">
        <v>768</v>
      </c>
      <c r="D252" s="10">
        <f t="shared" ca="1" si="0"/>
        <v>0.8125</v>
      </c>
      <c r="E252" s="5">
        <f ca="1">VLOOKUP($B252&amp;$C252,data!$A:$U,20,FALSE)</f>
        <v>44305.481770833299</v>
      </c>
      <c r="F252" s="3" t="str">
        <f ca="1">VLOOKUP($B252&amp;$C252,data!$A:$U,21,FALSE)</f>
        <v>updated 19/04/2021</v>
      </c>
      <c r="G252" s="3">
        <f ca="1">VLOOKUP($B252&amp;$C252,data!$A:$U,17,FALSE)</f>
        <v>4</v>
      </c>
      <c r="H252" s="3">
        <f ca="1">VLOOKUP($B252&amp;$C252,data!$A:$U,18,FALSE)</f>
        <v>0</v>
      </c>
      <c r="I252" s="3">
        <f ca="1">VLOOKUP($B252&amp;$C252,data!$A:$U,19,FALSE)</f>
        <v>4</v>
      </c>
      <c r="J252" s="3">
        <f ca="1">VLOOKUP($B252&amp;$C252,data!$A:$U,14,FALSE)</f>
        <v>4</v>
      </c>
      <c r="K252" s="3">
        <f ca="1">VLOOKUP($B252&amp;$C252,data!$A:$U,15,FALSE)</f>
        <v>0</v>
      </c>
      <c r="L252" s="3">
        <f ca="1">VLOOKUP($B252&amp;$C252,data!$A:$U,16,FALSE)</f>
        <v>4</v>
      </c>
      <c r="M252" s="3">
        <f ca="1">VLOOKUP($B252&amp;$C252,data!$A:$U,8,FALSE)</f>
        <v>4</v>
      </c>
      <c r="N252" s="3">
        <f ca="1">VLOOKUP($B252&amp;$C252,data!$A:$U,9,FALSE)</f>
        <v>0</v>
      </c>
      <c r="O252" s="3">
        <f ca="1">VLOOKUP($B252&amp;$C252,data!$A:$U,10,FALSE)</f>
        <v>4</v>
      </c>
      <c r="P252" s="3">
        <f ca="1">VLOOKUP($B252&amp;$C252,data!$A:$U,11,FALSE)</f>
        <v>8</v>
      </c>
      <c r="Q252" s="3">
        <f ca="1">VLOOKUP($B252&amp;$C252,data!$A:$U,12,FALSE)</f>
        <v>3</v>
      </c>
      <c r="R252" s="3">
        <f ca="1">VLOOKUP($B252&amp;$C252,data!$A:$U,13,FALSE)</f>
        <v>5</v>
      </c>
      <c r="S252" s="3">
        <f ca="1">VLOOKUP($B252&amp;$C252,data!$A:$U,5,FALSE)</f>
        <v>16</v>
      </c>
      <c r="T252" s="3">
        <f ca="1">VLOOKUP($B252&amp;$C252,data!$A:$U,6,FALSE)</f>
        <v>3</v>
      </c>
      <c r="U252" s="3">
        <f ca="1">VLOOKUP($B252&amp;$C252,data!$A:$U,7,FALSE)</f>
        <v>13</v>
      </c>
      <c r="V252" s="18" t="s">
        <v>769</v>
      </c>
      <c r="W252" s="17" t="s">
        <v>770</v>
      </c>
      <c r="X252" s="17" t="s">
        <v>771</v>
      </c>
      <c r="Y252" s="4" t="s">
        <v>772</v>
      </c>
      <c r="Z252" s="13">
        <f t="shared" ca="1" si="1"/>
        <v>0.60513750003156019</v>
      </c>
    </row>
    <row r="253" spans="1:26" ht="13" x14ac:dyDescent="0.15">
      <c r="A253" s="3">
        <v>252</v>
      </c>
      <c r="B253" s="3" t="s">
        <v>21</v>
      </c>
      <c r="C253" s="3" t="s">
        <v>773</v>
      </c>
      <c r="D253" s="10">
        <f t="shared" ca="1" si="0"/>
        <v>0.78378378378378377</v>
      </c>
      <c r="E253" s="5">
        <f ca="1">VLOOKUP($B253&amp;$C253,data!$A:$U,20,FALSE)</f>
        <v>44305.419050925899</v>
      </c>
      <c r="F253" s="3">
        <f ca="1">VLOOKUP($B253&amp;$C253,data!$A:$U,21,FALSE)</f>
        <v>0</v>
      </c>
      <c r="G253" s="3">
        <f ca="1">VLOOKUP($B253&amp;$C253,data!$A:$U,17,FALSE)</f>
        <v>2</v>
      </c>
      <c r="H253" s="3">
        <f ca="1">VLOOKUP($B253&amp;$C253,data!$A:$U,18,FALSE)</f>
        <v>0</v>
      </c>
      <c r="I253" s="3">
        <f ca="1">VLOOKUP($B253&amp;$C253,data!$A:$U,19,FALSE)</f>
        <v>2</v>
      </c>
      <c r="J253" s="3">
        <f ca="1">VLOOKUP($B253&amp;$C253,data!$A:$U,14,FALSE)</f>
        <v>2</v>
      </c>
      <c r="K253" s="3">
        <f ca="1">VLOOKUP($B253&amp;$C253,data!$A:$U,15,FALSE)</f>
        <v>0</v>
      </c>
      <c r="L253" s="3">
        <f ca="1">VLOOKUP($B253&amp;$C253,data!$A:$U,16,FALSE)</f>
        <v>2</v>
      </c>
      <c r="M253" s="3">
        <f ca="1">VLOOKUP($B253&amp;$C253,data!$A:$U,8,FALSE)</f>
        <v>15</v>
      </c>
      <c r="N253" s="3">
        <f ca="1">VLOOKUP($B253&amp;$C253,data!$A:$U,9,FALSE)</f>
        <v>6</v>
      </c>
      <c r="O253" s="3">
        <f ca="1">VLOOKUP($B253&amp;$C253,data!$A:$U,10,FALSE)</f>
        <v>9</v>
      </c>
      <c r="P253" s="3">
        <f ca="1">VLOOKUP($B253&amp;$C253,data!$A:$U,11,FALSE)</f>
        <v>20</v>
      </c>
      <c r="Q253" s="3">
        <f ca="1">VLOOKUP($B253&amp;$C253,data!$A:$U,12,FALSE)</f>
        <v>0</v>
      </c>
      <c r="R253" s="3">
        <f ca="1">VLOOKUP($B253&amp;$C253,data!$A:$U,13,FALSE)</f>
        <v>20</v>
      </c>
      <c r="S253" s="3">
        <f ca="1">VLOOKUP($B253&amp;$C253,data!$A:$U,5,FALSE)</f>
        <v>37</v>
      </c>
      <c r="T253" s="3">
        <f ca="1">VLOOKUP($B253&amp;$C253,data!$A:$U,6,FALSE)</f>
        <v>10</v>
      </c>
      <c r="U253" s="3">
        <f ca="1">VLOOKUP($B253&amp;$C253,data!$A:$U,7,FALSE)</f>
        <v>27</v>
      </c>
      <c r="V253" s="23" t="s">
        <v>774</v>
      </c>
      <c r="W253" s="17" t="s">
        <v>775</v>
      </c>
      <c r="X253" s="9"/>
      <c r="Y253" s="4" t="s">
        <v>776</v>
      </c>
      <c r="Z253" s="13">
        <f t="shared" ca="1" si="1"/>
        <v>0.66785752317809965</v>
      </c>
    </row>
    <row r="254" spans="1:26" ht="13" x14ac:dyDescent="0.15">
      <c r="A254" s="3">
        <v>253</v>
      </c>
      <c r="B254" s="3" t="s">
        <v>22</v>
      </c>
      <c r="C254" s="3" t="s">
        <v>777</v>
      </c>
      <c r="D254" s="10">
        <f t="shared" ca="1" si="0"/>
        <v>1</v>
      </c>
      <c r="E254" s="5">
        <f ca="1">VLOOKUP($B254&amp;$C254,data!$A:$U,20,FALSE)</f>
        <v>44305.444942129601</v>
      </c>
      <c r="F254" s="3" t="str">
        <f ca="1">VLOOKUP($B254&amp;$C254,data!$A:$U,21,FALSE)</f>
        <v>19-04-2021</v>
      </c>
      <c r="G254" s="3">
        <f ca="1">VLOOKUP($B254&amp;$C254,data!$A:$U,17,FALSE)</f>
        <v>1</v>
      </c>
      <c r="H254" s="3">
        <f ca="1">VLOOKUP($B254&amp;$C254,data!$A:$U,18,FALSE)</f>
        <v>0</v>
      </c>
      <c r="I254" s="3">
        <f ca="1">VLOOKUP($B254&amp;$C254,data!$A:$U,19,FALSE)</f>
        <v>1</v>
      </c>
      <c r="J254" s="3">
        <f ca="1">VLOOKUP($B254&amp;$C254,data!$A:$U,14,FALSE)</f>
        <v>0</v>
      </c>
      <c r="K254" s="3">
        <f ca="1">VLOOKUP($B254&amp;$C254,data!$A:$U,15,FALSE)</f>
        <v>0</v>
      </c>
      <c r="L254" s="3">
        <f ca="1">VLOOKUP($B254&amp;$C254,data!$A:$U,16,FALSE)</f>
        <v>0</v>
      </c>
      <c r="M254" s="3">
        <f ca="1">VLOOKUP($B254&amp;$C254,data!$A:$U,8,FALSE)</f>
        <v>8</v>
      </c>
      <c r="N254" s="3">
        <f ca="1">VLOOKUP($B254&amp;$C254,data!$A:$U,9,FALSE)</f>
        <v>0</v>
      </c>
      <c r="O254" s="3">
        <f ca="1">VLOOKUP($B254&amp;$C254,data!$A:$U,10,FALSE)</f>
        <v>8</v>
      </c>
      <c r="P254" s="3">
        <f ca="1">VLOOKUP($B254&amp;$C254,data!$A:$U,11,FALSE)</f>
        <v>10</v>
      </c>
      <c r="Q254" s="3">
        <f ca="1">VLOOKUP($B254&amp;$C254,data!$A:$U,12,FALSE)</f>
        <v>0</v>
      </c>
      <c r="R254" s="3">
        <f ca="1">VLOOKUP($B254&amp;$C254,data!$A:$U,13,FALSE)</f>
        <v>10</v>
      </c>
      <c r="S254" s="3">
        <f ca="1">VLOOKUP($B254&amp;$C254,data!$A:$U,5,FALSE)</f>
        <v>18</v>
      </c>
      <c r="T254" s="3">
        <f ca="1">VLOOKUP($B254&amp;$C254,data!$A:$U,6,FALSE)</f>
        <v>0</v>
      </c>
      <c r="U254" s="3">
        <f ca="1">VLOOKUP($B254&amp;$C254,data!$A:$U,7,FALSE)</f>
        <v>18</v>
      </c>
      <c r="V254" s="11" t="s">
        <v>778</v>
      </c>
      <c r="W254" s="9"/>
      <c r="X254" s="25"/>
      <c r="Y254" s="28"/>
      <c r="Z254" s="13">
        <f t="shared" ca="1" si="1"/>
        <v>0.641966319475614</v>
      </c>
    </row>
    <row r="255" spans="1:26" ht="13" x14ac:dyDescent="0.15">
      <c r="A255" s="3">
        <v>254</v>
      </c>
      <c r="B255" s="3" t="s">
        <v>22</v>
      </c>
      <c r="C255" s="3" t="s">
        <v>779</v>
      </c>
      <c r="D255" s="10">
        <f t="shared" ca="1" si="0"/>
        <v>0.48148148148148145</v>
      </c>
      <c r="E255" s="5">
        <f ca="1">VLOOKUP($B255&amp;$C255,data!$A:$U,20,FALSE)</f>
        <v>44305.362581018497</v>
      </c>
      <c r="F255" s="3" t="str">
        <f ca="1">VLOOKUP($B255&amp;$C255,data!$A:$U,21,FALSE)</f>
        <v>19.04.2021</v>
      </c>
      <c r="G255" s="3">
        <f ca="1">VLOOKUP($B255&amp;$C255,data!$A:$U,17,FALSE)</f>
        <v>1</v>
      </c>
      <c r="H255" s="3">
        <f ca="1">VLOOKUP($B255&amp;$C255,data!$A:$U,18,FALSE)</f>
        <v>0</v>
      </c>
      <c r="I255" s="3">
        <f ca="1">VLOOKUP($B255&amp;$C255,data!$A:$U,19,FALSE)</f>
        <v>0</v>
      </c>
      <c r="J255" s="3">
        <f ca="1">VLOOKUP($B255&amp;$C255,data!$A:$U,14,FALSE)</f>
        <v>1</v>
      </c>
      <c r="K255" s="3">
        <f ca="1">VLOOKUP($B255&amp;$C255,data!$A:$U,15,FALSE)</f>
        <v>0</v>
      </c>
      <c r="L255" s="3">
        <f ca="1">VLOOKUP($B255&amp;$C255,data!$A:$U,16,FALSE)</f>
        <v>0</v>
      </c>
      <c r="M255" s="3">
        <f ca="1">VLOOKUP($B255&amp;$C255,data!$A:$U,8,FALSE)</f>
        <v>9</v>
      </c>
      <c r="N255" s="3">
        <f ca="1">VLOOKUP($B255&amp;$C255,data!$A:$U,9,FALSE)</f>
        <v>9</v>
      </c>
      <c r="O255" s="3">
        <f ca="1">VLOOKUP($B255&amp;$C255,data!$A:$U,10,FALSE)</f>
        <v>0</v>
      </c>
      <c r="P255" s="3">
        <f ca="1">VLOOKUP($B255&amp;$C255,data!$A:$U,11,FALSE)</f>
        <v>4</v>
      </c>
      <c r="Q255" s="3">
        <f ca="1">VLOOKUP($B255&amp;$C255,data!$A:$U,12,FALSE)</f>
        <v>0</v>
      </c>
      <c r="R255" s="3">
        <f ca="1">VLOOKUP($B255&amp;$C255,data!$A:$U,13,FALSE)</f>
        <v>0</v>
      </c>
      <c r="S255" s="3">
        <f ca="1">VLOOKUP($B255&amp;$C255,data!$A:$U,5,FALSE)</f>
        <v>13</v>
      </c>
      <c r="T255" s="3">
        <f ca="1">VLOOKUP($B255&amp;$C255,data!$A:$U,6,FALSE)</f>
        <v>0</v>
      </c>
      <c r="U255" s="3">
        <f ca="1">VLOOKUP($B255&amp;$C255,data!$A:$U,7,FALSE)</f>
        <v>13</v>
      </c>
      <c r="V255" s="16"/>
      <c r="W255" s="9"/>
      <c r="X255" s="9"/>
      <c r="Y255" s="3"/>
      <c r="Z255" s="13">
        <f t="shared" ca="1" si="1"/>
        <v>0.72432731483422685</v>
      </c>
    </row>
    <row r="256" spans="1:26" ht="13" x14ac:dyDescent="0.15">
      <c r="A256" s="3">
        <v>255</v>
      </c>
      <c r="B256" s="3" t="s">
        <v>27</v>
      </c>
      <c r="C256" s="3" t="s">
        <v>780</v>
      </c>
      <c r="D256" s="10">
        <f t="shared" ca="1" si="0"/>
        <v>3.0303030303030304E-2</v>
      </c>
      <c r="E256" s="5">
        <f ca="1">VLOOKUP($B256&amp;$C256,data!$A:$U,20,FALSE)</f>
        <v>44305.463726851798</v>
      </c>
      <c r="F256" s="3">
        <f ca="1">VLOOKUP($B256&amp;$C256,data!$A:$U,21,FALSE)</f>
        <v>0</v>
      </c>
      <c r="G256" s="3">
        <f ca="1">VLOOKUP($B256&amp;$C256,data!$A:$U,17,FALSE)</f>
        <v>1</v>
      </c>
      <c r="H256" s="3">
        <f ca="1">VLOOKUP($B256&amp;$C256,data!$A:$U,18,FALSE)</f>
        <v>0</v>
      </c>
      <c r="I256" s="3">
        <f ca="1">VLOOKUP($B256&amp;$C256,data!$A:$U,19,FALSE)</f>
        <v>1</v>
      </c>
      <c r="J256" s="3">
        <f ca="1">VLOOKUP($B256&amp;$C256,data!$A:$U,14,FALSE)</f>
        <v>3</v>
      </c>
      <c r="K256" s="3">
        <f ca="1">VLOOKUP($B256&amp;$C256,data!$A:$U,15,FALSE)</f>
        <v>2</v>
      </c>
      <c r="L256" s="3">
        <f ca="1">VLOOKUP($B256&amp;$C256,data!$A:$U,16,FALSE)</f>
        <v>1</v>
      </c>
      <c r="M256" s="3">
        <f ca="1">VLOOKUP($B256&amp;$C256,data!$A:$U,8,FALSE)</f>
        <v>15</v>
      </c>
      <c r="N256" s="3">
        <f ca="1">VLOOKUP($B256&amp;$C256,data!$A:$U,9,FALSE)</f>
        <v>15</v>
      </c>
      <c r="O256" s="3">
        <f ca="1">VLOOKUP($B256&amp;$C256,data!$A:$U,10,FALSE)</f>
        <v>0</v>
      </c>
      <c r="P256" s="3">
        <f ca="1">VLOOKUP($B256&amp;$C256,data!$A:$U,11,FALSE)</f>
        <v>0</v>
      </c>
      <c r="Q256" s="3">
        <f ca="1">VLOOKUP($B256&amp;$C256,data!$A:$U,12,FALSE)</f>
        <v>0</v>
      </c>
      <c r="R256" s="3">
        <f ca="1">VLOOKUP($B256&amp;$C256,data!$A:$U,13,FALSE)</f>
        <v>0</v>
      </c>
      <c r="S256" s="3">
        <f ca="1">VLOOKUP($B256&amp;$C256,data!$A:$U,5,FALSE)</f>
        <v>15</v>
      </c>
      <c r="T256" s="3">
        <f ca="1">VLOOKUP($B256&amp;$C256,data!$A:$U,6,FALSE)</f>
        <v>15</v>
      </c>
      <c r="U256" s="3">
        <f ca="1">VLOOKUP($B256&amp;$C256,data!$A:$U,7,FALSE)</f>
        <v>0</v>
      </c>
      <c r="V256" s="11" t="s">
        <v>781</v>
      </c>
      <c r="W256" s="17" t="s">
        <v>782</v>
      </c>
      <c r="X256" s="17" t="s">
        <v>783</v>
      </c>
      <c r="Y256" s="4" t="s">
        <v>784</v>
      </c>
      <c r="Z256" s="13">
        <f t="shared" ca="1" si="1"/>
        <v>0.62318159727874445</v>
      </c>
    </row>
    <row r="257" spans="1:26" ht="13" x14ac:dyDescent="0.15">
      <c r="A257" s="3">
        <v>256</v>
      </c>
      <c r="B257" s="3" t="s">
        <v>29</v>
      </c>
      <c r="C257" s="3" t="s">
        <v>785</v>
      </c>
      <c r="D257" s="10">
        <f t="shared" ca="1" si="0"/>
        <v>1</v>
      </c>
      <c r="E257" s="5">
        <f ca="1">VLOOKUP($B257&amp;$C257,data!$A:$U,20,FALSE)</f>
        <v>44305.4159837962</v>
      </c>
      <c r="F257" s="3" t="str">
        <f ca="1">VLOOKUP($B257&amp;$C257,data!$A:$U,21,FALSE)</f>
        <v>Nil..</v>
      </c>
      <c r="G257" s="3">
        <f ca="1">VLOOKUP($B257&amp;$C257,data!$A:$U,17,FALSE)</f>
        <v>1</v>
      </c>
      <c r="H257" s="3">
        <f ca="1">VLOOKUP($B257&amp;$C257,data!$A:$U,18,FALSE)</f>
        <v>0</v>
      </c>
      <c r="I257" s="3">
        <f ca="1">VLOOKUP($B257&amp;$C257,data!$A:$U,19,FALSE)</f>
        <v>1</v>
      </c>
      <c r="J257" s="3">
        <f ca="1">VLOOKUP($B257&amp;$C257,data!$A:$U,14,FALSE)</f>
        <v>1</v>
      </c>
      <c r="K257" s="3">
        <f ca="1">VLOOKUP($B257&amp;$C257,data!$A:$U,15,FALSE)</f>
        <v>0</v>
      </c>
      <c r="L257" s="3">
        <f ca="1">VLOOKUP($B257&amp;$C257,data!$A:$U,16,FALSE)</f>
        <v>1</v>
      </c>
      <c r="M257" s="3">
        <f ca="1">VLOOKUP($B257&amp;$C257,data!$A:$U,8,FALSE)</f>
        <v>6</v>
      </c>
      <c r="N257" s="3">
        <f ca="1">VLOOKUP($B257&amp;$C257,data!$A:$U,9,FALSE)</f>
        <v>0</v>
      </c>
      <c r="O257" s="3">
        <f ca="1">VLOOKUP($B257&amp;$C257,data!$A:$U,10,FALSE)</f>
        <v>6</v>
      </c>
      <c r="P257" s="3">
        <f ca="1">VLOOKUP($B257&amp;$C257,data!$A:$U,11,FALSE)</f>
        <v>11</v>
      </c>
      <c r="Q257" s="3">
        <f ca="1">VLOOKUP($B257&amp;$C257,data!$A:$U,12,FALSE)</f>
        <v>0</v>
      </c>
      <c r="R257" s="3">
        <f ca="1">VLOOKUP($B257&amp;$C257,data!$A:$U,13,FALSE)</f>
        <v>11</v>
      </c>
      <c r="S257" s="3">
        <f ca="1">VLOOKUP($B257&amp;$C257,data!$A:$U,5,FALSE)</f>
        <v>18</v>
      </c>
      <c r="T257" s="3">
        <f ca="1">VLOOKUP($B257&amp;$C257,data!$A:$U,6,FALSE)</f>
        <v>0</v>
      </c>
      <c r="U257" s="3">
        <f ca="1">VLOOKUP($B257&amp;$C257,data!$A:$U,7,FALSE)</f>
        <v>18</v>
      </c>
      <c r="V257" s="11" t="s">
        <v>786</v>
      </c>
      <c r="W257" s="17" t="s">
        <v>787</v>
      </c>
      <c r="X257" s="9"/>
      <c r="Y257" s="4" t="s">
        <v>788</v>
      </c>
      <c r="Z257" s="13">
        <f t="shared" ca="1" si="1"/>
        <v>0.67092465287714731</v>
      </c>
    </row>
    <row r="258" spans="1:26" ht="13" x14ac:dyDescent="0.15">
      <c r="A258" s="3">
        <v>257</v>
      </c>
      <c r="B258" s="3" t="s">
        <v>4</v>
      </c>
      <c r="C258" s="3" t="s">
        <v>789</v>
      </c>
      <c r="D258" s="10">
        <f t="shared" ca="1" si="0"/>
        <v>0</v>
      </c>
      <c r="E258" s="5">
        <f ca="1">VLOOKUP($B258&amp;$C258,data!$A:$U,20,FALSE)</f>
        <v>44305.278090277701</v>
      </c>
      <c r="F258" s="3" t="str">
        <f ca="1">VLOOKUP($B258&amp;$C258,data!$A:$U,21,FALSE)</f>
        <v>19-04-2021</v>
      </c>
      <c r="G258" s="3">
        <f ca="1">VLOOKUP($B258&amp;$C258,data!$A:$U,17,FALSE)</f>
        <v>4</v>
      </c>
      <c r="H258" s="3">
        <f ca="1">VLOOKUP($B258&amp;$C258,data!$A:$U,18,FALSE)</f>
        <v>4</v>
      </c>
      <c r="I258" s="3">
        <f ca="1">VLOOKUP($B258&amp;$C258,data!$A:$U,19,FALSE)</f>
        <v>0</v>
      </c>
      <c r="J258" s="3">
        <f ca="1">VLOOKUP($B258&amp;$C258,data!$A:$U,14,FALSE)</f>
        <v>4</v>
      </c>
      <c r="K258" s="3">
        <f ca="1">VLOOKUP($B258&amp;$C258,data!$A:$U,15,FALSE)</f>
        <v>4</v>
      </c>
      <c r="L258" s="3">
        <f ca="1">VLOOKUP($B258&amp;$C258,data!$A:$U,16,FALSE)</f>
        <v>0</v>
      </c>
      <c r="M258" s="3">
        <f ca="1">VLOOKUP($B258&amp;$C258,data!$A:$U,8,FALSE)</f>
        <v>26</v>
      </c>
      <c r="N258" s="3">
        <f ca="1">VLOOKUP($B258&amp;$C258,data!$A:$U,9,FALSE)</f>
        <v>26</v>
      </c>
      <c r="O258" s="3">
        <f ca="1">VLOOKUP($B258&amp;$C258,data!$A:$U,10,FALSE)</f>
        <v>0</v>
      </c>
      <c r="P258" s="3">
        <f ca="1">VLOOKUP($B258&amp;$C258,data!$A:$U,11,FALSE)</f>
        <v>0</v>
      </c>
      <c r="Q258" s="3">
        <f ca="1">VLOOKUP($B258&amp;$C258,data!$A:$U,12,FALSE)</f>
        <v>0</v>
      </c>
      <c r="R258" s="3">
        <f ca="1">VLOOKUP($B258&amp;$C258,data!$A:$U,13,FALSE)</f>
        <v>0</v>
      </c>
      <c r="S258" s="3">
        <f ca="1">VLOOKUP($B258&amp;$C258,data!$A:$U,5,FALSE)</f>
        <v>30</v>
      </c>
      <c r="T258" s="3">
        <f ca="1">VLOOKUP($B258&amp;$C258,data!$A:$U,6,FALSE)</f>
        <v>30</v>
      </c>
      <c r="U258" s="3">
        <f ca="1">VLOOKUP($B258&amp;$C258,data!$A:$U,7,FALSE)</f>
        <v>0</v>
      </c>
      <c r="V258" s="16"/>
      <c r="W258" s="9"/>
      <c r="X258" s="9"/>
      <c r="Y258" s="3"/>
      <c r="Z258" s="13">
        <f t="shared" ca="1" si="1"/>
        <v>0.80881805562967202</v>
      </c>
    </row>
    <row r="259" spans="1:26" ht="13" x14ac:dyDescent="0.15">
      <c r="A259" s="3">
        <v>258</v>
      </c>
      <c r="B259" s="3" t="s">
        <v>7</v>
      </c>
      <c r="C259" s="3" t="s">
        <v>790</v>
      </c>
      <c r="D259" s="10">
        <f t="shared" ca="1" si="0"/>
        <v>0.44</v>
      </c>
      <c r="E259" s="5">
        <f ca="1">VLOOKUP($B259&amp;$C259,data!$A:$U,20,FALSE)</f>
        <v>44305.350763888797</v>
      </c>
      <c r="F259" s="3" t="str">
        <f ca="1">VLOOKUP($B259&amp;$C259,data!$A:$U,21,FALSE)</f>
        <v>19.04.2021</v>
      </c>
      <c r="G259" s="3">
        <f ca="1">VLOOKUP($B259&amp;$C259,data!$A:$U,17,FALSE)</f>
        <v>1</v>
      </c>
      <c r="H259" s="3">
        <f ca="1">VLOOKUP($B259&amp;$C259,data!$A:$U,18,FALSE)</f>
        <v>0</v>
      </c>
      <c r="I259" s="3">
        <f ca="1">VLOOKUP($B259&amp;$C259,data!$A:$U,19,FALSE)</f>
        <v>1</v>
      </c>
      <c r="J259" s="3">
        <f ca="1">VLOOKUP($B259&amp;$C259,data!$A:$U,14,FALSE)</f>
        <v>5</v>
      </c>
      <c r="K259" s="3">
        <f ca="1">VLOOKUP($B259&amp;$C259,data!$A:$U,15,FALSE)</f>
        <v>0</v>
      </c>
      <c r="L259" s="3">
        <f ca="1">VLOOKUP($B259&amp;$C259,data!$A:$U,16,FALSE)</f>
        <v>5</v>
      </c>
      <c r="M259" s="3">
        <f ca="1">VLOOKUP($B259&amp;$C259,data!$A:$U,8,FALSE)</f>
        <v>10</v>
      </c>
      <c r="N259" s="3">
        <f ca="1">VLOOKUP($B259&amp;$C259,data!$A:$U,9,FALSE)</f>
        <v>4</v>
      </c>
      <c r="O259" s="3">
        <f ca="1">VLOOKUP($B259&amp;$C259,data!$A:$U,10,FALSE)</f>
        <v>6</v>
      </c>
      <c r="P259" s="3">
        <f ca="1">VLOOKUP($B259&amp;$C259,data!$A:$U,11,FALSE)</f>
        <v>10</v>
      </c>
      <c r="Q259" s="3">
        <f ca="1">VLOOKUP($B259&amp;$C259,data!$A:$U,12,FALSE)</f>
        <v>10</v>
      </c>
      <c r="R259" s="3">
        <f ca="1">VLOOKUP($B259&amp;$C259,data!$A:$U,13,FALSE)</f>
        <v>0</v>
      </c>
      <c r="S259" s="3">
        <f ca="1">VLOOKUP($B259&amp;$C259,data!$A:$U,5,FALSE)</f>
        <v>25</v>
      </c>
      <c r="T259" s="3">
        <f ca="1">VLOOKUP($B259&amp;$C259,data!$A:$U,6,FALSE)</f>
        <v>14</v>
      </c>
      <c r="U259" s="3">
        <f ca="1">VLOOKUP($B259&amp;$C259,data!$A:$U,7,FALSE)</f>
        <v>11</v>
      </c>
      <c r="V259" s="23" t="s">
        <v>791</v>
      </c>
      <c r="W259" s="17" t="s">
        <v>792</v>
      </c>
      <c r="X259" s="9"/>
      <c r="Y259" s="4" t="s">
        <v>793</v>
      </c>
      <c r="Z259" s="13">
        <f t="shared" ca="1" si="1"/>
        <v>0.73614456028008135</v>
      </c>
    </row>
    <row r="260" spans="1:26" ht="13" x14ac:dyDescent="0.15">
      <c r="A260" s="3">
        <v>259</v>
      </c>
      <c r="B260" s="3" t="s">
        <v>14</v>
      </c>
      <c r="C260" s="3" t="s">
        <v>794</v>
      </c>
      <c r="D260" s="10">
        <f t="shared" ca="1" si="0"/>
        <v>0.38235294117647056</v>
      </c>
      <c r="E260" s="5">
        <f ca="1">VLOOKUP($B260&amp;$C260,data!$A:$U,20,FALSE)</f>
        <v>44305.480879629598</v>
      </c>
      <c r="F260" s="3" t="str">
        <f ca="1">VLOOKUP($B260&amp;$C260,data!$A:$U,21,FALSE)</f>
        <v>No changes 19.04.2021</v>
      </c>
      <c r="G260" s="3">
        <f ca="1">VLOOKUP($B260&amp;$C260,data!$A:$U,17,FALSE)</f>
        <v>0</v>
      </c>
      <c r="H260" s="3">
        <f ca="1">VLOOKUP($B260&amp;$C260,data!$A:$U,18,FALSE)</f>
        <v>0</v>
      </c>
      <c r="I260" s="3">
        <f ca="1">VLOOKUP($B260&amp;$C260,data!$A:$U,19,FALSE)</f>
        <v>0</v>
      </c>
      <c r="J260" s="3">
        <f ca="1">VLOOKUP($B260&amp;$C260,data!$A:$U,14,FALSE)</f>
        <v>4</v>
      </c>
      <c r="K260" s="3">
        <f ca="1">VLOOKUP($B260&amp;$C260,data!$A:$U,15,FALSE)</f>
        <v>0</v>
      </c>
      <c r="L260" s="3">
        <f ca="1">VLOOKUP($B260&amp;$C260,data!$A:$U,16,FALSE)</f>
        <v>3</v>
      </c>
      <c r="M260" s="3">
        <f ca="1">VLOOKUP($B260&amp;$C260,data!$A:$U,8,FALSE)</f>
        <v>10</v>
      </c>
      <c r="N260" s="3">
        <f ca="1">VLOOKUP($B260&amp;$C260,data!$A:$U,9,FALSE)</f>
        <v>0</v>
      </c>
      <c r="O260" s="3">
        <f ca="1">VLOOKUP($B260&amp;$C260,data!$A:$U,10,FALSE)</f>
        <v>0</v>
      </c>
      <c r="P260" s="3">
        <f ca="1">VLOOKUP($B260&amp;$C260,data!$A:$U,11,FALSE)</f>
        <v>10</v>
      </c>
      <c r="Q260" s="3">
        <f ca="1">VLOOKUP($B260&amp;$C260,data!$A:$U,12,FALSE)</f>
        <v>0</v>
      </c>
      <c r="R260" s="3">
        <f ca="1">VLOOKUP($B260&amp;$C260,data!$A:$U,13,FALSE)</f>
        <v>0</v>
      </c>
      <c r="S260" s="3">
        <f ca="1">VLOOKUP($B260&amp;$C260,data!$A:$U,5,FALSE)</f>
        <v>10</v>
      </c>
      <c r="T260" s="3">
        <f ca="1">VLOOKUP($B260&amp;$C260,data!$A:$U,6,FALSE)</f>
        <v>0</v>
      </c>
      <c r="U260" s="3">
        <f ca="1">VLOOKUP($B260&amp;$C260,data!$A:$U,7,FALSE)</f>
        <v>10</v>
      </c>
      <c r="V260" s="16"/>
      <c r="W260" s="9"/>
      <c r="X260" s="9"/>
      <c r="Y260" s="3"/>
      <c r="Z260" s="13">
        <f t="shared" ca="1" si="1"/>
        <v>0.60602870373259066</v>
      </c>
    </row>
    <row r="261" spans="1:26" ht="13" x14ac:dyDescent="0.15">
      <c r="A261" s="3">
        <v>260</v>
      </c>
      <c r="B261" s="3" t="s">
        <v>14</v>
      </c>
      <c r="C261" s="3" t="s">
        <v>795</v>
      </c>
      <c r="D261" s="10">
        <f t="shared" ca="1" si="0"/>
        <v>1</v>
      </c>
      <c r="E261" s="5">
        <f ca="1">VLOOKUP($B261&amp;$C261,data!$A:$U,20,FALSE)</f>
        <v>44305.315254629597</v>
      </c>
      <c r="F261" s="3" t="str">
        <f ca="1">VLOOKUP($B261&amp;$C261,data!$A:$U,21,FALSE)</f>
        <v>Updated on 19.04.2021</v>
      </c>
      <c r="G261" s="3">
        <f ca="1">VLOOKUP($B261&amp;$C261,data!$A:$U,17,FALSE)</f>
        <v>1</v>
      </c>
      <c r="H261" s="3">
        <f ca="1">VLOOKUP($B261&amp;$C261,data!$A:$U,18,FALSE)</f>
        <v>0</v>
      </c>
      <c r="I261" s="3">
        <f ca="1">VLOOKUP($B261&amp;$C261,data!$A:$U,19,FALSE)</f>
        <v>1</v>
      </c>
      <c r="J261" s="3">
        <f ca="1">VLOOKUP($B261&amp;$C261,data!$A:$U,14,FALSE)</f>
        <v>2</v>
      </c>
      <c r="K261" s="3">
        <f ca="1">VLOOKUP($B261&amp;$C261,data!$A:$U,15,FALSE)</f>
        <v>0</v>
      </c>
      <c r="L261" s="3">
        <f ca="1">VLOOKUP($B261&amp;$C261,data!$A:$U,16,FALSE)</f>
        <v>2</v>
      </c>
      <c r="M261" s="3">
        <f ca="1">VLOOKUP($B261&amp;$C261,data!$A:$U,8,FALSE)</f>
        <v>2</v>
      </c>
      <c r="N261" s="3">
        <f ca="1">VLOOKUP($B261&amp;$C261,data!$A:$U,9,FALSE)</f>
        <v>0</v>
      </c>
      <c r="O261" s="3">
        <f ca="1">VLOOKUP($B261&amp;$C261,data!$A:$U,10,FALSE)</f>
        <v>2</v>
      </c>
      <c r="P261" s="3">
        <f ca="1">VLOOKUP($B261&amp;$C261,data!$A:$U,11,FALSE)</f>
        <v>6</v>
      </c>
      <c r="Q261" s="3">
        <f ca="1">VLOOKUP($B261&amp;$C261,data!$A:$U,12,FALSE)</f>
        <v>0</v>
      </c>
      <c r="R261" s="3">
        <f ca="1">VLOOKUP($B261&amp;$C261,data!$A:$U,13,FALSE)</f>
        <v>6</v>
      </c>
      <c r="S261" s="3">
        <f ca="1">VLOOKUP($B261&amp;$C261,data!$A:$U,5,FALSE)</f>
        <v>10</v>
      </c>
      <c r="T261" s="3">
        <f ca="1">VLOOKUP($B261&amp;$C261,data!$A:$U,6,FALSE)</f>
        <v>0</v>
      </c>
      <c r="U261" s="3">
        <f ca="1">VLOOKUP($B261&amp;$C261,data!$A:$U,7,FALSE)</f>
        <v>10</v>
      </c>
      <c r="V261" s="23" t="s">
        <v>796</v>
      </c>
      <c r="W261" s="17" t="s">
        <v>797</v>
      </c>
      <c r="X261" s="9"/>
      <c r="Y261" s="4" t="s">
        <v>798</v>
      </c>
      <c r="Z261" s="13">
        <f t="shared" ca="1" si="1"/>
        <v>0.77165381947997957</v>
      </c>
    </row>
    <row r="262" spans="1:26" ht="13" x14ac:dyDescent="0.15">
      <c r="A262" s="3">
        <v>261</v>
      </c>
      <c r="B262" s="3" t="s">
        <v>22</v>
      </c>
      <c r="C262" s="3" t="s">
        <v>799</v>
      </c>
      <c r="D262" s="10">
        <f t="shared" ca="1" si="0"/>
        <v>0.96363636363636362</v>
      </c>
      <c r="E262" s="5">
        <f ca="1">VLOOKUP($B262&amp;$C262,data!$A:$U,20,FALSE)</f>
        <v>44305.417488425897</v>
      </c>
      <c r="F262" s="3" t="str">
        <f ca="1">VLOOKUP($B262&amp;$C262,data!$A:$U,21,FALSE)</f>
        <v>Updated</v>
      </c>
      <c r="G262" s="3">
        <f ca="1">VLOOKUP($B262&amp;$C262,data!$A:$U,17,FALSE)</f>
        <v>1</v>
      </c>
      <c r="H262" s="3">
        <f ca="1">VLOOKUP($B262&amp;$C262,data!$A:$U,18,FALSE)</f>
        <v>0</v>
      </c>
      <c r="I262" s="3">
        <f ca="1">VLOOKUP($B262&amp;$C262,data!$A:$U,19,FALSE)</f>
        <v>1</v>
      </c>
      <c r="J262" s="3">
        <f ca="1">VLOOKUP($B262&amp;$C262,data!$A:$U,14,FALSE)</f>
        <v>10</v>
      </c>
      <c r="K262" s="3">
        <f ca="1">VLOOKUP($B262&amp;$C262,data!$A:$U,15,FALSE)</f>
        <v>0</v>
      </c>
      <c r="L262" s="3">
        <f ca="1">VLOOKUP($B262&amp;$C262,data!$A:$U,16,FALSE)</f>
        <v>10</v>
      </c>
      <c r="M262" s="3">
        <f ca="1">VLOOKUP($B262&amp;$C262,data!$A:$U,8,FALSE)</f>
        <v>10</v>
      </c>
      <c r="N262" s="3">
        <f ca="1">VLOOKUP($B262&amp;$C262,data!$A:$U,9,FALSE)</f>
        <v>1</v>
      </c>
      <c r="O262" s="3">
        <f ca="1">VLOOKUP($B262&amp;$C262,data!$A:$U,10,FALSE)</f>
        <v>9</v>
      </c>
      <c r="P262" s="3">
        <f ca="1">VLOOKUP($B262&amp;$C262,data!$A:$U,11,FALSE)</f>
        <v>40</v>
      </c>
      <c r="Q262" s="3">
        <f ca="1">VLOOKUP($B262&amp;$C262,data!$A:$U,12,FALSE)</f>
        <v>1</v>
      </c>
      <c r="R262" s="3">
        <f ca="1">VLOOKUP($B262&amp;$C262,data!$A:$U,13,FALSE)</f>
        <v>39</v>
      </c>
      <c r="S262" s="3">
        <f ca="1">VLOOKUP($B262&amp;$C262,data!$A:$U,5,FALSE)</f>
        <v>50</v>
      </c>
      <c r="T262" s="3">
        <f ca="1">VLOOKUP($B262&amp;$C262,data!$A:$U,6,FALSE)</f>
        <v>2</v>
      </c>
      <c r="U262" s="3">
        <f ca="1">VLOOKUP($B262&amp;$C262,data!$A:$U,7,FALSE)</f>
        <v>48</v>
      </c>
      <c r="V262" s="16"/>
      <c r="W262" s="9"/>
      <c r="X262" s="9"/>
      <c r="Y262" s="3"/>
      <c r="Z262" s="13">
        <f t="shared" ca="1" si="1"/>
        <v>0.66941990743362112</v>
      </c>
    </row>
    <row r="263" spans="1:26" ht="13" x14ac:dyDescent="0.15">
      <c r="A263" s="3">
        <v>262</v>
      </c>
      <c r="B263" s="3" t="s">
        <v>14</v>
      </c>
      <c r="C263" s="3" t="s">
        <v>800</v>
      </c>
      <c r="D263" s="10">
        <f t="shared" ca="1" si="0"/>
        <v>0.17142857142857143</v>
      </c>
      <c r="E263" s="5">
        <f ca="1">VLOOKUP($B263&amp;$C263,data!$A:$U,20,FALSE)</f>
        <v>44305.304710648103</v>
      </c>
      <c r="F263" s="3" t="str">
        <f ca="1">VLOOKUP($B263&amp;$C263,data!$A:$U,21,FALSE)</f>
        <v>Nil...</v>
      </c>
      <c r="G263" s="3">
        <f ca="1">VLOOKUP($B263&amp;$C263,data!$A:$U,17,FALSE)</f>
        <v>1</v>
      </c>
      <c r="H263" s="3">
        <f ca="1">VLOOKUP($B263&amp;$C263,data!$A:$U,18,FALSE)</f>
        <v>0</v>
      </c>
      <c r="I263" s="3">
        <f ca="1">VLOOKUP($B263&amp;$C263,data!$A:$U,19,FALSE)</f>
        <v>1</v>
      </c>
      <c r="J263" s="3">
        <f ca="1">VLOOKUP($B263&amp;$C263,data!$A:$U,14,FALSE)</f>
        <v>1</v>
      </c>
      <c r="K263" s="3">
        <f ca="1">VLOOKUP($B263&amp;$C263,data!$A:$U,15,FALSE)</f>
        <v>1</v>
      </c>
      <c r="L263" s="3">
        <f ca="1">VLOOKUP($B263&amp;$C263,data!$A:$U,16,FALSE)</f>
        <v>0</v>
      </c>
      <c r="M263" s="3">
        <f ca="1">VLOOKUP($B263&amp;$C263,data!$A:$U,8,FALSE)</f>
        <v>34</v>
      </c>
      <c r="N263" s="3">
        <f ca="1">VLOOKUP($B263&amp;$C263,data!$A:$U,9,FALSE)</f>
        <v>28</v>
      </c>
      <c r="O263" s="3">
        <f ca="1">VLOOKUP($B263&amp;$C263,data!$A:$U,10,FALSE)</f>
        <v>6</v>
      </c>
      <c r="P263" s="3">
        <f ca="1">VLOOKUP($B263&amp;$C263,data!$A:$U,11,FALSE)</f>
        <v>0</v>
      </c>
      <c r="Q263" s="3">
        <f ca="1">VLOOKUP($B263&amp;$C263,data!$A:$U,12,FALSE)</f>
        <v>0</v>
      </c>
      <c r="R263" s="3">
        <f ca="1">VLOOKUP($B263&amp;$C263,data!$A:$U,13,FALSE)</f>
        <v>0</v>
      </c>
      <c r="S263" s="3">
        <f ca="1">VLOOKUP($B263&amp;$C263,data!$A:$U,5,FALSE)</f>
        <v>35</v>
      </c>
      <c r="T263" s="3">
        <f ca="1">VLOOKUP($B263&amp;$C263,data!$A:$U,6,FALSE)</f>
        <v>29</v>
      </c>
      <c r="U263" s="3">
        <f ca="1">VLOOKUP($B263&amp;$C263,data!$A:$U,7,FALSE)</f>
        <v>6</v>
      </c>
      <c r="V263" s="18">
        <v>9006006000</v>
      </c>
      <c r="W263" s="17" t="s">
        <v>801</v>
      </c>
      <c r="X263" s="17" t="s">
        <v>802</v>
      </c>
      <c r="Y263" s="4" t="s">
        <v>803</v>
      </c>
      <c r="Z263" s="13">
        <f t="shared" ca="1" si="1"/>
        <v>0.78219768522831146</v>
      </c>
    </row>
    <row r="264" spans="1:26" ht="13" x14ac:dyDescent="0.15">
      <c r="A264" s="3">
        <v>263</v>
      </c>
      <c r="B264" s="3" t="s">
        <v>4</v>
      </c>
      <c r="C264" s="3" t="s">
        <v>804</v>
      </c>
      <c r="D264" s="10">
        <f t="shared" ca="1" si="0"/>
        <v>2.5000000000000001E-2</v>
      </c>
      <c r="E264" s="5">
        <f ca="1">VLOOKUP($B264&amp;$C264,data!$A:$U,20,FALSE)</f>
        <v>44304.5611921296</v>
      </c>
      <c r="F264" s="3" t="str">
        <f ca="1">VLOOKUP($B264&amp;$C264,data!$A:$U,21,FALSE)</f>
        <v>Updated 16/4/2020</v>
      </c>
      <c r="G264" s="3">
        <f ca="1">VLOOKUP($B264&amp;$C264,data!$A:$U,17,FALSE)</f>
        <v>4</v>
      </c>
      <c r="H264" s="3">
        <f ca="1">VLOOKUP($B264&amp;$C264,data!$A:$U,18,FALSE)</f>
        <v>2</v>
      </c>
      <c r="I264" s="3">
        <f ca="1">VLOOKUP($B264&amp;$C264,data!$A:$U,19,FALSE)</f>
        <v>2</v>
      </c>
      <c r="J264" s="3">
        <f ca="1">VLOOKUP($B264&amp;$C264,data!$A:$U,14,FALSE)</f>
        <v>10</v>
      </c>
      <c r="K264" s="3">
        <f ca="1">VLOOKUP($B264&amp;$C264,data!$A:$U,15,FALSE)</f>
        <v>9</v>
      </c>
      <c r="L264" s="3">
        <f ca="1">VLOOKUP($B264&amp;$C264,data!$A:$U,16,FALSE)</f>
        <v>1</v>
      </c>
      <c r="M264" s="3">
        <f ca="1">VLOOKUP($B264&amp;$C264,data!$A:$U,8,FALSE)</f>
        <v>10</v>
      </c>
      <c r="N264" s="3">
        <f ca="1">VLOOKUP($B264&amp;$C264,data!$A:$U,9,FALSE)</f>
        <v>10</v>
      </c>
      <c r="O264" s="3">
        <f ca="1">VLOOKUP($B264&amp;$C264,data!$A:$U,10,FALSE)</f>
        <v>0</v>
      </c>
      <c r="P264" s="3">
        <f ca="1">VLOOKUP($B264&amp;$C264,data!$A:$U,11,FALSE)</f>
        <v>0</v>
      </c>
      <c r="Q264" s="3">
        <f ca="1">VLOOKUP($B264&amp;$C264,data!$A:$U,12,FALSE)</f>
        <v>0</v>
      </c>
      <c r="R264" s="3">
        <f ca="1">VLOOKUP($B264&amp;$C264,data!$A:$U,13,FALSE)</f>
        <v>0</v>
      </c>
      <c r="S264" s="3">
        <f ca="1">VLOOKUP($B264&amp;$C264,data!$A:$U,5,FALSE)</f>
        <v>20</v>
      </c>
      <c r="T264" s="3">
        <f ca="1">VLOOKUP($B264&amp;$C264,data!$A:$U,6,FALSE)</f>
        <v>19</v>
      </c>
      <c r="U264" s="3">
        <f ca="1">VLOOKUP($B264&amp;$C264,data!$A:$U,7,FALSE)</f>
        <v>0</v>
      </c>
      <c r="V264" s="23" t="s">
        <v>805</v>
      </c>
      <c r="W264" s="17" t="s">
        <v>806</v>
      </c>
      <c r="X264" s="17" t="s">
        <v>807</v>
      </c>
      <c r="Y264" s="4" t="s">
        <v>808</v>
      </c>
      <c r="Z264" s="13">
        <f t="shared" ca="1" si="1"/>
        <v>1.5257162037305534</v>
      </c>
    </row>
    <row r="265" spans="1:26" ht="13" x14ac:dyDescent="0.15">
      <c r="A265" s="3">
        <v>264</v>
      </c>
      <c r="B265" s="3" t="s">
        <v>4</v>
      </c>
      <c r="C265" s="3" t="s">
        <v>809</v>
      </c>
      <c r="D265" s="10">
        <f t="shared" ca="1" si="0"/>
        <v>0.37777777777777777</v>
      </c>
      <c r="E265" s="5">
        <f ca="1">VLOOKUP($B265&amp;$C265,data!$A:$U,20,FALSE)</f>
        <v>44305.569016203699</v>
      </c>
      <c r="F265" s="3" t="str">
        <f ca="1">VLOOKUP($B265&amp;$C265,data!$A:$U,21,FALSE)</f>
        <v>Updated 19/04/2021</v>
      </c>
      <c r="G265" s="3">
        <f ca="1">VLOOKUP($B265&amp;$C265,data!$A:$U,17,FALSE)</f>
        <v>2</v>
      </c>
      <c r="H265" s="3">
        <f ca="1">VLOOKUP($B265&amp;$C265,data!$A:$U,18,FALSE)</f>
        <v>0</v>
      </c>
      <c r="I265" s="3">
        <f ca="1">VLOOKUP($B265&amp;$C265,data!$A:$U,19,FALSE)</f>
        <v>2</v>
      </c>
      <c r="J265" s="3">
        <f ca="1">VLOOKUP($B265&amp;$C265,data!$A:$U,14,FALSE)</f>
        <v>5</v>
      </c>
      <c r="K265" s="3">
        <f ca="1">VLOOKUP($B265&amp;$C265,data!$A:$U,15,FALSE)</f>
        <v>0</v>
      </c>
      <c r="L265" s="3">
        <f ca="1">VLOOKUP($B265&amp;$C265,data!$A:$U,16,FALSE)</f>
        <v>5</v>
      </c>
      <c r="M265" s="3">
        <f ca="1">VLOOKUP($B265&amp;$C265,data!$A:$U,8,FALSE)</f>
        <v>20</v>
      </c>
      <c r="N265" s="3">
        <f ca="1">VLOOKUP($B265&amp;$C265,data!$A:$U,9,FALSE)</f>
        <v>14</v>
      </c>
      <c r="O265" s="3">
        <f ca="1">VLOOKUP($B265&amp;$C265,data!$A:$U,10,FALSE)</f>
        <v>6</v>
      </c>
      <c r="P265" s="3">
        <f ca="1">VLOOKUP($B265&amp;$C265,data!$A:$U,11,FALSE)</f>
        <v>0</v>
      </c>
      <c r="Q265" s="3">
        <f ca="1">VLOOKUP($B265&amp;$C265,data!$A:$U,12,FALSE)</f>
        <v>0</v>
      </c>
      <c r="R265" s="3">
        <f ca="1">VLOOKUP($B265&amp;$C265,data!$A:$U,13,FALSE)</f>
        <v>0</v>
      </c>
      <c r="S265" s="3">
        <f ca="1">VLOOKUP($B265&amp;$C265,data!$A:$U,5,FALSE)</f>
        <v>20</v>
      </c>
      <c r="T265" s="3">
        <f ca="1">VLOOKUP($B265&amp;$C265,data!$A:$U,6,FALSE)</f>
        <v>14</v>
      </c>
      <c r="U265" s="3">
        <f ca="1">VLOOKUP($B265&amp;$C265,data!$A:$U,7,FALSE)</f>
        <v>6</v>
      </c>
      <c r="V265" s="18" t="s">
        <v>810</v>
      </c>
      <c r="W265" s="17" t="s">
        <v>811</v>
      </c>
      <c r="X265" s="17" t="s">
        <v>812</v>
      </c>
      <c r="Y265" s="4" t="s">
        <v>813</v>
      </c>
      <c r="Z265" s="13">
        <f t="shared" ca="1" si="1"/>
        <v>0.51789212963194586</v>
      </c>
    </row>
    <row r="266" spans="1:26" ht="13" x14ac:dyDescent="0.15">
      <c r="A266" s="3">
        <v>265</v>
      </c>
      <c r="B266" s="3" t="s">
        <v>4</v>
      </c>
      <c r="C266" s="3" t="s">
        <v>814</v>
      </c>
      <c r="D266" s="10">
        <f t="shared" ca="1" si="0"/>
        <v>1</v>
      </c>
      <c r="E266" s="5">
        <f ca="1">VLOOKUP($B266&amp;$C266,data!$A:$U,20,FALSE)</f>
        <v>44305.3747337963</v>
      </c>
      <c r="F266" s="3" t="str">
        <f ca="1">VLOOKUP($B266&amp;$C266,data!$A:$U,21,FALSE)</f>
        <v>updated 19-04-2021</v>
      </c>
      <c r="G266" s="3">
        <f ca="1">VLOOKUP($B266&amp;$C266,data!$A:$U,17,FALSE)</f>
        <v>1</v>
      </c>
      <c r="H266" s="3">
        <f ca="1">VLOOKUP($B266&amp;$C266,data!$A:$U,18,FALSE)</f>
        <v>0</v>
      </c>
      <c r="I266" s="3">
        <f ca="1">VLOOKUP($B266&amp;$C266,data!$A:$U,19,FALSE)</f>
        <v>1</v>
      </c>
      <c r="J266" s="3">
        <f ca="1">VLOOKUP($B266&amp;$C266,data!$A:$U,14,FALSE)</f>
        <v>0</v>
      </c>
      <c r="K266" s="3">
        <f ca="1">VLOOKUP($B266&amp;$C266,data!$A:$U,15,FALSE)</f>
        <v>0</v>
      </c>
      <c r="L266" s="3">
        <f ca="1">VLOOKUP($B266&amp;$C266,data!$A:$U,16,FALSE)</f>
        <v>0</v>
      </c>
      <c r="M266" s="3">
        <f ca="1">VLOOKUP($B266&amp;$C266,data!$A:$U,8,FALSE)</f>
        <v>14</v>
      </c>
      <c r="N266" s="3">
        <f ca="1">VLOOKUP($B266&amp;$C266,data!$A:$U,9,FALSE)</f>
        <v>0</v>
      </c>
      <c r="O266" s="3">
        <f ca="1">VLOOKUP($B266&amp;$C266,data!$A:$U,10,FALSE)</f>
        <v>14</v>
      </c>
      <c r="P266" s="3">
        <f ca="1">VLOOKUP($B266&amp;$C266,data!$A:$U,11,FALSE)</f>
        <v>1</v>
      </c>
      <c r="Q266" s="3">
        <f ca="1">VLOOKUP($B266&amp;$C266,data!$A:$U,12,FALSE)</f>
        <v>0</v>
      </c>
      <c r="R266" s="3">
        <f ca="1">VLOOKUP($B266&amp;$C266,data!$A:$U,13,FALSE)</f>
        <v>1</v>
      </c>
      <c r="S266" s="3">
        <f ca="1">VLOOKUP($B266&amp;$C266,data!$A:$U,5,FALSE)</f>
        <v>5</v>
      </c>
      <c r="T266" s="3">
        <f ca="1">VLOOKUP($B266&amp;$C266,data!$A:$U,6,FALSE)</f>
        <v>0</v>
      </c>
      <c r="U266" s="3">
        <f ca="1">VLOOKUP($B266&amp;$C266,data!$A:$U,7,FALSE)</f>
        <v>5</v>
      </c>
      <c r="V266" s="23" t="s">
        <v>815</v>
      </c>
      <c r="W266" s="17" t="s">
        <v>816</v>
      </c>
      <c r="X266" s="9"/>
      <c r="Y266" s="4" t="s">
        <v>817</v>
      </c>
      <c r="Z266" s="13">
        <f t="shared" ca="1" si="1"/>
        <v>0.71217453703138744</v>
      </c>
    </row>
    <row r="267" spans="1:26" ht="13" x14ac:dyDescent="0.15">
      <c r="A267" s="3">
        <v>266</v>
      </c>
      <c r="B267" s="3" t="s">
        <v>4</v>
      </c>
      <c r="C267" s="3" t="s">
        <v>818</v>
      </c>
      <c r="D267" s="10">
        <f t="shared" ca="1" si="0"/>
        <v>0</v>
      </c>
      <c r="E267" s="5">
        <f ca="1">VLOOKUP($B267&amp;$C267,data!$A:$U,20,FALSE)</f>
        <v>44305.6756828703</v>
      </c>
      <c r="F267" s="3" t="str">
        <f ca="1">VLOOKUP($B267&amp;$C267,data!$A:$U,21,FALSE)</f>
        <v>19/04/2021</v>
      </c>
      <c r="G267" s="3">
        <f ca="1">VLOOKUP($B267&amp;$C267,data!$A:$U,17,FALSE)</f>
        <v>0</v>
      </c>
      <c r="H267" s="3">
        <f ca="1">VLOOKUP($B267&amp;$C267,data!$A:$U,18,FALSE)</f>
        <v>0</v>
      </c>
      <c r="I267" s="3">
        <f ca="1">VLOOKUP($B267&amp;$C267,data!$A:$U,19,FALSE)</f>
        <v>0</v>
      </c>
      <c r="J267" s="3">
        <f ca="1">VLOOKUP($B267&amp;$C267,data!$A:$U,14,FALSE)</f>
        <v>5</v>
      </c>
      <c r="K267" s="3">
        <f ca="1">VLOOKUP($B267&amp;$C267,data!$A:$U,15,FALSE)</f>
        <v>0</v>
      </c>
      <c r="L267" s="3">
        <f ca="1">VLOOKUP($B267&amp;$C267,data!$A:$U,16,FALSE)</f>
        <v>0</v>
      </c>
      <c r="M267" s="3">
        <f ca="1">VLOOKUP($B267&amp;$C267,data!$A:$U,8,FALSE)</f>
        <v>0</v>
      </c>
      <c r="N267" s="3">
        <f ca="1">VLOOKUP($B267&amp;$C267,data!$A:$U,9,FALSE)</f>
        <v>0</v>
      </c>
      <c r="O267" s="3">
        <f ca="1">VLOOKUP($B267&amp;$C267,data!$A:$U,10,FALSE)</f>
        <v>0</v>
      </c>
      <c r="P267" s="3">
        <f ca="1">VLOOKUP($B267&amp;$C267,data!$A:$U,11,FALSE)</f>
        <v>0</v>
      </c>
      <c r="Q267" s="3">
        <f ca="1">VLOOKUP($B267&amp;$C267,data!$A:$U,12,FALSE)</f>
        <v>0</v>
      </c>
      <c r="R267" s="3">
        <f ca="1">VLOOKUP($B267&amp;$C267,data!$A:$U,13,FALSE)</f>
        <v>0</v>
      </c>
      <c r="S267" s="3">
        <f ca="1">VLOOKUP($B267&amp;$C267,data!$A:$U,5,FALSE)</f>
        <v>10</v>
      </c>
      <c r="T267" s="3">
        <f ca="1">VLOOKUP($B267&amp;$C267,data!$A:$U,6,FALSE)</f>
        <v>10</v>
      </c>
      <c r="U267" s="3">
        <f ca="1">VLOOKUP($B267&amp;$C267,data!$A:$U,7,FALSE)</f>
        <v>0</v>
      </c>
      <c r="V267" s="16"/>
      <c r="W267" s="9"/>
      <c r="X267" s="9"/>
      <c r="Y267" s="3"/>
      <c r="Z267" s="13">
        <f t="shared" ca="1" si="1"/>
        <v>0.41122546303085983</v>
      </c>
    </row>
    <row r="268" spans="1:26" ht="13" x14ac:dyDescent="0.15">
      <c r="A268" s="3">
        <v>267</v>
      </c>
      <c r="B268" s="3" t="s">
        <v>4</v>
      </c>
      <c r="C268" s="3" t="s">
        <v>819</v>
      </c>
      <c r="D268" s="10">
        <f t="shared" ca="1" si="0"/>
        <v>1.3333333333333334E-2</v>
      </c>
      <c r="E268" s="5">
        <f ca="1">VLOOKUP($B268&amp;$C268,data!$A:$U,20,FALSE)</f>
        <v>44305.301006944399</v>
      </c>
      <c r="F268" s="3">
        <f ca="1">VLOOKUP($B268&amp;$C268,data!$A:$U,21,FALSE)</f>
        <v>0</v>
      </c>
      <c r="G268" s="3">
        <f ca="1">VLOOKUP($B268&amp;$C268,data!$A:$U,17,FALSE)</f>
        <v>6</v>
      </c>
      <c r="H268" s="3">
        <f ca="1">VLOOKUP($B268&amp;$C268,data!$A:$U,18,FALSE)</f>
        <v>5</v>
      </c>
      <c r="I268" s="3">
        <f ca="1">VLOOKUP($B268&amp;$C268,data!$A:$U,19,FALSE)</f>
        <v>1</v>
      </c>
      <c r="J268" s="3">
        <f ca="1">VLOOKUP($B268&amp;$C268,data!$A:$U,14,FALSE)</f>
        <v>30</v>
      </c>
      <c r="K268" s="3">
        <f ca="1">VLOOKUP($B268&amp;$C268,data!$A:$U,15,FALSE)</f>
        <v>30</v>
      </c>
      <c r="L268" s="3">
        <f ca="1">VLOOKUP($B268&amp;$C268,data!$A:$U,16,FALSE)</f>
        <v>0</v>
      </c>
      <c r="M268" s="3">
        <f ca="1">VLOOKUP($B268&amp;$C268,data!$A:$U,8,FALSE)</f>
        <v>20</v>
      </c>
      <c r="N268" s="3">
        <f ca="1">VLOOKUP($B268&amp;$C268,data!$A:$U,9,FALSE)</f>
        <v>20</v>
      </c>
      <c r="O268" s="3">
        <f ca="1">VLOOKUP($B268&amp;$C268,data!$A:$U,10,FALSE)</f>
        <v>0</v>
      </c>
      <c r="P268" s="3">
        <f ca="1">VLOOKUP($B268&amp;$C268,data!$A:$U,11,FALSE)</f>
        <v>25</v>
      </c>
      <c r="Q268" s="3">
        <f ca="1">VLOOKUP($B268&amp;$C268,data!$A:$U,12,FALSE)</f>
        <v>24</v>
      </c>
      <c r="R268" s="3">
        <f ca="1">VLOOKUP($B268&amp;$C268,data!$A:$U,13,FALSE)</f>
        <v>1</v>
      </c>
      <c r="S268" s="3">
        <f ca="1">VLOOKUP($B268&amp;$C268,data!$A:$U,5,FALSE)</f>
        <v>75</v>
      </c>
      <c r="T268" s="3">
        <f ca="1">VLOOKUP($B268&amp;$C268,data!$A:$U,6,FALSE)</f>
        <v>74</v>
      </c>
      <c r="U268" s="3">
        <f ca="1">VLOOKUP($B268&amp;$C268,data!$A:$U,7,FALSE)</f>
        <v>1</v>
      </c>
      <c r="V268" s="23" t="s">
        <v>820</v>
      </c>
      <c r="W268" s="17" t="s">
        <v>821</v>
      </c>
      <c r="X268" s="9"/>
      <c r="Y268" s="4" t="s">
        <v>822</v>
      </c>
      <c r="Z268" s="13">
        <f t="shared" ca="1" si="1"/>
        <v>0.78590138893196126</v>
      </c>
    </row>
    <row r="269" spans="1:26" ht="13" x14ac:dyDescent="0.15">
      <c r="A269" s="3">
        <v>268</v>
      </c>
      <c r="B269" s="3" t="s">
        <v>4</v>
      </c>
      <c r="C269" s="3" t="s">
        <v>823</v>
      </c>
      <c r="D269" s="10">
        <f t="shared" ca="1" si="0"/>
        <v>0.4</v>
      </c>
      <c r="E269" s="5">
        <f ca="1">VLOOKUP($B269&amp;$C269,data!$A:$U,20,FALSE)</f>
        <v>44305.435937499999</v>
      </c>
      <c r="F269" s="3" t="str">
        <f ca="1">VLOOKUP($B269&amp;$C269,data!$A:$U,21,FALSE)</f>
        <v>19-04-2021</v>
      </c>
      <c r="G269" s="3">
        <f ca="1">VLOOKUP($B269&amp;$C269,data!$A:$U,17,FALSE)</f>
        <v>2</v>
      </c>
      <c r="H269" s="3">
        <f ca="1">VLOOKUP($B269&amp;$C269,data!$A:$U,18,FALSE)</f>
        <v>0</v>
      </c>
      <c r="I269" s="3">
        <f ca="1">VLOOKUP($B269&amp;$C269,data!$A:$U,19,FALSE)</f>
        <v>0</v>
      </c>
      <c r="J269" s="3">
        <f ca="1">VLOOKUP($B269&amp;$C269,data!$A:$U,14,FALSE)</f>
        <v>5</v>
      </c>
      <c r="K269" s="3">
        <f ca="1">VLOOKUP($B269&amp;$C269,data!$A:$U,15,FALSE)</f>
        <v>0</v>
      </c>
      <c r="L269" s="3">
        <f ca="1">VLOOKUP($B269&amp;$C269,data!$A:$U,16,FALSE)</f>
        <v>0</v>
      </c>
      <c r="M269" s="3">
        <f ca="1">VLOOKUP($B269&amp;$C269,data!$A:$U,8,FALSE)</f>
        <v>15</v>
      </c>
      <c r="N269" s="3">
        <f ca="1">VLOOKUP($B269&amp;$C269,data!$A:$U,9,FALSE)</f>
        <v>11</v>
      </c>
      <c r="O269" s="3">
        <f ca="1">VLOOKUP($B269&amp;$C269,data!$A:$U,10,FALSE)</f>
        <v>4</v>
      </c>
      <c r="P269" s="3">
        <f ca="1">VLOOKUP($B269&amp;$C269,data!$A:$U,11,FALSE)</f>
        <v>0</v>
      </c>
      <c r="Q269" s="3">
        <f ca="1">VLOOKUP($B269&amp;$C269,data!$A:$U,12,FALSE)</f>
        <v>0</v>
      </c>
      <c r="R269" s="3">
        <f ca="1">VLOOKUP($B269&amp;$C269,data!$A:$U,13,FALSE)</f>
        <v>0</v>
      </c>
      <c r="S269" s="3">
        <f ca="1">VLOOKUP($B269&amp;$C269,data!$A:$U,5,FALSE)</f>
        <v>25</v>
      </c>
      <c r="T269" s="3">
        <f ca="1">VLOOKUP($B269&amp;$C269,data!$A:$U,6,FALSE)</f>
        <v>11</v>
      </c>
      <c r="U269" s="3">
        <f ca="1">VLOOKUP($B269&amp;$C269,data!$A:$U,7,FALSE)</f>
        <v>14</v>
      </c>
      <c r="V269" s="16"/>
      <c r="W269" s="9"/>
      <c r="X269" s="9"/>
      <c r="Y269" s="3"/>
      <c r="Z269" s="13">
        <f t="shared" ca="1" si="1"/>
        <v>0.65097083333239425</v>
      </c>
    </row>
    <row r="270" spans="1:26" ht="13" x14ac:dyDescent="0.15">
      <c r="A270" s="3">
        <v>269</v>
      </c>
      <c r="B270" s="3" t="s">
        <v>4</v>
      </c>
      <c r="C270" s="3" t="s">
        <v>824</v>
      </c>
      <c r="D270" s="10">
        <f t="shared" ca="1" si="0"/>
        <v>1</v>
      </c>
      <c r="E270" s="5">
        <f ca="1">VLOOKUP($B270&amp;$C270,data!$A:$U,20,FALSE)</f>
        <v>44305.331747685101</v>
      </c>
      <c r="F270" s="3" t="str">
        <f ca="1">VLOOKUP($B270&amp;$C270,data!$A:$U,21,FALSE)</f>
        <v>19-04-2021</v>
      </c>
      <c r="G270" s="3">
        <f ca="1">VLOOKUP($B270&amp;$C270,data!$A:$U,17,FALSE)</f>
        <v>1</v>
      </c>
      <c r="H270" s="3">
        <f ca="1">VLOOKUP($B270&amp;$C270,data!$A:$U,18,FALSE)</f>
        <v>0</v>
      </c>
      <c r="I270" s="3">
        <f ca="1">VLOOKUP($B270&amp;$C270,data!$A:$U,19,FALSE)</f>
        <v>1</v>
      </c>
      <c r="J270" s="3">
        <f ca="1">VLOOKUP($B270&amp;$C270,data!$A:$U,14,FALSE)</f>
        <v>2</v>
      </c>
      <c r="K270" s="3">
        <f ca="1">VLOOKUP($B270&amp;$C270,data!$A:$U,15,FALSE)</f>
        <v>0</v>
      </c>
      <c r="L270" s="3">
        <f ca="1">VLOOKUP($B270&amp;$C270,data!$A:$U,16,FALSE)</f>
        <v>2</v>
      </c>
      <c r="M270" s="3">
        <f ca="1">VLOOKUP($B270&amp;$C270,data!$A:$U,8,FALSE)</f>
        <v>13</v>
      </c>
      <c r="N270" s="3">
        <f ca="1">VLOOKUP($B270&amp;$C270,data!$A:$U,9,FALSE)</f>
        <v>0</v>
      </c>
      <c r="O270" s="3">
        <f ca="1">VLOOKUP($B270&amp;$C270,data!$A:$U,10,FALSE)</f>
        <v>13</v>
      </c>
      <c r="P270" s="3">
        <f ca="1">VLOOKUP($B270&amp;$C270,data!$A:$U,11,FALSE)</f>
        <v>0</v>
      </c>
      <c r="Q270" s="3">
        <f ca="1">VLOOKUP($B270&amp;$C270,data!$A:$U,12,FALSE)</f>
        <v>0</v>
      </c>
      <c r="R270" s="3">
        <f ca="1">VLOOKUP($B270&amp;$C270,data!$A:$U,13,FALSE)</f>
        <v>0</v>
      </c>
      <c r="S270" s="3">
        <f ca="1">VLOOKUP($B270&amp;$C270,data!$A:$U,5,FALSE)</f>
        <v>15</v>
      </c>
      <c r="T270" s="3">
        <f ca="1">VLOOKUP($B270&amp;$C270,data!$A:$U,6,FALSE)</f>
        <v>0</v>
      </c>
      <c r="U270" s="3">
        <f ca="1">VLOOKUP($B270&amp;$C270,data!$A:$U,7,FALSE)</f>
        <v>15</v>
      </c>
      <c r="V270" s="23" t="s">
        <v>825</v>
      </c>
      <c r="W270" s="17" t="s">
        <v>826</v>
      </c>
      <c r="X270" s="17" t="s">
        <v>827</v>
      </c>
      <c r="Y270" s="4" t="s">
        <v>828</v>
      </c>
      <c r="Z270" s="13">
        <f t="shared" ca="1" si="1"/>
        <v>0.75516076397616416</v>
      </c>
    </row>
    <row r="271" spans="1:26" ht="13" x14ac:dyDescent="0.15">
      <c r="A271" s="3">
        <v>270</v>
      </c>
      <c r="B271" s="3" t="s">
        <v>5</v>
      </c>
      <c r="C271" s="3" t="s">
        <v>829</v>
      </c>
      <c r="D271" s="10">
        <f t="shared" ca="1" si="0"/>
        <v>0.29090909090909089</v>
      </c>
      <c r="E271" s="5">
        <f ca="1">VLOOKUP($B271&amp;$C271,data!$A:$U,20,FALSE)</f>
        <v>44305.4195833333</v>
      </c>
      <c r="F271" s="3" t="str">
        <f ca="1">VLOOKUP($B271&amp;$C271,data!$A:$U,21,FALSE)</f>
        <v>on 19.04.2021</v>
      </c>
      <c r="G271" s="3">
        <f ca="1">VLOOKUP($B271&amp;$C271,data!$A:$U,17,FALSE)</f>
        <v>5</v>
      </c>
      <c r="H271" s="3">
        <f ca="1">VLOOKUP($B271&amp;$C271,data!$A:$U,18,FALSE)</f>
        <v>0</v>
      </c>
      <c r="I271" s="3">
        <f ca="1">VLOOKUP($B271&amp;$C271,data!$A:$U,19,FALSE)</f>
        <v>5</v>
      </c>
      <c r="J271" s="3">
        <f ca="1">VLOOKUP($B271&amp;$C271,data!$A:$U,14,FALSE)</f>
        <v>5</v>
      </c>
      <c r="K271" s="3">
        <f ca="1">VLOOKUP($B271&amp;$C271,data!$A:$U,15,FALSE)</f>
        <v>3</v>
      </c>
      <c r="L271" s="3">
        <f ca="1">VLOOKUP($B271&amp;$C271,data!$A:$U,16,FALSE)</f>
        <v>2</v>
      </c>
      <c r="M271" s="3">
        <f ca="1">VLOOKUP($B271&amp;$C271,data!$A:$U,8,FALSE)</f>
        <v>20</v>
      </c>
      <c r="N271" s="3">
        <f ca="1">VLOOKUP($B271&amp;$C271,data!$A:$U,9,FALSE)</f>
        <v>20</v>
      </c>
      <c r="O271" s="3">
        <f ca="1">VLOOKUP($B271&amp;$C271,data!$A:$U,10,FALSE)</f>
        <v>0</v>
      </c>
      <c r="P271" s="3">
        <f ca="1">VLOOKUP($B271&amp;$C271,data!$A:$U,11,FALSE)</f>
        <v>30</v>
      </c>
      <c r="Q271" s="3">
        <f ca="1">VLOOKUP($B271&amp;$C271,data!$A:$U,12,FALSE)</f>
        <v>16</v>
      </c>
      <c r="R271" s="3">
        <f ca="1">VLOOKUP($B271&amp;$C271,data!$A:$U,13,FALSE)</f>
        <v>14</v>
      </c>
      <c r="S271" s="3">
        <f ca="1">VLOOKUP($B271&amp;$C271,data!$A:$U,5,FALSE)</f>
        <v>55</v>
      </c>
      <c r="T271" s="3">
        <f ca="1">VLOOKUP($B271&amp;$C271,data!$A:$U,6,FALSE)</f>
        <v>39</v>
      </c>
      <c r="U271" s="3">
        <f ca="1">VLOOKUP($B271&amp;$C271,data!$A:$U,7,FALSE)</f>
        <v>16</v>
      </c>
      <c r="V271" s="23" t="s">
        <v>830</v>
      </c>
      <c r="W271" s="17" t="s">
        <v>831</v>
      </c>
      <c r="X271" s="9"/>
      <c r="Y271" s="4" t="s">
        <v>832</v>
      </c>
      <c r="Z271" s="13">
        <f t="shared" ca="1" si="1"/>
        <v>0.66732500003126916</v>
      </c>
    </row>
    <row r="272" spans="1:26" ht="13" x14ac:dyDescent="0.15">
      <c r="A272" s="3">
        <v>271</v>
      </c>
      <c r="B272" s="3" t="s">
        <v>5</v>
      </c>
      <c r="C272" s="3" t="s">
        <v>833</v>
      </c>
      <c r="D272" s="10">
        <f t="shared" ca="1" si="0"/>
        <v>8.3333333333333329E-2</v>
      </c>
      <c r="E272" s="5">
        <f ca="1">VLOOKUP($B272&amp;$C272,data!$A:$U,20,FALSE)</f>
        <v>44305.484143518501</v>
      </c>
      <c r="F272" s="3" t="str">
        <f ca="1">VLOOKUP($B272&amp;$C272,data!$A:$U,21,FALSE)</f>
        <v>19/4</v>
      </c>
      <c r="G272" s="3">
        <f ca="1">VLOOKUP($B272&amp;$C272,data!$A:$U,17,FALSE)</f>
        <v>3</v>
      </c>
      <c r="H272" s="3">
        <f ca="1">VLOOKUP($B272&amp;$C272,data!$A:$U,18,FALSE)</f>
        <v>3</v>
      </c>
      <c r="I272" s="3">
        <f ca="1">VLOOKUP($B272&amp;$C272,data!$A:$U,19,FALSE)</f>
        <v>0</v>
      </c>
      <c r="J272" s="3">
        <f ca="1">VLOOKUP($B272&amp;$C272,data!$A:$U,14,FALSE)</f>
        <v>10</v>
      </c>
      <c r="K272" s="3">
        <f ca="1">VLOOKUP($B272&amp;$C272,data!$A:$U,15,FALSE)</f>
        <v>10</v>
      </c>
      <c r="L272" s="3">
        <f ca="1">VLOOKUP($B272&amp;$C272,data!$A:$U,16,FALSE)</f>
        <v>0</v>
      </c>
      <c r="M272" s="3">
        <f ca="1">VLOOKUP($B272&amp;$C272,data!$A:$U,8,FALSE)</f>
        <v>40</v>
      </c>
      <c r="N272" s="3">
        <f ca="1">VLOOKUP($B272&amp;$C272,data!$A:$U,9,FALSE)</f>
        <v>40</v>
      </c>
      <c r="O272" s="3">
        <f ca="1">VLOOKUP($B272&amp;$C272,data!$A:$U,10,FALSE)</f>
        <v>0</v>
      </c>
      <c r="P272" s="3">
        <f ca="1">VLOOKUP($B272&amp;$C272,data!$A:$U,11,FALSE)</f>
        <v>10</v>
      </c>
      <c r="Q272" s="3">
        <f ca="1">VLOOKUP($B272&amp;$C272,data!$A:$U,12,FALSE)</f>
        <v>6</v>
      </c>
      <c r="R272" s="3">
        <f ca="1">VLOOKUP($B272&amp;$C272,data!$A:$U,13,FALSE)</f>
        <v>4</v>
      </c>
      <c r="S272" s="3">
        <f ca="1">VLOOKUP($B272&amp;$C272,data!$A:$U,5,FALSE)</f>
        <v>60</v>
      </c>
      <c r="T272" s="3">
        <f ca="1">VLOOKUP($B272&amp;$C272,data!$A:$U,6,FALSE)</f>
        <v>54</v>
      </c>
      <c r="U272" s="3">
        <f ca="1">VLOOKUP($B272&amp;$C272,data!$A:$U,7,FALSE)</f>
        <v>6</v>
      </c>
      <c r="V272" s="16"/>
      <c r="W272" s="9"/>
      <c r="X272" s="9"/>
      <c r="Y272" s="3"/>
      <c r="Z272" s="13">
        <f t="shared" ca="1" si="1"/>
        <v>0.60276481483015232</v>
      </c>
    </row>
    <row r="273" spans="1:26" ht="13" x14ac:dyDescent="0.15">
      <c r="A273" s="3">
        <v>272</v>
      </c>
      <c r="B273" s="3" t="s">
        <v>8</v>
      </c>
      <c r="C273" s="3" t="s">
        <v>834</v>
      </c>
      <c r="D273" s="10">
        <f t="shared" ca="1" si="0"/>
        <v>1</v>
      </c>
      <c r="E273" s="5">
        <f ca="1">VLOOKUP($B273&amp;$C273,data!$A:$U,20,FALSE)</f>
        <v>44270.568842592496</v>
      </c>
      <c r="F273" s="3" t="str">
        <f ca="1">VLOOKUP($B273&amp;$C273,data!$A:$U,21,FALSE)</f>
        <v>.</v>
      </c>
      <c r="G273" s="3">
        <f ca="1">VLOOKUP($B273&amp;$C273,data!$A:$U,17,FALSE)</f>
        <v>0</v>
      </c>
      <c r="H273" s="3">
        <f ca="1">VLOOKUP($B273&amp;$C273,data!$A:$U,18,FALSE)</f>
        <v>0</v>
      </c>
      <c r="I273" s="3">
        <f ca="1">VLOOKUP($B273&amp;$C273,data!$A:$U,19,FALSE)</f>
        <v>0</v>
      </c>
      <c r="J273" s="3">
        <f ca="1">VLOOKUP($B273&amp;$C273,data!$A:$U,14,FALSE)</f>
        <v>0</v>
      </c>
      <c r="K273" s="3">
        <f ca="1">VLOOKUP($B273&amp;$C273,data!$A:$U,15,FALSE)</f>
        <v>0</v>
      </c>
      <c r="L273" s="3">
        <f ca="1">VLOOKUP($B273&amp;$C273,data!$A:$U,16,FALSE)</f>
        <v>0</v>
      </c>
      <c r="M273" s="3">
        <f ca="1">VLOOKUP($B273&amp;$C273,data!$A:$U,8,FALSE)</f>
        <v>20</v>
      </c>
      <c r="N273" s="3">
        <f ca="1">VLOOKUP($B273&amp;$C273,data!$A:$U,9,FALSE)</f>
        <v>0</v>
      </c>
      <c r="O273" s="3">
        <f ca="1">VLOOKUP($B273&amp;$C273,data!$A:$U,10,FALSE)</f>
        <v>20</v>
      </c>
      <c r="P273" s="3">
        <f ca="1">VLOOKUP($B273&amp;$C273,data!$A:$U,11,FALSE)</f>
        <v>25</v>
      </c>
      <c r="Q273" s="3">
        <f ca="1">VLOOKUP($B273&amp;$C273,data!$A:$U,12,FALSE)</f>
        <v>0</v>
      </c>
      <c r="R273" s="3">
        <f ca="1">VLOOKUP($B273&amp;$C273,data!$A:$U,13,FALSE)</f>
        <v>25</v>
      </c>
      <c r="S273" s="3">
        <f ca="1">VLOOKUP($B273&amp;$C273,data!$A:$U,5,FALSE)</f>
        <v>45</v>
      </c>
      <c r="T273" s="3">
        <f ca="1">VLOOKUP($B273&amp;$C273,data!$A:$U,6,FALSE)</f>
        <v>0</v>
      </c>
      <c r="U273" s="3">
        <f ca="1">VLOOKUP($B273&amp;$C273,data!$A:$U,7,FALSE)</f>
        <v>45</v>
      </c>
      <c r="V273" s="16"/>
      <c r="W273" s="9"/>
      <c r="X273" s="9"/>
      <c r="Y273" s="3"/>
      <c r="Z273" s="13">
        <f t="shared" ca="1" si="1"/>
        <v>35.518065740834572</v>
      </c>
    </row>
    <row r="274" spans="1:26" ht="13" x14ac:dyDescent="0.15">
      <c r="A274" s="3">
        <v>273</v>
      </c>
      <c r="B274" s="3" t="s">
        <v>10</v>
      </c>
      <c r="C274" s="3" t="s">
        <v>835</v>
      </c>
      <c r="D274" s="10">
        <f t="shared" ca="1" si="0"/>
        <v>0.83333333333333337</v>
      </c>
      <c r="E274" s="5">
        <f ca="1">VLOOKUP($B274&amp;$C274,data!$A:$U,20,FALSE)</f>
        <v>44305.305625000001</v>
      </c>
      <c r="F274" s="3" t="str">
        <f ca="1">VLOOKUP($B274&amp;$C274,data!$A:$U,21,FALSE)</f>
        <v>UPDATED TILL 19/04/2021 08:00AM</v>
      </c>
      <c r="G274" s="3">
        <f ca="1">VLOOKUP($B274&amp;$C274,data!$A:$U,17,FALSE)</f>
        <v>0</v>
      </c>
      <c r="H274" s="3">
        <f ca="1">VLOOKUP($B274&amp;$C274,data!$A:$U,18,FALSE)</f>
        <v>0</v>
      </c>
      <c r="I274" s="3">
        <f ca="1">VLOOKUP($B274&amp;$C274,data!$A:$U,19,FALSE)</f>
        <v>0</v>
      </c>
      <c r="J274" s="3">
        <f ca="1">VLOOKUP($B274&amp;$C274,data!$A:$U,14,FALSE)</f>
        <v>0</v>
      </c>
      <c r="K274" s="3">
        <f ca="1">VLOOKUP($B274&amp;$C274,data!$A:$U,15,FALSE)</f>
        <v>0</v>
      </c>
      <c r="L274" s="3">
        <f ca="1">VLOOKUP($B274&amp;$C274,data!$A:$U,16,FALSE)</f>
        <v>0</v>
      </c>
      <c r="M274" s="3">
        <f ca="1">VLOOKUP($B274&amp;$C274,data!$A:$U,8,FALSE)</f>
        <v>0</v>
      </c>
      <c r="N274" s="3">
        <f ca="1">VLOOKUP($B274&amp;$C274,data!$A:$U,9,FALSE)</f>
        <v>0</v>
      </c>
      <c r="O274" s="3">
        <f ca="1">VLOOKUP($B274&amp;$C274,data!$A:$U,10,FALSE)</f>
        <v>0</v>
      </c>
      <c r="P274" s="3">
        <f ca="1">VLOOKUP($B274&amp;$C274,data!$A:$U,11,FALSE)</f>
        <v>48</v>
      </c>
      <c r="Q274" s="3">
        <f ca="1">VLOOKUP($B274&amp;$C274,data!$A:$U,12,FALSE)</f>
        <v>8</v>
      </c>
      <c r="R274" s="3">
        <f ca="1">VLOOKUP($B274&amp;$C274,data!$A:$U,13,FALSE)</f>
        <v>40</v>
      </c>
      <c r="S274" s="3">
        <f ca="1">VLOOKUP($B274&amp;$C274,data!$A:$U,5,FALSE)</f>
        <v>48</v>
      </c>
      <c r="T274" s="3">
        <f ca="1">VLOOKUP($B274&amp;$C274,data!$A:$U,6,FALSE)</f>
        <v>8</v>
      </c>
      <c r="U274" s="3">
        <f ca="1">VLOOKUP($B274&amp;$C274,data!$A:$U,7,FALSE)</f>
        <v>40</v>
      </c>
      <c r="V274" s="16"/>
      <c r="W274" s="9"/>
      <c r="X274" s="9"/>
      <c r="Y274" s="3"/>
      <c r="Z274" s="13">
        <f t="shared" ca="1" si="1"/>
        <v>0.78128333333006594</v>
      </c>
    </row>
    <row r="275" spans="1:26" ht="13" x14ac:dyDescent="0.15">
      <c r="A275" s="3">
        <v>274</v>
      </c>
      <c r="B275" s="3" t="s">
        <v>11</v>
      </c>
      <c r="C275" s="3" t="s">
        <v>836</v>
      </c>
      <c r="D275" s="10">
        <f t="shared" ca="1" si="0"/>
        <v>0.72499999999999998</v>
      </c>
      <c r="E275" s="5">
        <f ca="1">VLOOKUP($B275&amp;$C275,data!$A:$U,20,FALSE)</f>
        <v>44305.462395833303</v>
      </c>
      <c r="F275" s="3">
        <f ca="1">VLOOKUP($B275&amp;$C275,data!$A:$U,21,FALSE)</f>
        <v>0</v>
      </c>
      <c r="G275" s="3">
        <f ca="1">VLOOKUP($B275&amp;$C275,data!$A:$U,17,FALSE)</f>
        <v>2</v>
      </c>
      <c r="H275" s="3">
        <f ca="1">VLOOKUP($B275&amp;$C275,data!$A:$U,18,FALSE)</f>
        <v>0</v>
      </c>
      <c r="I275" s="3">
        <f ca="1">VLOOKUP($B275&amp;$C275,data!$A:$U,19,FALSE)</f>
        <v>2</v>
      </c>
      <c r="J275" s="3">
        <f ca="1">VLOOKUP($B275&amp;$C275,data!$A:$U,14,FALSE)</f>
        <v>7</v>
      </c>
      <c r="K275" s="3">
        <f ca="1">VLOOKUP($B275&amp;$C275,data!$A:$U,15,FALSE)</f>
        <v>0</v>
      </c>
      <c r="L275" s="3">
        <f ca="1">VLOOKUP($B275&amp;$C275,data!$A:$U,16,FALSE)</f>
        <v>7</v>
      </c>
      <c r="M275" s="3">
        <f ca="1">VLOOKUP($B275&amp;$C275,data!$A:$U,8,FALSE)</f>
        <v>31</v>
      </c>
      <c r="N275" s="3">
        <f ca="1">VLOOKUP($B275&amp;$C275,data!$A:$U,9,FALSE)</f>
        <v>11</v>
      </c>
      <c r="O275" s="3">
        <f ca="1">VLOOKUP($B275&amp;$C275,data!$A:$U,10,FALSE)</f>
        <v>20</v>
      </c>
      <c r="P275" s="3">
        <f ca="1">VLOOKUP($B275&amp;$C275,data!$A:$U,11,FALSE)</f>
        <v>11</v>
      </c>
      <c r="Q275" s="3">
        <f ca="1">VLOOKUP($B275&amp;$C275,data!$A:$U,12,FALSE)</f>
        <v>11</v>
      </c>
      <c r="R275" s="3">
        <f ca="1">VLOOKUP($B275&amp;$C275,data!$A:$U,13,FALSE)</f>
        <v>11</v>
      </c>
      <c r="S275" s="3">
        <f ca="1">VLOOKUP($B275&amp;$C275,data!$A:$U,5,FALSE)</f>
        <v>31</v>
      </c>
      <c r="T275" s="3">
        <f ca="1">VLOOKUP($B275&amp;$C275,data!$A:$U,6,FALSE)</f>
        <v>11</v>
      </c>
      <c r="U275" s="3">
        <f ca="1">VLOOKUP($B275&amp;$C275,data!$A:$U,7,FALSE)</f>
        <v>20</v>
      </c>
      <c r="V275" s="18" t="s">
        <v>837</v>
      </c>
      <c r="W275" s="17" t="s">
        <v>838</v>
      </c>
      <c r="X275" s="17" t="s">
        <v>839</v>
      </c>
      <c r="Y275" s="4" t="s">
        <v>840</v>
      </c>
      <c r="Z275" s="13">
        <f t="shared" ca="1" si="1"/>
        <v>0.6245125000277767</v>
      </c>
    </row>
    <row r="276" spans="1:26" ht="13" x14ac:dyDescent="0.15">
      <c r="A276" s="3">
        <v>275</v>
      </c>
      <c r="B276" s="3" t="s">
        <v>11</v>
      </c>
      <c r="C276" s="3" t="s">
        <v>841</v>
      </c>
      <c r="D276" s="10">
        <f t="shared" ca="1" si="0"/>
        <v>0.5</v>
      </c>
      <c r="E276" s="5">
        <f ca="1">VLOOKUP($B276&amp;$C276,data!$A:$U,20,FALSE)</f>
        <v>44305.3154050925</v>
      </c>
      <c r="F276" s="3" t="str">
        <f ca="1">VLOOKUP($B276&amp;$C276,data!$A:$U,21,FALSE)</f>
        <v>.</v>
      </c>
      <c r="G276" s="3">
        <f ca="1">VLOOKUP($B276&amp;$C276,data!$A:$U,17,FALSE)</f>
        <v>3</v>
      </c>
      <c r="H276" s="3">
        <f ca="1">VLOOKUP($B276&amp;$C276,data!$A:$U,18,FALSE)</f>
        <v>0</v>
      </c>
      <c r="I276" s="3">
        <f ca="1">VLOOKUP($B276&amp;$C276,data!$A:$U,19,FALSE)</f>
        <v>3</v>
      </c>
      <c r="J276" s="3">
        <f ca="1">VLOOKUP($B276&amp;$C276,data!$A:$U,14,FALSE)</f>
        <v>10</v>
      </c>
      <c r="K276" s="3">
        <f ca="1">VLOOKUP($B276&amp;$C276,data!$A:$U,15,FALSE)</f>
        <v>0</v>
      </c>
      <c r="L276" s="3">
        <f ca="1">VLOOKUP($B276&amp;$C276,data!$A:$U,16,FALSE)</f>
        <v>10</v>
      </c>
      <c r="M276" s="3">
        <f ca="1">VLOOKUP($B276&amp;$C276,data!$A:$U,8,FALSE)</f>
        <v>18</v>
      </c>
      <c r="N276" s="3">
        <f ca="1">VLOOKUP($B276&amp;$C276,data!$A:$U,9,FALSE)</f>
        <v>0</v>
      </c>
      <c r="O276" s="3">
        <f ca="1">VLOOKUP($B276&amp;$C276,data!$A:$U,10,FALSE)</f>
        <v>18</v>
      </c>
      <c r="P276" s="3">
        <f ca="1">VLOOKUP($B276&amp;$C276,data!$A:$U,11,FALSE)</f>
        <v>30</v>
      </c>
      <c r="Q276" s="3">
        <f ca="1">VLOOKUP($B276&amp;$C276,data!$A:$U,12,FALSE)</f>
        <v>27</v>
      </c>
      <c r="R276" s="3">
        <f ca="1">VLOOKUP($B276&amp;$C276,data!$A:$U,13,FALSE)</f>
        <v>3</v>
      </c>
      <c r="S276" s="3">
        <f ca="1">VLOOKUP($B276&amp;$C276,data!$A:$U,5,FALSE)</f>
        <v>50</v>
      </c>
      <c r="T276" s="3">
        <f ca="1">VLOOKUP($B276&amp;$C276,data!$A:$U,6,FALSE)</f>
        <v>27</v>
      </c>
      <c r="U276" s="3">
        <f ca="1">VLOOKUP($B276&amp;$C276,data!$A:$U,7,FALSE)</f>
        <v>23</v>
      </c>
      <c r="V276" s="18" t="s">
        <v>842</v>
      </c>
      <c r="W276" s="17" t="s">
        <v>843</v>
      </c>
      <c r="X276" s="17" t="s">
        <v>844</v>
      </c>
      <c r="Y276" s="4" t="s">
        <v>845</v>
      </c>
      <c r="Z276" s="13">
        <f t="shared" ca="1" si="1"/>
        <v>0.77150324083049782</v>
      </c>
    </row>
    <row r="277" spans="1:26" ht="13" x14ac:dyDescent="0.15">
      <c r="A277" s="3">
        <v>276</v>
      </c>
      <c r="B277" s="3" t="s">
        <v>12</v>
      </c>
      <c r="C277" s="3" t="s">
        <v>846</v>
      </c>
      <c r="D277" s="10">
        <f t="shared" ca="1" si="0"/>
        <v>0.33333333333333331</v>
      </c>
      <c r="E277" s="5">
        <f ca="1">VLOOKUP($B277&amp;$C277,data!$A:$U,20,FALSE)</f>
        <v>44305.2799884259</v>
      </c>
      <c r="F277" s="3" t="str">
        <f ca="1">VLOOKUP($B277&amp;$C277,data!$A:$U,21,FALSE)</f>
        <v>19.04.2021</v>
      </c>
      <c r="G277" s="3">
        <f ca="1">VLOOKUP($B277&amp;$C277,data!$A:$U,17,FALSE)</f>
        <v>3</v>
      </c>
      <c r="H277" s="3">
        <f ca="1">VLOOKUP($B277&amp;$C277,data!$A:$U,18,FALSE)</f>
        <v>0</v>
      </c>
      <c r="I277" s="3">
        <f ca="1">VLOOKUP($B277&amp;$C277,data!$A:$U,19,FALSE)</f>
        <v>3</v>
      </c>
      <c r="J277" s="3">
        <f ca="1">VLOOKUP($B277&amp;$C277,data!$A:$U,14,FALSE)</f>
        <v>0</v>
      </c>
      <c r="K277" s="3">
        <f ca="1">VLOOKUP($B277&amp;$C277,data!$A:$U,15,FALSE)</f>
        <v>6</v>
      </c>
      <c r="L277" s="3">
        <f ca="1">VLOOKUP($B277&amp;$C277,data!$A:$U,16,FALSE)</f>
        <v>2</v>
      </c>
      <c r="M277" s="3">
        <f ca="1">VLOOKUP($B277&amp;$C277,data!$A:$U,8,FALSE)</f>
        <v>30</v>
      </c>
      <c r="N277" s="3">
        <f ca="1">VLOOKUP($B277&amp;$C277,data!$A:$U,9,FALSE)</f>
        <v>21</v>
      </c>
      <c r="O277" s="3">
        <f ca="1">VLOOKUP($B277&amp;$C277,data!$A:$U,10,FALSE)</f>
        <v>9</v>
      </c>
      <c r="P277" s="3">
        <f ca="1">VLOOKUP($B277&amp;$C277,data!$A:$U,11,FALSE)</f>
        <v>0</v>
      </c>
      <c r="Q277" s="3">
        <f ca="1">VLOOKUP($B277&amp;$C277,data!$A:$U,12,FALSE)</f>
        <v>0</v>
      </c>
      <c r="R277" s="3">
        <f ca="1">VLOOKUP($B277&amp;$C277,data!$A:$U,13,FALSE)</f>
        <v>0</v>
      </c>
      <c r="S277" s="3">
        <f ca="1">VLOOKUP($B277&amp;$C277,data!$A:$U,5,FALSE)</f>
        <v>30</v>
      </c>
      <c r="T277" s="3">
        <f ca="1">VLOOKUP($B277&amp;$C277,data!$A:$U,6,FALSE)</f>
        <v>21</v>
      </c>
      <c r="U277" s="3">
        <f ca="1">VLOOKUP($B277&amp;$C277,data!$A:$U,7,FALSE)</f>
        <v>9</v>
      </c>
      <c r="V277" s="23" t="s">
        <v>847</v>
      </c>
      <c r="W277" s="12" t="s">
        <v>848</v>
      </c>
      <c r="X277" s="9"/>
      <c r="Y277" s="4" t="s">
        <v>849</v>
      </c>
      <c r="Z277" s="13">
        <f t="shared" ca="1" si="1"/>
        <v>0.80692002317664446</v>
      </c>
    </row>
    <row r="278" spans="1:26" ht="13" x14ac:dyDescent="0.15">
      <c r="A278" s="3">
        <v>277</v>
      </c>
      <c r="B278" s="3" t="s">
        <v>13</v>
      </c>
      <c r="C278" s="3" t="s">
        <v>850</v>
      </c>
      <c r="D278" s="10">
        <f t="shared" ca="1" si="0"/>
        <v>0.36666666666666664</v>
      </c>
      <c r="E278" s="5">
        <f ca="1">VLOOKUP($B278&amp;$C278,data!$A:$U,20,FALSE)</f>
        <v>44305.442858796298</v>
      </c>
      <c r="F278" s="3">
        <f ca="1">VLOOKUP($B278&amp;$C278,data!$A:$U,21,FALSE)</f>
        <v>0</v>
      </c>
      <c r="G278" s="3">
        <f ca="1">VLOOKUP($B278&amp;$C278,data!$A:$U,17,FALSE)</f>
        <v>0</v>
      </c>
      <c r="H278" s="3">
        <f ca="1">VLOOKUP($B278&amp;$C278,data!$A:$U,18,FALSE)</f>
        <v>0</v>
      </c>
      <c r="I278" s="3">
        <f ca="1">VLOOKUP($B278&amp;$C278,data!$A:$U,19,FALSE)</f>
        <v>0</v>
      </c>
      <c r="J278" s="3">
        <f ca="1">VLOOKUP($B278&amp;$C278,data!$A:$U,14,FALSE)</f>
        <v>0</v>
      </c>
      <c r="K278" s="3">
        <f ca="1">VLOOKUP($B278&amp;$C278,data!$A:$U,15,FALSE)</f>
        <v>0</v>
      </c>
      <c r="L278" s="3">
        <f ca="1">VLOOKUP($B278&amp;$C278,data!$A:$U,16,FALSE)</f>
        <v>0</v>
      </c>
      <c r="M278" s="3">
        <f ca="1">VLOOKUP($B278&amp;$C278,data!$A:$U,8,FALSE)</f>
        <v>85</v>
      </c>
      <c r="N278" s="3">
        <f ca="1">VLOOKUP($B278&amp;$C278,data!$A:$U,9,FALSE)</f>
        <v>68</v>
      </c>
      <c r="O278" s="3">
        <f ca="1">VLOOKUP($B278&amp;$C278,data!$A:$U,10,FALSE)</f>
        <v>17</v>
      </c>
      <c r="P278" s="3">
        <f ca="1">VLOOKUP($B278&amp;$C278,data!$A:$U,11,FALSE)</f>
        <v>5</v>
      </c>
      <c r="Q278" s="3">
        <f ca="1">VLOOKUP($B278&amp;$C278,data!$A:$U,12,FALSE)</f>
        <v>0</v>
      </c>
      <c r="R278" s="3">
        <f ca="1">VLOOKUP($B278&amp;$C278,data!$A:$U,13,FALSE)</f>
        <v>5</v>
      </c>
      <c r="S278" s="3">
        <f ca="1">VLOOKUP($B278&amp;$C278,data!$A:$U,5,FALSE)</f>
        <v>90</v>
      </c>
      <c r="T278" s="3">
        <f ca="1">VLOOKUP($B278&amp;$C278,data!$A:$U,6,FALSE)</f>
        <v>46</v>
      </c>
      <c r="U278" s="3">
        <f ca="1">VLOOKUP($B278&amp;$C278,data!$A:$U,7,FALSE)</f>
        <v>44</v>
      </c>
      <c r="V278" s="16"/>
      <c r="W278" s="9"/>
      <c r="X278" s="9"/>
      <c r="Y278" s="3"/>
      <c r="Z278" s="13">
        <f t="shared" ca="1" si="1"/>
        <v>0.64404953703342471</v>
      </c>
    </row>
    <row r="279" spans="1:26" ht="13" x14ac:dyDescent="0.15">
      <c r="A279" s="3">
        <v>278</v>
      </c>
      <c r="B279" s="3" t="s">
        <v>14</v>
      </c>
      <c r="C279" s="3" t="s">
        <v>851</v>
      </c>
      <c r="D279" s="10">
        <f t="shared" ca="1" si="0"/>
        <v>0.67647058823529416</v>
      </c>
      <c r="E279" s="5">
        <f ca="1">VLOOKUP($B279&amp;$C279,data!$A:$U,20,FALSE)</f>
        <v>44305.282337962897</v>
      </c>
      <c r="F279" s="3" t="str">
        <f ca="1">VLOOKUP($B279&amp;$C279,data!$A:$U,21,FALSE)</f>
        <v>19.04.2021 ( covid - 19 four patients admission in our hospital )</v>
      </c>
      <c r="G279" s="3">
        <f ca="1">VLOOKUP($B279&amp;$C279,data!$A:$U,17,FALSE)</f>
        <v>1</v>
      </c>
      <c r="H279" s="3">
        <f ca="1">VLOOKUP($B279&amp;$C279,data!$A:$U,18,FALSE)</f>
        <v>0</v>
      </c>
      <c r="I279" s="3">
        <f ca="1">VLOOKUP($B279&amp;$C279,data!$A:$U,19,FALSE)</f>
        <v>1</v>
      </c>
      <c r="J279" s="3">
        <f ca="1">VLOOKUP($B279&amp;$C279,data!$A:$U,14,FALSE)</f>
        <v>4</v>
      </c>
      <c r="K279" s="3">
        <f ca="1">VLOOKUP($B279&amp;$C279,data!$A:$U,15,FALSE)</f>
        <v>0</v>
      </c>
      <c r="L279" s="3">
        <f ca="1">VLOOKUP($B279&amp;$C279,data!$A:$U,16,FALSE)</f>
        <v>4</v>
      </c>
      <c r="M279" s="3">
        <f ca="1">VLOOKUP($B279&amp;$C279,data!$A:$U,8,FALSE)</f>
        <v>8</v>
      </c>
      <c r="N279" s="3">
        <f ca="1">VLOOKUP($B279&amp;$C279,data!$A:$U,9,FALSE)</f>
        <v>0</v>
      </c>
      <c r="O279" s="3">
        <f ca="1">VLOOKUP($B279&amp;$C279,data!$A:$U,10,FALSE)</f>
        <v>8</v>
      </c>
      <c r="P279" s="3">
        <f ca="1">VLOOKUP($B279&amp;$C279,data!$A:$U,11,FALSE)</f>
        <v>6</v>
      </c>
      <c r="Q279" s="3">
        <f ca="1">VLOOKUP($B279&amp;$C279,data!$A:$U,12,FALSE)</f>
        <v>2</v>
      </c>
      <c r="R279" s="3">
        <f ca="1">VLOOKUP($B279&amp;$C279,data!$A:$U,13,FALSE)</f>
        <v>2</v>
      </c>
      <c r="S279" s="3">
        <f ca="1">VLOOKUP($B279&amp;$C279,data!$A:$U,5,FALSE)</f>
        <v>16</v>
      </c>
      <c r="T279" s="3">
        <f ca="1">VLOOKUP($B279&amp;$C279,data!$A:$U,6,FALSE)</f>
        <v>7</v>
      </c>
      <c r="U279" s="3">
        <f ca="1">VLOOKUP($B279&amp;$C279,data!$A:$U,7,FALSE)</f>
        <v>9</v>
      </c>
      <c r="V279" s="18" t="s">
        <v>852</v>
      </c>
      <c r="W279" s="17" t="s">
        <v>853</v>
      </c>
      <c r="X279" s="17" t="s">
        <v>854</v>
      </c>
      <c r="Y279" s="4" t="s">
        <v>855</v>
      </c>
      <c r="Z279" s="13">
        <f t="shared" ca="1" si="1"/>
        <v>0.8045704861797276</v>
      </c>
    </row>
    <row r="280" spans="1:26" ht="13" x14ac:dyDescent="0.15">
      <c r="A280" s="3">
        <v>279</v>
      </c>
      <c r="B280" s="3" t="s">
        <v>14</v>
      </c>
      <c r="C280" s="3" t="s">
        <v>856</v>
      </c>
      <c r="D280" s="10">
        <f t="shared" ca="1" si="0"/>
        <v>0.8</v>
      </c>
      <c r="E280" s="5">
        <f ca="1">VLOOKUP($B280&amp;$C280,data!$A:$U,20,FALSE)</f>
        <v>44305.463275462898</v>
      </c>
      <c r="F280" s="3" t="str">
        <f ca="1">VLOOKUP($B280&amp;$C280,data!$A:$U,21,FALSE)</f>
        <v>19.04.2021 UPDATED...</v>
      </c>
      <c r="G280" s="3">
        <f ca="1">VLOOKUP($B280&amp;$C280,data!$A:$U,17,FALSE)</f>
        <v>0</v>
      </c>
      <c r="H280" s="3">
        <f ca="1">VLOOKUP($B280&amp;$C280,data!$A:$U,18,FALSE)</f>
        <v>0</v>
      </c>
      <c r="I280" s="3">
        <f ca="1">VLOOKUP($B280&amp;$C280,data!$A:$U,19,FALSE)</f>
        <v>0</v>
      </c>
      <c r="J280" s="3">
        <f ca="1">VLOOKUP($B280&amp;$C280,data!$A:$U,14,FALSE)</f>
        <v>0</v>
      </c>
      <c r="K280" s="3">
        <f ca="1">VLOOKUP($B280&amp;$C280,data!$A:$U,15,FALSE)</f>
        <v>0</v>
      </c>
      <c r="L280" s="3">
        <f ca="1">VLOOKUP($B280&amp;$C280,data!$A:$U,16,FALSE)</f>
        <v>0</v>
      </c>
      <c r="M280" s="3">
        <f ca="1">VLOOKUP($B280&amp;$C280,data!$A:$U,8,FALSE)</f>
        <v>10</v>
      </c>
      <c r="N280" s="3">
        <f ca="1">VLOOKUP($B280&amp;$C280,data!$A:$U,9,FALSE)</f>
        <v>2</v>
      </c>
      <c r="O280" s="3">
        <f ca="1">VLOOKUP($B280&amp;$C280,data!$A:$U,10,FALSE)</f>
        <v>8</v>
      </c>
      <c r="P280" s="3">
        <f ca="1">VLOOKUP($B280&amp;$C280,data!$A:$U,11,FALSE)</f>
        <v>0</v>
      </c>
      <c r="Q280" s="3">
        <f ca="1">VLOOKUP($B280&amp;$C280,data!$A:$U,12,FALSE)</f>
        <v>0</v>
      </c>
      <c r="R280" s="3">
        <f ca="1">VLOOKUP($B280&amp;$C280,data!$A:$U,13,FALSE)</f>
        <v>0</v>
      </c>
      <c r="S280" s="3">
        <f ca="1">VLOOKUP($B280&amp;$C280,data!$A:$U,5,FALSE)</f>
        <v>10</v>
      </c>
      <c r="T280" s="3">
        <f ca="1">VLOOKUP($B280&amp;$C280,data!$A:$U,6,FALSE)</f>
        <v>2</v>
      </c>
      <c r="U280" s="3">
        <f ca="1">VLOOKUP($B280&amp;$C280,data!$A:$U,7,FALSE)</f>
        <v>8</v>
      </c>
      <c r="V280" s="16"/>
      <c r="W280" s="9"/>
      <c r="X280" s="9"/>
      <c r="Y280" s="3"/>
      <c r="Z280" s="13">
        <f t="shared" ca="1" si="1"/>
        <v>0.62363287043262972</v>
      </c>
    </row>
    <row r="281" spans="1:26" ht="13" x14ac:dyDescent="0.15">
      <c r="A281" s="3">
        <v>280</v>
      </c>
      <c r="B281" s="3" t="s">
        <v>14</v>
      </c>
      <c r="C281" s="3" t="s">
        <v>857</v>
      </c>
      <c r="D281" s="10">
        <f t="shared" ca="1" si="0"/>
        <v>0.5</v>
      </c>
      <c r="E281" s="5">
        <f ca="1">VLOOKUP($B281&amp;$C281,data!$A:$U,20,FALSE)</f>
        <v>44305.445960648103</v>
      </c>
      <c r="F281" s="3" t="str">
        <f ca="1">VLOOKUP($B281&amp;$C281,data!$A:$U,21,FALSE)</f>
        <v>Update . 19.04. 2021........</v>
      </c>
      <c r="G281" s="3">
        <f ca="1">VLOOKUP($B281&amp;$C281,data!$A:$U,17,FALSE)</f>
        <v>0</v>
      </c>
      <c r="H281" s="3">
        <f ca="1">VLOOKUP($B281&amp;$C281,data!$A:$U,18,FALSE)</f>
        <v>0</v>
      </c>
      <c r="I281" s="3">
        <f ca="1">VLOOKUP($B281&amp;$C281,data!$A:$U,19,FALSE)</f>
        <v>0</v>
      </c>
      <c r="J281" s="3">
        <f ca="1">VLOOKUP($B281&amp;$C281,data!$A:$U,14,FALSE)</f>
        <v>0</v>
      </c>
      <c r="K281" s="3">
        <f ca="1">VLOOKUP($B281&amp;$C281,data!$A:$U,15,FALSE)</f>
        <v>0</v>
      </c>
      <c r="L281" s="3">
        <f ca="1">VLOOKUP($B281&amp;$C281,data!$A:$U,16,FALSE)</f>
        <v>0</v>
      </c>
      <c r="M281" s="3">
        <f ca="1">VLOOKUP($B281&amp;$C281,data!$A:$U,8,FALSE)</f>
        <v>10</v>
      </c>
      <c r="N281" s="3">
        <f ca="1">VLOOKUP($B281&amp;$C281,data!$A:$U,9,FALSE)</f>
        <v>5</v>
      </c>
      <c r="O281" s="3">
        <f ca="1">VLOOKUP($B281&amp;$C281,data!$A:$U,10,FALSE)</f>
        <v>5</v>
      </c>
      <c r="P281" s="3">
        <f ca="1">VLOOKUP($B281&amp;$C281,data!$A:$U,11,FALSE)</f>
        <v>0</v>
      </c>
      <c r="Q281" s="3">
        <f ca="1">VLOOKUP($B281&amp;$C281,data!$A:$U,12,FALSE)</f>
        <v>0</v>
      </c>
      <c r="R281" s="3">
        <f ca="1">VLOOKUP($B281&amp;$C281,data!$A:$U,13,FALSE)</f>
        <v>0</v>
      </c>
      <c r="S281" s="3">
        <f ca="1">VLOOKUP($B281&amp;$C281,data!$A:$U,5,FALSE)</f>
        <v>10</v>
      </c>
      <c r="T281" s="3">
        <f ca="1">VLOOKUP($B281&amp;$C281,data!$A:$U,6,FALSE)</f>
        <v>5</v>
      </c>
      <c r="U281" s="3">
        <f ca="1">VLOOKUP($B281&amp;$C281,data!$A:$U,7,FALSE)</f>
        <v>5</v>
      </c>
      <c r="V281" s="16"/>
      <c r="W281" s="9"/>
      <c r="X281" s="9"/>
      <c r="Y281" s="3"/>
      <c r="Z281" s="13">
        <f t="shared" ca="1" si="1"/>
        <v>0.64094780097366311</v>
      </c>
    </row>
    <row r="282" spans="1:26" ht="13" x14ac:dyDescent="0.15">
      <c r="A282" s="3">
        <v>281</v>
      </c>
      <c r="B282" s="3" t="s">
        <v>14</v>
      </c>
      <c r="C282" s="3" t="s">
        <v>858</v>
      </c>
      <c r="D282" s="10">
        <f t="shared" ca="1" si="0"/>
        <v>0</v>
      </c>
      <c r="E282" s="5">
        <f ca="1">VLOOKUP($B282&amp;$C282,data!$A:$U,20,FALSE)</f>
        <v>44305.348206018498</v>
      </c>
      <c r="F282" s="3" t="str">
        <f ca="1">VLOOKUP($B282&amp;$C282,data!$A:$U,21,FALSE)</f>
        <v>DISCHARGE - 1</v>
      </c>
      <c r="G282" s="3">
        <f ca="1">VLOOKUP($B282&amp;$C282,data!$A:$U,17,FALSE)</f>
        <v>2</v>
      </c>
      <c r="H282" s="3">
        <f ca="1">VLOOKUP($B282&amp;$C282,data!$A:$U,18,FALSE)</f>
        <v>1</v>
      </c>
      <c r="I282" s="3">
        <f ca="1">VLOOKUP($B282&amp;$C282,data!$A:$U,19,FALSE)</f>
        <v>1</v>
      </c>
      <c r="J282" s="3">
        <f ca="1">VLOOKUP($B282&amp;$C282,data!$A:$U,14,FALSE)</f>
        <v>4</v>
      </c>
      <c r="K282" s="3">
        <f ca="1">VLOOKUP($B282&amp;$C282,data!$A:$U,15,FALSE)</f>
        <v>4</v>
      </c>
      <c r="L282" s="3">
        <f ca="1">VLOOKUP($B282&amp;$C282,data!$A:$U,16,FALSE)</f>
        <v>0</v>
      </c>
      <c r="M282" s="3">
        <f ca="1">VLOOKUP($B282&amp;$C282,data!$A:$U,8,FALSE)</f>
        <v>4</v>
      </c>
      <c r="N282" s="3">
        <f ca="1">VLOOKUP($B282&amp;$C282,data!$A:$U,9,FALSE)</f>
        <v>4</v>
      </c>
      <c r="O282" s="3">
        <f ca="1">VLOOKUP($B282&amp;$C282,data!$A:$U,10,FALSE)</f>
        <v>0</v>
      </c>
      <c r="P282" s="3">
        <f ca="1">VLOOKUP($B282&amp;$C282,data!$A:$U,11,FALSE)</f>
        <v>2</v>
      </c>
      <c r="Q282" s="3">
        <f ca="1">VLOOKUP($B282&amp;$C282,data!$A:$U,12,FALSE)</f>
        <v>2</v>
      </c>
      <c r="R282" s="3">
        <f ca="1">VLOOKUP($B282&amp;$C282,data!$A:$U,13,FALSE)</f>
        <v>0</v>
      </c>
      <c r="S282" s="3">
        <f ca="1">VLOOKUP($B282&amp;$C282,data!$A:$U,5,FALSE)</f>
        <v>10</v>
      </c>
      <c r="T282" s="3">
        <f ca="1">VLOOKUP($B282&amp;$C282,data!$A:$U,6,FALSE)</f>
        <v>10</v>
      </c>
      <c r="U282" s="3">
        <f ca="1">VLOOKUP($B282&amp;$C282,data!$A:$U,7,FALSE)</f>
        <v>0</v>
      </c>
      <c r="V282" s="18" t="s">
        <v>859</v>
      </c>
      <c r="W282" s="17" t="s">
        <v>860</v>
      </c>
      <c r="X282" s="17" t="s">
        <v>861</v>
      </c>
      <c r="Y282" s="4" t="s">
        <v>862</v>
      </c>
      <c r="Z282" s="13">
        <f t="shared" ca="1" si="1"/>
        <v>0.7387023148330627</v>
      </c>
    </row>
    <row r="283" spans="1:26" ht="13" x14ac:dyDescent="0.15">
      <c r="A283" s="3">
        <v>282</v>
      </c>
      <c r="B283" s="3" t="s">
        <v>14</v>
      </c>
      <c r="C283" s="3" t="s">
        <v>863</v>
      </c>
      <c r="D283" s="10">
        <f t="shared" ca="1" si="0"/>
        <v>0.93939393939393945</v>
      </c>
      <c r="E283" s="5">
        <f ca="1">VLOOKUP($B283&amp;$C283,data!$A:$U,20,FALSE)</f>
        <v>44305.277199074</v>
      </c>
      <c r="F283" s="3" t="str">
        <f ca="1">VLOOKUP($B283&amp;$C283,data!$A:$U,21,FALSE)</f>
        <v>19-04-2021</v>
      </c>
      <c r="G283" s="3">
        <f ca="1">VLOOKUP($B283&amp;$C283,data!$A:$U,17,FALSE)</f>
        <v>8</v>
      </c>
      <c r="H283" s="3">
        <f ca="1">VLOOKUP($B283&amp;$C283,data!$A:$U,18,FALSE)</f>
        <v>0</v>
      </c>
      <c r="I283" s="3">
        <f ca="1">VLOOKUP($B283&amp;$C283,data!$A:$U,19,FALSE)</f>
        <v>8</v>
      </c>
      <c r="J283" s="3">
        <f ca="1">VLOOKUP($B283&amp;$C283,data!$A:$U,14,FALSE)</f>
        <v>23</v>
      </c>
      <c r="K283" s="3">
        <f ca="1">VLOOKUP($B283&amp;$C283,data!$A:$U,15,FALSE)</f>
        <v>0</v>
      </c>
      <c r="L283" s="3">
        <f ca="1">VLOOKUP($B283&amp;$C283,data!$A:$U,16,FALSE)</f>
        <v>23</v>
      </c>
      <c r="M283" s="3">
        <f ca="1">VLOOKUP($B283&amp;$C283,data!$A:$U,8,FALSE)</f>
        <v>5</v>
      </c>
      <c r="N283" s="3">
        <f ca="1">VLOOKUP($B283&amp;$C283,data!$A:$U,9,FALSE)</f>
        <v>2</v>
      </c>
      <c r="O283" s="3">
        <f ca="1">VLOOKUP($B283&amp;$C283,data!$A:$U,10,FALSE)</f>
        <v>3</v>
      </c>
      <c r="P283" s="3">
        <f ca="1">VLOOKUP($B283&amp;$C283,data!$A:$U,11,FALSE)</f>
        <v>5</v>
      </c>
      <c r="Q283" s="3">
        <f ca="1">VLOOKUP($B283&amp;$C283,data!$A:$U,12,FALSE)</f>
        <v>0</v>
      </c>
      <c r="R283" s="3">
        <f ca="1">VLOOKUP($B283&amp;$C283,data!$A:$U,13,FALSE)</f>
        <v>5</v>
      </c>
      <c r="S283" s="3">
        <f ca="1">VLOOKUP($B283&amp;$C283,data!$A:$U,5,FALSE)</f>
        <v>33</v>
      </c>
      <c r="T283" s="3">
        <f ca="1">VLOOKUP($B283&amp;$C283,data!$A:$U,6,FALSE)</f>
        <v>2</v>
      </c>
      <c r="U283" s="3">
        <f ca="1">VLOOKUP($B283&amp;$C283,data!$A:$U,7,FALSE)</f>
        <v>31</v>
      </c>
      <c r="V283" s="18" t="s">
        <v>864</v>
      </c>
      <c r="W283" s="17" t="s">
        <v>865</v>
      </c>
      <c r="X283" s="17" t="s">
        <v>866</v>
      </c>
      <c r="Y283" s="4" t="s">
        <v>867</v>
      </c>
      <c r="Z283" s="13">
        <f t="shared" ca="1" si="1"/>
        <v>0.80970925933070248</v>
      </c>
    </row>
    <row r="284" spans="1:26" ht="13" x14ac:dyDescent="0.15">
      <c r="A284" s="3">
        <v>283</v>
      </c>
      <c r="B284" s="3" t="s">
        <v>16</v>
      </c>
      <c r="C284" s="3" t="s">
        <v>868</v>
      </c>
      <c r="D284" s="10">
        <f t="shared" ca="1" si="0"/>
        <v>1</v>
      </c>
      <c r="E284" s="5">
        <f ca="1">VLOOKUP($B284&amp;$C284,data!$A:$U,20,FALSE)</f>
        <v>44305.358981481397</v>
      </c>
      <c r="F284" s="3">
        <f ca="1">VLOOKUP($B284&amp;$C284,data!$A:$U,21,FALSE)</f>
        <v>0</v>
      </c>
      <c r="G284" s="3">
        <f ca="1">VLOOKUP($B284&amp;$C284,data!$A:$U,17,FALSE)</f>
        <v>1</v>
      </c>
      <c r="H284" s="3">
        <f ca="1">VLOOKUP($B284&amp;$C284,data!$A:$U,18,FALSE)</f>
        <v>0</v>
      </c>
      <c r="I284" s="3">
        <f ca="1">VLOOKUP($B284&amp;$C284,data!$A:$U,19,FALSE)</f>
        <v>1</v>
      </c>
      <c r="J284" s="3">
        <f ca="1">VLOOKUP($B284&amp;$C284,data!$A:$U,14,FALSE)</f>
        <v>1</v>
      </c>
      <c r="K284" s="3">
        <f ca="1">VLOOKUP($B284&amp;$C284,data!$A:$U,15,FALSE)</f>
        <v>0</v>
      </c>
      <c r="L284" s="3">
        <f ca="1">VLOOKUP($B284&amp;$C284,data!$A:$U,16,FALSE)</f>
        <v>1</v>
      </c>
      <c r="M284" s="3">
        <f ca="1">VLOOKUP($B284&amp;$C284,data!$A:$U,8,FALSE)</f>
        <v>3</v>
      </c>
      <c r="N284" s="3">
        <f ca="1">VLOOKUP($B284&amp;$C284,data!$A:$U,9,FALSE)</f>
        <v>0</v>
      </c>
      <c r="O284" s="3">
        <f ca="1">VLOOKUP($B284&amp;$C284,data!$A:$U,10,FALSE)</f>
        <v>3</v>
      </c>
      <c r="P284" s="3">
        <f ca="1">VLOOKUP($B284&amp;$C284,data!$A:$U,11,FALSE)</f>
        <v>7</v>
      </c>
      <c r="Q284" s="3">
        <f ca="1">VLOOKUP($B284&amp;$C284,data!$A:$U,12,FALSE)</f>
        <v>0</v>
      </c>
      <c r="R284" s="3">
        <f ca="1">VLOOKUP($B284&amp;$C284,data!$A:$U,13,FALSE)</f>
        <v>7</v>
      </c>
      <c r="S284" s="3">
        <f ca="1">VLOOKUP($B284&amp;$C284,data!$A:$U,5,FALSE)</f>
        <v>10</v>
      </c>
      <c r="T284" s="3">
        <f ca="1">VLOOKUP($B284&amp;$C284,data!$A:$U,6,FALSE)</f>
        <v>0</v>
      </c>
      <c r="U284" s="3">
        <f ca="1">VLOOKUP($B284&amp;$C284,data!$A:$U,7,FALSE)</f>
        <v>10</v>
      </c>
      <c r="V284" s="23" t="s">
        <v>869</v>
      </c>
      <c r="W284" s="17" t="s">
        <v>870</v>
      </c>
      <c r="X284" s="9"/>
      <c r="Y284" s="4" t="s">
        <v>871</v>
      </c>
      <c r="Z284" s="13">
        <f t="shared" ca="1" si="1"/>
        <v>0.72792696768010501</v>
      </c>
    </row>
    <row r="285" spans="1:26" ht="13" x14ac:dyDescent="0.15">
      <c r="A285" s="3">
        <v>284</v>
      </c>
      <c r="B285" s="3" t="s">
        <v>20</v>
      </c>
      <c r="C285" s="3" t="s">
        <v>872</v>
      </c>
      <c r="D285" s="10">
        <f t="shared" ca="1" si="0"/>
        <v>1</v>
      </c>
      <c r="E285" s="5">
        <f ca="1">VLOOKUP($B285&amp;$C285,data!$A:$U,20,FALSE)</f>
        <v>44305.379965277702</v>
      </c>
      <c r="F285" s="3">
        <f ca="1">VLOOKUP($B285&amp;$C285,data!$A:$U,21,FALSE)</f>
        <v>0</v>
      </c>
      <c r="G285" s="3">
        <f ca="1">VLOOKUP($B285&amp;$C285,data!$A:$U,17,FALSE)</f>
        <v>2</v>
      </c>
      <c r="H285" s="3">
        <f ca="1">VLOOKUP($B285&amp;$C285,data!$A:$U,18,FALSE)</f>
        <v>0</v>
      </c>
      <c r="I285" s="3">
        <f ca="1">VLOOKUP($B285&amp;$C285,data!$A:$U,19,FALSE)</f>
        <v>2</v>
      </c>
      <c r="J285" s="3">
        <f ca="1">VLOOKUP($B285&amp;$C285,data!$A:$U,14,FALSE)</f>
        <v>4</v>
      </c>
      <c r="K285" s="3">
        <f ca="1">VLOOKUP($B285&amp;$C285,data!$A:$U,15,FALSE)</f>
        <v>0</v>
      </c>
      <c r="L285" s="3">
        <f ca="1">VLOOKUP($B285&amp;$C285,data!$A:$U,16,FALSE)</f>
        <v>4</v>
      </c>
      <c r="M285" s="3">
        <f ca="1">VLOOKUP($B285&amp;$C285,data!$A:$U,8,FALSE)</f>
        <v>11</v>
      </c>
      <c r="N285" s="3">
        <f ca="1">VLOOKUP($B285&amp;$C285,data!$A:$U,9,FALSE)</f>
        <v>0</v>
      </c>
      <c r="O285" s="3">
        <f ca="1">VLOOKUP($B285&amp;$C285,data!$A:$U,10,FALSE)</f>
        <v>11</v>
      </c>
      <c r="P285" s="3">
        <f ca="1">VLOOKUP($B285&amp;$C285,data!$A:$U,11,FALSE)</f>
        <v>10</v>
      </c>
      <c r="Q285" s="3">
        <f ca="1">VLOOKUP($B285&amp;$C285,data!$A:$U,12,FALSE)</f>
        <v>0</v>
      </c>
      <c r="R285" s="3">
        <f ca="1">VLOOKUP($B285&amp;$C285,data!$A:$U,13,FALSE)</f>
        <v>10</v>
      </c>
      <c r="S285" s="3">
        <f ca="1">VLOOKUP($B285&amp;$C285,data!$A:$U,5,FALSE)</f>
        <v>25</v>
      </c>
      <c r="T285" s="3">
        <f ca="1">VLOOKUP($B285&amp;$C285,data!$A:$U,6,FALSE)</f>
        <v>0</v>
      </c>
      <c r="U285" s="3">
        <f ca="1">VLOOKUP($B285&amp;$C285,data!$A:$U,7,FALSE)</f>
        <v>25</v>
      </c>
      <c r="V285" s="16"/>
      <c r="W285" s="17" t="s">
        <v>873</v>
      </c>
      <c r="X285" s="9"/>
      <c r="Y285" s="4" t="s">
        <v>874</v>
      </c>
      <c r="Z285" s="13">
        <f t="shared" ca="1" si="1"/>
        <v>0.70694305562938098</v>
      </c>
    </row>
    <row r="286" spans="1:26" ht="13" x14ac:dyDescent="0.15">
      <c r="A286" s="3">
        <v>285</v>
      </c>
      <c r="B286" s="3" t="s">
        <v>21</v>
      </c>
      <c r="C286" s="3" t="s">
        <v>875</v>
      </c>
      <c r="D286" s="10">
        <f t="shared" ca="1" si="0"/>
        <v>0.189873417721519</v>
      </c>
      <c r="E286" s="5">
        <f ca="1">VLOOKUP($B286&amp;$C286,data!$A:$U,20,FALSE)</f>
        <v>44305.452326388797</v>
      </c>
      <c r="F286" s="3">
        <f ca="1">VLOOKUP($B286&amp;$C286,data!$A:$U,21,FALSE)</f>
        <v>0</v>
      </c>
      <c r="G286" s="3">
        <f ca="1">VLOOKUP($B286&amp;$C286,data!$A:$U,17,FALSE)</f>
        <v>2</v>
      </c>
      <c r="H286" s="3">
        <f ca="1">VLOOKUP($B286&amp;$C286,data!$A:$U,18,FALSE)</f>
        <v>0</v>
      </c>
      <c r="I286" s="3">
        <f ca="1">VLOOKUP($B286&amp;$C286,data!$A:$U,19,FALSE)</f>
        <v>2</v>
      </c>
      <c r="J286" s="3">
        <f ca="1">VLOOKUP($B286&amp;$C286,data!$A:$U,14,FALSE)</f>
        <v>4</v>
      </c>
      <c r="K286" s="3">
        <f ca="1">VLOOKUP($B286&amp;$C286,data!$A:$U,15,FALSE)</f>
        <v>0</v>
      </c>
      <c r="L286" s="3">
        <f ca="1">VLOOKUP($B286&amp;$C286,data!$A:$U,16,FALSE)</f>
        <v>4</v>
      </c>
      <c r="M286" s="3">
        <f ca="1">VLOOKUP($B286&amp;$C286,data!$A:$U,8,FALSE)</f>
        <v>25</v>
      </c>
      <c r="N286" s="3">
        <f ca="1">VLOOKUP($B286&amp;$C286,data!$A:$U,9,FALSE)</f>
        <v>0</v>
      </c>
      <c r="O286" s="3">
        <f ca="1">VLOOKUP($B286&amp;$C286,data!$A:$U,10,FALSE)</f>
        <v>0</v>
      </c>
      <c r="P286" s="3">
        <f ca="1">VLOOKUP($B286&amp;$C286,data!$A:$U,11,FALSE)</f>
        <v>25</v>
      </c>
      <c r="Q286" s="3">
        <f ca="1">VLOOKUP($B286&amp;$C286,data!$A:$U,12,FALSE)</f>
        <v>0</v>
      </c>
      <c r="R286" s="3">
        <f ca="1">VLOOKUP($B286&amp;$C286,data!$A:$U,13,FALSE)</f>
        <v>0</v>
      </c>
      <c r="S286" s="3">
        <f ca="1">VLOOKUP($B286&amp;$C286,data!$A:$U,5,FALSE)</f>
        <v>25</v>
      </c>
      <c r="T286" s="3">
        <f ca="1">VLOOKUP($B286&amp;$C286,data!$A:$U,6,FALSE)</f>
        <v>14</v>
      </c>
      <c r="U286" s="3">
        <f ca="1">VLOOKUP($B286&amp;$C286,data!$A:$U,7,FALSE)</f>
        <v>11</v>
      </c>
      <c r="V286" s="18">
        <v>9842750556</v>
      </c>
      <c r="W286" s="17" t="s">
        <v>876</v>
      </c>
      <c r="X286" s="9"/>
      <c r="Y286" s="4" t="s">
        <v>877</v>
      </c>
      <c r="Z286" s="13">
        <f t="shared" ca="1" si="1"/>
        <v>0.63458194453414762</v>
      </c>
    </row>
    <row r="287" spans="1:26" ht="13" x14ac:dyDescent="0.15">
      <c r="A287" s="3">
        <v>286</v>
      </c>
      <c r="B287" s="3" t="s">
        <v>21</v>
      </c>
      <c r="C287" s="3" t="s">
        <v>878</v>
      </c>
      <c r="D287" s="10">
        <f t="shared" ca="1" si="0"/>
        <v>0.5</v>
      </c>
      <c r="E287" s="5">
        <f ca="1">VLOOKUP($B287&amp;$C287,data!$A:$U,20,FALSE)</f>
        <v>44305.414652777697</v>
      </c>
      <c r="F287" s="3">
        <f ca="1">VLOOKUP($B287&amp;$C287,data!$A:$U,21,FALSE)</f>
        <v>0</v>
      </c>
      <c r="G287" s="3">
        <f ca="1">VLOOKUP($B287&amp;$C287,data!$A:$U,17,FALSE)</f>
        <v>1</v>
      </c>
      <c r="H287" s="3">
        <f ca="1">VLOOKUP($B287&amp;$C287,data!$A:$U,18,FALSE)</f>
        <v>0</v>
      </c>
      <c r="I287" s="3">
        <f ca="1">VLOOKUP($B287&amp;$C287,data!$A:$U,19,FALSE)</f>
        <v>1</v>
      </c>
      <c r="J287" s="3">
        <f ca="1">VLOOKUP($B287&amp;$C287,data!$A:$U,14,FALSE)</f>
        <v>0</v>
      </c>
      <c r="K287" s="3">
        <f ca="1">VLOOKUP($B287&amp;$C287,data!$A:$U,15,FALSE)</f>
        <v>0</v>
      </c>
      <c r="L287" s="3">
        <f ca="1">VLOOKUP($B287&amp;$C287,data!$A:$U,16,FALSE)</f>
        <v>0</v>
      </c>
      <c r="M287" s="3">
        <f ca="1">VLOOKUP($B287&amp;$C287,data!$A:$U,8,FALSE)</f>
        <v>4</v>
      </c>
      <c r="N287" s="3">
        <f ca="1">VLOOKUP($B287&amp;$C287,data!$A:$U,9,FALSE)</f>
        <v>0</v>
      </c>
      <c r="O287" s="3">
        <f ca="1">VLOOKUP($B287&amp;$C287,data!$A:$U,10,FALSE)</f>
        <v>4</v>
      </c>
      <c r="P287" s="3">
        <f ca="1">VLOOKUP($B287&amp;$C287,data!$A:$U,11,FALSE)</f>
        <v>10</v>
      </c>
      <c r="Q287" s="3">
        <f ca="1">VLOOKUP($B287&amp;$C287,data!$A:$U,12,FALSE)</f>
        <v>0</v>
      </c>
      <c r="R287" s="3">
        <f ca="1">VLOOKUP($B287&amp;$C287,data!$A:$U,13,FALSE)</f>
        <v>3</v>
      </c>
      <c r="S287" s="3">
        <f ca="1">VLOOKUP($B287&amp;$C287,data!$A:$U,5,FALSE)</f>
        <v>14</v>
      </c>
      <c r="T287" s="3">
        <f ca="1">VLOOKUP($B287&amp;$C287,data!$A:$U,6,FALSE)</f>
        <v>7</v>
      </c>
      <c r="U287" s="3">
        <f ca="1">VLOOKUP($B287&amp;$C287,data!$A:$U,7,FALSE)</f>
        <v>7</v>
      </c>
      <c r="V287" s="23" t="s">
        <v>879</v>
      </c>
      <c r="W287" s="17" t="s">
        <v>880</v>
      </c>
      <c r="X287" s="17" t="s">
        <v>881</v>
      </c>
      <c r="Y287" s="4" t="s">
        <v>882</v>
      </c>
      <c r="Z287" s="13">
        <f t="shared" ca="1" si="1"/>
        <v>0.67225555563345551</v>
      </c>
    </row>
    <row r="288" spans="1:26" ht="13" x14ac:dyDescent="0.15">
      <c r="A288" s="3">
        <v>287</v>
      </c>
      <c r="B288" s="3" t="s">
        <v>21</v>
      </c>
      <c r="C288" s="3" t="s">
        <v>883</v>
      </c>
      <c r="D288" s="10">
        <f t="shared" ca="1" si="0"/>
        <v>1</v>
      </c>
      <c r="E288" s="5">
        <f ca="1">VLOOKUP($B288&amp;$C288,data!$A:$U,20,FALSE)</f>
        <v>44305.503587962899</v>
      </c>
      <c r="F288" s="3" t="str">
        <f ca="1">VLOOKUP($B288&amp;$C288,data!$A:$U,21,FALSE)</f>
        <v>Nil</v>
      </c>
      <c r="G288" s="3">
        <f ca="1">VLOOKUP($B288&amp;$C288,data!$A:$U,17,FALSE)</f>
        <v>0</v>
      </c>
      <c r="H288" s="3">
        <f ca="1">VLOOKUP($B288&amp;$C288,data!$A:$U,18,FALSE)</f>
        <v>0</v>
      </c>
      <c r="I288" s="3">
        <f ca="1">VLOOKUP($B288&amp;$C288,data!$A:$U,19,FALSE)</f>
        <v>0</v>
      </c>
      <c r="J288" s="3">
        <f ca="1">VLOOKUP($B288&amp;$C288,data!$A:$U,14,FALSE)</f>
        <v>1</v>
      </c>
      <c r="K288" s="3">
        <f ca="1">VLOOKUP($B288&amp;$C288,data!$A:$U,15,FALSE)</f>
        <v>0</v>
      </c>
      <c r="L288" s="3">
        <f ca="1">VLOOKUP($B288&amp;$C288,data!$A:$U,16,FALSE)</f>
        <v>1</v>
      </c>
      <c r="M288" s="3">
        <f ca="1">VLOOKUP($B288&amp;$C288,data!$A:$U,8,FALSE)</f>
        <v>4</v>
      </c>
      <c r="N288" s="3">
        <f ca="1">VLOOKUP($B288&amp;$C288,data!$A:$U,9,FALSE)</f>
        <v>0</v>
      </c>
      <c r="O288" s="3">
        <f ca="1">VLOOKUP($B288&amp;$C288,data!$A:$U,10,FALSE)</f>
        <v>4</v>
      </c>
      <c r="P288" s="3">
        <f ca="1">VLOOKUP($B288&amp;$C288,data!$A:$U,11,FALSE)</f>
        <v>5</v>
      </c>
      <c r="Q288" s="3">
        <f ca="1">VLOOKUP($B288&amp;$C288,data!$A:$U,12,FALSE)</f>
        <v>0</v>
      </c>
      <c r="R288" s="3">
        <f ca="1">VLOOKUP($B288&amp;$C288,data!$A:$U,13,FALSE)</f>
        <v>5</v>
      </c>
      <c r="S288" s="3">
        <f ca="1">VLOOKUP($B288&amp;$C288,data!$A:$U,5,FALSE)</f>
        <v>10</v>
      </c>
      <c r="T288" s="3">
        <f ca="1">VLOOKUP($B288&amp;$C288,data!$A:$U,6,FALSE)</f>
        <v>0</v>
      </c>
      <c r="U288" s="3">
        <f ca="1">VLOOKUP($B288&amp;$C288,data!$A:$U,7,FALSE)</f>
        <v>10</v>
      </c>
      <c r="V288" s="16"/>
      <c r="W288" s="9"/>
      <c r="X288" s="9"/>
      <c r="Y288" s="3"/>
      <c r="Z288" s="13">
        <f t="shared" ca="1" si="1"/>
        <v>0.58332037043146556</v>
      </c>
    </row>
    <row r="289" spans="1:26" ht="13" x14ac:dyDescent="0.15">
      <c r="A289" s="3">
        <v>288</v>
      </c>
      <c r="B289" s="3" t="s">
        <v>21</v>
      </c>
      <c r="C289" s="3" t="s">
        <v>884</v>
      </c>
      <c r="D289" s="10">
        <f t="shared" ca="1" si="0"/>
        <v>0.65909090909090906</v>
      </c>
      <c r="E289" s="5">
        <f ca="1">VLOOKUP($B289&amp;$C289,data!$A:$U,20,FALSE)</f>
        <v>44305.433194444398</v>
      </c>
      <c r="F289" s="3">
        <f ca="1">VLOOKUP($B289&amp;$C289,data!$A:$U,21,FALSE)</f>
        <v>0</v>
      </c>
      <c r="G289" s="3">
        <f ca="1">VLOOKUP($B289&amp;$C289,data!$A:$U,17,FALSE)</f>
        <v>3</v>
      </c>
      <c r="H289" s="3">
        <f ca="1">VLOOKUP($B289&amp;$C289,data!$A:$U,18,FALSE)</f>
        <v>0</v>
      </c>
      <c r="I289" s="3">
        <f ca="1">VLOOKUP($B289&amp;$C289,data!$A:$U,19,FALSE)</f>
        <v>3</v>
      </c>
      <c r="J289" s="3">
        <f ca="1">VLOOKUP($B289&amp;$C289,data!$A:$U,14,FALSE)</f>
        <v>5</v>
      </c>
      <c r="K289" s="3">
        <f ca="1">VLOOKUP($B289&amp;$C289,data!$A:$U,15,FALSE)</f>
        <v>0</v>
      </c>
      <c r="L289" s="3">
        <f ca="1">VLOOKUP($B289&amp;$C289,data!$A:$U,16,FALSE)</f>
        <v>5</v>
      </c>
      <c r="M289" s="3">
        <f ca="1">VLOOKUP($B289&amp;$C289,data!$A:$U,8,FALSE)</f>
        <v>11</v>
      </c>
      <c r="N289" s="3">
        <f ca="1">VLOOKUP($B289&amp;$C289,data!$A:$U,9,FALSE)</f>
        <v>0</v>
      </c>
      <c r="O289" s="3">
        <f ca="1">VLOOKUP($B289&amp;$C289,data!$A:$U,10,FALSE)</f>
        <v>11</v>
      </c>
      <c r="P289" s="3">
        <f ca="1">VLOOKUP($B289&amp;$C289,data!$A:$U,11,FALSE)</f>
        <v>3</v>
      </c>
      <c r="Q289" s="3">
        <f ca="1">VLOOKUP($B289&amp;$C289,data!$A:$U,12,FALSE)</f>
        <v>0</v>
      </c>
      <c r="R289" s="3">
        <f ca="1">VLOOKUP($B289&amp;$C289,data!$A:$U,13,FALSE)</f>
        <v>0</v>
      </c>
      <c r="S289" s="3">
        <f ca="1">VLOOKUP($B289&amp;$C289,data!$A:$U,5,FALSE)</f>
        <v>25</v>
      </c>
      <c r="T289" s="3">
        <f ca="1">VLOOKUP($B289&amp;$C289,data!$A:$U,6,FALSE)</f>
        <v>12</v>
      </c>
      <c r="U289" s="3">
        <f ca="1">VLOOKUP($B289&amp;$C289,data!$A:$U,7,FALSE)</f>
        <v>13</v>
      </c>
      <c r="V289" s="18" t="s">
        <v>885</v>
      </c>
      <c r="W289" s="17" t="s">
        <v>886</v>
      </c>
      <c r="X289" s="9"/>
      <c r="Y289" s="4" t="s">
        <v>887</v>
      </c>
      <c r="Z289" s="13">
        <f t="shared" ca="1" si="1"/>
        <v>0.65371388893254334</v>
      </c>
    </row>
    <row r="290" spans="1:26" ht="13" x14ac:dyDescent="0.15">
      <c r="A290" s="3">
        <v>289</v>
      </c>
      <c r="B290" s="3" t="s">
        <v>23</v>
      </c>
      <c r="C290" s="3" t="s">
        <v>888</v>
      </c>
      <c r="D290" s="10">
        <f t="shared" ca="1" si="0"/>
        <v>0.94285714285714284</v>
      </c>
      <c r="E290" s="5">
        <f ca="1">VLOOKUP($B290&amp;$C290,data!$A:$U,20,FALSE)</f>
        <v>44305.401134259198</v>
      </c>
      <c r="F290" s="3" t="str">
        <f ca="1">VLOOKUP($B290&amp;$C290,data!$A:$U,21,FALSE)</f>
        <v>.</v>
      </c>
      <c r="G290" s="3">
        <f ca="1">VLOOKUP($B290&amp;$C290,data!$A:$U,17,FALSE)</f>
        <v>1</v>
      </c>
      <c r="H290" s="3">
        <f ca="1">VLOOKUP($B290&amp;$C290,data!$A:$U,18,FALSE)</f>
        <v>0</v>
      </c>
      <c r="I290" s="3">
        <f ca="1">VLOOKUP($B290&amp;$C290,data!$A:$U,19,FALSE)</f>
        <v>1</v>
      </c>
      <c r="J290" s="3">
        <f ca="1">VLOOKUP($B290&amp;$C290,data!$A:$U,14,FALSE)</f>
        <v>4</v>
      </c>
      <c r="K290" s="3">
        <f ca="1">VLOOKUP($B290&amp;$C290,data!$A:$U,15,FALSE)</f>
        <v>0</v>
      </c>
      <c r="L290" s="3">
        <f ca="1">VLOOKUP($B290&amp;$C290,data!$A:$U,16,FALSE)</f>
        <v>4</v>
      </c>
      <c r="M290" s="3">
        <f ca="1">VLOOKUP($B290&amp;$C290,data!$A:$U,8,FALSE)</f>
        <v>29</v>
      </c>
      <c r="N290" s="3">
        <f ca="1">VLOOKUP($B290&amp;$C290,data!$A:$U,9,FALSE)</f>
        <v>2</v>
      </c>
      <c r="O290" s="3">
        <f ca="1">VLOOKUP($B290&amp;$C290,data!$A:$U,10,FALSE)</f>
        <v>27</v>
      </c>
      <c r="P290" s="3">
        <f ca="1">VLOOKUP($B290&amp;$C290,data!$A:$U,11,FALSE)</f>
        <v>2</v>
      </c>
      <c r="Q290" s="3">
        <f ca="1">VLOOKUP($B290&amp;$C290,data!$A:$U,12,FALSE)</f>
        <v>0</v>
      </c>
      <c r="R290" s="3">
        <f ca="1">VLOOKUP($B290&amp;$C290,data!$A:$U,13,FALSE)</f>
        <v>2</v>
      </c>
      <c r="S290" s="3">
        <f ca="1">VLOOKUP($B290&amp;$C290,data!$A:$U,5,FALSE)</f>
        <v>35</v>
      </c>
      <c r="T290" s="3">
        <f ca="1">VLOOKUP($B290&amp;$C290,data!$A:$U,6,FALSE)</f>
        <v>2</v>
      </c>
      <c r="U290" s="3">
        <f ca="1">VLOOKUP($B290&amp;$C290,data!$A:$U,7,FALSE)</f>
        <v>33</v>
      </c>
      <c r="V290" s="18" t="s">
        <v>889</v>
      </c>
      <c r="W290" s="17" t="s">
        <v>890</v>
      </c>
      <c r="X290" s="9"/>
      <c r="Y290" s="4" t="s">
        <v>891</v>
      </c>
      <c r="Z290" s="13">
        <f t="shared" ca="1" si="1"/>
        <v>0.68577407413249603</v>
      </c>
    </row>
    <row r="291" spans="1:26" ht="13" x14ac:dyDescent="0.15">
      <c r="A291" s="3">
        <v>290</v>
      </c>
      <c r="B291" s="3" t="s">
        <v>23</v>
      </c>
      <c r="C291" s="3" t="s">
        <v>892</v>
      </c>
      <c r="D291" s="10" t="e">
        <f t="shared" ca="1" si="0"/>
        <v>#DIV/0!</v>
      </c>
      <c r="E291" s="5">
        <f ca="1">VLOOKUP($B291&amp;$C291,data!$A:$U,20,FALSE)</f>
        <v>44305.400925925896</v>
      </c>
      <c r="F291" s="3" t="str">
        <f ca="1">VLOOKUP($B291&amp;$C291,data!$A:$U,21,FALSE)</f>
        <v>.</v>
      </c>
      <c r="G291" s="3">
        <f ca="1">VLOOKUP($B291&amp;$C291,data!$A:$U,17,FALSE)</f>
        <v>0</v>
      </c>
      <c r="H291" s="3">
        <f ca="1">VLOOKUP($B291&amp;$C291,data!$A:$U,18,FALSE)</f>
        <v>0</v>
      </c>
      <c r="I291" s="3">
        <f ca="1">VLOOKUP($B291&amp;$C291,data!$A:$U,19,FALSE)</f>
        <v>0</v>
      </c>
      <c r="J291" s="3">
        <f ca="1">VLOOKUP($B291&amp;$C291,data!$A:$U,14,FALSE)</f>
        <v>0</v>
      </c>
      <c r="K291" s="3">
        <f ca="1">VLOOKUP($B291&amp;$C291,data!$A:$U,15,FALSE)</f>
        <v>0</v>
      </c>
      <c r="L291" s="3">
        <f ca="1">VLOOKUP($B291&amp;$C291,data!$A:$U,16,FALSE)</f>
        <v>0</v>
      </c>
      <c r="M291" s="3">
        <f ca="1">VLOOKUP($B291&amp;$C291,data!$A:$U,8,FALSE)</f>
        <v>0</v>
      </c>
      <c r="N291" s="3">
        <f ca="1">VLOOKUP($B291&amp;$C291,data!$A:$U,9,FALSE)</f>
        <v>0</v>
      </c>
      <c r="O291" s="3">
        <f ca="1">VLOOKUP($B291&amp;$C291,data!$A:$U,10,FALSE)</f>
        <v>0</v>
      </c>
      <c r="P291" s="3">
        <f ca="1">VLOOKUP($B291&amp;$C291,data!$A:$U,11,FALSE)</f>
        <v>0</v>
      </c>
      <c r="Q291" s="3">
        <f ca="1">VLOOKUP($B291&amp;$C291,data!$A:$U,12,FALSE)</f>
        <v>0</v>
      </c>
      <c r="R291" s="3">
        <f ca="1">VLOOKUP($B291&amp;$C291,data!$A:$U,13,FALSE)</f>
        <v>0</v>
      </c>
      <c r="S291" s="3">
        <f ca="1">VLOOKUP($B291&amp;$C291,data!$A:$U,5,FALSE)</f>
        <v>0</v>
      </c>
      <c r="T291" s="3">
        <f ca="1">VLOOKUP($B291&amp;$C291,data!$A:$U,6,FALSE)</f>
        <v>0</v>
      </c>
      <c r="U291" s="3">
        <f ca="1">VLOOKUP($B291&amp;$C291,data!$A:$U,7,FALSE)</f>
        <v>0</v>
      </c>
      <c r="V291" s="16"/>
      <c r="W291" s="9"/>
      <c r="X291" s="9"/>
      <c r="Y291" s="3"/>
      <c r="Z291" s="13">
        <f t="shared" ca="1" si="1"/>
        <v>0.68598240743449423</v>
      </c>
    </row>
    <row r="292" spans="1:26" ht="13" x14ac:dyDescent="0.15">
      <c r="A292" s="3">
        <v>291</v>
      </c>
      <c r="B292" s="3" t="s">
        <v>24</v>
      </c>
      <c r="C292" s="3" t="s">
        <v>893</v>
      </c>
      <c r="D292" s="10">
        <f t="shared" ca="1" si="0"/>
        <v>0.42372881355932202</v>
      </c>
      <c r="E292" s="5">
        <f ca="1">VLOOKUP($B292&amp;$C292,data!$A:$U,20,FALSE)</f>
        <v>44305.393055555498</v>
      </c>
      <c r="F292" s="3" t="str">
        <f ca="1">VLOOKUP($B292&amp;$C292,data!$A:$U,21,FALSE)</f>
        <v>Total positive case - 17 Total sari case - 17</v>
      </c>
      <c r="G292" s="3">
        <f ca="1">VLOOKUP($B292&amp;$C292,data!$A:$U,17,FALSE)</f>
        <v>2</v>
      </c>
      <c r="H292" s="3">
        <f ca="1">VLOOKUP($B292&amp;$C292,data!$A:$U,18,FALSE)</f>
        <v>0</v>
      </c>
      <c r="I292" s="3">
        <f ca="1">VLOOKUP($B292&amp;$C292,data!$A:$U,19,FALSE)</f>
        <v>2</v>
      </c>
      <c r="J292" s="3">
        <f ca="1">VLOOKUP($B292&amp;$C292,data!$A:$U,14,FALSE)</f>
        <v>9</v>
      </c>
      <c r="K292" s="3">
        <f ca="1">VLOOKUP($B292&amp;$C292,data!$A:$U,15,FALSE)</f>
        <v>0</v>
      </c>
      <c r="L292" s="3">
        <f ca="1">VLOOKUP($B292&amp;$C292,data!$A:$U,16,FALSE)</f>
        <v>9</v>
      </c>
      <c r="M292" s="3">
        <f ca="1">VLOOKUP($B292&amp;$C292,data!$A:$U,8,FALSE)</f>
        <v>20</v>
      </c>
      <c r="N292" s="3">
        <f ca="1">VLOOKUP($B292&amp;$C292,data!$A:$U,9,FALSE)</f>
        <v>4</v>
      </c>
      <c r="O292" s="3">
        <f ca="1">VLOOKUP($B292&amp;$C292,data!$A:$U,10,FALSE)</f>
        <v>16</v>
      </c>
      <c r="P292" s="3">
        <f ca="1">VLOOKUP($B292&amp;$C292,data!$A:$U,11,FALSE)</f>
        <v>30</v>
      </c>
      <c r="Q292" s="3">
        <f ca="1">VLOOKUP($B292&amp;$C292,data!$A:$U,12,FALSE)</f>
        <v>30</v>
      </c>
      <c r="R292" s="3">
        <f ca="1">VLOOKUP($B292&amp;$C292,data!$A:$U,13,FALSE)</f>
        <v>0</v>
      </c>
      <c r="S292" s="3">
        <f ca="1">VLOOKUP($B292&amp;$C292,data!$A:$U,5,FALSE)</f>
        <v>59</v>
      </c>
      <c r="T292" s="3">
        <f ca="1">VLOOKUP($B292&amp;$C292,data!$A:$U,6,FALSE)</f>
        <v>34</v>
      </c>
      <c r="U292" s="3">
        <f ca="1">VLOOKUP($B292&amp;$C292,data!$A:$U,7,FALSE)</f>
        <v>25</v>
      </c>
      <c r="V292" s="18" t="s">
        <v>894</v>
      </c>
      <c r="W292" s="17" t="s">
        <v>895</v>
      </c>
      <c r="X292" s="17" t="s">
        <v>896</v>
      </c>
      <c r="Y292" s="4" t="s">
        <v>897</v>
      </c>
      <c r="Z292" s="13">
        <f t="shared" ca="1" si="1"/>
        <v>0.69385277783294441</v>
      </c>
    </row>
    <row r="293" spans="1:26" ht="13" x14ac:dyDescent="0.15">
      <c r="A293" s="3">
        <v>292</v>
      </c>
      <c r="B293" s="3" t="s">
        <v>24</v>
      </c>
      <c r="C293" s="3" t="s">
        <v>898</v>
      </c>
      <c r="D293" s="10">
        <f t="shared" ca="1" si="0"/>
        <v>1</v>
      </c>
      <c r="E293" s="5">
        <f ca="1">VLOOKUP($B293&amp;$C293,data!$A:$U,20,FALSE)</f>
        <v>44305.5074537037</v>
      </c>
      <c r="F293" s="3" t="str">
        <f ca="1">VLOOKUP($B293&amp;$C293,data!$A:$U,21,FALSE)</f>
        <v>0 positive case.</v>
      </c>
      <c r="G293" s="3">
        <f ca="1">VLOOKUP($B293&amp;$C293,data!$A:$U,17,FALSE)</f>
        <v>3</v>
      </c>
      <c r="H293" s="3">
        <f ca="1">VLOOKUP($B293&amp;$C293,data!$A:$U,18,FALSE)</f>
        <v>0</v>
      </c>
      <c r="I293" s="3">
        <f ca="1">VLOOKUP($B293&amp;$C293,data!$A:$U,19,FALSE)</f>
        <v>3</v>
      </c>
      <c r="J293" s="3">
        <f ca="1">VLOOKUP($B293&amp;$C293,data!$A:$U,14,FALSE)</f>
        <v>5</v>
      </c>
      <c r="K293" s="3">
        <f ca="1">VLOOKUP($B293&amp;$C293,data!$A:$U,15,FALSE)</f>
        <v>0</v>
      </c>
      <c r="L293" s="3">
        <f ca="1">VLOOKUP($B293&amp;$C293,data!$A:$U,16,FALSE)</f>
        <v>5</v>
      </c>
      <c r="M293" s="3">
        <f ca="1">VLOOKUP($B293&amp;$C293,data!$A:$U,8,FALSE)</f>
        <v>15</v>
      </c>
      <c r="N293" s="3">
        <f ca="1">VLOOKUP($B293&amp;$C293,data!$A:$U,9,FALSE)</f>
        <v>0</v>
      </c>
      <c r="O293" s="3">
        <f ca="1">VLOOKUP($B293&amp;$C293,data!$A:$U,10,FALSE)</f>
        <v>15</v>
      </c>
      <c r="P293" s="3">
        <f ca="1">VLOOKUP($B293&amp;$C293,data!$A:$U,11,FALSE)</f>
        <v>10</v>
      </c>
      <c r="Q293" s="3">
        <f ca="1">VLOOKUP($B293&amp;$C293,data!$A:$U,12,FALSE)</f>
        <v>0</v>
      </c>
      <c r="R293" s="3">
        <f ca="1">VLOOKUP($B293&amp;$C293,data!$A:$U,13,FALSE)</f>
        <v>10</v>
      </c>
      <c r="S293" s="3">
        <f ca="1">VLOOKUP($B293&amp;$C293,data!$A:$U,5,FALSE)</f>
        <v>30</v>
      </c>
      <c r="T293" s="3">
        <f ca="1">VLOOKUP($B293&amp;$C293,data!$A:$U,6,FALSE)</f>
        <v>0</v>
      </c>
      <c r="U293" s="3">
        <f ca="1">VLOOKUP($B293&amp;$C293,data!$A:$U,7,FALSE)</f>
        <v>30</v>
      </c>
      <c r="V293" s="18" t="s">
        <v>899</v>
      </c>
      <c r="W293" s="17" t="s">
        <v>900</v>
      </c>
      <c r="X293" s="9"/>
      <c r="Y293" s="4" t="s">
        <v>901</v>
      </c>
      <c r="Z293" s="13">
        <f t="shared" ca="1" si="1"/>
        <v>0.57945462963107275</v>
      </c>
    </row>
    <row r="294" spans="1:26" ht="13" x14ac:dyDescent="0.15">
      <c r="A294" s="3">
        <v>293</v>
      </c>
      <c r="B294" s="3" t="s">
        <v>24</v>
      </c>
      <c r="C294" s="3" t="s">
        <v>902</v>
      </c>
      <c r="D294" s="10">
        <f t="shared" ca="1" si="0"/>
        <v>0.52500000000000002</v>
      </c>
      <c r="E294" s="5">
        <f ca="1">VLOOKUP($B294&amp;$C294,data!$A:$U,20,FALSE)</f>
        <v>44305.309513888802</v>
      </c>
      <c r="F294" s="3" t="str">
        <f ca="1">VLOOKUP($B294&amp;$C294,data!$A:$U,21,FALSE)</f>
        <v>Updated on 19</v>
      </c>
      <c r="G294" s="3">
        <f ca="1">VLOOKUP($B294&amp;$C294,data!$A:$U,17,FALSE)</f>
        <v>1</v>
      </c>
      <c r="H294" s="3">
        <f ca="1">VLOOKUP($B294&amp;$C294,data!$A:$U,18,FALSE)</f>
        <v>0</v>
      </c>
      <c r="I294" s="3">
        <f ca="1">VLOOKUP($B294&amp;$C294,data!$A:$U,19,FALSE)</f>
        <v>1</v>
      </c>
      <c r="J294" s="3">
        <f ca="1">VLOOKUP($B294&amp;$C294,data!$A:$U,14,FALSE)</f>
        <v>1</v>
      </c>
      <c r="K294" s="3">
        <f ca="1">VLOOKUP($B294&amp;$C294,data!$A:$U,15,FALSE)</f>
        <v>0</v>
      </c>
      <c r="L294" s="3">
        <f ca="1">VLOOKUP($B294&amp;$C294,data!$A:$U,16,FALSE)</f>
        <v>1</v>
      </c>
      <c r="M294" s="3">
        <f ca="1">VLOOKUP($B294&amp;$C294,data!$A:$U,8,FALSE)</f>
        <v>9</v>
      </c>
      <c r="N294" s="3">
        <f ca="1">VLOOKUP($B294&amp;$C294,data!$A:$U,9,FALSE)</f>
        <v>4</v>
      </c>
      <c r="O294" s="3">
        <f ca="1">VLOOKUP($B294&amp;$C294,data!$A:$U,10,FALSE)</f>
        <v>5</v>
      </c>
      <c r="P294" s="3">
        <f ca="1">VLOOKUP($B294&amp;$C294,data!$A:$U,11,FALSE)</f>
        <v>10</v>
      </c>
      <c r="Q294" s="3">
        <f ca="1">VLOOKUP($B294&amp;$C294,data!$A:$U,12,FALSE)</f>
        <v>5</v>
      </c>
      <c r="R294" s="3">
        <f ca="1">VLOOKUP($B294&amp;$C294,data!$A:$U,13,FALSE)</f>
        <v>5</v>
      </c>
      <c r="S294" s="3">
        <f ca="1">VLOOKUP($B294&amp;$C294,data!$A:$U,5,FALSE)</f>
        <v>20</v>
      </c>
      <c r="T294" s="3">
        <f ca="1">VLOOKUP($B294&amp;$C294,data!$A:$U,6,FALSE)</f>
        <v>0</v>
      </c>
      <c r="U294" s="3">
        <f ca="1">VLOOKUP($B294&amp;$C294,data!$A:$U,7,FALSE)</f>
        <v>10</v>
      </c>
      <c r="V294" s="18" t="s">
        <v>903</v>
      </c>
      <c r="W294" s="17" t="s">
        <v>904</v>
      </c>
      <c r="X294" s="9"/>
      <c r="Y294" s="4" t="s">
        <v>905</v>
      </c>
      <c r="Z294" s="13">
        <f t="shared" ca="1" si="1"/>
        <v>0.77739444452890893</v>
      </c>
    </row>
    <row r="295" spans="1:26" ht="13" x14ac:dyDescent="0.15">
      <c r="A295" s="3">
        <v>294</v>
      </c>
      <c r="B295" s="3" t="s">
        <v>25</v>
      </c>
      <c r="C295" s="3" t="s">
        <v>906</v>
      </c>
      <c r="D295" s="10">
        <f t="shared" ca="1" si="0"/>
        <v>0</v>
      </c>
      <c r="E295" s="5">
        <f ca="1">VLOOKUP($B295&amp;$C295,data!$A:$U,20,FALSE)</f>
        <v>44305.290706018503</v>
      </c>
      <c r="F295" s="3" t="str">
        <f ca="1">VLOOKUP($B295&amp;$C295,data!$A:$U,21,FALSE)</f>
        <v>Covid center theni</v>
      </c>
      <c r="G295" s="3">
        <f ca="1">VLOOKUP($B295&amp;$C295,data!$A:$U,17,FALSE)</f>
        <v>0</v>
      </c>
      <c r="H295" s="3">
        <f ca="1">VLOOKUP($B295&amp;$C295,data!$A:$U,18,FALSE)</f>
        <v>0</v>
      </c>
      <c r="I295" s="3">
        <f ca="1">VLOOKUP($B295&amp;$C295,data!$A:$U,19,FALSE)</f>
        <v>0</v>
      </c>
      <c r="J295" s="3">
        <f ca="1">VLOOKUP($B295&amp;$C295,data!$A:$U,14,FALSE)</f>
        <v>3</v>
      </c>
      <c r="K295" s="3">
        <f ca="1">VLOOKUP($B295&amp;$C295,data!$A:$U,15,FALSE)</f>
        <v>0</v>
      </c>
      <c r="L295" s="3">
        <f ca="1">VLOOKUP($B295&amp;$C295,data!$A:$U,16,FALSE)</f>
        <v>0</v>
      </c>
      <c r="M295" s="3">
        <f ca="1">VLOOKUP($B295&amp;$C295,data!$A:$U,8,FALSE)</f>
        <v>10</v>
      </c>
      <c r="N295" s="3">
        <f ca="1">VLOOKUP($B295&amp;$C295,data!$A:$U,9,FALSE)</f>
        <v>0</v>
      </c>
      <c r="O295" s="3">
        <f ca="1">VLOOKUP($B295&amp;$C295,data!$A:$U,10,FALSE)</f>
        <v>0</v>
      </c>
      <c r="P295" s="3">
        <f ca="1">VLOOKUP($B295&amp;$C295,data!$A:$U,11,FALSE)</f>
        <v>10</v>
      </c>
      <c r="Q295" s="3">
        <f ca="1">VLOOKUP($B295&amp;$C295,data!$A:$U,12,FALSE)</f>
        <v>0</v>
      </c>
      <c r="R295" s="3">
        <f ca="1">VLOOKUP($B295&amp;$C295,data!$A:$U,13,FALSE)</f>
        <v>0</v>
      </c>
      <c r="S295" s="3">
        <f ca="1">VLOOKUP($B295&amp;$C295,data!$A:$U,5,FALSE)</f>
        <v>10</v>
      </c>
      <c r="T295" s="3">
        <f ca="1">VLOOKUP($B295&amp;$C295,data!$A:$U,6,FALSE)</f>
        <v>0</v>
      </c>
      <c r="U295" s="3">
        <f ca="1">VLOOKUP($B295&amp;$C295,data!$A:$U,7,FALSE)</f>
        <v>0</v>
      </c>
      <c r="V295" s="16"/>
      <c r="W295" s="9"/>
      <c r="X295" s="9"/>
      <c r="Y295" s="3"/>
      <c r="Z295" s="13">
        <f t="shared" ca="1" si="1"/>
        <v>0.79620231482840609</v>
      </c>
    </row>
    <row r="296" spans="1:26" ht="13" x14ac:dyDescent="0.15">
      <c r="A296" s="3">
        <v>295</v>
      </c>
      <c r="B296" s="3" t="s">
        <v>25</v>
      </c>
      <c r="C296" s="3" t="s">
        <v>907</v>
      </c>
      <c r="D296" s="10">
        <f t="shared" ca="1" si="0"/>
        <v>0.91666666666666663</v>
      </c>
      <c r="E296" s="5">
        <f ca="1">VLOOKUP($B296&amp;$C296,data!$A:$U,20,FALSE)</f>
        <v>44305.298055555497</v>
      </c>
      <c r="F296" s="3" t="str">
        <f ca="1">VLOOKUP($B296&amp;$C296,data!$A:$U,21,FALSE)</f>
        <v>Nil</v>
      </c>
      <c r="G296" s="3">
        <f ca="1">VLOOKUP($B296&amp;$C296,data!$A:$U,17,FALSE)</f>
        <v>0</v>
      </c>
      <c r="H296" s="3">
        <f ca="1">VLOOKUP($B296&amp;$C296,data!$A:$U,18,FALSE)</f>
        <v>0</v>
      </c>
      <c r="I296" s="3">
        <f ca="1">VLOOKUP($B296&amp;$C296,data!$A:$U,19,FALSE)</f>
        <v>0</v>
      </c>
      <c r="J296" s="3">
        <f ca="1">VLOOKUP($B296&amp;$C296,data!$A:$U,14,FALSE)</f>
        <v>0</v>
      </c>
      <c r="K296" s="3">
        <f ca="1">VLOOKUP($B296&amp;$C296,data!$A:$U,15,FALSE)</f>
        <v>0</v>
      </c>
      <c r="L296" s="3">
        <f ca="1">VLOOKUP($B296&amp;$C296,data!$A:$U,16,FALSE)</f>
        <v>0</v>
      </c>
      <c r="M296" s="3">
        <f ca="1">VLOOKUP($B296&amp;$C296,data!$A:$U,8,FALSE)</f>
        <v>10</v>
      </c>
      <c r="N296" s="3">
        <f ca="1">VLOOKUP($B296&amp;$C296,data!$A:$U,9,FALSE)</f>
        <v>1</v>
      </c>
      <c r="O296" s="3">
        <f ca="1">VLOOKUP($B296&amp;$C296,data!$A:$U,10,FALSE)</f>
        <v>9</v>
      </c>
      <c r="P296" s="3">
        <f ca="1">VLOOKUP($B296&amp;$C296,data!$A:$U,11,FALSE)</f>
        <v>2</v>
      </c>
      <c r="Q296" s="3">
        <f ca="1">VLOOKUP($B296&amp;$C296,data!$A:$U,12,FALSE)</f>
        <v>0</v>
      </c>
      <c r="R296" s="3">
        <f ca="1">VLOOKUP($B296&amp;$C296,data!$A:$U,13,FALSE)</f>
        <v>2</v>
      </c>
      <c r="S296" s="3">
        <f ca="1">VLOOKUP($B296&amp;$C296,data!$A:$U,5,FALSE)</f>
        <v>12</v>
      </c>
      <c r="T296" s="3">
        <f ca="1">VLOOKUP($B296&amp;$C296,data!$A:$U,6,FALSE)</f>
        <v>1</v>
      </c>
      <c r="U296" s="3">
        <f ca="1">VLOOKUP($B296&amp;$C296,data!$A:$U,7,FALSE)</f>
        <v>11</v>
      </c>
      <c r="V296" s="16"/>
      <c r="W296" s="9"/>
      <c r="X296" s="9"/>
      <c r="Y296" s="3"/>
      <c r="Z296" s="13">
        <f t="shared" ca="1" si="1"/>
        <v>0.78885277783410857</v>
      </c>
    </row>
    <row r="297" spans="1:26" ht="13" x14ac:dyDescent="0.15">
      <c r="A297" s="3">
        <v>296</v>
      </c>
      <c r="B297" s="3" t="s">
        <v>25</v>
      </c>
      <c r="C297" s="3" t="s">
        <v>908</v>
      </c>
      <c r="D297" s="10">
        <f t="shared" ca="1" si="0"/>
        <v>1.0384615384615385</v>
      </c>
      <c r="E297" s="5">
        <f ca="1">VLOOKUP($B297&amp;$C297,data!$A:$U,20,FALSE)</f>
        <v>44305.290231481398</v>
      </c>
      <c r="F297" s="3" t="str">
        <f ca="1">VLOOKUP($B297&amp;$C297,data!$A:$U,21,FALSE)</f>
        <v>Covid care centre theni</v>
      </c>
      <c r="G297" s="3">
        <f ca="1">VLOOKUP($B297&amp;$C297,data!$A:$U,17,FALSE)</f>
        <v>1</v>
      </c>
      <c r="H297" s="3">
        <f ca="1">VLOOKUP($B297&amp;$C297,data!$A:$U,18,FALSE)</f>
        <v>0</v>
      </c>
      <c r="I297" s="3">
        <f ca="1">VLOOKUP($B297&amp;$C297,data!$A:$U,19,FALSE)</f>
        <v>0</v>
      </c>
      <c r="J297" s="3">
        <f ca="1">VLOOKUP($B297&amp;$C297,data!$A:$U,14,FALSE)</f>
        <v>2</v>
      </c>
      <c r="K297" s="3">
        <f ca="1">VLOOKUP($B297&amp;$C297,data!$A:$U,15,FALSE)</f>
        <v>0</v>
      </c>
      <c r="L297" s="3">
        <f ca="1">VLOOKUP($B297&amp;$C297,data!$A:$U,16,FALSE)</f>
        <v>2</v>
      </c>
      <c r="M297" s="3">
        <f ca="1">VLOOKUP($B297&amp;$C297,data!$A:$U,8,FALSE)</f>
        <v>2</v>
      </c>
      <c r="N297" s="3">
        <f ca="1">VLOOKUP($B297&amp;$C297,data!$A:$U,9,FALSE)</f>
        <v>0</v>
      </c>
      <c r="O297" s="3">
        <f ca="1">VLOOKUP($B297&amp;$C297,data!$A:$U,10,FALSE)</f>
        <v>2</v>
      </c>
      <c r="P297" s="3">
        <f ca="1">VLOOKUP($B297&amp;$C297,data!$A:$U,11,FALSE)</f>
        <v>7</v>
      </c>
      <c r="Q297" s="3">
        <f ca="1">VLOOKUP($B297&amp;$C297,data!$A:$U,12,FALSE)</f>
        <v>0</v>
      </c>
      <c r="R297" s="3">
        <f ca="1">VLOOKUP($B297&amp;$C297,data!$A:$U,13,FALSE)</f>
        <v>8</v>
      </c>
      <c r="S297" s="3">
        <f ca="1">VLOOKUP($B297&amp;$C297,data!$A:$U,5,FALSE)</f>
        <v>15</v>
      </c>
      <c r="T297" s="3">
        <f ca="1">VLOOKUP($B297&amp;$C297,data!$A:$U,6,FALSE)</f>
        <v>0</v>
      </c>
      <c r="U297" s="3">
        <f ca="1">VLOOKUP($B297&amp;$C297,data!$A:$U,7,FALSE)</f>
        <v>15</v>
      </c>
      <c r="V297" s="16"/>
      <c r="W297" s="9"/>
      <c r="X297" s="9"/>
      <c r="Y297" s="3"/>
      <c r="Z297" s="13">
        <f t="shared" ca="1" si="1"/>
        <v>0.79667685193271609</v>
      </c>
    </row>
    <row r="298" spans="1:26" ht="13" x14ac:dyDescent="0.15">
      <c r="A298" s="3">
        <v>297</v>
      </c>
      <c r="B298" s="3" t="s">
        <v>25</v>
      </c>
      <c r="C298" s="3" t="s">
        <v>909</v>
      </c>
      <c r="D298" s="10">
        <f t="shared" ca="1" si="0"/>
        <v>0.88</v>
      </c>
      <c r="E298" s="5">
        <f ca="1">VLOOKUP($B298&amp;$C298,data!$A:$U,20,FALSE)</f>
        <v>44305.291689814803</v>
      </c>
      <c r="F298" s="3" t="str">
        <f ca="1">VLOOKUP($B298&amp;$C298,data!$A:$U,21,FALSE)</f>
        <v>Covid care center</v>
      </c>
      <c r="G298" s="3">
        <f ca="1">VLOOKUP($B298&amp;$C298,data!$A:$U,17,FALSE)</f>
        <v>0</v>
      </c>
      <c r="H298" s="3">
        <f ca="1">VLOOKUP($B298&amp;$C298,data!$A:$U,18,FALSE)</f>
        <v>0</v>
      </c>
      <c r="I298" s="3">
        <f ca="1">VLOOKUP($B298&amp;$C298,data!$A:$U,19,FALSE)</f>
        <v>0</v>
      </c>
      <c r="J298" s="3">
        <f ca="1">VLOOKUP($B298&amp;$C298,data!$A:$U,14,FALSE)</f>
        <v>0</v>
      </c>
      <c r="K298" s="3">
        <f ca="1">VLOOKUP($B298&amp;$C298,data!$A:$U,15,FALSE)</f>
        <v>0</v>
      </c>
      <c r="L298" s="3">
        <f ca="1">VLOOKUP($B298&amp;$C298,data!$A:$U,16,FALSE)</f>
        <v>0</v>
      </c>
      <c r="M298" s="3">
        <f ca="1">VLOOKUP($B298&amp;$C298,data!$A:$U,8,FALSE)</f>
        <v>25</v>
      </c>
      <c r="N298" s="3">
        <f ca="1">VLOOKUP($B298&amp;$C298,data!$A:$U,9,FALSE)</f>
        <v>1</v>
      </c>
      <c r="O298" s="3">
        <f ca="1">VLOOKUP($B298&amp;$C298,data!$A:$U,10,FALSE)</f>
        <v>24</v>
      </c>
      <c r="P298" s="3">
        <f ca="1">VLOOKUP($B298&amp;$C298,data!$A:$U,11,FALSE)</f>
        <v>0</v>
      </c>
      <c r="Q298" s="3">
        <f ca="1">VLOOKUP($B298&amp;$C298,data!$A:$U,12,FALSE)</f>
        <v>0</v>
      </c>
      <c r="R298" s="3">
        <f ca="1">VLOOKUP($B298&amp;$C298,data!$A:$U,13,FALSE)</f>
        <v>0</v>
      </c>
      <c r="S298" s="3">
        <f ca="1">VLOOKUP($B298&amp;$C298,data!$A:$U,5,FALSE)</f>
        <v>25</v>
      </c>
      <c r="T298" s="3">
        <f ca="1">VLOOKUP($B298&amp;$C298,data!$A:$U,6,FALSE)</f>
        <v>5</v>
      </c>
      <c r="U298" s="3">
        <f ca="1">VLOOKUP($B298&amp;$C298,data!$A:$U,7,FALSE)</f>
        <v>20</v>
      </c>
      <c r="V298" s="16"/>
      <c r="W298" s="9"/>
      <c r="X298" s="9"/>
      <c r="Y298" s="3"/>
      <c r="Z298" s="13">
        <f t="shared" ca="1" si="1"/>
        <v>0.79521851852769032</v>
      </c>
    </row>
    <row r="299" spans="1:26" ht="13" x14ac:dyDescent="0.15">
      <c r="A299" s="3">
        <v>298</v>
      </c>
      <c r="B299" s="3" t="s">
        <v>30</v>
      </c>
      <c r="C299" s="3" t="s">
        <v>910</v>
      </c>
      <c r="D299" s="10" t="e">
        <f t="shared" ca="1" si="0"/>
        <v>#DIV/0!</v>
      </c>
      <c r="E299" s="5">
        <f ca="1">VLOOKUP($B299&amp;$C299,data!$A:$U,20,FALSE)</f>
        <v>44305.375578703701</v>
      </c>
      <c r="F299" s="3">
        <f ca="1">VLOOKUP($B299&amp;$C299,data!$A:$U,21,FALSE)</f>
        <v>0</v>
      </c>
      <c r="G299" s="3">
        <f ca="1">VLOOKUP($B299&amp;$C299,data!$A:$U,17,FALSE)</f>
        <v>0</v>
      </c>
      <c r="H299" s="3">
        <f ca="1">VLOOKUP($B299&amp;$C299,data!$A:$U,18,FALSE)</f>
        <v>0</v>
      </c>
      <c r="I299" s="3">
        <f ca="1">VLOOKUP($B299&amp;$C299,data!$A:$U,19,FALSE)</f>
        <v>0</v>
      </c>
      <c r="J299" s="3">
        <f ca="1">VLOOKUP($B299&amp;$C299,data!$A:$U,14,FALSE)</f>
        <v>0</v>
      </c>
      <c r="K299" s="3">
        <f ca="1">VLOOKUP($B299&amp;$C299,data!$A:$U,15,FALSE)</f>
        <v>0</v>
      </c>
      <c r="L299" s="3">
        <f ca="1">VLOOKUP($B299&amp;$C299,data!$A:$U,16,FALSE)</f>
        <v>0</v>
      </c>
      <c r="M299" s="3">
        <f ca="1">VLOOKUP($B299&amp;$C299,data!$A:$U,8,FALSE)</f>
        <v>0</v>
      </c>
      <c r="N299" s="3">
        <f ca="1">VLOOKUP($B299&amp;$C299,data!$A:$U,9,FALSE)</f>
        <v>0</v>
      </c>
      <c r="O299" s="3">
        <f ca="1">VLOOKUP($B299&amp;$C299,data!$A:$U,10,FALSE)</f>
        <v>0</v>
      </c>
      <c r="P299" s="3">
        <f ca="1">VLOOKUP($B299&amp;$C299,data!$A:$U,11,FALSE)</f>
        <v>0</v>
      </c>
      <c r="Q299" s="3">
        <f ca="1">VLOOKUP($B299&amp;$C299,data!$A:$U,12,FALSE)</f>
        <v>0</v>
      </c>
      <c r="R299" s="3">
        <f ca="1">VLOOKUP($B299&amp;$C299,data!$A:$U,13,FALSE)</f>
        <v>0</v>
      </c>
      <c r="S299" s="3">
        <f ca="1">VLOOKUP($B299&amp;$C299,data!$A:$U,5,FALSE)</f>
        <v>0</v>
      </c>
      <c r="T299" s="3">
        <f ca="1">VLOOKUP($B299&amp;$C299,data!$A:$U,6,FALSE)</f>
        <v>0</v>
      </c>
      <c r="U299" s="3">
        <f ca="1">VLOOKUP($B299&amp;$C299,data!$A:$U,7,FALSE)</f>
        <v>0</v>
      </c>
      <c r="V299" s="16"/>
      <c r="W299" s="9"/>
      <c r="X299" s="9"/>
      <c r="Y299" s="3"/>
      <c r="Z299" s="13">
        <f t="shared" ca="1" si="1"/>
        <v>0.71132962963019963</v>
      </c>
    </row>
    <row r="300" spans="1:26" ht="13" x14ac:dyDescent="0.15">
      <c r="A300" s="3">
        <v>299</v>
      </c>
      <c r="B300" s="3" t="s">
        <v>30</v>
      </c>
      <c r="C300" s="3" t="s">
        <v>911</v>
      </c>
      <c r="D300" s="10">
        <f t="shared" ca="1" si="0"/>
        <v>8.9285714285714288E-2</v>
      </c>
      <c r="E300" s="5">
        <f ca="1">VLOOKUP($B300&amp;$C300,data!$A:$U,20,FALSE)</f>
        <v>44305.439305555497</v>
      </c>
      <c r="F300" s="3" t="str">
        <f ca="1">VLOOKUP($B300&amp;$C300,data!$A:$U,21,FALSE)</f>
        <v>25 positive and 1 susupected cases</v>
      </c>
      <c r="G300" s="3">
        <f ca="1">VLOOKUP($B300&amp;$C300,data!$A:$U,17,FALSE)</f>
        <v>3</v>
      </c>
      <c r="H300" s="3">
        <f ca="1">VLOOKUP($B300&amp;$C300,data!$A:$U,18,FALSE)</f>
        <v>0</v>
      </c>
      <c r="I300" s="3">
        <f ca="1">VLOOKUP($B300&amp;$C300,data!$A:$U,19,FALSE)</f>
        <v>3</v>
      </c>
      <c r="J300" s="3">
        <f ca="1">VLOOKUP($B300&amp;$C300,data!$A:$U,14,FALSE)</f>
        <v>11</v>
      </c>
      <c r="K300" s="3">
        <f ca="1">VLOOKUP($B300&amp;$C300,data!$A:$U,15,FALSE)</f>
        <v>11</v>
      </c>
      <c r="L300" s="3">
        <f ca="1">VLOOKUP($B300&amp;$C300,data!$A:$U,16,FALSE)</f>
        <v>0</v>
      </c>
      <c r="M300" s="3">
        <f ca="1">VLOOKUP($B300&amp;$C300,data!$A:$U,8,FALSE)</f>
        <v>10</v>
      </c>
      <c r="N300" s="3">
        <f ca="1">VLOOKUP($B300&amp;$C300,data!$A:$U,9,FALSE)</f>
        <v>10</v>
      </c>
      <c r="O300" s="3">
        <f ca="1">VLOOKUP($B300&amp;$C300,data!$A:$U,10,FALSE)</f>
        <v>0</v>
      </c>
      <c r="P300" s="3">
        <f ca="1">VLOOKUP($B300&amp;$C300,data!$A:$U,11,FALSE)</f>
        <v>7</v>
      </c>
      <c r="Q300" s="3">
        <f ca="1">VLOOKUP($B300&amp;$C300,data!$A:$U,12,FALSE)</f>
        <v>0</v>
      </c>
      <c r="R300" s="3">
        <f ca="1">VLOOKUP($B300&amp;$C300,data!$A:$U,13,FALSE)</f>
        <v>2</v>
      </c>
      <c r="S300" s="3">
        <f ca="1">VLOOKUP($B300&amp;$C300,data!$A:$U,5,FALSE)</f>
        <v>28</v>
      </c>
      <c r="T300" s="3">
        <f ca="1">VLOOKUP($B300&amp;$C300,data!$A:$U,6,FALSE)</f>
        <v>25</v>
      </c>
      <c r="U300" s="3">
        <f ca="1">VLOOKUP($B300&amp;$C300,data!$A:$U,7,FALSE)</f>
        <v>3</v>
      </c>
      <c r="V300" s="18" t="s">
        <v>912</v>
      </c>
      <c r="W300" s="17" t="s">
        <v>913</v>
      </c>
      <c r="X300" s="9"/>
      <c r="Y300" s="4" t="s">
        <v>914</v>
      </c>
      <c r="Z300" s="13">
        <f t="shared" ca="1" si="1"/>
        <v>0.64760277783352649</v>
      </c>
    </row>
    <row r="301" spans="1:26" ht="13" x14ac:dyDescent="0.15">
      <c r="A301" s="3">
        <v>300</v>
      </c>
      <c r="B301" s="3" t="s">
        <v>27</v>
      </c>
      <c r="C301" s="3" t="s">
        <v>915</v>
      </c>
      <c r="D301" s="10">
        <f t="shared" ca="1" si="0"/>
        <v>0.8666666666666667</v>
      </c>
      <c r="E301" s="5">
        <f ca="1">VLOOKUP($B301&amp;$C301,data!$A:$U,20,FALSE)</f>
        <v>44305.335821759203</v>
      </c>
      <c r="F301" s="3" t="str">
        <f ca="1">VLOOKUP($B301&amp;$C301,data!$A:$U,21,FALSE)</f>
        <v>CT POSITIVE.</v>
      </c>
      <c r="G301" s="3">
        <f ca="1">VLOOKUP($B301&amp;$C301,data!$A:$U,17,FALSE)</f>
        <v>1</v>
      </c>
      <c r="H301" s="3">
        <f ca="1">VLOOKUP($B301&amp;$C301,data!$A:$U,18,FALSE)</f>
        <v>0</v>
      </c>
      <c r="I301" s="3">
        <f ca="1">VLOOKUP($B301&amp;$C301,data!$A:$U,19,FALSE)</f>
        <v>1</v>
      </c>
      <c r="J301" s="3">
        <f ca="1">VLOOKUP($B301&amp;$C301,data!$A:$U,14,FALSE)</f>
        <v>1</v>
      </c>
      <c r="K301" s="3">
        <f ca="1">VLOOKUP($B301&amp;$C301,data!$A:$U,15,FALSE)</f>
        <v>1</v>
      </c>
      <c r="L301" s="3">
        <f ca="1">VLOOKUP($B301&amp;$C301,data!$A:$U,16,FALSE)</f>
        <v>0</v>
      </c>
      <c r="M301" s="3">
        <f ca="1">VLOOKUP($B301&amp;$C301,data!$A:$U,8,FALSE)</f>
        <v>6</v>
      </c>
      <c r="N301" s="3">
        <f ca="1">VLOOKUP($B301&amp;$C301,data!$A:$U,9,FALSE)</f>
        <v>0</v>
      </c>
      <c r="O301" s="3">
        <f ca="1">VLOOKUP($B301&amp;$C301,data!$A:$U,10,FALSE)</f>
        <v>6</v>
      </c>
      <c r="P301" s="3">
        <f ca="1">VLOOKUP($B301&amp;$C301,data!$A:$U,11,FALSE)</f>
        <v>8</v>
      </c>
      <c r="Q301" s="3">
        <f ca="1">VLOOKUP($B301&amp;$C301,data!$A:$U,12,FALSE)</f>
        <v>1</v>
      </c>
      <c r="R301" s="3">
        <f ca="1">VLOOKUP($B301&amp;$C301,data!$A:$U,13,FALSE)</f>
        <v>7</v>
      </c>
      <c r="S301" s="3">
        <f ca="1">VLOOKUP($B301&amp;$C301,data!$A:$U,5,FALSE)</f>
        <v>15</v>
      </c>
      <c r="T301" s="3">
        <f ca="1">VLOOKUP($B301&amp;$C301,data!$A:$U,6,FALSE)</f>
        <v>2</v>
      </c>
      <c r="U301" s="3">
        <f ca="1">VLOOKUP($B301&amp;$C301,data!$A:$U,7,FALSE)</f>
        <v>13</v>
      </c>
      <c r="V301" s="18" t="s">
        <v>916</v>
      </c>
      <c r="W301" s="17" t="s">
        <v>917</v>
      </c>
      <c r="X301" s="17" t="s">
        <v>918</v>
      </c>
      <c r="Y301" s="4" t="s">
        <v>919</v>
      </c>
      <c r="Z301" s="13">
        <f t="shared" ca="1" si="1"/>
        <v>0.75108657412783941</v>
      </c>
    </row>
    <row r="302" spans="1:26" ht="13" x14ac:dyDescent="0.15">
      <c r="A302" s="3">
        <v>301</v>
      </c>
      <c r="B302" s="3" t="s">
        <v>27</v>
      </c>
      <c r="C302" s="3" t="s">
        <v>920</v>
      </c>
      <c r="D302" s="10">
        <f t="shared" ca="1" si="0"/>
        <v>0.8833333333333333</v>
      </c>
      <c r="E302" s="5">
        <f ca="1">VLOOKUP($B302&amp;$C302,data!$A:$U,20,FALSE)</f>
        <v>44305.398587962904</v>
      </c>
      <c r="F302" s="3">
        <f ca="1">VLOOKUP($B302&amp;$C302,data!$A:$U,21,FALSE)</f>
        <v>0</v>
      </c>
      <c r="G302" s="3">
        <f ca="1">VLOOKUP($B302&amp;$C302,data!$A:$U,17,FALSE)</f>
        <v>2</v>
      </c>
      <c r="H302" s="3">
        <f ca="1">VLOOKUP($B302&amp;$C302,data!$A:$U,18,FALSE)</f>
        <v>0</v>
      </c>
      <c r="I302" s="3">
        <f ca="1">VLOOKUP($B302&amp;$C302,data!$A:$U,19,FALSE)</f>
        <v>2</v>
      </c>
      <c r="J302" s="3">
        <f ca="1">VLOOKUP($B302&amp;$C302,data!$A:$U,14,FALSE)</f>
        <v>2</v>
      </c>
      <c r="K302" s="3">
        <f ca="1">VLOOKUP($B302&amp;$C302,data!$A:$U,15,FALSE)</f>
        <v>0</v>
      </c>
      <c r="L302" s="3">
        <f ca="1">VLOOKUP($B302&amp;$C302,data!$A:$U,16,FALSE)</f>
        <v>2</v>
      </c>
      <c r="M302" s="3">
        <f ca="1">VLOOKUP($B302&amp;$C302,data!$A:$U,8,FALSE)</f>
        <v>24</v>
      </c>
      <c r="N302" s="3">
        <f ca="1">VLOOKUP($B302&amp;$C302,data!$A:$U,9,FALSE)</f>
        <v>1</v>
      </c>
      <c r="O302" s="3">
        <f ca="1">VLOOKUP($B302&amp;$C302,data!$A:$U,10,FALSE)</f>
        <v>23</v>
      </c>
      <c r="P302" s="3">
        <f ca="1">VLOOKUP($B302&amp;$C302,data!$A:$U,11,FALSE)</f>
        <v>4</v>
      </c>
      <c r="Q302" s="3">
        <f ca="1">VLOOKUP($B302&amp;$C302,data!$A:$U,12,FALSE)</f>
        <v>0</v>
      </c>
      <c r="R302" s="3">
        <f ca="1">VLOOKUP($B302&amp;$C302,data!$A:$U,13,FALSE)</f>
        <v>4</v>
      </c>
      <c r="S302" s="3">
        <f ca="1">VLOOKUP($B302&amp;$C302,data!$A:$U,5,FALSE)</f>
        <v>30</v>
      </c>
      <c r="T302" s="3">
        <f ca="1">VLOOKUP($B302&amp;$C302,data!$A:$U,6,FALSE)</f>
        <v>6</v>
      </c>
      <c r="U302" s="3">
        <f ca="1">VLOOKUP($B302&amp;$C302,data!$A:$U,7,FALSE)</f>
        <v>24</v>
      </c>
      <c r="V302" s="23" t="s">
        <v>921</v>
      </c>
      <c r="W302" s="17" t="s">
        <v>922</v>
      </c>
      <c r="X302" s="17" t="s">
        <v>923</v>
      </c>
      <c r="Y302" s="4" t="s">
        <v>924</v>
      </c>
      <c r="Z302" s="13">
        <f t="shared" ca="1" si="1"/>
        <v>0.68832037042739103</v>
      </c>
    </row>
    <row r="303" spans="1:26" ht="13" x14ac:dyDescent="0.15">
      <c r="A303" s="3">
        <v>302</v>
      </c>
      <c r="B303" s="3" t="s">
        <v>27</v>
      </c>
      <c r="C303" s="3" t="s">
        <v>925</v>
      </c>
      <c r="D303" s="10">
        <f t="shared" ca="1" si="0"/>
        <v>7.1428571428571425E-2</v>
      </c>
      <c r="E303" s="5">
        <f ca="1">VLOOKUP($B303&amp;$C303,data!$A:$U,20,FALSE)</f>
        <v>44305.421481481397</v>
      </c>
      <c r="F303" s="3" t="str">
        <f ca="1">VLOOKUP($B303&amp;$C303,data!$A:$U,21,FALSE)</f>
        <v>Nil</v>
      </c>
      <c r="G303" s="3">
        <f ca="1">VLOOKUP($B303&amp;$C303,data!$A:$U,17,FALSE)</f>
        <v>0</v>
      </c>
      <c r="H303" s="3">
        <f ca="1">VLOOKUP($B303&amp;$C303,data!$A:$U,18,FALSE)</f>
        <v>0</v>
      </c>
      <c r="I303" s="3">
        <f ca="1">VLOOKUP($B303&amp;$C303,data!$A:$U,19,FALSE)</f>
        <v>0</v>
      </c>
      <c r="J303" s="3">
        <f ca="1">VLOOKUP($B303&amp;$C303,data!$A:$U,14,FALSE)</f>
        <v>0</v>
      </c>
      <c r="K303" s="3">
        <f ca="1">VLOOKUP($B303&amp;$C303,data!$A:$U,15,FALSE)</f>
        <v>0</v>
      </c>
      <c r="L303" s="3">
        <f ca="1">VLOOKUP($B303&amp;$C303,data!$A:$U,16,FALSE)</f>
        <v>0</v>
      </c>
      <c r="M303" s="3">
        <f ca="1">VLOOKUP($B303&amp;$C303,data!$A:$U,8,FALSE)</f>
        <v>11</v>
      </c>
      <c r="N303" s="3">
        <f ca="1">VLOOKUP($B303&amp;$C303,data!$A:$U,9,FALSE)</f>
        <v>11</v>
      </c>
      <c r="O303" s="3">
        <f ca="1">VLOOKUP($B303&amp;$C303,data!$A:$U,10,FALSE)</f>
        <v>0</v>
      </c>
      <c r="P303" s="3">
        <f ca="1">VLOOKUP($B303&amp;$C303,data!$A:$U,11,FALSE)</f>
        <v>3</v>
      </c>
      <c r="Q303" s="3">
        <f ca="1">VLOOKUP($B303&amp;$C303,data!$A:$U,12,FALSE)</f>
        <v>2</v>
      </c>
      <c r="R303" s="3">
        <f ca="1">VLOOKUP($B303&amp;$C303,data!$A:$U,13,FALSE)</f>
        <v>1</v>
      </c>
      <c r="S303" s="3">
        <f ca="1">VLOOKUP($B303&amp;$C303,data!$A:$U,5,FALSE)</f>
        <v>14</v>
      </c>
      <c r="T303" s="3">
        <f ca="1">VLOOKUP($B303&amp;$C303,data!$A:$U,6,FALSE)</f>
        <v>13</v>
      </c>
      <c r="U303" s="3">
        <f ca="1">VLOOKUP($B303&amp;$C303,data!$A:$U,7,FALSE)</f>
        <v>1</v>
      </c>
      <c r="V303" s="16"/>
      <c r="W303" s="9"/>
      <c r="X303" s="9"/>
      <c r="Y303" s="3"/>
      <c r="Z303" s="13">
        <f t="shared" ca="1" si="1"/>
        <v>0.66542685193417128</v>
      </c>
    </row>
    <row r="304" spans="1:26" ht="13" x14ac:dyDescent="0.15">
      <c r="A304" s="3">
        <v>303</v>
      </c>
      <c r="B304" s="3" t="s">
        <v>27</v>
      </c>
      <c r="C304" s="3" t="s">
        <v>926</v>
      </c>
      <c r="D304" s="10">
        <f t="shared" ca="1" si="0"/>
        <v>1</v>
      </c>
      <c r="E304" s="5">
        <f ca="1">VLOOKUP($B304&amp;$C304,data!$A:$U,20,FALSE)</f>
        <v>44305.365231481403</v>
      </c>
      <c r="F304" s="3">
        <f ca="1">VLOOKUP($B304&amp;$C304,data!$A:$U,21,FALSE)</f>
        <v>0</v>
      </c>
      <c r="G304" s="3">
        <f ca="1">VLOOKUP($B304&amp;$C304,data!$A:$U,17,FALSE)</f>
        <v>1</v>
      </c>
      <c r="H304" s="3">
        <f ca="1">VLOOKUP($B304&amp;$C304,data!$A:$U,18,FALSE)</f>
        <v>0</v>
      </c>
      <c r="I304" s="3">
        <f ca="1">VLOOKUP($B304&amp;$C304,data!$A:$U,19,FALSE)</f>
        <v>1</v>
      </c>
      <c r="J304" s="3">
        <f ca="1">VLOOKUP($B304&amp;$C304,data!$A:$U,14,FALSE)</f>
        <v>2</v>
      </c>
      <c r="K304" s="3">
        <f ca="1">VLOOKUP($B304&amp;$C304,data!$A:$U,15,FALSE)</f>
        <v>0</v>
      </c>
      <c r="L304" s="3">
        <f ca="1">VLOOKUP($B304&amp;$C304,data!$A:$U,16,FALSE)</f>
        <v>2</v>
      </c>
      <c r="M304" s="3">
        <f ca="1">VLOOKUP($B304&amp;$C304,data!$A:$U,8,FALSE)</f>
        <v>18</v>
      </c>
      <c r="N304" s="3">
        <f ca="1">VLOOKUP($B304&amp;$C304,data!$A:$U,9,FALSE)</f>
        <v>0</v>
      </c>
      <c r="O304" s="3">
        <f ca="1">VLOOKUP($B304&amp;$C304,data!$A:$U,10,FALSE)</f>
        <v>18</v>
      </c>
      <c r="P304" s="3">
        <f ca="1">VLOOKUP($B304&amp;$C304,data!$A:$U,11,FALSE)</f>
        <v>2</v>
      </c>
      <c r="Q304" s="3">
        <f ca="1">VLOOKUP($B304&amp;$C304,data!$A:$U,12,FALSE)</f>
        <v>0</v>
      </c>
      <c r="R304" s="3">
        <f ca="1">VLOOKUP($B304&amp;$C304,data!$A:$U,13,FALSE)</f>
        <v>2</v>
      </c>
      <c r="S304" s="3">
        <f ca="1">VLOOKUP($B304&amp;$C304,data!$A:$U,5,FALSE)</f>
        <v>20</v>
      </c>
      <c r="T304" s="3">
        <f ca="1">VLOOKUP($B304&amp;$C304,data!$A:$U,6,FALSE)</f>
        <v>0</v>
      </c>
      <c r="U304" s="3">
        <f ca="1">VLOOKUP($B304&amp;$C304,data!$A:$U,7,FALSE)</f>
        <v>20</v>
      </c>
      <c r="V304" s="18" t="s">
        <v>927</v>
      </c>
      <c r="W304" s="17" t="s">
        <v>928</v>
      </c>
      <c r="X304" s="17" t="s">
        <v>929</v>
      </c>
      <c r="Y304" s="4" t="s">
        <v>930</v>
      </c>
      <c r="Z304" s="13">
        <f t="shared" ca="1" si="1"/>
        <v>0.72167685192835052</v>
      </c>
    </row>
    <row r="305" spans="1:26" ht="13" x14ac:dyDescent="0.15">
      <c r="A305" s="3">
        <v>304</v>
      </c>
      <c r="B305" s="3" t="s">
        <v>27</v>
      </c>
      <c r="C305" s="3" t="s">
        <v>931</v>
      </c>
      <c r="D305" s="10">
        <f t="shared" ca="1" si="0"/>
        <v>0.12121212121212122</v>
      </c>
      <c r="E305" s="5">
        <f ca="1">VLOOKUP($B305&amp;$C305,data!$A:$U,20,FALSE)</f>
        <v>44305.446562500001</v>
      </c>
      <c r="F305" s="3">
        <f ca="1">VLOOKUP($B305&amp;$C305,data!$A:$U,21,FALSE)</f>
        <v>0</v>
      </c>
      <c r="G305" s="3">
        <f ca="1">VLOOKUP($B305&amp;$C305,data!$A:$U,17,FALSE)</f>
        <v>4</v>
      </c>
      <c r="H305" s="3">
        <f ca="1">VLOOKUP($B305&amp;$C305,data!$A:$U,18,FALSE)</f>
        <v>3</v>
      </c>
      <c r="I305" s="3">
        <f ca="1">VLOOKUP($B305&amp;$C305,data!$A:$U,19,FALSE)</f>
        <v>1</v>
      </c>
      <c r="J305" s="3">
        <f ca="1">VLOOKUP($B305&amp;$C305,data!$A:$U,14,FALSE)</f>
        <v>4</v>
      </c>
      <c r="K305" s="3">
        <f ca="1">VLOOKUP($B305&amp;$C305,data!$A:$U,15,FALSE)</f>
        <v>3</v>
      </c>
      <c r="L305" s="3">
        <f ca="1">VLOOKUP($B305&amp;$C305,data!$A:$U,16,FALSE)</f>
        <v>1</v>
      </c>
      <c r="M305" s="3">
        <f ca="1">VLOOKUP($B305&amp;$C305,data!$A:$U,8,FALSE)</f>
        <v>29</v>
      </c>
      <c r="N305" s="3">
        <f ca="1">VLOOKUP($B305&amp;$C305,data!$A:$U,9,FALSE)</f>
        <v>26</v>
      </c>
      <c r="O305" s="3">
        <f ca="1">VLOOKUP($B305&amp;$C305,data!$A:$U,10,FALSE)</f>
        <v>3</v>
      </c>
      <c r="P305" s="3">
        <f ca="1">VLOOKUP($B305&amp;$C305,data!$A:$U,11,FALSE)</f>
        <v>0</v>
      </c>
      <c r="Q305" s="3">
        <f ca="1">VLOOKUP($B305&amp;$C305,data!$A:$U,12,FALSE)</f>
        <v>0</v>
      </c>
      <c r="R305" s="3">
        <f ca="1">VLOOKUP($B305&amp;$C305,data!$A:$U,13,FALSE)</f>
        <v>0</v>
      </c>
      <c r="S305" s="3">
        <f ca="1">VLOOKUP($B305&amp;$C305,data!$A:$U,5,FALSE)</f>
        <v>33</v>
      </c>
      <c r="T305" s="3">
        <f ca="1">VLOOKUP($B305&amp;$C305,data!$A:$U,6,FALSE)</f>
        <v>29</v>
      </c>
      <c r="U305" s="3">
        <f ca="1">VLOOKUP($B305&amp;$C305,data!$A:$U,7,FALSE)</f>
        <v>4</v>
      </c>
      <c r="V305" s="18" t="s">
        <v>932</v>
      </c>
      <c r="W305" s="17" t="s">
        <v>933</v>
      </c>
      <c r="X305" s="9"/>
      <c r="Y305" s="4" t="s">
        <v>934</v>
      </c>
      <c r="Z305" s="13">
        <f t="shared" ca="1" si="1"/>
        <v>0.6403458333297749</v>
      </c>
    </row>
    <row r="306" spans="1:26" ht="13" x14ac:dyDescent="0.15">
      <c r="A306" s="3">
        <v>305</v>
      </c>
      <c r="B306" s="3" t="s">
        <v>27</v>
      </c>
      <c r="C306" s="3" t="s">
        <v>935</v>
      </c>
      <c r="D306" s="10">
        <f t="shared" ca="1" si="0"/>
        <v>0.57499999999999996</v>
      </c>
      <c r="E306" s="5">
        <f ca="1">VLOOKUP($B306&amp;$C306,data!$A:$U,20,FALSE)</f>
        <v>44305.439537036997</v>
      </c>
      <c r="F306" s="3" t="str">
        <f ca="1">VLOOKUP($B306&amp;$C306,data!$A:$U,21,FALSE)</f>
        <v>Nil</v>
      </c>
      <c r="G306" s="3">
        <f ca="1">VLOOKUP($B306&amp;$C306,data!$A:$U,17,FALSE)</f>
        <v>6</v>
      </c>
      <c r="H306" s="3">
        <f ca="1">VLOOKUP($B306&amp;$C306,data!$A:$U,18,FALSE)</f>
        <v>0</v>
      </c>
      <c r="I306" s="3">
        <f ca="1">VLOOKUP($B306&amp;$C306,data!$A:$U,19,FALSE)</f>
        <v>6</v>
      </c>
      <c r="J306" s="3">
        <f ca="1">VLOOKUP($B306&amp;$C306,data!$A:$U,14,FALSE)</f>
        <v>5</v>
      </c>
      <c r="K306" s="3">
        <f ca="1">VLOOKUP($B306&amp;$C306,data!$A:$U,15,FALSE)</f>
        <v>3</v>
      </c>
      <c r="L306" s="3">
        <f ca="1">VLOOKUP($B306&amp;$C306,data!$A:$U,16,FALSE)</f>
        <v>2</v>
      </c>
      <c r="M306" s="3">
        <f ca="1">VLOOKUP($B306&amp;$C306,data!$A:$U,8,FALSE)</f>
        <v>15</v>
      </c>
      <c r="N306" s="3">
        <f ca="1">VLOOKUP($B306&amp;$C306,data!$A:$U,9,FALSE)</f>
        <v>6</v>
      </c>
      <c r="O306" s="3">
        <f ca="1">VLOOKUP($B306&amp;$C306,data!$A:$U,10,FALSE)</f>
        <v>9</v>
      </c>
      <c r="P306" s="3">
        <f ca="1">VLOOKUP($B306&amp;$C306,data!$A:$U,11,FALSE)</f>
        <v>0</v>
      </c>
      <c r="Q306" s="3">
        <f ca="1">VLOOKUP($B306&amp;$C306,data!$A:$U,12,FALSE)</f>
        <v>0</v>
      </c>
      <c r="R306" s="3">
        <f ca="1">VLOOKUP($B306&amp;$C306,data!$A:$U,13,FALSE)</f>
        <v>0</v>
      </c>
      <c r="S306" s="3">
        <f ca="1">VLOOKUP($B306&amp;$C306,data!$A:$U,5,FALSE)</f>
        <v>20</v>
      </c>
      <c r="T306" s="3">
        <f ca="1">VLOOKUP($B306&amp;$C306,data!$A:$U,6,FALSE)</f>
        <v>8</v>
      </c>
      <c r="U306" s="3">
        <f ca="1">VLOOKUP($B306&amp;$C306,data!$A:$U,7,FALSE)</f>
        <v>12</v>
      </c>
      <c r="V306" s="18" t="s">
        <v>936</v>
      </c>
      <c r="W306" s="17" t="s">
        <v>937</v>
      </c>
      <c r="X306" s="9"/>
      <c r="Y306" s="4" t="s">
        <v>938</v>
      </c>
      <c r="Z306" s="13">
        <f t="shared" ca="1" si="1"/>
        <v>0.64737129633431323</v>
      </c>
    </row>
    <row r="307" spans="1:26" ht="13" x14ac:dyDescent="0.15">
      <c r="A307" s="3">
        <v>306</v>
      </c>
      <c r="B307" s="3" t="s">
        <v>27</v>
      </c>
      <c r="C307" s="3" t="s">
        <v>939</v>
      </c>
      <c r="D307" s="10">
        <f t="shared" ca="1" si="0"/>
        <v>0</v>
      </c>
      <c r="E307" s="5">
        <f ca="1">VLOOKUP($B307&amp;$C307,data!$A:$U,20,FALSE)</f>
        <v>44305.421550925901</v>
      </c>
      <c r="F307" s="3" t="str">
        <f ca="1">VLOOKUP($B307&amp;$C307,data!$A:$U,21,FALSE)</f>
        <v>Nil</v>
      </c>
      <c r="G307" s="3">
        <f ca="1">VLOOKUP($B307&amp;$C307,data!$A:$U,17,FALSE)</f>
        <v>2</v>
      </c>
      <c r="H307" s="3">
        <f ca="1">VLOOKUP($B307&amp;$C307,data!$A:$U,18,FALSE)</f>
        <v>0</v>
      </c>
      <c r="I307" s="3">
        <f ca="1">VLOOKUP($B307&amp;$C307,data!$A:$U,19,FALSE)</f>
        <v>2</v>
      </c>
      <c r="J307" s="3">
        <f ca="1">VLOOKUP($B307&amp;$C307,data!$A:$U,14,FALSE)</f>
        <v>5</v>
      </c>
      <c r="K307" s="3">
        <f ca="1">VLOOKUP($B307&amp;$C307,data!$A:$U,15,FALSE)</f>
        <v>5</v>
      </c>
      <c r="L307" s="3">
        <f ca="1">VLOOKUP($B307&amp;$C307,data!$A:$U,16,FALSE)</f>
        <v>0</v>
      </c>
      <c r="M307" s="3">
        <f ca="1">VLOOKUP($B307&amp;$C307,data!$A:$U,8,FALSE)</f>
        <v>15</v>
      </c>
      <c r="N307" s="3">
        <f ca="1">VLOOKUP($B307&amp;$C307,data!$A:$U,9,FALSE)</f>
        <v>15</v>
      </c>
      <c r="O307" s="3">
        <f ca="1">VLOOKUP($B307&amp;$C307,data!$A:$U,10,FALSE)</f>
        <v>0</v>
      </c>
      <c r="P307" s="3">
        <f ca="1">VLOOKUP($B307&amp;$C307,data!$A:$U,11,FALSE)</f>
        <v>2</v>
      </c>
      <c r="Q307" s="3">
        <f ca="1">VLOOKUP($B307&amp;$C307,data!$A:$U,12,FALSE)</f>
        <v>2</v>
      </c>
      <c r="R307" s="3">
        <f ca="1">VLOOKUP($B307&amp;$C307,data!$A:$U,13,FALSE)</f>
        <v>0</v>
      </c>
      <c r="S307" s="3">
        <f ca="1">VLOOKUP($B307&amp;$C307,data!$A:$U,5,FALSE)</f>
        <v>22</v>
      </c>
      <c r="T307" s="3">
        <f ca="1">VLOOKUP($B307&amp;$C307,data!$A:$U,6,FALSE)</f>
        <v>22</v>
      </c>
      <c r="U307" s="3">
        <f ca="1">VLOOKUP($B307&amp;$C307,data!$A:$U,7,FALSE)</f>
        <v>0</v>
      </c>
      <c r="V307" s="18" t="s">
        <v>940</v>
      </c>
      <c r="W307" s="17" t="s">
        <v>941</v>
      </c>
      <c r="X307" s="17" t="s">
        <v>942</v>
      </c>
      <c r="Y307" s="4" t="s">
        <v>943</v>
      </c>
      <c r="Z307" s="13">
        <f t="shared" ca="1" si="1"/>
        <v>0.66535740742983762</v>
      </c>
    </row>
    <row r="308" spans="1:26" ht="13" x14ac:dyDescent="0.15">
      <c r="A308" s="3">
        <v>307</v>
      </c>
      <c r="B308" s="3" t="s">
        <v>29</v>
      </c>
      <c r="C308" s="3" t="s">
        <v>944</v>
      </c>
      <c r="D308" s="10">
        <f t="shared" ca="1" si="0"/>
        <v>0.22222222222222221</v>
      </c>
      <c r="E308" s="5">
        <f ca="1">VLOOKUP($B308&amp;$C308,data!$A:$U,20,FALSE)</f>
        <v>44305.4178703703</v>
      </c>
      <c r="F308" s="3" t="str">
        <f ca="1">VLOOKUP($B308&amp;$C308,data!$A:$U,21,FALSE)</f>
        <v>RT-PCR positive Cases: 14 Suspected SARI Cases: 3</v>
      </c>
      <c r="G308" s="3">
        <f ca="1">VLOOKUP($B308&amp;$C308,data!$A:$U,17,FALSE)</f>
        <v>1</v>
      </c>
      <c r="H308" s="3">
        <f ca="1">VLOOKUP($B308&amp;$C308,data!$A:$U,18,FALSE)</f>
        <v>0</v>
      </c>
      <c r="I308" s="3">
        <f ca="1">VLOOKUP($B308&amp;$C308,data!$A:$U,19,FALSE)</f>
        <v>1</v>
      </c>
      <c r="J308" s="3">
        <f ca="1">VLOOKUP($B308&amp;$C308,data!$A:$U,14,FALSE)</f>
        <v>4</v>
      </c>
      <c r="K308" s="3">
        <f ca="1">VLOOKUP($B308&amp;$C308,data!$A:$U,15,FALSE)</f>
        <v>4</v>
      </c>
      <c r="L308" s="3">
        <f ca="1">VLOOKUP($B308&amp;$C308,data!$A:$U,16,FALSE)</f>
        <v>0</v>
      </c>
      <c r="M308" s="3">
        <f ca="1">VLOOKUP($B308&amp;$C308,data!$A:$U,8,FALSE)</f>
        <v>8</v>
      </c>
      <c r="N308" s="3">
        <f ca="1">VLOOKUP($B308&amp;$C308,data!$A:$U,9,FALSE)</f>
        <v>8</v>
      </c>
      <c r="O308" s="3">
        <f ca="1">VLOOKUP($B308&amp;$C308,data!$A:$U,10,FALSE)</f>
        <v>0</v>
      </c>
      <c r="P308" s="3">
        <f ca="1">VLOOKUP($B308&amp;$C308,data!$A:$U,11,FALSE)</f>
        <v>2</v>
      </c>
      <c r="Q308" s="3">
        <f ca="1">VLOOKUP($B308&amp;$C308,data!$A:$U,12,FALSE)</f>
        <v>2</v>
      </c>
      <c r="R308" s="3">
        <f ca="1">VLOOKUP($B308&amp;$C308,data!$A:$U,13,FALSE)</f>
        <v>0</v>
      </c>
      <c r="S308" s="3">
        <f ca="1">VLOOKUP($B308&amp;$C308,data!$A:$U,5,FALSE)</f>
        <v>22</v>
      </c>
      <c r="T308" s="3">
        <f ca="1">VLOOKUP($B308&amp;$C308,data!$A:$U,6,FALSE)</f>
        <v>14</v>
      </c>
      <c r="U308" s="3">
        <f ca="1">VLOOKUP($B308&amp;$C308,data!$A:$U,7,FALSE)</f>
        <v>8</v>
      </c>
      <c r="V308" s="18" t="s">
        <v>945</v>
      </c>
      <c r="W308" s="17" t="s">
        <v>946</v>
      </c>
      <c r="X308" s="9"/>
      <c r="Y308" s="4" t="s">
        <v>947</v>
      </c>
      <c r="Z308" s="13">
        <f t="shared" ca="1" si="1"/>
        <v>0.66903796303085983</v>
      </c>
    </row>
    <row r="309" spans="1:26" ht="13" x14ac:dyDescent="0.15">
      <c r="A309" s="3">
        <v>308</v>
      </c>
      <c r="B309" s="3" t="s">
        <v>29</v>
      </c>
      <c r="C309" s="3" t="s">
        <v>948</v>
      </c>
      <c r="D309" s="10" t="e">
        <f t="shared" ca="1" si="0"/>
        <v>#DIV/0!</v>
      </c>
      <c r="E309" s="5">
        <f ca="1">VLOOKUP($B309&amp;$C309,data!$A:$U,20,FALSE)</f>
        <v>44305.332037036998</v>
      </c>
      <c r="F309" s="3" t="str">
        <f ca="1">VLOOKUP($B309&amp;$C309,data!$A:$U,21,FALSE)</f>
        <v>Temporarily stopped as per JDHS Instruction.</v>
      </c>
      <c r="G309" s="3">
        <f ca="1">VLOOKUP($B309&amp;$C309,data!$A:$U,17,FALSE)</f>
        <v>0</v>
      </c>
      <c r="H309" s="3">
        <f ca="1">VLOOKUP($B309&amp;$C309,data!$A:$U,18,FALSE)</f>
        <v>0</v>
      </c>
      <c r="I309" s="3">
        <f ca="1">VLOOKUP($B309&amp;$C309,data!$A:$U,19,FALSE)</f>
        <v>0</v>
      </c>
      <c r="J309" s="3">
        <f ca="1">VLOOKUP($B309&amp;$C309,data!$A:$U,14,FALSE)</f>
        <v>0</v>
      </c>
      <c r="K309" s="3">
        <f ca="1">VLOOKUP($B309&amp;$C309,data!$A:$U,15,FALSE)</f>
        <v>0</v>
      </c>
      <c r="L309" s="3">
        <f ca="1">VLOOKUP($B309&amp;$C309,data!$A:$U,16,FALSE)</f>
        <v>0</v>
      </c>
      <c r="M309" s="3">
        <f ca="1">VLOOKUP($B309&amp;$C309,data!$A:$U,8,FALSE)</f>
        <v>0</v>
      </c>
      <c r="N309" s="3">
        <f ca="1">VLOOKUP($B309&amp;$C309,data!$A:$U,9,FALSE)</f>
        <v>0</v>
      </c>
      <c r="O309" s="3">
        <f ca="1">VLOOKUP($B309&amp;$C309,data!$A:$U,10,FALSE)</f>
        <v>0</v>
      </c>
      <c r="P309" s="3">
        <f ca="1">VLOOKUP($B309&amp;$C309,data!$A:$U,11,FALSE)</f>
        <v>0</v>
      </c>
      <c r="Q309" s="3">
        <f ca="1">VLOOKUP($B309&amp;$C309,data!$A:$U,12,FALSE)</f>
        <v>0</v>
      </c>
      <c r="R309" s="3">
        <f ca="1">VLOOKUP($B309&amp;$C309,data!$A:$U,13,FALSE)</f>
        <v>0</v>
      </c>
      <c r="S309" s="3">
        <f ca="1">VLOOKUP($B309&amp;$C309,data!$A:$U,5,FALSE)</f>
        <v>0</v>
      </c>
      <c r="T309" s="3">
        <f ca="1">VLOOKUP($B309&amp;$C309,data!$A:$U,6,FALSE)</f>
        <v>0</v>
      </c>
      <c r="U309" s="3">
        <f ca="1">VLOOKUP($B309&amp;$C309,data!$A:$U,7,FALSE)</f>
        <v>0</v>
      </c>
      <c r="V309" s="16"/>
      <c r="W309" s="9"/>
      <c r="X309" s="9"/>
      <c r="Y309" s="3"/>
      <c r="Z309" s="13">
        <f t="shared" ca="1" si="1"/>
        <v>0.754871296332567</v>
      </c>
    </row>
    <row r="310" spans="1:26" ht="13" x14ac:dyDescent="0.15">
      <c r="A310" s="3">
        <v>309</v>
      </c>
      <c r="B310" s="3" t="s">
        <v>29</v>
      </c>
      <c r="C310" s="3" t="s">
        <v>949</v>
      </c>
      <c r="D310" s="10">
        <f t="shared" ca="1" si="0"/>
        <v>0.66666666666666663</v>
      </c>
      <c r="E310" s="5">
        <f ca="1">VLOOKUP($B310&amp;$C310,data!$A:$U,20,FALSE)</f>
        <v>44305.3340046296</v>
      </c>
      <c r="F310" s="3" t="str">
        <f ca="1">VLOOKUP($B310&amp;$C310,data!$A:$U,21,FALSE)</f>
        <v>19.04.2021.</v>
      </c>
      <c r="G310" s="3">
        <f ca="1">VLOOKUP($B310&amp;$C310,data!$A:$U,17,FALSE)</f>
        <v>1</v>
      </c>
      <c r="H310" s="3">
        <f ca="1">VLOOKUP($B310&amp;$C310,data!$A:$U,18,FALSE)</f>
        <v>0</v>
      </c>
      <c r="I310" s="3">
        <f ca="1">VLOOKUP($B310&amp;$C310,data!$A:$U,19,FALSE)</f>
        <v>1</v>
      </c>
      <c r="J310" s="3">
        <f ca="1">VLOOKUP($B310&amp;$C310,data!$A:$U,14,FALSE)</f>
        <v>5</v>
      </c>
      <c r="K310" s="3">
        <f ca="1">VLOOKUP($B310&amp;$C310,data!$A:$U,15,FALSE)</f>
        <v>0</v>
      </c>
      <c r="L310" s="3">
        <f ca="1">VLOOKUP($B310&amp;$C310,data!$A:$U,16,FALSE)</f>
        <v>5</v>
      </c>
      <c r="M310" s="3">
        <f ca="1">VLOOKUP($B310&amp;$C310,data!$A:$U,8,FALSE)</f>
        <v>5</v>
      </c>
      <c r="N310" s="3">
        <f ca="1">VLOOKUP($B310&amp;$C310,data!$A:$U,9,FALSE)</f>
        <v>0</v>
      </c>
      <c r="O310" s="3">
        <f ca="1">VLOOKUP($B310&amp;$C310,data!$A:$U,10,FALSE)</f>
        <v>5</v>
      </c>
      <c r="P310" s="3">
        <f ca="1">VLOOKUP($B310&amp;$C310,data!$A:$U,11,FALSE)</f>
        <v>5</v>
      </c>
      <c r="Q310" s="3">
        <f ca="1">VLOOKUP($B310&amp;$C310,data!$A:$U,12,FALSE)</f>
        <v>5</v>
      </c>
      <c r="R310" s="3">
        <f ca="1">VLOOKUP($B310&amp;$C310,data!$A:$U,13,FALSE)</f>
        <v>0</v>
      </c>
      <c r="S310" s="3">
        <f ca="1">VLOOKUP($B310&amp;$C310,data!$A:$U,5,FALSE)</f>
        <v>15</v>
      </c>
      <c r="T310" s="3">
        <f ca="1">VLOOKUP($B310&amp;$C310,data!$A:$U,6,FALSE)</f>
        <v>5</v>
      </c>
      <c r="U310" s="3">
        <f ca="1">VLOOKUP($B310&amp;$C310,data!$A:$U,7,FALSE)</f>
        <v>10</v>
      </c>
      <c r="V310" s="18" t="s">
        <v>950</v>
      </c>
      <c r="W310" s="17" t="s">
        <v>951</v>
      </c>
      <c r="X310" s="17" t="s">
        <v>952</v>
      </c>
      <c r="Y310" s="4" t="s">
        <v>953</v>
      </c>
      <c r="Z310" s="13">
        <f t="shared" ca="1" si="1"/>
        <v>0.75290370373113547</v>
      </c>
    </row>
    <row r="311" spans="1:26" ht="13" x14ac:dyDescent="0.15">
      <c r="A311" s="3">
        <v>310</v>
      </c>
      <c r="B311" s="3" t="s">
        <v>29</v>
      </c>
      <c r="C311" s="3" t="s">
        <v>954</v>
      </c>
      <c r="D311" s="10">
        <f t="shared" ca="1" si="0"/>
        <v>0.3125</v>
      </c>
      <c r="E311" s="5">
        <f ca="1">VLOOKUP($B311&amp;$C311,data!$A:$U,20,FALSE)</f>
        <v>44305.311527777703</v>
      </c>
      <c r="F311" s="3">
        <f ca="1">VLOOKUP($B311&amp;$C311,data!$A:$U,21,FALSE)</f>
        <v>0</v>
      </c>
      <c r="G311" s="3">
        <f ca="1">VLOOKUP($B311&amp;$C311,data!$A:$U,17,FALSE)</f>
        <v>0</v>
      </c>
      <c r="H311" s="3">
        <f ca="1">VLOOKUP($B311&amp;$C311,data!$A:$U,18,FALSE)</f>
        <v>0</v>
      </c>
      <c r="I311" s="3">
        <f ca="1">VLOOKUP($B311&amp;$C311,data!$A:$U,19,FALSE)</f>
        <v>0</v>
      </c>
      <c r="J311" s="3">
        <f ca="1">VLOOKUP($B311&amp;$C311,data!$A:$U,14,FALSE)</f>
        <v>3</v>
      </c>
      <c r="K311" s="3">
        <f ca="1">VLOOKUP($B311&amp;$C311,data!$A:$U,15,FALSE)</f>
        <v>0</v>
      </c>
      <c r="L311" s="3">
        <f ca="1">VLOOKUP($B311&amp;$C311,data!$A:$U,16,FALSE)</f>
        <v>3</v>
      </c>
      <c r="M311" s="3">
        <f ca="1">VLOOKUP($B311&amp;$C311,data!$A:$U,8,FALSE)</f>
        <v>13</v>
      </c>
      <c r="N311" s="3">
        <f ca="1">VLOOKUP($B311&amp;$C311,data!$A:$U,9,FALSE)</f>
        <v>11</v>
      </c>
      <c r="O311" s="3">
        <f ca="1">VLOOKUP($B311&amp;$C311,data!$A:$U,10,FALSE)</f>
        <v>2</v>
      </c>
      <c r="P311" s="3">
        <f ca="1">VLOOKUP($B311&amp;$C311,data!$A:$U,11,FALSE)</f>
        <v>0</v>
      </c>
      <c r="Q311" s="3">
        <f ca="1">VLOOKUP($B311&amp;$C311,data!$A:$U,12,FALSE)</f>
        <v>0</v>
      </c>
      <c r="R311" s="3">
        <f ca="1">VLOOKUP($B311&amp;$C311,data!$A:$U,13,FALSE)</f>
        <v>0</v>
      </c>
      <c r="S311" s="3">
        <f ca="1">VLOOKUP($B311&amp;$C311,data!$A:$U,5,FALSE)</f>
        <v>16</v>
      </c>
      <c r="T311" s="3">
        <f ca="1">VLOOKUP($B311&amp;$C311,data!$A:$U,6,FALSE)</f>
        <v>11</v>
      </c>
      <c r="U311" s="3">
        <f ca="1">VLOOKUP($B311&amp;$C311,data!$A:$U,7,FALSE)</f>
        <v>5</v>
      </c>
      <c r="V311" s="16"/>
      <c r="W311" s="9"/>
      <c r="X311" s="9"/>
      <c r="Y311" s="3"/>
      <c r="Z311" s="13">
        <f t="shared" ca="1" si="1"/>
        <v>0.77538055562763475</v>
      </c>
    </row>
    <row r="312" spans="1:26" ht="13" x14ac:dyDescent="0.15">
      <c r="A312" s="3">
        <v>311</v>
      </c>
      <c r="B312" s="3" t="s">
        <v>29</v>
      </c>
      <c r="C312" s="3" t="s">
        <v>955</v>
      </c>
      <c r="D312" s="10" t="e">
        <f t="shared" ca="1" si="0"/>
        <v>#DIV/0!</v>
      </c>
      <c r="E312" s="5">
        <f ca="1">VLOOKUP($B312&amp;$C312,data!$A:$U,20,FALSE)</f>
        <v>44305.333472222199</v>
      </c>
      <c r="F312" s="3" t="str">
        <f ca="1">VLOOKUP($B312&amp;$C312,data!$A:$U,21,FALSE)</f>
        <v>temporarily closed.</v>
      </c>
      <c r="G312" s="3">
        <f ca="1">VLOOKUP($B312&amp;$C312,data!$A:$U,17,FALSE)</f>
        <v>0</v>
      </c>
      <c r="H312" s="3">
        <f ca="1">VLOOKUP($B312&amp;$C312,data!$A:$U,18,FALSE)</f>
        <v>0</v>
      </c>
      <c r="I312" s="3">
        <f ca="1">VLOOKUP($B312&amp;$C312,data!$A:$U,19,FALSE)</f>
        <v>0</v>
      </c>
      <c r="J312" s="3">
        <f ca="1">VLOOKUP($B312&amp;$C312,data!$A:$U,14,FALSE)</f>
        <v>0</v>
      </c>
      <c r="K312" s="3">
        <f ca="1">VLOOKUP($B312&amp;$C312,data!$A:$U,15,FALSE)</f>
        <v>0</v>
      </c>
      <c r="L312" s="3">
        <f ca="1">VLOOKUP($B312&amp;$C312,data!$A:$U,16,FALSE)</f>
        <v>0</v>
      </c>
      <c r="M312" s="3">
        <f ca="1">VLOOKUP($B312&amp;$C312,data!$A:$U,8,FALSE)</f>
        <v>0</v>
      </c>
      <c r="N312" s="3">
        <f ca="1">VLOOKUP($B312&amp;$C312,data!$A:$U,9,FALSE)</f>
        <v>0</v>
      </c>
      <c r="O312" s="3">
        <f ca="1">VLOOKUP($B312&amp;$C312,data!$A:$U,10,FALSE)</f>
        <v>0</v>
      </c>
      <c r="P312" s="3">
        <f ca="1">VLOOKUP($B312&amp;$C312,data!$A:$U,11,FALSE)</f>
        <v>0</v>
      </c>
      <c r="Q312" s="3">
        <f ca="1">VLOOKUP($B312&amp;$C312,data!$A:$U,12,FALSE)</f>
        <v>0</v>
      </c>
      <c r="R312" s="3">
        <f ca="1">VLOOKUP($B312&amp;$C312,data!$A:$U,13,FALSE)</f>
        <v>0</v>
      </c>
      <c r="S312" s="3">
        <f ca="1">VLOOKUP($B312&amp;$C312,data!$A:$U,5,FALSE)</f>
        <v>0</v>
      </c>
      <c r="T312" s="3">
        <f ca="1">VLOOKUP($B312&amp;$C312,data!$A:$U,6,FALSE)</f>
        <v>0</v>
      </c>
      <c r="U312" s="3">
        <f ca="1">VLOOKUP($B312&amp;$C312,data!$A:$U,7,FALSE)</f>
        <v>0</v>
      </c>
      <c r="V312" s="16"/>
      <c r="W312" s="9"/>
      <c r="X312" s="9"/>
      <c r="Y312" s="3"/>
      <c r="Z312" s="13">
        <f t="shared" ca="1" si="1"/>
        <v>0.75343622687796596</v>
      </c>
    </row>
    <row r="313" spans="1:26" ht="13" x14ac:dyDescent="0.15">
      <c r="A313" s="3">
        <v>312</v>
      </c>
      <c r="B313" s="3" t="s">
        <v>35</v>
      </c>
      <c r="C313" s="3" t="s">
        <v>956</v>
      </c>
      <c r="D313" s="10">
        <f t="shared" ca="1" si="0"/>
        <v>0.65263157894736845</v>
      </c>
      <c r="E313" s="5">
        <f ca="1">VLOOKUP($B313&amp;$C313,data!$A:$U,20,FALSE)</f>
        <v>44305.414652777697</v>
      </c>
      <c r="F313" s="3">
        <f ca="1">VLOOKUP($B313&amp;$C313,data!$A:$U,21,FALSE)</f>
        <v>0</v>
      </c>
      <c r="G313" s="3">
        <f ca="1">VLOOKUP($B313&amp;$C313,data!$A:$U,17,FALSE)</f>
        <v>1</v>
      </c>
      <c r="H313" s="3">
        <f ca="1">VLOOKUP($B313&amp;$C313,data!$A:$U,18,FALSE)</f>
        <v>0</v>
      </c>
      <c r="I313" s="3">
        <f ca="1">VLOOKUP($B313&amp;$C313,data!$A:$U,19,FALSE)</f>
        <v>1</v>
      </c>
      <c r="J313" s="3">
        <f ca="1">VLOOKUP($B313&amp;$C313,data!$A:$U,14,FALSE)</f>
        <v>15</v>
      </c>
      <c r="K313" s="3">
        <f ca="1">VLOOKUP($B313&amp;$C313,data!$A:$U,15,FALSE)</f>
        <v>11</v>
      </c>
      <c r="L313" s="3">
        <f ca="1">VLOOKUP($B313&amp;$C313,data!$A:$U,16,FALSE)</f>
        <v>4</v>
      </c>
      <c r="M313" s="3">
        <f ca="1">VLOOKUP($B313&amp;$C313,data!$A:$U,8,FALSE)</f>
        <v>40</v>
      </c>
      <c r="N313" s="3">
        <f ca="1">VLOOKUP($B313&amp;$C313,data!$A:$U,9,FALSE)</f>
        <v>11</v>
      </c>
      <c r="O313" s="3">
        <f ca="1">VLOOKUP($B313&amp;$C313,data!$A:$U,10,FALSE)</f>
        <v>29</v>
      </c>
      <c r="P313" s="3">
        <f ca="1">VLOOKUP($B313&amp;$C313,data!$A:$U,11,FALSE)</f>
        <v>0</v>
      </c>
      <c r="Q313" s="3">
        <f ca="1">VLOOKUP($B313&amp;$C313,data!$A:$U,12,FALSE)</f>
        <v>0</v>
      </c>
      <c r="R313" s="3">
        <f ca="1">VLOOKUP($B313&amp;$C313,data!$A:$U,13,FALSE)</f>
        <v>0</v>
      </c>
      <c r="S313" s="3">
        <f ca="1">VLOOKUP($B313&amp;$C313,data!$A:$U,5,FALSE)</f>
        <v>40</v>
      </c>
      <c r="T313" s="3">
        <f ca="1">VLOOKUP($B313&amp;$C313,data!$A:$U,6,FALSE)</f>
        <v>11</v>
      </c>
      <c r="U313" s="3">
        <f ca="1">VLOOKUP($B313&amp;$C313,data!$A:$U,7,FALSE)</f>
        <v>29</v>
      </c>
      <c r="V313" s="18" t="s">
        <v>957</v>
      </c>
      <c r="W313" s="17" t="s">
        <v>958</v>
      </c>
      <c r="X313" s="9"/>
      <c r="Y313" s="4" t="s">
        <v>959</v>
      </c>
      <c r="Z313" s="13">
        <f t="shared" ca="1" si="1"/>
        <v>0.67225555563345551</v>
      </c>
    </row>
    <row r="314" spans="1:26" ht="13" x14ac:dyDescent="0.15">
      <c r="A314" s="3">
        <v>313</v>
      </c>
      <c r="B314" s="3" t="s">
        <v>4</v>
      </c>
      <c r="C314" s="3" t="s">
        <v>960</v>
      </c>
      <c r="D314" s="10">
        <f t="shared" ca="1" si="0"/>
        <v>4.9019607843137254E-2</v>
      </c>
      <c r="E314" s="5">
        <f ca="1">VLOOKUP($B314&amp;$C314,data!$A:$U,20,FALSE)</f>
        <v>44305.484189814801</v>
      </c>
      <c r="F314" s="3" t="str">
        <f ca="1">VLOOKUP($B314&amp;$C314,data!$A:$U,21,FALSE)</f>
        <v>Updated on 19/04/2021</v>
      </c>
      <c r="G314" s="3">
        <f ca="1">VLOOKUP($B314&amp;$C314,data!$A:$U,17,FALSE)</f>
        <v>4</v>
      </c>
      <c r="H314" s="3">
        <f ca="1">VLOOKUP($B314&amp;$C314,data!$A:$U,18,FALSE)</f>
        <v>1</v>
      </c>
      <c r="I314" s="3">
        <f ca="1">VLOOKUP($B314&amp;$C314,data!$A:$U,19,FALSE)</f>
        <v>3</v>
      </c>
      <c r="J314" s="3">
        <f ca="1">VLOOKUP($B314&amp;$C314,data!$A:$U,14,FALSE)</f>
        <v>10</v>
      </c>
      <c r="K314" s="3">
        <f ca="1">VLOOKUP($B314&amp;$C314,data!$A:$U,15,FALSE)</f>
        <v>8</v>
      </c>
      <c r="L314" s="3">
        <f ca="1">VLOOKUP($B314&amp;$C314,data!$A:$U,16,FALSE)</f>
        <v>2</v>
      </c>
      <c r="M314" s="3">
        <f ca="1">VLOOKUP($B314&amp;$C314,data!$A:$U,8,FALSE)</f>
        <v>92</v>
      </c>
      <c r="N314" s="3">
        <f ca="1">VLOOKUP($B314&amp;$C314,data!$A:$U,9,FALSE)</f>
        <v>89</v>
      </c>
      <c r="O314" s="3">
        <f ca="1">VLOOKUP($B314&amp;$C314,data!$A:$U,10,FALSE)</f>
        <v>3</v>
      </c>
      <c r="P314" s="3">
        <f ca="1">VLOOKUP($B314&amp;$C314,data!$A:$U,11,FALSE)</f>
        <v>0</v>
      </c>
      <c r="Q314" s="3">
        <f ca="1">VLOOKUP($B314&amp;$C314,data!$A:$U,12,FALSE)</f>
        <v>0</v>
      </c>
      <c r="R314" s="3">
        <f ca="1">VLOOKUP($B314&amp;$C314,data!$A:$U,13,FALSE)</f>
        <v>0</v>
      </c>
      <c r="S314" s="3">
        <f ca="1">VLOOKUP($B314&amp;$C314,data!$A:$U,5,FALSE)</f>
        <v>102</v>
      </c>
      <c r="T314" s="3">
        <f ca="1">VLOOKUP($B314&amp;$C314,data!$A:$U,6,FALSE)</f>
        <v>97</v>
      </c>
      <c r="U314" s="3">
        <f ca="1">VLOOKUP($B314&amp;$C314,data!$A:$U,7,FALSE)</f>
        <v>5</v>
      </c>
      <c r="V314" s="18" t="s">
        <v>961</v>
      </c>
      <c r="W314" s="17" t="s">
        <v>962</v>
      </c>
      <c r="X314" s="17" t="s">
        <v>963</v>
      </c>
      <c r="Y314" s="4" t="s">
        <v>964</v>
      </c>
      <c r="Z314" s="13">
        <f t="shared" ca="1" si="1"/>
        <v>0.60271863427624339</v>
      </c>
    </row>
    <row r="315" spans="1:26" ht="13" x14ac:dyDescent="0.15">
      <c r="A315" s="3">
        <v>314</v>
      </c>
      <c r="B315" s="3" t="s">
        <v>30</v>
      </c>
      <c r="C315" s="3" t="s">
        <v>589</v>
      </c>
      <c r="D315" s="10">
        <f t="shared" ca="1" si="0"/>
        <v>0.48076923076923078</v>
      </c>
      <c r="E315" s="5">
        <f ca="1">VLOOKUP($B315&amp;$C315,data!$A:$U,20,FALSE)</f>
        <v>44304.5379398148</v>
      </c>
      <c r="F315" s="3" t="str">
        <f ca="1">VLOOKUP($B315&amp;$C315,data!$A:$U,21,FALSE)</f>
        <v>28 positive cases &amp; 5 Suspected Cases 18/04/2021</v>
      </c>
      <c r="G315" s="3">
        <f ca="1">VLOOKUP($B315&amp;$C315,data!$A:$U,17,FALSE)</f>
        <v>3</v>
      </c>
      <c r="H315" s="3">
        <f ca="1">VLOOKUP($B315&amp;$C315,data!$A:$U,18,FALSE)</f>
        <v>3</v>
      </c>
      <c r="I315" s="3">
        <f ca="1">VLOOKUP($B315&amp;$C315,data!$A:$U,19,FALSE)</f>
        <v>0</v>
      </c>
      <c r="J315" s="3">
        <f ca="1">VLOOKUP($B315&amp;$C315,data!$A:$U,14,FALSE)</f>
        <v>3</v>
      </c>
      <c r="K315" s="3">
        <f ca="1">VLOOKUP($B315&amp;$C315,data!$A:$U,15,FALSE)</f>
        <v>3</v>
      </c>
      <c r="L315" s="3">
        <f ca="1">VLOOKUP($B315&amp;$C315,data!$A:$U,16,FALSE)</f>
        <v>0</v>
      </c>
      <c r="M315" s="3">
        <f ca="1">VLOOKUP($B315&amp;$C315,data!$A:$U,8,FALSE)</f>
        <v>37</v>
      </c>
      <c r="N315" s="3">
        <f ca="1">VLOOKUP($B315&amp;$C315,data!$A:$U,9,FALSE)</f>
        <v>18</v>
      </c>
      <c r="O315" s="3">
        <f ca="1">VLOOKUP($B315&amp;$C315,data!$A:$U,10,FALSE)</f>
        <v>19</v>
      </c>
      <c r="P315" s="3">
        <f ca="1">VLOOKUP($B315&amp;$C315,data!$A:$U,11,FALSE)</f>
        <v>12</v>
      </c>
      <c r="Q315" s="3">
        <f ca="1">VLOOKUP($B315&amp;$C315,data!$A:$U,12,FALSE)</f>
        <v>0</v>
      </c>
      <c r="R315" s="3">
        <f ca="1">VLOOKUP($B315&amp;$C315,data!$A:$U,13,FALSE)</f>
        <v>7</v>
      </c>
      <c r="S315" s="3">
        <f ca="1">VLOOKUP($B315&amp;$C315,data!$A:$U,5,FALSE)</f>
        <v>52</v>
      </c>
      <c r="T315" s="3">
        <f ca="1">VLOOKUP($B315&amp;$C315,data!$A:$U,6,FALSE)</f>
        <v>28</v>
      </c>
      <c r="U315" s="3">
        <f ca="1">VLOOKUP($B315&amp;$C315,data!$A:$U,7,FALSE)</f>
        <v>24</v>
      </c>
      <c r="V315" s="16"/>
      <c r="W315" s="9"/>
      <c r="X315" s="9"/>
      <c r="Y315" s="3"/>
      <c r="Z315" s="13">
        <f t="shared" ca="1" si="1"/>
        <v>1.5489685185311828</v>
      </c>
    </row>
    <row r="316" spans="1:26" ht="13" x14ac:dyDescent="0.15">
      <c r="A316" s="3">
        <v>315</v>
      </c>
      <c r="B316" s="3" t="s">
        <v>4</v>
      </c>
      <c r="C316" s="3" t="s">
        <v>965</v>
      </c>
      <c r="D316" s="10">
        <f t="shared" ca="1" si="0"/>
        <v>0.48275862068965519</v>
      </c>
      <c r="E316" s="5">
        <f ca="1">VLOOKUP($B316&amp;$C316,data!$A:$U,20,FALSE)</f>
        <v>44305.360486111102</v>
      </c>
      <c r="F316" s="3" t="str">
        <f ca="1">VLOOKUP($B316&amp;$C316,data!$A:$U,21,FALSE)</f>
        <v>19/04/2021 Covid care helpline - 8778501016/9894686088</v>
      </c>
      <c r="G316" s="3">
        <f ca="1">VLOOKUP($B316&amp;$C316,data!$A:$U,17,FALSE)</f>
        <v>4</v>
      </c>
      <c r="H316" s="3">
        <f ca="1">VLOOKUP($B316&amp;$C316,data!$A:$U,18,FALSE)</f>
        <v>0</v>
      </c>
      <c r="I316" s="3">
        <f ca="1">VLOOKUP($B316&amp;$C316,data!$A:$U,19,FALSE)</f>
        <v>4</v>
      </c>
      <c r="J316" s="3">
        <f ca="1">VLOOKUP($B316&amp;$C316,data!$A:$U,14,FALSE)</f>
        <v>8</v>
      </c>
      <c r="K316" s="3">
        <f ca="1">VLOOKUP($B316&amp;$C316,data!$A:$U,15,FALSE)</f>
        <v>2</v>
      </c>
      <c r="L316" s="3">
        <f ca="1">VLOOKUP($B316&amp;$C316,data!$A:$U,16,FALSE)</f>
        <v>6</v>
      </c>
      <c r="M316" s="3">
        <f ca="1">VLOOKUP($B316&amp;$C316,data!$A:$U,8,FALSE)</f>
        <v>10</v>
      </c>
      <c r="N316" s="3">
        <f ca="1">VLOOKUP($B316&amp;$C316,data!$A:$U,9,FALSE)</f>
        <v>5</v>
      </c>
      <c r="O316" s="3">
        <f ca="1">VLOOKUP($B316&amp;$C316,data!$A:$U,10,FALSE)</f>
        <v>5</v>
      </c>
      <c r="P316" s="3">
        <f ca="1">VLOOKUP($B316&amp;$C316,data!$A:$U,11,FALSE)</f>
        <v>15</v>
      </c>
      <c r="Q316" s="3">
        <f ca="1">VLOOKUP($B316&amp;$C316,data!$A:$U,12,FALSE)</f>
        <v>0</v>
      </c>
      <c r="R316" s="3">
        <f ca="1">VLOOKUP($B316&amp;$C316,data!$A:$U,13,FALSE)</f>
        <v>7</v>
      </c>
      <c r="S316" s="3">
        <f ca="1">VLOOKUP($B316&amp;$C316,data!$A:$U,5,FALSE)</f>
        <v>25</v>
      </c>
      <c r="T316" s="3">
        <f ca="1">VLOOKUP($B316&amp;$C316,data!$A:$U,6,FALSE)</f>
        <v>15</v>
      </c>
      <c r="U316" s="3">
        <f ca="1">VLOOKUP($B316&amp;$C316,data!$A:$U,7,FALSE)</f>
        <v>10</v>
      </c>
      <c r="V316" s="18">
        <v>8754408187</v>
      </c>
      <c r="W316" s="17" t="s">
        <v>966</v>
      </c>
      <c r="X316" s="17" t="s">
        <v>967</v>
      </c>
      <c r="Y316" s="4" t="s">
        <v>968</v>
      </c>
      <c r="Z316" s="13">
        <f t="shared" ca="1" si="1"/>
        <v>0.72642222222930286</v>
      </c>
    </row>
    <row r="317" spans="1:26" ht="13" x14ac:dyDescent="0.15">
      <c r="A317" s="3">
        <v>316</v>
      </c>
      <c r="B317" s="3" t="s">
        <v>27</v>
      </c>
      <c r="C317" s="3" t="s">
        <v>969</v>
      </c>
      <c r="D317" s="10">
        <f t="shared" ca="1" si="0"/>
        <v>1</v>
      </c>
      <c r="E317" s="5">
        <f ca="1">VLOOKUP($B317&amp;$C317,data!$A:$U,20,FALSE)</f>
        <v>44305.363981481401</v>
      </c>
      <c r="F317" s="3">
        <f ca="1">VLOOKUP($B317&amp;$C317,data!$A:$U,21,FALSE)</f>
        <v>0</v>
      </c>
      <c r="G317" s="3">
        <f ca="1">VLOOKUP($B317&amp;$C317,data!$A:$U,17,FALSE)</f>
        <v>5</v>
      </c>
      <c r="H317" s="3">
        <f ca="1">VLOOKUP($B317&amp;$C317,data!$A:$U,18,FALSE)</f>
        <v>0</v>
      </c>
      <c r="I317" s="3">
        <f ca="1">VLOOKUP($B317&amp;$C317,data!$A:$U,19,FALSE)</f>
        <v>5</v>
      </c>
      <c r="J317" s="3">
        <f ca="1">VLOOKUP($B317&amp;$C317,data!$A:$U,14,FALSE)</f>
        <v>2</v>
      </c>
      <c r="K317" s="3">
        <f ca="1">VLOOKUP($B317&amp;$C317,data!$A:$U,15,FALSE)</f>
        <v>0</v>
      </c>
      <c r="L317" s="3">
        <f ca="1">VLOOKUP($B317&amp;$C317,data!$A:$U,16,FALSE)</f>
        <v>2</v>
      </c>
      <c r="M317" s="3">
        <f ca="1">VLOOKUP($B317&amp;$C317,data!$A:$U,8,FALSE)</f>
        <v>10</v>
      </c>
      <c r="N317" s="3">
        <f ca="1">VLOOKUP($B317&amp;$C317,data!$A:$U,9,FALSE)</f>
        <v>0</v>
      </c>
      <c r="O317" s="3">
        <f ca="1">VLOOKUP($B317&amp;$C317,data!$A:$U,10,FALSE)</f>
        <v>10</v>
      </c>
      <c r="P317" s="3">
        <f ca="1">VLOOKUP($B317&amp;$C317,data!$A:$U,11,FALSE)</f>
        <v>3</v>
      </c>
      <c r="Q317" s="3">
        <f ca="1">VLOOKUP($B317&amp;$C317,data!$A:$U,12,FALSE)</f>
        <v>0</v>
      </c>
      <c r="R317" s="3">
        <f ca="1">VLOOKUP($B317&amp;$C317,data!$A:$U,13,FALSE)</f>
        <v>3</v>
      </c>
      <c r="S317" s="3">
        <f ca="1">VLOOKUP($B317&amp;$C317,data!$A:$U,5,FALSE)</f>
        <v>15</v>
      </c>
      <c r="T317" s="3">
        <f ca="1">VLOOKUP($B317&amp;$C317,data!$A:$U,6,FALSE)</f>
        <v>0</v>
      </c>
      <c r="U317" s="3">
        <f ca="1">VLOOKUP($B317&amp;$C317,data!$A:$U,7,FALSE)</f>
        <v>15</v>
      </c>
      <c r="V317" s="18" t="s">
        <v>970</v>
      </c>
      <c r="W317" s="17" t="s">
        <v>971</v>
      </c>
      <c r="X317" s="17" t="s">
        <v>972</v>
      </c>
      <c r="Y317" s="4" t="s">
        <v>973</v>
      </c>
      <c r="Z317" s="13">
        <f t="shared" ca="1" si="1"/>
        <v>0.72292685192951467</v>
      </c>
    </row>
    <row r="318" spans="1:26" ht="13" x14ac:dyDescent="0.15">
      <c r="A318" s="3">
        <v>317</v>
      </c>
      <c r="B318" s="3" t="s">
        <v>15</v>
      </c>
      <c r="C318" s="3" t="s">
        <v>974</v>
      </c>
      <c r="D318" s="10">
        <f t="shared" ca="1" si="0"/>
        <v>0.17241379310344829</v>
      </c>
      <c r="E318" s="5">
        <f ca="1">VLOOKUP($B318&amp;$C318,data!$A:$U,20,FALSE)</f>
        <v>44305.373749999999</v>
      </c>
      <c r="F318" s="3" t="str">
        <f ca="1">VLOOKUP($B318&amp;$C318,data!$A:$U,21,FALSE)</f>
        <v>Nil</v>
      </c>
      <c r="G318" s="3">
        <f ca="1">VLOOKUP($B318&amp;$C318,data!$A:$U,17,FALSE)</f>
        <v>1</v>
      </c>
      <c r="H318" s="3">
        <f ca="1">VLOOKUP($B318&amp;$C318,data!$A:$U,18,FALSE)</f>
        <v>0</v>
      </c>
      <c r="I318" s="3">
        <f ca="1">VLOOKUP($B318&amp;$C318,data!$A:$U,19,FALSE)</f>
        <v>1</v>
      </c>
      <c r="J318" s="3">
        <f ca="1">VLOOKUP($B318&amp;$C318,data!$A:$U,14,FALSE)</f>
        <v>1</v>
      </c>
      <c r="K318" s="3">
        <f ca="1">VLOOKUP($B318&amp;$C318,data!$A:$U,15,FALSE)</f>
        <v>0</v>
      </c>
      <c r="L318" s="3">
        <f ca="1">VLOOKUP($B318&amp;$C318,data!$A:$U,16,FALSE)</f>
        <v>1</v>
      </c>
      <c r="M318" s="3">
        <f ca="1">VLOOKUP($B318&amp;$C318,data!$A:$U,8,FALSE)</f>
        <v>2</v>
      </c>
      <c r="N318" s="3">
        <f ca="1">VLOOKUP($B318&amp;$C318,data!$A:$U,9,FALSE)</f>
        <v>0</v>
      </c>
      <c r="O318" s="3">
        <f ca="1">VLOOKUP($B318&amp;$C318,data!$A:$U,10,FALSE)</f>
        <v>2</v>
      </c>
      <c r="P318" s="3">
        <f ca="1">VLOOKUP($B318&amp;$C318,data!$A:$U,11,FALSE)</f>
        <v>12</v>
      </c>
      <c r="Q318" s="3">
        <f ca="1">VLOOKUP($B318&amp;$C318,data!$A:$U,12,FALSE)</f>
        <v>12</v>
      </c>
      <c r="R318" s="3">
        <f ca="1">VLOOKUP($B318&amp;$C318,data!$A:$U,13,FALSE)</f>
        <v>0</v>
      </c>
      <c r="S318" s="3">
        <f ca="1">VLOOKUP($B318&amp;$C318,data!$A:$U,5,FALSE)</f>
        <v>14</v>
      </c>
      <c r="T318" s="3">
        <f ca="1">VLOOKUP($B318&amp;$C318,data!$A:$U,6,FALSE)</f>
        <v>12</v>
      </c>
      <c r="U318" s="3">
        <f ca="1">VLOOKUP($B318&amp;$C318,data!$A:$U,7,FALSE)</f>
        <v>2</v>
      </c>
      <c r="V318" s="18" t="s">
        <v>975</v>
      </c>
      <c r="W318" s="17" t="s">
        <v>976</v>
      </c>
      <c r="X318" s="9"/>
      <c r="Y318" s="4" t="s">
        <v>977</v>
      </c>
      <c r="Z318" s="13">
        <f t="shared" ca="1" si="1"/>
        <v>0.71315833333210321</v>
      </c>
    </row>
    <row r="319" spans="1:26" ht="13" x14ac:dyDescent="0.15">
      <c r="A319" s="3">
        <v>318</v>
      </c>
      <c r="B319" s="3" t="s">
        <v>22</v>
      </c>
      <c r="C319" s="3" t="s">
        <v>978</v>
      </c>
      <c r="D319" s="10">
        <f t="shared" ca="1" si="0"/>
        <v>3.0303030303030304E-2</v>
      </c>
      <c r="E319" s="5">
        <f ca="1">VLOOKUP($B319&amp;$C319,data!$A:$U,20,FALSE)</f>
        <v>44305.378530092501</v>
      </c>
      <c r="F319" s="3" t="str">
        <f ca="1">VLOOKUP($B319&amp;$C319,data!$A:$U,21,FALSE)</f>
        <v>Updated .1</v>
      </c>
      <c r="G319" s="3">
        <f ca="1">VLOOKUP($B319&amp;$C319,data!$A:$U,17,FALSE)</f>
        <v>1</v>
      </c>
      <c r="H319" s="3">
        <f ca="1">VLOOKUP($B319&amp;$C319,data!$A:$U,18,FALSE)</f>
        <v>0</v>
      </c>
      <c r="I319" s="3">
        <f ca="1">VLOOKUP($B319&amp;$C319,data!$A:$U,19,FALSE)</f>
        <v>1</v>
      </c>
      <c r="J319" s="3">
        <f ca="1">VLOOKUP($B319&amp;$C319,data!$A:$U,14,FALSE)</f>
        <v>2</v>
      </c>
      <c r="K319" s="3">
        <f ca="1">VLOOKUP($B319&amp;$C319,data!$A:$U,15,FALSE)</f>
        <v>0</v>
      </c>
      <c r="L319" s="3">
        <f ca="1">VLOOKUP($B319&amp;$C319,data!$A:$U,16,FALSE)</f>
        <v>2</v>
      </c>
      <c r="M319" s="3">
        <f ca="1">VLOOKUP($B319&amp;$C319,data!$A:$U,8,FALSE)</f>
        <v>32</v>
      </c>
      <c r="N319" s="3">
        <f ca="1">VLOOKUP($B319&amp;$C319,data!$A:$U,9,FALSE)</f>
        <v>32</v>
      </c>
      <c r="O319" s="3">
        <f ca="1">VLOOKUP($B319&amp;$C319,data!$A:$U,10,FALSE)</f>
        <v>0</v>
      </c>
      <c r="P319" s="3">
        <f ca="1">VLOOKUP($B319&amp;$C319,data!$A:$U,11,FALSE)</f>
        <v>0</v>
      </c>
      <c r="Q319" s="3">
        <f ca="1">VLOOKUP($B319&amp;$C319,data!$A:$U,12,FALSE)</f>
        <v>0</v>
      </c>
      <c r="R319" s="3">
        <f ca="1">VLOOKUP($B319&amp;$C319,data!$A:$U,13,FALSE)</f>
        <v>0</v>
      </c>
      <c r="S319" s="3">
        <f ca="1">VLOOKUP($B319&amp;$C319,data!$A:$U,5,FALSE)</f>
        <v>32</v>
      </c>
      <c r="T319" s="3">
        <f ca="1">VLOOKUP($B319&amp;$C319,data!$A:$U,6,FALSE)</f>
        <v>32</v>
      </c>
      <c r="U319" s="3">
        <f ca="1">VLOOKUP($B319&amp;$C319,data!$A:$U,7,FALSE)</f>
        <v>0</v>
      </c>
      <c r="V319" s="18" t="s">
        <v>979</v>
      </c>
      <c r="W319" s="17" t="s">
        <v>980</v>
      </c>
      <c r="X319" s="17" t="s">
        <v>981</v>
      </c>
      <c r="Y319" s="4" t="s">
        <v>982</v>
      </c>
      <c r="Z319" s="13">
        <f t="shared" ca="1" si="1"/>
        <v>0.70837824082991574</v>
      </c>
    </row>
    <row r="320" spans="1:26" ht="13" x14ac:dyDescent="0.15">
      <c r="A320" s="3">
        <v>319</v>
      </c>
      <c r="B320" s="3" t="s">
        <v>22</v>
      </c>
      <c r="C320" s="3" t="s">
        <v>983</v>
      </c>
      <c r="D320" s="10">
        <f t="shared" ca="1" si="0"/>
        <v>0.7</v>
      </c>
      <c r="E320" s="5">
        <f ca="1">VLOOKUP($B320&amp;$C320,data!$A:$U,20,FALSE)</f>
        <v>44305.3461226851</v>
      </c>
      <c r="F320" s="3" t="str">
        <f ca="1">VLOOKUP($B320&amp;$C320,data!$A:$U,21,FALSE)</f>
        <v>19/04/2021</v>
      </c>
      <c r="G320" s="3">
        <f ca="1">VLOOKUP($B320&amp;$C320,data!$A:$U,17,FALSE)</f>
        <v>4</v>
      </c>
      <c r="H320" s="3">
        <f ca="1">VLOOKUP($B320&amp;$C320,data!$A:$U,18,FALSE)</f>
        <v>0</v>
      </c>
      <c r="I320" s="3">
        <f ca="1">VLOOKUP($B320&amp;$C320,data!$A:$U,19,FALSE)</f>
        <v>4</v>
      </c>
      <c r="J320" s="3">
        <f ca="1">VLOOKUP($B320&amp;$C320,data!$A:$U,14,FALSE)</f>
        <v>9</v>
      </c>
      <c r="K320" s="3">
        <f ca="1">VLOOKUP($B320&amp;$C320,data!$A:$U,15,FALSE)</f>
        <v>0</v>
      </c>
      <c r="L320" s="3">
        <f ca="1">VLOOKUP($B320&amp;$C320,data!$A:$U,16,FALSE)</f>
        <v>9</v>
      </c>
      <c r="M320" s="3">
        <f ca="1">VLOOKUP($B320&amp;$C320,data!$A:$U,8,FALSE)</f>
        <v>31</v>
      </c>
      <c r="N320" s="3">
        <f ca="1">VLOOKUP($B320&amp;$C320,data!$A:$U,9,FALSE)</f>
        <v>12</v>
      </c>
      <c r="O320" s="3">
        <f ca="1">VLOOKUP($B320&amp;$C320,data!$A:$U,10,FALSE)</f>
        <v>19</v>
      </c>
      <c r="P320" s="3">
        <f ca="1">VLOOKUP($B320&amp;$C320,data!$A:$U,11,FALSE)</f>
        <v>0</v>
      </c>
      <c r="Q320" s="3">
        <f ca="1">VLOOKUP($B320&amp;$C320,data!$A:$U,12,FALSE)</f>
        <v>0</v>
      </c>
      <c r="R320" s="3">
        <f ca="1">VLOOKUP($B320&amp;$C320,data!$A:$U,13,FALSE)</f>
        <v>0</v>
      </c>
      <c r="S320" s="3">
        <f ca="1">VLOOKUP($B320&amp;$C320,data!$A:$U,5,FALSE)</f>
        <v>40</v>
      </c>
      <c r="T320" s="3">
        <f ca="1">VLOOKUP($B320&amp;$C320,data!$A:$U,6,FALSE)</f>
        <v>12</v>
      </c>
      <c r="U320" s="3">
        <f ca="1">VLOOKUP($B320&amp;$C320,data!$A:$U,7,FALSE)</f>
        <v>28</v>
      </c>
      <c r="V320" s="18" t="s">
        <v>984</v>
      </c>
      <c r="W320" s="17" t="s">
        <v>985</v>
      </c>
      <c r="X320" s="9"/>
      <c r="Y320" s="4" t="s">
        <v>986</v>
      </c>
      <c r="Z320" s="13">
        <f t="shared" ca="1" si="1"/>
        <v>0.74078564823139459</v>
      </c>
    </row>
    <row r="321" spans="1:26" ht="13" x14ac:dyDescent="0.15">
      <c r="A321" s="3">
        <v>320</v>
      </c>
      <c r="B321" s="3" t="s">
        <v>3</v>
      </c>
      <c r="C321" s="3" t="s">
        <v>987</v>
      </c>
      <c r="D321" s="10">
        <f t="shared" ca="1" si="0"/>
        <v>0.26415094339622641</v>
      </c>
      <c r="E321" s="5">
        <f ca="1">VLOOKUP($B321&amp;$C321,data!$A:$U,20,FALSE)</f>
        <v>44305.515092592497</v>
      </c>
      <c r="F321" s="3" t="str">
        <f ca="1">VLOOKUP($B321&amp;$C321,data!$A:$U,21,FALSE)</f>
        <v>Nil</v>
      </c>
      <c r="G321" s="3">
        <f ca="1">VLOOKUP($B321&amp;$C321,data!$A:$U,17,FALSE)</f>
        <v>1</v>
      </c>
      <c r="H321" s="3">
        <f ca="1">VLOOKUP($B321&amp;$C321,data!$A:$U,18,FALSE)</f>
        <v>0</v>
      </c>
      <c r="I321" s="3">
        <f ca="1">VLOOKUP($B321&amp;$C321,data!$A:$U,19,FALSE)</f>
        <v>1</v>
      </c>
      <c r="J321" s="3">
        <f ca="1">VLOOKUP($B321&amp;$C321,data!$A:$U,14,FALSE)</f>
        <v>3</v>
      </c>
      <c r="K321" s="3">
        <f ca="1">VLOOKUP($B321&amp;$C321,data!$A:$U,15,FALSE)</f>
        <v>0</v>
      </c>
      <c r="L321" s="3">
        <f ca="1">VLOOKUP($B321&amp;$C321,data!$A:$U,16,FALSE)</f>
        <v>3</v>
      </c>
      <c r="M321" s="3">
        <f ca="1">VLOOKUP($B321&amp;$C321,data!$A:$U,8,FALSE)</f>
        <v>13</v>
      </c>
      <c r="N321" s="3">
        <f ca="1">VLOOKUP($B321&amp;$C321,data!$A:$U,9,FALSE)</f>
        <v>4</v>
      </c>
      <c r="O321" s="3">
        <f ca="1">VLOOKUP($B321&amp;$C321,data!$A:$U,10,FALSE)</f>
        <v>9</v>
      </c>
      <c r="P321" s="3">
        <f ca="1">VLOOKUP($B321&amp;$C321,data!$A:$U,11,FALSE)</f>
        <v>12</v>
      </c>
      <c r="Q321" s="3">
        <f ca="1">VLOOKUP($B321&amp;$C321,data!$A:$U,12,FALSE)</f>
        <v>11</v>
      </c>
      <c r="R321" s="3">
        <f ca="1">VLOOKUP($B321&amp;$C321,data!$A:$U,13,FALSE)</f>
        <v>1</v>
      </c>
      <c r="S321" s="3">
        <f ca="1">VLOOKUP($B321&amp;$C321,data!$A:$U,5,FALSE)</f>
        <v>25</v>
      </c>
      <c r="T321" s="3">
        <f ca="1">VLOOKUP($B321&amp;$C321,data!$A:$U,6,FALSE)</f>
        <v>15</v>
      </c>
      <c r="U321" s="3">
        <f ca="1">VLOOKUP($B321&amp;$C321,data!$A:$U,7,FALSE)</f>
        <v>1</v>
      </c>
      <c r="V321" s="18" t="s">
        <v>988</v>
      </c>
      <c r="W321" s="17" t="s">
        <v>989</v>
      </c>
      <c r="X321" s="17" t="s">
        <v>990</v>
      </c>
      <c r="Y321" s="4" t="s">
        <v>991</v>
      </c>
      <c r="Z321" s="13">
        <f t="shared" ca="1" si="1"/>
        <v>0.57181574083369924</v>
      </c>
    </row>
    <row r="322" spans="1:26" ht="13" x14ac:dyDescent="0.15">
      <c r="A322" s="3">
        <v>321</v>
      </c>
      <c r="B322" s="3" t="s">
        <v>21</v>
      </c>
      <c r="C322" s="3" t="s">
        <v>992</v>
      </c>
      <c r="D322" s="10">
        <f t="shared" ca="1" si="0"/>
        <v>0.26666666666666666</v>
      </c>
      <c r="E322" s="5">
        <f ca="1">VLOOKUP($B322&amp;$C322,data!$A:$U,20,FALSE)</f>
        <v>44305.3478703703</v>
      </c>
      <c r="F322" s="3">
        <f ca="1">VLOOKUP($B322&amp;$C322,data!$A:$U,21,FALSE)</f>
        <v>0</v>
      </c>
      <c r="G322" s="3">
        <f ca="1">VLOOKUP($B322&amp;$C322,data!$A:$U,17,FALSE)</f>
        <v>8</v>
      </c>
      <c r="H322" s="3">
        <f ca="1">VLOOKUP($B322&amp;$C322,data!$A:$U,18,FALSE)</f>
        <v>0</v>
      </c>
      <c r="I322" s="3">
        <f ca="1">VLOOKUP($B322&amp;$C322,data!$A:$U,19,FALSE)</f>
        <v>8</v>
      </c>
      <c r="J322" s="3">
        <f ca="1">VLOOKUP($B322&amp;$C322,data!$A:$U,14,FALSE)</f>
        <v>10</v>
      </c>
      <c r="K322" s="3">
        <f ca="1">VLOOKUP($B322&amp;$C322,data!$A:$U,15,FALSE)</f>
        <v>0</v>
      </c>
      <c r="L322" s="3">
        <f ca="1">VLOOKUP($B322&amp;$C322,data!$A:$U,16,FALSE)</f>
        <v>0</v>
      </c>
      <c r="M322" s="3">
        <f ca="1">VLOOKUP($B322&amp;$C322,data!$A:$U,8,FALSE)</f>
        <v>7</v>
      </c>
      <c r="N322" s="3">
        <f ca="1">VLOOKUP($B322&amp;$C322,data!$A:$U,9,FALSE)</f>
        <v>0</v>
      </c>
      <c r="O322" s="3">
        <f ca="1">VLOOKUP($B322&amp;$C322,data!$A:$U,10,FALSE)</f>
        <v>7</v>
      </c>
      <c r="P322" s="3">
        <f ca="1">VLOOKUP($B322&amp;$C322,data!$A:$U,11,FALSE)</f>
        <v>18</v>
      </c>
      <c r="Q322" s="3">
        <f ca="1">VLOOKUP($B322&amp;$C322,data!$A:$U,12,FALSE)</f>
        <v>17</v>
      </c>
      <c r="R322" s="3">
        <f ca="1">VLOOKUP($B322&amp;$C322,data!$A:$U,13,FALSE)</f>
        <v>1</v>
      </c>
      <c r="S322" s="3">
        <f ca="1">VLOOKUP($B322&amp;$C322,data!$A:$U,5,FALSE)</f>
        <v>25</v>
      </c>
      <c r="T322" s="3">
        <f ca="1">VLOOKUP($B322&amp;$C322,data!$A:$U,6,FALSE)</f>
        <v>17</v>
      </c>
      <c r="U322" s="3">
        <f ca="1">VLOOKUP($B322&amp;$C322,data!$A:$U,7,FALSE)</f>
        <v>8</v>
      </c>
      <c r="V322" s="18" t="s">
        <v>993</v>
      </c>
      <c r="W322" s="17" t="s">
        <v>994</v>
      </c>
      <c r="X322" s="9"/>
      <c r="Y322" s="4" t="s">
        <v>995</v>
      </c>
      <c r="Z322" s="13">
        <f t="shared" ca="1" si="1"/>
        <v>0.73903796303056879</v>
      </c>
    </row>
    <row r="323" spans="1:26" ht="13" x14ac:dyDescent="0.15">
      <c r="A323" s="3">
        <v>322</v>
      </c>
      <c r="B323" s="3" t="s">
        <v>5</v>
      </c>
      <c r="C323" s="3" t="s">
        <v>996</v>
      </c>
      <c r="D323" s="10">
        <f t="shared" ca="1" si="0"/>
        <v>1</v>
      </c>
      <c r="E323" s="5">
        <f ca="1">VLOOKUP($B323&amp;$C323,data!$A:$U,20,FALSE)</f>
        <v>44305.443611111099</v>
      </c>
      <c r="F323" s="3" t="str">
        <f ca="1">VLOOKUP($B323&amp;$C323,data!$A:$U,21,FALSE)</f>
        <v>19.04.2021</v>
      </c>
      <c r="G323" s="3">
        <f ca="1">VLOOKUP($B323&amp;$C323,data!$A:$U,17,FALSE)</f>
        <v>1</v>
      </c>
      <c r="H323" s="3">
        <f ca="1">VLOOKUP($B323&amp;$C323,data!$A:$U,18,FALSE)</f>
        <v>0</v>
      </c>
      <c r="I323" s="3">
        <f ca="1">VLOOKUP($B323&amp;$C323,data!$A:$U,19,FALSE)</f>
        <v>1</v>
      </c>
      <c r="J323" s="3">
        <f ca="1">VLOOKUP($B323&amp;$C323,data!$A:$U,14,FALSE)</f>
        <v>3</v>
      </c>
      <c r="K323" s="3">
        <f ca="1">VLOOKUP($B323&amp;$C323,data!$A:$U,15,FALSE)</f>
        <v>0</v>
      </c>
      <c r="L323" s="3">
        <f ca="1">VLOOKUP($B323&amp;$C323,data!$A:$U,16,FALSE)</f>
        <v>3</v>
      </c>
      <c r="M323" s="3">
        <f ca="1">VLOOKUP($B323&amp;$C323,data!$A:$U,8,FALSE)</f>
        <v>27</v>
      </c>
      <c r="N323" s="3">
        <f ca="1">VLOOKUP($B323&amp;$C323,data!$A:$U,9,FALSE)</f>
        <v>0</v>
      </c>
      <c r="O323" s="3">
        <f ca="1">VLOOKUP($B323&amp;$C323,data!$A:$U,10,FALSE)</f>
        <v>27</v>
      </c>
      <c r="P323" s="3">
        <f ca="1">VLOOKUP($B323&amp;$C323,data!$A:$U,11,FALSE)</f>
        <v>0</v>
      </c>
      <c r="Q323" s="3">
        <f ca="1">VLOOKUP($B323&amp;$C323,data!$A:$U,12,FALSE)</f>
        <v>0</v>
      </c>
      <c r="R323" s="3">
        <f ca="1">VLOOKUP($B323&amp;$C323,data!$A:$U,13,FALSE)</f>
        <v>0</v>
      </c>
      <c r="S323" s="3">
        <f ca="1">VLOOKUP($B323&amp;$C323,data!$A:$U,5,FALSE)</f>
        <v>30</v>
      </c>
      <c r="T323" s="3">
        <f ca="1">VLOOKUP($B323&amp;$C323,data!$A:$U,6,FALSE)</f>
        <v>0</v>
      </c>
      <c r="U323" s="3">
        <f ca="1">VLOOKUP($B323&amp;$C323,data!$A:$U,7,FALSE)</f>
        <v>30</v>
      </c>
      <c r="V323" s="23" t="s">
        <v>997</v>
      </c>
      <c r="W323" s="17" t="s">
        <v>998</v>
      </c>
      <c r="X323" s="12" t="s">
        <v>999</v>
      </c>
      <c r="Y323" s="4" t="s">
        <v>1000</v>
      </c>
      <c r="Z323" s="13">
        <f t="shared" ca="1" si="1"/>
        <v>0.64329722223192221</v>
      </c>
    </row>
    <row r="324" spans="1:26" ht="13" x14ac:dyDescent="0.15">
      <c r="A324" s="3">
        <v>323</v>
      </c>
      <c r="B324" s="3" t="s">
        <v>11</v>
      </c>
      <c r="C324" s="3" t="s">
        <v>1001</v>
      </c>
      <c r="D324" s="10">
        <f t="shared" ca="1" si="0"/>
        <v>0.90909090909090906</v>
      </c>
      <c r="E324" s="5">
        <f ca="1">VLOOKUP($B324&amp;$C324,data!$A:$U,20,FALSE)</f>
        <v>44305.317905092503</v>
      </c>
      <c r="F324" s="3" t="str">
        <f ca="1">VLOOKUP($B324&amp;$C324,data!$A:$U,21,FALSE)</f>
        <v>.</v>
      </c>
      <c r="G324" s="3">
        <f ca="1">VLOOKUP($B324&amp;$C324,data!$A:$U,17,FALSE)</f>
        <v>2</v>
      </c>
      <c r="H324" s="3">
        <f ca="1">VLOOKUP($B324&amp;$C324,data!$A:$U,18,FALSE)</f>
        <v>0</v>
      </c>
      <c r="I324" s="3">
        <f ca="1">VLOOKUP($B324&amp;$C324,data!$A:$U,19,FALSE)</f>
        <v>2</v>
      </c>
      <c r="J324" s="3">
        <f ca="1">VLOOKUP($B324&amp;$C324,data!$A:$U,14,FALSE)</f>
        <v>5</v>
      </c>
      <c r="K324" s="3">
        <f ca="1">VLOOKUP($B324&amp;$C324,data!$A:$U,15,FALSE)</f>
        <v>0</v>
      </c>
      <c r="L324" s="3">
        <f ca="1">VLOOKUP($B324&amp;$C324,data!$A:$U,16,FALSE)</f>
        <v>0</v>
      </c>
      <c r="M324" s="3">
        <f ca="1">VLOOKUP($B324&amp;$C324,data!$A:$U,8,FALSE)</f>
        <v>25</v>
      </c>
      <c r="N324" s="3">
        <f ca="1">VLOOKUP($B324&amp;$C324,data!$A:$U,9,FALSE)</f>
        <v>0</v>
      </c>
      <c r="O324" s="3">
        <f ca="1">VLOOKUP($B324&amp;$C324,data!$A:$U,10,FALSE)</f>
        <v>25</v>
      </c>
      <c r="P324" s="3">
        <f ca="1">VLOOKUP($B324&amp;$C324,data!$A:$U,11,FALSE)</f>
        <v>0</v>
      </c>
      <c r="Q324" s="3">
        <f ca="1">VLOOKUP($B324&amp;$C324,data!$A:$U,12,FALSE)</f>
        <v>0</v>
      </c>
      <c r="R324" s="3">
        <f ca="1">VLOOKUP($B324&amp;$C324,data!$A:$U,13,FALSE)</f>
        <v>0</v>
      </c>
      <c r="S324" s="3">
        <f ca="1">VLOOKUP($B324&amp;$C324,data!$A:$U,5,FALSE)</f>
        <v>25</v>
      </c>
      <c r="T324" s="3">
        <f ca="1">VLOOKUP($B324&amp;$C324,data!$A:$U,6,FALSE)</f>
        <v>0</v>
      </c>
      <c r="U324" s="3">
        <f ca="1">VLOOKUP($B324&amp;$C324,data!$A:$U,7,FALSE)</f>
        <v>25</v>
      </c>
      <c r="V324" s="18" t="s">
        <v>1002</v>
      </c>
      <c r="W324" s="17" t="s">
        <v>1003</v>
      </c>
      <c r="X324" s="17" t="s">
        <v>1004</v>
      </c>
      <c r="Y324" s="4" t="s">
        <v>1005</v>
      </c>
      <c r="Z324" s="13">
        <f t="shared" ca="1" si="1"/>
        <v>0.76900324082816951</v>
      </c>
    </row>
    <row r="325" spans="1:26" ht="13" x14ac:dyDescent="0.15">
      <c r="A325" s="3">
        <v>324</v>
      </c>
      <c r="B325" s="3" t="s">
        <v>11</v>
      </c>
      <c r="C325" s="3" t="s">
        <v>1006</v>
      </c>
      <c r="D325" s="10">
        <f t="shared" ca="1" si="0"/>
        <v>0.98529411764705888</v>
      </c>
      <c r="E325" s="5">
        <f ca="1">VLOOKUP($B325&amp;$C325,data!$A:$U,20,FALSE)</f>
        <v>44305.3176157407</v>
      </c>
      <c r="F325" s="3" t="str">
        <f ca="1">VLOOKUP($B325&amp;$C325,data!$A:$U,21,FALSE)</f>
        <v>.</v>
      </c>
      <c r="G325" s="3">
        <f ca="1">VLOOKUP($B325&amp;$C325,data!$A:$U,17,FALSE)</f>
        <v>4</v>
      </c>
      <c r="H325" s="3">
        <f ca="1">VLOOKUP($B325&amp;$C325,data!$A:$U,18,FALSE)</f>
        <v>0</v>
      </c>
      <c r="I325" s="3">
        <f ca="1">VLOOKUP($B325&amp;$C325,data!$A:$U,19,FALSE)</f>
        <v>4</v>
      </c>
      <c r="J325" s="3">
        <f ca="1">VLOOKUP($B325&amp;$C325,data!$A:$U,14,FALSE)</f>
        <v>6</v>
      </c>
      <c r="K325" s="3">
        <f ca="1">VLOOKUP($B325&amp;$C325,data!$A:$U,15,FALSE)</f>
        <v>0</v>
      </c>
      <c r="L325" s="3">
        <f ca="1">VLOOKUP($B325&amp;$C325,data!$A:$U,16,FALSE)</f>
        <v>6</v>
      </c>
      <c r="M325" s="3">
        <f ca="1">VLOOKUP($B325&amp;$C325,data!$A:$U,8,FALSE)</f>
        <v>31</v>
      </c>
      <c r="N325" s="3">
        <f ca="1">VLOOKUP($B325&amp;$C325,data!$A:$U,9,FALSE)</f>
        <v>0</v>
      </c>
      <c r="O325" s="3">
        <f ca="1">VLOOKUP($B325&amp;$C325,data!$A:$U,10,FALSE)</f>
        <v>31</v>
      </c>
      <c r="P325" s="3">
        <f ca="1">VLOOKUP($B325&amp;$C325,data!$A:$U,11,FALSE)</f>
        <v>31</v>
      </c>
      <c r="Q325" s="3">
        <f ca="1">VLOOKUP($B325&amp;$C325,data!$A:$U,12,FALSE)</f>
        <v>1</v>
      </c>
      <c r="R325" s="3">
        <f ca="1">VLOOKUP($B325&amp;$C325,data!$A:$U,13,FALSE)</f>
        <v>30</v>
      </c>
      <c r="S325" s="3">
        <f ca="1">VLOOKUP($B325&amp;$C325,data!$A:$U,5,FALSE)</f>
        <v>68</v>
      </c>
      <c r="T325" s="3">
        <f ca="1">VLOOKUP($B325&amp;$C325,data!$A:$U,6,FALSE)</f>
        <v>1</v>
      </c>
      <c r="U325" s="3">
        <f ca="1">VLOOKUP($B325&amp;$C325,data!$A:$U,7,FALSE)</f>
        <v>67</v>
      </c>
      <c r="V325" s="18" t="s">
        <v>1007</v>
      </c>
      <c r="W325" s="17" t="s">
        <v>1008</v>
      </c>
      <c r="X325" s="9"/>
      <c r="Y325" s="4" t="s">
        <v>1009</v>
      </c>
      <c r="Z325" s="13">
        <f t="shared" ca="1" si="1"/>
        <v>0.7692925926312455</v>
      </c>
    </row>
    <row r="326" spans="1:26" ht="13" x14ac:dyDescent="0.15">
      <c r="A326" s="3">
        <v>325</v>
      </c>
      <c r="B326" s="3" t="s">
        <v>11</v>
      </c>
      <c r="C326" s="3" t="s">
        <v>1010</v>
      </c>
      <c r="D326" s="10">
        <f t="shared" ca="1" si="0"/>
        <v>0.96666666666666667</v>
      </c>
      <c r="E326" s="5">
        <f ca="1">VLOOKUP($B326&amp;$C326,data!$A:$U,20,FALSE)</f>
        <v>44305.318263888803</v>
      </c>
      <c r="F326" s="3">
        <f ca="1">VLOOKUP($B326&amp;$C326,data!$A:$U,21,FALSE)</f>
        <v>0</v>
      </c>
      <c r="G326" s="3">
        <f ca="1">VLOOKUP($B326&amp;$C326,data!$A:$U,17,FALSE)</f>
        <v>2</v>
      </c>
      <c r="H326" s="3">
        <f ca="1">VLOOKUP($B326&amp;$C326,data!$A:$U,18,FALSE)</f>
        <v>0</v>
      </c>
      <c r="I326" s="3">
        <f ca="1">VLOOKUP($B326&amp;$C326,data!$A:$U,19,FALSE)</f>
        <v>2</v>
      </c>
      <c r="J326" s="3">
        <f ca="1">VLOOKUP($B326&amp;$C326,data!$A:$U,14,FALSE)</f>
        <v>10</v>
      </c>
      <c r="K326" s="3">
        <f ca="1">VLOOKUP($B326&amp;$C326,data!$A:$U,15,FALSE)</f>
        <v>0</v>
      </c>
      <c r="L326" s="3">
        <f ca="1">VLOOKUP($B326&amp;$C326,data!$A:$U,16,FALSE)</f>
        <v>10</v>
      </c>
      <c r="M326" s="3">
        <f ca="1">VLOOKUP($B326&amp;$C326,data!$A:$U,8,FALSE)</f>
        <v>13</v>
      </c>
      <c r="N326" s="3">
        <f ca="1">VLOOKUP($B326&amp;$C326,data!$A:$U,9,FALSE)</f>
        <v>0</v>
      </c>
      <c r="O326" s="3">
        <f ca="1">VLOOKUP($B326&amp;$C326,data!$A:$U,10,FALSE)</f>
        <v>13</v>
      </c>
      <c r="P326" s="3">
        <f ca="1">VLOOKUP($B326&amp;$C326,data!$A:$U,11,FALSE)</f>
        <v>7</v>
      </c>
      <c r="Q326" s="3">
        <f ca="1">VLOOKUP($B326&amp;$C326,data!$A:$U,12,FALSE)</f>
        <v>0</v>
      </c>
      <c r="R326" s="3">
        <f ca="1">VLOOKUP($B326&amp;$C326,data!$A:$U,13,FALSE)</f>
        <v>6</v>
      </c>
      <c r="S326" s="3">
        <f ca="1">VLOOKUP($B326&amp;$C326,data!$A:$U,5,FALSE)</f>
        <v>30</v>
      </c>
      <c r="T326" s="3">
        <f ca="1">VLOOKUP($B326&amp;$C326,data!$A:$U,6,FALSE)</f>
        <v>1</v>
      </c>
      <c r="U326" s="3">
        <f ca="1">VLOOKUP($B326&amp;$C326,data!$A:$U,7,FALSE)</f>
        <v>29</v>
      </c>
      <c r="V326" s="18">
        <v>919488106600</v>
      </c>
      <c r="W326" s="17" t="s">
        <v>1011</v>
      </c>
      <c r="X326" s="9"/>
      <c r="Y326" s="4" t="s">
        <v>1012</v>
      </c>
      <c r="Z326" s="13">
        <f t="shared" ca="1" si="1"/>
        <v>0.76864444452803582</v>
      </c>
    </row>
    <row r="327" spans="1:26" ht="13" x14ac:dyDescent="0.15">
      <c r="A327" s="3">
        <v>326</v>
      </c>
      <c r="B327" s="3" t="s">
        <v>24</v>
      </c>
      <c r="C327" s="3" t="s">
        <v>1013</v>
      </c>
      <c r="D327" s="10">
        <f t="shared" ca="1" si="0"/>
        <v>0.8571428571428571</v>
      </c>
      <c r="E327" s="5">
        <f ca="1">VLOOKUP($B327&amp;$C327,data!$A:$U,20,FALSE)</f>
        <v>44305.249826388797</v>
      </c>
      <c r="F327" s="3" t="str">
        <f ca="1">VLOOKUP($B327&amp;$C327,data!$A:$U,21,FALSE)</f>
        <v>patients all are stable</v>
      </c>
      <c r="G327" s="3">
        <f ca="1">VLOOKUP($B327&amp;$C327,data!$A:$U,17,FALSE)</f>
        <v>2</v>
      </c>
      <c r="H327" s="3">
        <f ca="1">VLOOKUP($B327&amp;$C327,data!$A:$U,18,FALSE)</f>
        <v>0</v>
      </c>
      <c r="I327" s="3">
        <f ca="1">VLOOKUP($B327&amp;$C327,data!$A:$U,19,FALSE)</f>
        <v>2</v>
      </c>
      <c r="J327" s="3">
        <f ca="1">VLOOKUP($B327&amp;$C327,data!$A:$U,14,FALSE)</f>
        <v>10</v>
      </c>
      <c r="K327" s="3">
        <f ca="1">VLOOKUP($B327&amp;$C327,data!$A:$U,15,FALSE)</f>
        <v>0</v>
      </c>
      <c r="L327" s="3">
        <f ca="1">VLOOKUP($B327&amp;$C327,data!$A:$U,16,FALSE)</f>
        <v>10</v>
      </c>
      <c r="M327" s="3">
        <f ca="1">VLOOKUP($B327&amp;$C327,data!$A:$U,8,FALSE)</f>
        <v>20</v>
      </c>
      <c r="N327" s="3">
        <f ca="1">VLOOKUP($B327&amp;$C327,data!$A:$U,9,FALSE)</f>
        <v>1</v>
      </c>
      <c r="O327" s="3">
        <f ca="1">VLOOKUP($B327&amp;$C327,data!$A:$U,10,FALSE)</f>
        <v>18</v>
      </c>
      <c r="P327" s="3">
        <f ca="1">VLOOKUP($B327&amp;$C327,data!$A:$U,11,FALSE)</f>
        <v>3</v>
      </c>
      <c r="Q327" s="3">
        <f ca="1">VLOOKUP($B327&amp;$C327,data!$A:$U,12,FALSE)</f>
        <v>0</v>
      </c>
      <c r="R327" s="3">
        <f ca="1">VLOOKUP($B327&amp;$C327,data!$A:$U,13,FALSE)</f>
        <v>0</v>
      </c>
      <c r="S327" s="3">
        <f ca="1">VLOOKUP($B327&amp;$C327,data!$A:$U,5,FALSE)</f>
        <v>30</v>
      </c>
      <c r="T327" s="3">
        <f ca="1">VLOOKUP($B327&amp;$C327,data!$A:$U,6,FALSE)</f>
        <v>4</v>
      </c>
      <c r="U327" s="3">
        <f ca="1">VLOOKUP($B327&amp;$C327,data!$A:$U,7,FALSE)</f>
        <v>26</v>
      </c>
      <c r="V327" s="18" t="s">
        <v>1014</v>
      </c>
      <c r="W327" s="17" t="s">
        <v>1015</v>
      </c>
      <c r="X327" s="25"/>
      <c r="Y327" s="4" t="s">
        <v>1016</v>
      </c>
      <c r="Z327" s="13">
        <f t="shared" ca="1" si="1"/>
        <v>0.83708194453356555</v>
      </c>
    </row>
    <row r="328" spans="1:26" ht="13" x14ac:dyDescent="0.15">
      <c r="A328" s="3">
        <v>327</v>
      </c>
      <c r="B328" s="3" t="s">
        <v>24</v>
      </c>
      <c r="C328" s="3" t="s">
        <v>1017</v>
      </c>
      <c r="D328" s="10">
        <f t="shared" ca="1" si="0"/>
        <v>0.42666666666666669</v>
      </c>
      <c r="E328" s="5">
        <f ca="1">VLOOKUP($B328&amp;$C328,data!$A:$U,20,FALSE)</f>
        <v>44305.3353935185</v>
      </c>
      <c r="F328" s="3" t="str">
        <f ca="1">VLOOKUP($B328&amp;$C328,data!$A:$U,21,FALSE)</f>
        <v>Updated 19.04.2021</v>
      </c>
      <c r="G328" s="3">
        <f ca="1">VLOOKUP($B328&amp;$C328,data!$A:$U,17,FALSE)</f>
        <v>2</v>
      </c>
      <c r="H328" s="3">
        <f ca="1">VLOOKUP($B328&amp;$C328,data!$A:$U,18,FALSE)</f>
        <v>0</v>
      </c>
      <c r="I328" s="3">
        <f ca="1">VLOOKUP($B328&amp;$C328,data!$A:$U,19,FALSE)</f>
        <v>2</v>
      </c>
      <c r="J328" s="3">
        <f ca="1">VLOOKUP($B328&amp;$C328,data!$A:$U,14,FALSE)</f>
        <v>5</v>
      </c>
      <c r="K328" s="3">
        <f ca="1">VLOOKUP($B328&amp;$C328,data!$A:$U,15,FALSE)</f>
        <v>0</v>
      </c>
      <c r="L328" s="3">
        <f ca="1">VLOOKUP($B328&amp;$C328,data!$A:$U,16,FALSE)</f>
        <v>5</v>
      </c>
      <c r="M328" s="3">
        <f ca="1">VLOOKUP($B328&amp;$C328,data!$A:$U,8,FALSE)</f>
        <v>15</v>
      </c>
      <c r="N328" s="3">
        <f ca="1">VLOOKUP($B328&amp;$C328,data!$A:$U,9,FALSE)</f>
        <v>8</v>
      </c>
      <c r="O328" s="3">
        <f ca="1">VLOOKUP($B328&amp;$C328,data!$A:$U,10,FALSE)</f>
        <v>7</v>
      </c>
      <c r="P328" s="3">
        <f ca="1">VLOOKUP($B328&amp;$C328,data!$A:$U,11,FALSE)</f>
        <v>20</v>
      </c>
      <c r="Q328" s="3">
        <f ca="1">VLOOKUP($B328&amp;$C328,data!$A:$U,12,FALSE)</f>
        <v>15</v>
      </c>
      <c r="R328" s="3">
        <f ca="1">VLOOKUP($B328&amp;$C328,data!$A:$U,13,FALSE)</f>
        <v>5</v>
      </c>
      <c r="S328" s="3">
        <f ca="1">VLOOKUP($B328&amp;$C328,data!$A:$U,5,FALSE)</f>
        <v>35</v>
      </c>
      <c r="T328" s="3">
        <f ca="1">VLOOKUP($B328&amp;$C328,data!$A:$U,6,FALSE)</f>
        <v>23</v>
      </c>
      <c r="U328" s="3">
        <f ca="1">VLOOKUP($B328&amp;$C328,data!$A:$U,7,FALSE)</f>
        <v>15</v>
      </c>
      <c r="V328" s="18" t="s">
        <v>1018</v>
      </c>
      <c r="W328" s="17" t="s">
        <v>1019</v>
      </c>
      <c r="X328" s="17" t="s">
        <v>1020</v>
      </c>
      <c r="Y328" s="4" t="s">
        <v>1021</v>
      </c>
      <c r="Z328" s="13">
        <f t="shared" ca="1" si="1"/>
        <v>0.75151481483044336</v>
      </c>
    </row>
    <row r="329" spans="1:26" ht="13" x14ac:dyDescent="0.15">
      <c r="A329" s="3">
        <v>328</v>
      </c>
      <c r="B329" s="3" t="s">
        <v>5</v>
      </c>
      <c r="C329" s="3" t="s">
        <v>1022</v>
      </c>
      <c r="D329" s="10">
        <f t="shared" ca="1" si="0"/>
        <v>1</v>
      </c>
      <c r="E329" s="5">
        <f ca="1">VLOOKUP($B329&amp;$C329,data!$A:$U,20,FALSE)</f>
        <v>44175.381087962902</v>
      </c>
      <c r="F329" s="3" t="str">
        <f ca="1">VLOOKUP($B329&amp;$C329,data!$A:$U,21,FALSE)</f>
        <v>Report Submitted 10.12.2020</v>
      </c>
      <c r="G329" s="3">
        <f ca="1">VLOOKUP($B329&amp;$C329,data!$A:$U,17,FALSE)</f>
        <v>0</v>
      </c>
      <c r="H329" s="3">
        <f ca="1">VLOOKUP($B329&amp;$C329,data!$A:$U,18,FALSE)</f>
        <v>0</v>
      </c>
      <c r="I329" s="3">
        <f ca="1">VLOOKUP($B329&amp;$C329,data!$A:$U,19,FALSE)</f>
        <v>0</v>
      </c>
      <c r="J329" s="3">
        <f ca="1">VLOOKUP($B329&amp;$C329,data!$A:$U,14,FALSE)</f>
        <v>7</v>
      </c>
      <c r="K329" s="3">
        <f ca="1">VLOOKUP($B329&amp;$C329,data!$A:$U,15,FALSE)</f>
        <v>0</v>
      </c>
      <c r="L329" s="3">
        <f ca="1">VLOOKUP($B329&amp;$C329,data!$A:$U,16,FALSE)</f>
        <v>7</v>
      </c>
      <c r="M329" s="3">
        <f ca="1">VLOOKUP($B329&amp;$C329,data!$A:$U,8,FALSE)</f>
        <v>37</v>
      </c>
      <c r="N329" s="3">
        <f ca="1">VLOOKUP($B329&amp;$C329,data!$A:$U,9,FALSE)</f>
        <v>0</v>
      </c>
      <c r="O329" s="3">
        <f ca="1">VLOOKUP($B329&amp;$C329,data!$A:$U,10,FALSE)</f>
        <v>37</v>
      </c>
      <c r="P329" s="3">
        <f ca="1">VLOOKUP($B329&amp;$C329,data!$A:$U,11,FALSE)</f>
        <v>0</v>
      </c>
      <c r="Q329" s="3">
        <f ca="1">VLOOKUP($B329&amp;$C329,data!$A:$U,12,FALSE)</f>
        <v>0</v>
      </c>
      <c r="R329" s="3">
        <f ca="1">VLOOKUP($B329&amp;$C329,data!$A:$U,13,FALSE)</f>
        <v>0</v>
      </c>
      <c r="S329" s="3">
        <f ca="1">VLOOKUP($B329&amp;$C329,data!$A:$U,5,FALSE)</f>
        <v>37</v>
      </c>
      <c r="T329" s="3">
        <f ca="1">VLOOKUP($B329&amp;$C329,data!$A:$U,6,FALSE)</f>
        <v>0</v>
      </c>
      <c r="U329" s="3">
        <f ca="1">VLOOKUP($B329&amp;$C329,data!$A:$U,7,FALSE)</f>
        <v>37</v>
      </c>
      <c r="V329" s="16"/>
      <c r="W329" s="9"/>
      <c r="X329" s="9"/>
      <c r="Y329" s="3"/>
      <c r="Z329" s="13">
        <f t="shared" ca="1" si="1"/>
        <v>130.70582048617507</v>
      </c>
    </row>
    <row r="330" spans="1:26" ht="13" x14ac:dyDescent="0.15">
      <c r="A330" s="3">
        <v>329</v>
      </c>
      <c r="B330" s="3" t="s">
        <v>5</v>
      </c>
      <c r="C330" s="3" t="s">
        <v>1023</v>
      </c>
      <c r="D330" s="10">
        <f t="shared" ca="1" si="0"/>
        <v>5.2631578947368418E-2</v>
      </c>
      <c r="E330" s="5">
        <f ca="1">VLOOKUP($B330&amp;$C330,data!$A:$U,20,FALSE)</f>
        <v>44305.432141203702</v>
      </c>
      <c r="F330" s="3" t="str">
        <f ca="1">VLOOKUP($B330&amp;$C330,data!$A:$U,21,FALSE)</f>
        <v>CSR COVID CARE CENTER</v>
      </c>
      <c r="G330" s="3">
        <f ca="1">VLOOKUP($B330&amp;$C330,data!$A:$U,17,FALSE)</f>
        <v>1</v>
      </c>
      <c r="H330" s="3">
        <f ca="1">VLOOKUP($B330&amp;$C330,data!$A:$U,18,FALSE)</f>
        <v>0</v>
      </c>
      <c r="I330" s="3">
        <f ca="1">VLOOKUP($B330&amp;$C330,data!$A:$U,19,FALSE)</f>
        <v>1</v>
      </c>
      <c r="J330" s="3">
        <f ca="1">VLOOKUP($B330&amp;$C330,data!$A:$U,14,FALSE)</f>
        <v>1</v>
      </c>
      <c r="K330" s="3">
        <f ca="1">VLOOKUP($B330&amp;$C330,data!$A:$U,15,FALSE)</f>
        <v>0</v>
      </c>
      <c r="L330" s="3">
        <f ca="1">VLOOKUP($B330&amp;$C330,data!$A:$U,16,FALSE)</f>
        <v>1</v>
      </c>
      <c r="M330" s="3">
        <f ca="1">VLOOKUP($B330&amp;$C330,data!$A:$U,8,FALSE)</f>
        <v>14</v>
      </c>
      <c r="N330" s="3">
        <f ca="1">VLOOKUP($B330&amp;$C330,data!$A:$U,9,FALSE)</f>
        <v>13</v>
      </c>
      <c r="O330" s="3">
        <f ca="1">VLOOKUP($B330&amp;$C330,data!$A:$U,10,FALSE)</f>
        <v>1</v>
      </c>
      <c r="P330" s="3">
        <f ca="1">VLOOKUP($B330&amp;$C330,data!$A:$U,11,FALSE)</f>
        <v>14</v>
      </c>
      <c r="Q330" s="3">
        <f ca="1">VLOOKUP($B330&amp;$C330,data!$A:$U,12,FALSE)</f>
        <v>14</v>
      </c>
      <c r="R330" s="3">
        <f ca="1">VLOOKUP($B330&amp;$C330,data!$A:$U,13,FALSE)</f>
        <v>0</v>
      </c>
      <c r="S330" s="3">
        <f ca="1">VLOOKUP($B330&amp;$C330,data!$A:$U,5,FALSE)</f>
        <v>28</v>
      </c>
      <c r="T330" s="3">
        <f ca="1">VLOOKUP($B330&amp;$C330,data!$A:$U,6,FALSE)</f>
        <v>27</v>
      </c>
      <c r="U330" s="3">
        <f ca="1">VLOOKUP($B330&amp;$C330,data!$A:$U,7,FALSE)</f>
        <v>1</v>
      </c>
      <c r="V330" s="18" t="s">
        <v>1024</v>
      </c>
      <c r="W330" s="17" t="s">
        <v>1025</v>
      </c>
      <c r="X330" s="9"/>
      <c r="Y330" s="4" t="s">
        <v>1026</v>
      </c>
      <c r="Z330" s="13">
        <f t="shared" ca="1" si="1"/>
        <v>0.6547671296284534</v>
      </c>
    </row>
    <row r="331" spans="1:26" ht="13" x14ac:dyDescent="0.15">
      <c r="A331" s="3">
        <v>330</v>
      </c>
      <c r="B331" s="3" t="s">
        <v>5</v>
      </c>
      <c r="C331" s="3" t="s">
        <v>1027</v>
      </c>
      <c r="D331" s="10">
        <f t="shared" ca="1" si="0"/>
        <v>0.39545454545454545</v>
      </c>
      <c r="E331" s="5">
        <f ca="1">VLOOKUP($B331&amp;$C331,data!$A:$U,20,FALSE)</f>
        <v>44305.400636573999</v>
      </c>
      <c r="F331" s="3" t="str">
        <f ca="1">VLOOKUP($B331&amp;$C331,data!$A:$U,21,FALSE)</f>
        <v>19.04.2021</v>
      </c>
      <c r="G331" s="3">
        <f ca="1">VLOOKUP($B331&amp;$C331,data!$A:$U,17,FALSE)</f>
        <v>15</v>
      </c>
      <c r="H331" s="3">
        <f ca="1">VLOOKUP($B331&amp;$C331,data!$A:$U,18,FALSE)</f>
        <v>5</v>
      </c>
      <c r="I331" s="3">
        <f ca="1">VLOOKUP($B331&amp;$C331,data!$A:$U,19,FALSE)</f>
        <v>10</v>
      </c>
      <c r="J331" s="3">
        <f ca="1">VLOOKUP($B331&amp;$C331,data!$A:$U,14,FALSE)</f>
        <v>20</v>
      </c>
      <c r="K331" s="3">
        <f ca="1">VLOOKUP($B331&amp;$C331,data!$A:$U,15,FALSE)</f>
        <v>11</v>
      </c>
      <c r="L331" s="3">
        <f ca="1">VLOOKUP($B331&amp;$C331,data!$A:$U,16,FALSE)</f>
        <v>9</v>
      </c>
      <c r="M331" s="3">
        <f ca="1">VLOOKUP($B331&amp;$C331,data!$A:$U,8,FALSE)</f>
        <v>20</v>
      </c>
      <c r="N331" s="3">
        <f ca="1">VLOOKUP($B331&amp;$C331,data!$A:$U,9,FALSE)</f>
        <v>0</v>
      </c>
      <c r="O331" s="3">
        <f ca="1">VLOOKUP($B331&amp;$C331,data!$A:$U,10,FALSE)</f>
        <v>20</v>
      </c>
      <c r="P331" s="3">
        <f ca="1">VLOOKUP($B331&amp;$C331,data!$A:$U,11,FALSE)</f>
        <v>80</v>
      </c>
      <c r="Q331" s="3">
        <f ca="1">VLOOKUP($B331&amp;$C331,data!$A:$U,12,FALSE)</f>
        <v>61</v>
      </c>
      <c r="R331" s="3">
        <f ca="1">VLOOKUP($B331&amp;$C331,data!$A:$U,13,FALSE)</f>
        <v>19</v>
      </c>
      <c r="S331" s="3">
        <f ca="1">VLOOKUP($B331&amp;$C331,data!$A:$U,5,FALSE)</f>
        <v>100</v>
      </c>
      <c r="T331" s="3">
        <f ca="1">VLOOKUP($B331&amp;$C331,data!$A:$U,6,FALSE)</f>
        <v>61</v>
      </c>
      <c r="U331" s="3">
        <f ca="1">VLOOKUP($B331&amp;$C331,data!$A:$U,7,FALSE)</f>
        <v>39</v>
      </c>
      <c r="V331" s="11" t="s">
        <v>1028</v>
      </c>
      <c r="W331" s="17" t="s">
        <v>1029</v>
      </c>
      <c r="X331" s="17" t="s">
        <v>1030</v>
      </c>
      <c r="Y331" s="4" t="s">
        <v>1031</v>
      </c>
      <c r="Z331" s="13">
        <f t="shared" ca="1" si="1"/>
        <v>0.68627175933215767</v>
      </c>
    </row>
    <row r="332" spans="1:26" ht="13" x14ac:dyDescent="0.15">
      <c r="A332" s="3">
        <v>331</v>
      </c>
      <c r="B332" s="3" t="s">
        <v>5</v>
      </c>
      <c r="C332" s="3" t="s">
        <v>1032</v>
      </c>
      <c r="D332" s="10">
        <f t="shared" ca="1" si="0"/>
        <v>7.8125E-2</v>
      </c>
      <c r="E332" s="5">
        <f ca="1">VLOOKUP($B332&amp;$C332,data!$A:$U,20,FALSE)</f>
        <v>44305.393807870299</v>
      </c>
      <c r="F332" s="3" t="str">
        <f ca="1">VLOOKUP($B332&amp;$C332,data!$A:$U,21,FALSE)</f>
        <v>25 with O2 3 in ICU</v>
      </c>
      <c r="G332" s="3">
        <f ca="1">VLOOKUP($B332&amp;$C332,data!$A:$U,17,FALSE)</f>
        <v>3</v>
      </c>
      <c r="H332" s="3">
        <f ca="1">VLOOKUP($B332&amp;$C332,data!$A:$U,18,FALSE)</f>
        <v>0</v>
      </c>
      <c r="I332" s="3">
        <f ca="1">VLOOKUP($B332&amp;$C332,data!$A:$U,19,FALSE)</f>
        <v>3</v>
      </c>
      <c r="J332" s="3">
        <f ca="1">VLOOKUP($B332&amp;$C332,data!$A:$U,14,FALSE)</f>
        <v>4</v>
      </c>
      <c r="K332" s="3">
        <f ca="1">VLOOKUP($B332&amp;$C332,data!$A:$U,15,FALSE)</f>
        <v>3</v>
      </c>
      <c r="L332" s="3">
        <f ca="1">VLOOKUP($B332&amp;$C332,data!$A:$U,16,FALSE)</f>
        <v>1</v>
      </c>
      <c r="M332" s="3">
        <f ca="1">VLOOKUP($B332&amp;$C332,data!$A:$U,8,FALSE)</f>
        <v>30</v>
      </c>
      <c r="N332" s="3">
        <f ca="1">VLOOKUP($B332&amp;$C332,data!$A:$U,9,FALSE)</f>
        <v>28</v>
      </c>
      <c r="O332" s="3">
        <f ca="1">VLOOKUP($B332&amp;$C332,data!$A:$U,10,FALSE)</f>
        <v>2</v>
      </c>
      <c r="P332" s="3">
        <f ca="1">VLOOKUP($B332&amp;$C332,data!$A:$U,11,FALSE)</f>
        <v>0</v>
      </c>
      <c r="Q332" s="3">
        <f ca="1">VLOOKUP($B332&amp;$C332,data!$A:$U,12,FALSE)</f>
        <v>0</v>
      </c>
      <c r="R332" s="3">
        <f ca="1">VLOOKUP($B332&amp;$C332,data!$A:$U,13,FALSE)</f>
        <v>0</v>
      </c>
      <c r="S332" s="3">
        <f ca="1">VLOOKUP($B332&amp;$C332,data!$A:$U,5,FALSE)</f>
        <v>30</v>
      </c>
      <c r="T332" s="3">
        <f ca="1">VLOOKUP($B332&amp;$C332,data!$A:$U,6,FALSE)</f>
        <v>28</v>
      </c>
      <c r="U332" s="3">
        <f ca="1">VLOOKUP($B332&amp;$C332,data!$A:$U,7,FALSE)</f>
        <v>2</v>
      </c>
      <c r="V332" s="18">
        <v>918300108108</v>
      </c>
      <c r="W332" s="12" t="s">
        <v>1033</v>
      </c>
      <c r="X332" s="12" t="s">
        <v>1034</v>
      </c>
      <c r="Y332" s="4" t="s">
        <v>1035</v>
      </c>
      <c r="Z332" s="13">
        <f t="shared" ca="1" si="1"/>
        <v>0.6931004630314419</v>
      </c>
    </row>
    <row r="333" spans="1:26" ht="13" x14ac:dyDescent="0.15">
      <c r="A333" s="3">
        <v>332</v>
      </c>
      <c r="B333" s="3" t="s">
        <v>5</v>
      </c>
      <c r="C333" s="3" t="s">
        <v>1036</v>
      </c>
      <c r="D333" s="10">
        <f t="shared" ca="1" si="0"/>
        <v>0.13901345291479822</v>
      </c>
      <c r="E333" s="5">
        <f ca="1">VLOOKUP($B333&amp;$C333,data!$A:$U,20,FALSE)</f>
        <v>44305.475995370303</v>
      </c>
      <c r="F333" s="3" t="str">
        <f ca="1">VLOOKUP($B333&amp;$C333,data!$A:$U,21,FALSE)</f>
        <v>KG Hospital Saravanampatti</v>
      </c>
      <c r="G333" s="3">
        <f ca="1">VLOOKUP($B333&amp;$C333,data!$A:$U,17,FALSE)</f>
        <v>3</v>
      </c>
      <c r="H333" s="3">
        <f ca="1">VLOOKUP($B333&amp;$C333,data!$A:$U,18,FALSE)</f>
        <v>0</v>
      </c>
      <c r="I333" s="3">
        <f ca="1">VLOOKUP($B333&amp;$C333,data!$A:$U,19,FALSE)</f>
        <v>3</v>
      </c>
      <c r="J333" s="3">
        <f ca="1">VLOOKUP($B333&amp;$C333,data!$A:$U,14,FALSE)</f>
        <v>3</v>
      </c>
      <c r="K333" s="3">
        <f ca="1">VLOOKUP($B333&amp;$C333,data!$A:$U,15,FALSE)</f>
        <v>0</v>
      </c>
      <c r="L333" s="3">
        <f ca="1">VLOOKUP($B333&amp;$C333,data!$A:$U,16,FALSE)</f>
        <v>3</v>
      </c>
      <c r="M333" s="3">
        <f ca="1">VLOOKUP($B333&amp;$C333,data!$A:$U,8,FALSE)</f>
        <v>110</v>
      </c>
      <c r="N333" s="3">
        <f ca="1">VLOOKUP($B333&amp;$C333,data!$A:$U,9,FALSE)</f>
        <v>106</v>
      </c>
      <c r="O333" s="3">
        <f ca="1">VLOOKUP($B333&amp;$C333,data!$A:$U,10,FALSE)</f>
        <v>14</v>
      </c>
      <c r="P333" s="3">
        <f ca="1">VLOOKUP($B333&amp;$C333,data!$A:$U,11,FALSE)</f>
        <v>0</v>
      </c>
      <c r="Q333" s="3">
        <f ca="1">VLOOKUP($B333&amp;$C333,data!$A:$U,12,FALSE)</f>
        <v>0</v>
      </c>
      <c r="R333" s="3">
        <f ca="1">VLOOKUP($B333&amp;$C333,data!$A:$U,13,FALSE)</f>
        <v>0</v>
      </c>
      <c r="S333" s="3">
        <f ca="1">VLOOKUP($B333&amp;$C333,data!$A:$U,5,FALSE)</f>
        <v>110</v>
      </c>
      <c r="T333" s="3">
        <f ca="1">VLOOKUP($B333&amp;$C333,data!$A:$U,6,FALSE)</f>
        <v>106</v>
      </c>
      <c r="U333" s="3">
        <f ca="1">VLOOKUP($B333&amp;$C333,data!$A:$U,7,FALSE)</f>
        <v>14</v>
      </c>
      <c r="V333" s="18" t="s">
        <v>1037</v>
      </c>
      <c r="W333" s="17" t="s">
        <v>1038</v>
      </c>
      <c r="X333" s="17" t="s">
        <v>1039</v>
      </c>
      <c r="Y333" s="4" t="s">
        <v>280</v>
      </c>
      <c r="Z333" s="13">
        <f t="shared" ca="1" si="1"/>
        <v>0.61091296302765841</v>
      </c>
    </row>
    <row r="334" spans="1:26" ht="13" x14ac:dyDescent="0.15">
      <c r="A334" s="3">
        <v>333</v>
      </c>
      <c r="B334" s="3" t="s">
        <v>5</v>
      </c>
      <c r="C334" s="3" t="s">
        <v>1040</v>
      </c>
      <c r="D334" s="10">
        <f t="shared" ca="1" si="0"/>
        <v>0.51219512195121952</v>
      </c>
      <c r="E334" s="5">
        <f ca="1">VLOOKUP($B334&amp;$C334,data!$A:$U,20,FALSE)</f>
        <v>44305.327106481403</v>
      </c>
      <c r="F334" s="3" t="str">
        <f ca="1">VLOOKUP($B334&amp;$C334,data!$A:$U,21,FALSE)</f>
        <v>19. 04. 2021 Updated</v>
      </c>
      <c r="G334" s="3">
        <f ca="1">VLOOKUP($B334&amp;$C334,data!$A:$U,17,FALSE)</f>
        <v>2</v>
      </c>
      <c r="H334" s="3">
        <f ca="1">VLOOKUP($B334&amp;$C334,data!$A:$U,18,FALSE)</f>
        <v>0</v>
      </c>
      <c r="I334" s="3">
        <f ca="1">VLOOKUP($B334&amp;$C334,data!$A:$U,19,FALSE)</f>
        <v>2</v>
      </c>
      <c r="J334" s="3">
        <f ca="1">VLOOKUP($B334&amp;$C334,data!$A:$U,14,FALSE)</f>
        <v>2</v>
      </c>
      <c r="K334" s="3">
        <f ca="1">VLOOKUP($B334&amp;$C334,data!$A:$U,15,FALSE)</f>
        <v>0</v>
      </c>
      <c r="L334" s="3">
        <f ca="1">VLOOKUP($B334&amp;$C334,data!$A:$U,16,FALSE)</f>
        <v>2</v>
      </c>
      <c r="M334" s="3">
        <f ca="1">VLOOKUP($B334&amp;$C334,data!$A:$U,8,FALSE)</f>
        <v>40</v>
      </c>
      <c r="N334" s="3">
        <f ca="1">VLOOKUP($B334&amp;$C334,data!$A:$U,9,FALSE)</f>
        <v>20</v>
      </c>
      <c r="O334" s="3">
        <f ca="1">VLOOKUP($B334&amp;$C334,data!$A:$U,10,FALSE)</f>
        <v>20</v>
      </c>
      <c r="P334" s="3">
        <f ca="1">VLOOKUP($B334&amp;$C334,data!$A:$U,11,FALSE)</f>
        <v>0</v>
      </c>
      <c r="Q334" s="3">
        <f ca="1">VLOOKUP($B334&amp;$C334,data!$A:$U,12,FALSE)</f>
        <v>0</v>
      </c>
      <c r="R334" s="3">
        <f ca="1">VLOOKUP($B334&amp;$C334,data!$A:$U,13,FALSE)</f>
        <v>0</v>
      </c>
      <c r="S334" s="3">
        <f ca="1">VLOOKUP($B334&amp;$C334,data!$A:$U,5,FALSE)</f>
        <v>40</v>
      </c>
      <c r="T334" s="3">
        <f ca="1">VLOOKUP($B334&amp;$C334,data!$A:$U,6,FALSE)</f>
        <v>20</v>
      </c>
      <c r="U334" s="3">
        <f ca="1">VLOOKUP($B334&amp;$C334,data!$A:$U,7,FALSE)</f>
        <v>20</v>
      </c>
      <c r="V334" s="16">
        <f>91-422-2435597 / 2435598</f>
        <v>-331.99999958942323</v>
      </c>
      <c r="W334" s="17" t="s">
        <v>1041</v>
      </c>
      <c r="X334" s="17" t="s">
        <v>1042</v>
      </c>
      <c r="Y334" s="4" t="s">
        <v>1043</v>
      </c>
      <c r="Z334" s="13">
        <f t="shared" ca="1" si="1"/>
        <v>0.7598018519274774</v>
      </c>
    </row>
    <row r="335" spans="1:26" ht="13" x14ac:dyDescent="0.15">
      <c r="A335" s="3">
        <v>334</v>
      </c>
      <c r="B335" s="3" t="s">
        <v>5</v>
      </c>
      <c r="C335" s="3" t="s">
        <v>1044</v>
      </c>
      <c r="D335" s="10">
        <f t="shared" ca="1" si="0"/>
        <v>0</v>
      </c>
      <c r="E335" s="5">
        <f ca="1">VLOOKUP($B335&amp;$C335,data!$A:$U,20,FALSE)</f>
        <v>44305.413229166603</v>
      </c>
      <c r="F335" s="3" t="str">
        <f ca="1">VLOOKUP($B335&amp;$C335,data!$A:$U,21,FALSE)</f>
        <v>19.4.2021</v>
      </c>
      <c r="G335" s="3">
        <f ca="1">VLOOKUP($B335&amp;$C335,data!$A:$U,17,FALSE)</f>
        <v>4</v>
      </c>
      <c r="H335" s="3">
        <f ca="1">VLOOKUP($B335&amp;$C335,data!$A:$U,18,FALSE)</f>
        <v>3</v>
      </c>
      <c r="I335" s="3">
        <f ca="1">VLOOKUP($B335&amp;$C335,data!$A:$U,19,FALSE)</f>
        <v>1</v>
      </c>
      <c r="J335" s="3">
        <f ca="1">VLOOKUP($B335&amp;$C335,data!$A:$U,14,FALSE)</f>
        <v>5</v>
      </c>
      <c r="K335" s="3">
        <f ca="1">VLOOKUP($B335&amp;$C335,data!$A:$U,15,FALSE)</f>
        <v>5</v>
      </c>
      <c r="L335" s="3">
        <f ca="1">VLOOKUP($B335&amp;$C335,data!$A:$U,16,FALSE)</f>
        <v>0</v>
      </c>
      <c r="M335" s="3">
        <f ca="1">VLOOKUP($B335&amp;$C335,data!$A:$U,8,FALSE)</f>
        <v>15</v>
      </c>
      <c r="N335" s="3">
        <f ca="1">VLOOKUP($B335&amp;$C335,data!$A:$U,9,FALSE)</f>
        <v>15</v>
      </c>
      <c r="O335" s="3">
        <f ca="1">VLOOKUP($B335&amp;$C335,data!$A:$U,10,FALSE)</f>
        <v>0</v>
      </c>
      <c r="P335" s="3">
        <f ca="1">VLOOKUP($B335&amp;$C335,data!$A:$U,11,FALSE)</f>
        <v>20</v>
      </c>
      <c r="Q335" s="3">
        <f ca="1">VLOOKUP($B335&amp;$C335,data!$A:$U,12,FALSE)</f>
        <v>20</v>
      </c>
      <c r="R335" s="3">
        <f ca="1">VLOOKUP($B335&amp;$C335,data!$A:$U,13,FALSE)</f>
        <v>0</v>
      </c>
      <c r="S335" s="3">
        <f ca="1">VLOOKUP($B335&amp;$C335,data!$A:$U,5,FALSE)</f>
        <v>40</v>
      </c>
      <c r="T335" s="3">
        <f ca="1">VLOOKUP($B335&amp;$C335,data!$A:$U,6,FALSE)</f>
        <v>40</v>
      </c>
      <c r="U335" s="3">
        <f ca="1">VLOOKUP($B335&amp;$C335,data!$A:$U,7,FALSE)</f>
        <v>0</v>
      </c>
      <c r="V335" s="18" t="s">
        <v>1045</v>
      </c>
      <c r="W335" s="17" t="s">
        <v>1046</v>
      </c>
      <c r="X335" s="12" t="s">
        <v>1047</v>
      </c>
      <c r="Y335" s="4" t="s">
        <v>1048</v>
      </c>
      <c r="Z335" s="13">
        <f t="shared" ca="1" si="1"/>
        <v>0.67367916672810679</v>
      </c>
    </row>
    <row r="336" spans="1:26" ht="13" x14ac:dyDescent="0.15">
      <c r="A336" s="3">
        <v>335</v>
      </c>
      <c r="B336" s="3" t="s">
        <v>5</v>
      </c>
      <c r="C336" s="3" t="s">
        <v>1049</v>
      </c>
      <c r="D336" s="10">
        <f t="shared" ca="1" si="0"/>
        <v>0.21100917431192662</v>
      </c>
      <c r="E336" s="5">
        <f ca="1">VLOOKUP($B336&amp;$C336,data!$A:$U,20,FALSE)</f>
        <v>44305.3772800925</v>
      </c>
      <c r="F336" s="3">
        <f ca="1">VLOOKUP($B336&amp;$C336,data!$A:$U,21,FALSE)</f>
        <v>0</v>
      </c>
      <c r="G336" s="3">
        <f ca="1">VLOOKUP($B336&amp;$C336,data!$A:$U,17,FALSE)</f>
        <v>2</v>
      </c>
      <c r="H336" s="3">
        <f ca="1">VLOOKUP($B336&amp;$C336,data!$A:$U,18,FALSE)</f>
        <v>0</v>
      </c>
      <c r="I336" s="3">
        <f ca="1">VLOOKUP($B336&amp;$C336,data!$A:$U,19,FALSE)</f>
        <v>2</v>
      </c>
      <c r="J336" s="3">
        <f ca="1">VLOOKUP($B336&amp;$C336,data!$A:$U,14,FALSE)</f>
        <v>3</v>
      </c>
      <c r="K336" s="3">
        <f ca="1">VLOOKUP($B336&amp;$C336,data!$A:$U,15,FALSE)</f>
        <v>0</v>
      </c>
      <c r="L336" s="3">
        <f ca="1">VLOOKUP($B336&amp;$C336,data!$A:$U,16,FALSE)</f>
        <v>3</v>
      </c>
      <c r="M336" s="3">
        <f ca="1">VLOOKUP($B336&amp;$C336,data!$A:$U,8,FALSE)</f>
        <v>53</v>
      </c>
      <c r="N336" s="3">
        <f ca="1">VLOOKUP($B336&amp;$C336,data!$A:$U,9,FALSE)</f>
        <v>43</v>
      </c>
      <c r="O336" s="3">
        <f ca="1">VLOOKUP($B336&amp;$C336,data!$A:$U,10,FALSE)</f>
        <v>10</v>
      </c>
      <c r="P336" s="3">
        <f ca="1">VLOOKUP($B336&amp;$C336,data!$A:$U,11,FALSE)</f>
        <v>0</v>
      </c>
      <c r="Q336" s="3">
        <f ca="1">VLOOKUP($B336&amp;$C336,data!$A:$U,12,FALSE)</f>
        <v>0</v>
      </c>
      <c r="R336" s="3">
        <f ca="1">VLOOKUP($B336&amp;$C336,data!$A:$U,13,FALSE)</f>
        <v>0</v>
      </c>
      <c r="S336" s="3">
        <f ca="1">VLOOKUP($B336&amp;$C336,data!$A:$U,5,FALSE)</f>
        <v>53</v>
      </c>
      <c r="T336" s="3">
        <f ca="1">VLOOKUP($B336&amp;$C336,data!$A:$U,6,FALSE)</f>
        <v>43</v>
      </c>
      <c r="U336" s="3">
        <f ca="1">VLOOKUP($B336&amp;$C336,data!$A:$U,7,FALSE)</f>
        <v>10</v>
      </c>
      <c r="V336" s="18" t="s">
        <v>1050</v>
      </c>
      <c r="W336" s="17" t="s">
        <v>1051</v>
      </c>
      <c r="X336" s="17" t="s">
        <v>1052</v>
      </c>
      <c r="Y336" s="4" t="s">
        <v>1053</v>
      </c>
      <c r="Z336" s="13">
        <f t="shared" ca="1" si="1"/>
        <v>0.70962824083107989</v>
      </c>
    </row>
    <row r="337" spans="1:26" ht="13" x14ac:dyDescent="0.15">
      <c r="A337" s="3">
        <v>336</v>
      </c>
      <c r="B337" s="3" t="s">
        <v>5</v>
      </c>
      <c r="C337" s="3" t="s">
        <v>1054</v>
      </c>
      <c r="D337" s="10">
        <f t="shared" ca="1" si="0"/>
        <v>0.76470588235294112</v>
      </c>
      <c r="E337" s="5">
        <f ca="1">VLOOKUP($B337&amp;$C337,data!$A:$U,20,FALSE)</f>
        <v>44305.399131944403</v>
      </c>
      <c r="F337" s="3" t="str">
        <f ca="1">VLOOKUP($B337&amp;$C337,data!$A:$U,21,FALSE)</f>
        <v>19.04.2021</v>
      </c>
      <c r="G337" s="3">
        <f ca="1">VLOOKUP($B337&amp;$C337,data!$A:$U,17,FALSE)</f>
        <v>4</v>
      </c>
      <c r="H337" s="3">
        <f ca="1">VLOOKUP($B337&amp;$C337,data!$A:$U,18,FALSE)</f>
        <v>0</v>
      </c>
      <c r="I337" s="3">
        <f ca="1">VLOOKUP($B337&amp;$C337,data!$A:$U,19,FALSE)</f>
        <v>4</v>
      </c>
      <c r="J337" s="3">
        <f ca="1">VLOOKUP($B337&amp;$C337,data!$A:$U,14,FALSE)</f>
        <v>5</v>
      </c>
      <c r="K337" s="3">
        <f ca="1">VLOOKUP($B337&amp;$C337,data!$A:$U,15,FALSE)</f>
        <v>0</v>
      </c>
      <c r="L337" s="3">
        <f ca="1">VLOOKUP($B337&amp;$C337,data!$A:$U,16,FALSE)</f>
        <v>5</v>
      </c>
      <c r="M337" s="3">
        <f ca="1">VLOOKUP($B337&amp;$C337,data!$A:$U,8,FALSE)</f>
        <v>20</v>
      </c>
      <c r="N337" s="3">
        <f ca="1">VLOOKUP($B337&amp;$C337,data!$A:$U,9,FALSE)</f>
        <v>5</v>
      </c>
      <c r="O337" s="3">
        <f ca="1">VLOOKUP($B337&amp;$C337,data!$A:$U,10,FALSE)</f>
        <v>15</v>
      </c>
      <c r="P337" s="3">
        <f ca="1">VLOOKUP($B337&amp;$C337,data!$A:$U,11,FALSE)</f>
        <v>20</v>
      </c>
      <c r="Q337" s="3">
        <f ca="1">VLOOKUP($B337&amp;$C337,data!$A:$U,12,FALSE)</f>
        <v>5</v>
      </c>
      <c r="R337" s="3">
        <f ca="1">VLOOKUP($B337&amp;$C337,data!$A:$U,13,FALSE)</f>
        <v>15</v>
      </c>
      <c r="S337" s="3">
        <f ca="1">VLOOKUP($B337&amp;$C337,data!$A:$U,5,FALSE)</f>
        <v>40</v>
      </c>
      <c r="T337" s="3">
        <f ca="1">VLOOKUP($B337&amp;$C337,data!$A:$U,6,FALSE)</f>
        <v>10</v>
      </c>
      <c r="U337" s="3">
        <f ca="1">VLOOKUP($B337&amp;$C337,data!$A:$U,7,FALSE)</f>
        <v>30</v>
      </c>
      <c r="V337" s="18" t="s">
        <v>1055</v>
      </c>
      <c r="W337" s="17" t="s">
        <v>1056</v>
      </c>
      <c r="X337" s="25"/>
      <c r="Y337" s="4" t="s">
        <v>1057</v>
      </c>
      <c r="Z337" s="13">
        <f t="shared" ca="1" si="1"/>
        <v>0.68777638892788673</v>
      </c>
    </row>
    <row r="338" spans="1:26" ht="13" x14ac:dyDescent="0.15">
      <c r="A338" s="3">
        <v>337</v>
      </c>
      <c r="B338" s="3" t="s">
        <v>21</v>
      </c>
      <c r="C338" s="3" t="s">
        <v>1058</v>
      </c>
      <c r="D338" s="10">
        <f t="shared" ca="1" si="0"/>
        <v>1</v>
      </c>
      <c r="E338" s="5">
        <f ca="1">VLOOKUP($B338&amp;$C338,data!$A:$U,20,FALSE)</f>
        <v>44305.592592592497</v>
      </c>
      <c r="F338" s="3" t="str">
        <f ca="1">VLOOKUP($B338&amp;$C338,data!$A:$U,21,FALSE)</f>
        <v>Nil</v>
      </c>
      <c r="G338" s="3">
        <f ca="1">VLOOKUP($B338&amp;$C338,data!$A:$U,17,FALSE)</f>
        <v>2</v>
      </c>
      <c r="H338" s="3">
        <f ca="1">VLOOKUP($B338&amp;$C338,data!$A:$U,18,FALSE)</f>
        <v>0</v>
      </c>
      <c r="I338" s="3">
        <f ca="1">VLOOKUP($B338&amp;$C338,data!$A:$U,19,FALSE)</f>
        <v>2</v>
      </c>
      <c r="J338" s="3">
        <f ca="1">VLOOKUP($B338&amp;$C338,data!$A:$U,14,FALSE)</f>
        <v>3</v>
      </c>
      <c r="K338" s="3">
        <f ca="1">VLOOKUP($B338&amp;$C338,data!$A:$U,15,FALSE)</f>
        <v>0</v>
      </c>
      <c r="L338" s="3">
        <f ca="1">VLOOKUP($B338&amp;$C338,data!$A:$U,16,FALSE)</f>
        <v>3</v>
      </c>
      <c r="M338" s="3">
        <f ca="1">VLOOKUP($B338&amp;$C338,data!$A:$U,8,FALSE)</f>
        <v>43</v>
      </c>
      <c r="N338" s="3">
        <f ca="1">VLOOKUP($B338&amp;$C338,data!$A:$U,9,FALSE)</f>
        <v>0</v>
      </c>
      <c r="O338" s="3">
        <f ca="1">VLOOKUP($B338&amp;$C338,data!$A:$U,10,FALSE)</f>
        <v>43</v>
      </c>
      <c r="P338" s="3">
        <f ca="1">VLOOKUP($B338&amp;$C338,data!$A:$U,11,FALSE)</f>
        <v>0</v>
      </c>
      <c r="Q338" s="3">
        <f ca="1">VLOOKUP($B338&amp;$C338,data!$A:$U,12,FALSE)</f>
        <v>0</v>
      </c>
      <c r="R338" s="3">
        <f ca="1">VLOOKUP($B338&amp;$C338,data!$A:$U,13,FALSE)</f>
        <v>0</v>
      </c>
      <c r="S338" s="3">
        <f ca="1">VLOOKUP($B338&amp;$C338,data!$A:$U,5,FALSE)</f>
        <v>43</v>
      </c>
      <c r="T338" s="3">
        <f ca="1">VLOOKUP($B338&amp;$C338,data!$A:$U,6,FALSE)</f>
        <v>0</v>
      </c>
      <c r="U338" s="3">
        <f ca="1">VLOOKUP($B338&amp;$C338,data!$A:$U,7,FALSE)</f>
        <v>43</v>
      </c>
      <c r="V338" s="18" t="s">
        <v>1059</v>
      </c>
      <c r="W338" s="17" t="s">
        <v>1060</v>
      </c>
      <c r="X338" s="17" t="s">
        <v>1061</v>
      </c>
      <c r="Y338" s="4" t="s">
        <v>1062</v>
      </c>
      <c r="Z338" s="13">
        <f t="shared" ca="1" si="1"/>
        <v>0.49431574083428131</v>
      </c>
    </row>
    <row r="339" spans="1:26" ht="13" x14ac:dyDescent="0.15">
      <c r="A339" s="3">
        <v>338</v>
      </c>
      <c r="B339" s="3" t="s">
        <v>21</v>
      </c>
      <c r="C339" s="3" t="s">
        <v>1063</v>
      </c>
      <c r="D339" s="10">
        <f t="shared" ca="1" si="0"/>
        <v>1</v>
      </c>
      <c r="E339" s="5">
        <f ca="1">VLOOKUP($B339&amp;$C339,data!$A:$U,20,FALSE)</f>
        <v>44305.503912036998</v>
      </c>
      <c r="F339" s="3" t="str">
        <f ca="1">VLOOKUP($B339&amp;$C339,data!$A:$U,21,FALSE)</f>
        <v>Nil</v>
      </c>
      <c r="G339" s="3">
        <f ca="1">VLOOKUP($B339&amp;$C339,data!$A:$U,17,FALSE)</f>
        <v>3</v>
      </c>
      <c r="H339" s="3">
        <f ca="1">VLOOKUP($B339&amp;$C339,data!$A:$U,18,FALSE)</f>
        <v>0</v>
      </c>
      <c r="I339" s="3">
        <f ca="1">VLOOKUP($B339&amp;$C339,data!$A:$U,19,FALSE)</f>
        <v>3</v>
      </c>
      <c r="J339" s="3">
        <f ca="1">VLOOKUP($B339&amp;$C339,data!$A:$U,14,FALSE)</f>
        <v>12</v>
      </c>
      <c r="K339" s="3">
        <f ca="1">VLOOKUP($B339&amp;$C339,data!$A:$U,15,FALSE)</f>
        <v>0</v>
      </c>
      <c r="L339" s="3">
        <f ca="1">VLOOKUP($B339&amp;$C339,data!$A:$U,16,FALSE)</f>
        <v>12</v>
      </c>
      <c r="M339" s="3">
        <f ca="1">VLOOKUP($B339&amp;$C339,data!$A:$U,8,FALSE)</f>
        <v>60</v>
      </c>
      <c r="N339" s="3">
        <f ca="1">VLOOKUP($B339&amp;$C339,data!$A:$U,9,FALSE)</f>
        <v>0</v>
      </c>
      <c r="O339" s="3">
        <f ca="1">VLOOKUP($B339&amp;$C339,data!$A:$U,10,FALSE)</f>
        <v>60</v>
      </c>
      <c r="P339" s="3">
        <f ca="1">VLOOKUP($B339&amp;$C339,data!$A:$U,11,FALSE)</f>
        <v>0</v>
      </c>
      <c r="Q339" s="3">
        <f ca="1">VLOOKUP($B339&amp;$C339,data!$A:$U,12,FALSE)</f>
        <v>0</v>
      </c>
      <c r="R339" s="3">
        <f ca="1">VLOOKUP($B339&amp;$C339,data!$A:$U,13,FALSE)</f>
        <v>0</v>
      </c>
      <c r="S339" s="3">
        <f ca="1">VLOOKUP($B339&amp;$C339,data!$A:$U,5,FALSE)</f>
        <v>60</v>
      </c>
      <c r="T339" s="3">
        <f ca="1">VLOOKUP($B339&amp;$C339,data!$A:$U,6,FALSE)</f>
        <v>0</v>
      </c>
      <c r="U339" s="3">
        <f ca="1">VLOOKUP($B339&amp;$C339,data!$A:$U,7,FALSE)</f>
        <v>60</v>
      </c>
      <c r="V339" s="18" t="s">
        <v>1064</v>
      </c>
      <c r="W339" s="17" t="s">
        <v>1065</v>
      </c>
      <c r="X339" s="17" t="s">
        <v>1066</v>
      </c>
      <c r="Y339" s="4" t="s">
        <v>1067</v>
      </c>
      <c r="Z339" s="13">
        <f t="shared" ca="1" si="1"/>
        <v>0.582996296332567</v>
      </c>
    </row>
    <row r="340" spans="1:26" ht="13" x14ac:dyDescent="0.15">
      <c r="A340" s="3">
        <v>339</v>
      </c>
      <c r="B340" s="3" t="s">
        <v>21</v>
      </c>
      <c r="C340" s="3" t="s">
        <v>1068</v>
      </c>
      <c r="D340" s="10">
        <f t="shared" ca="1" si="0"/>
        <v>0.59375</v>
      </c>
      <c r="E340" s="5">
        <f ca="1">VLOOKUP($B340&amp;$C340,data!$A:$U,20,FALSE)</f>
        <v>44305.7228703703</v>
      </c>
      <c r="F340" s="3" t="str">
        <f ca="1">VLOOKUP($B340&amp;$C340,data!$A:$U,21,FALSE)</f>
        <v>Nil</v>
      </c>
      <c r="G340" s="3">
        <f ca="1">VLOOKUP($B340&amp;$C340,data!$A:$U,17,FALSE)</f>
        <v>2</v>
      </c>
      <c r="H340" s="3">
        <f ca="1">VLOOKUP($B340&amp;$C340,data!$A:$U,18,FALSE)</f>
        <v>0</v>
      </c>
      <c r="I340" s="3">
        <f ca="1">VLOOKUP($B340&amp;$C340,data!$A:$U,19,FALSE)</f>
        <v>2</v>
      </c>
      <c r="J340" s="3">
        <f ca="1">VLOOKUP($B340&amp;$C340,data!$A:$U,14,FALSE)</f>
        <v>6</v>
      </c>
      <c r="K340" s="3">
        <f ca="1">VLOOKUP($B340&amp;$C340,data!$A:$U,15,FALSE)</f>
        <v>0</v>
      </c>
      <c r="L340" s="3">
        <f ca="1">VLOOKUP($B340&amp;$C340,data!$A:$U,16,FALSE)</f>
        <v>6</v>
      </c>
      <c r="M340" s="3">
        <f ca="1">VLOOKUP($B340&amp;$C340,data!$A:$U,8,FALSE)</f>
        <v>30</v>
      </c>
      <c r="N340" s="3">
        <f ca="1">VLOOKUP($B340&amp;$C340,data!$A:$U,9,FALSE)</f>
        <v>2</v>
      </c>
      <c r="O340" s="3">
        <f ca="1">VLOOKUP($B340&amp;$C340,data!$A:$U,10,FALSE)</f>
        <v>28</v>
      </c>
      <c r="P340" s="3">
        <f ca="1">VLOOKUP($B340&amp;$C340,data!$A:$U,11,FALSE)</f>
        <v>30</v>
      </c>
      <c r="Q340" s="3">
        <f ca="1">VLOOKUP($B340&amp;$C340,data!$A:$U,12,FALSE)</f>
        <v>0</v>
      </c>
      <c r="R340" s="3">
        <f ca="1">VLOOKUP($B340&amp;$C340,data!$A:$U,13,FALSE)</f>
        <v>0</v>
      </c>
      <c r="S340" s="3">
        <f ca="1">VLOOKUP($B340&amp;$C340,data!$A:$U,5,FALSE)</f>
        <v>30</v>
      </c>
      <c r="T340" s="3">
        <f ca="1">VLOOKUP($B340&amp;$C340,data!$A:$U,6,FALSE)</f>
        <v>7</v>
      </c>
      <c r="U340" s="3">
        <f ca="1">VLOOKUP($B340&amp;$C340,data!$A:$U,7,FALSE)</f>
        <v>23</v>
      </c>
      <c r="V340" s="18" t="s">
        <v>1069</v>
      </c>
      <c r="W340" s="17" t="s">
        <v>1070</v>
      </c>
      <c r="X340" s="9"/>
      <c r="Y340" s="4" t="s">
        <v>1071</v>
      </c>
      <c r="Z340" s="13">
        <f t="shared" ca="1" si="1"/>
        <v>0.36403796303056879</v>
      </c>
    </row>
    <row r="341" spans="1:26" ht="13" x14ac:dyDescent="0.15">
      <c r="A341" s="3">
        <v>340</v>
      </c>
      <c r="B341" s="3" t="s">
        <v>21</v>
      </c>
      <c r="C341" s="3" t="s">
        <v>1072</v>
      </c>
      <c r="D341" s="10">
        <f t="shared" ca="1" si="0"/>
        <v>0.98</v>
      </c>
      <c r="E341" s="5">
        <f ca="1">VLOOKUP($B341&amp;$C341,data!$A:$U,20,FALSE)</f>
        <v>44305.435300925899</v>
      </c>
      <c r="F341" s="3" t="str">
        <f ca="1">VLOOKUP($B341&amp;$C341,data!$A:$U,21,FALSE)</f>
        <v>Nil cases</v>
      </c>
      <c r="G341" s="3">
        <f ca="1">VLOOKUP($B341&amp;$C341,data!$A:$U,17,FALSE)</f>
        <v>0</v>
      </c>
      <c r="H341" s="3">
        <f ca="1">VLOOKUP($B341&amp;$C341,data!$A:$U,18,FALSE)</f>
        <v>0</v>
      </c>
      <c r="I341" s="3">
        <f ca="1">VLOOKUP($B341&amp;$C341,data!$A:$U,19,FALSE)</f>
        <v>0</v>
      </c>
      <c r="J341" s="3">
        <f ca="1">VLOOKUP($B341&amp;$C341,data!$A:$U,14,FALSE)</f>
        <v>10</v>
      </c>
      <c r="K341" s="3">
        <f ca="1">VLOOKUP($B341&amp;$C341,data!$A:$U,15,FALSE)</f>
        <v>3</v>
      </c>
      <c r="L341" s="3">
        <f ca="1">VLOOKUP($B341&amp;$C341,data!$A:$U,16,FALSE)</f>
        <v>7</v>
      </c>
      <c r="M341" s="3">
        <f ca="1">VLOOKUP($B341&amp;$C341,data!$A:$U,8,FALSE)</f>
        <v>70</v>
      </c>
      <c r="N341" s="3">
        <f ca="1">VLOOKUP($B341&amp;$C341,data!$A:$U,9,FALSE)</f>
        <v>0</v>
      </c>
      <c r="O341" s="3">
        <f ca="1">VLOOKUP($B341&amp;$C341,data!$A:$U,10,FALSE)</f>
        <v>70</v>
      </c>
      <c r="P341" s="3">
        <f ca="1">VLOOKUP($B341&amp;$C341,data!$A:$U,11,FALSE)</f>
        <v>0</v>
      </c>
      <c r="Q341" s="3">
        <f ca="1">VLOOKUP($B341&amp;$C341,data!$A:$U,12,FALSE)</f>
        <v>0</v>
      </c>
      <c r="R341" s="3">
        <f ca="1">VLOOKUP($B341&amp;$C341,data!$A:$U,13,FALSE)</f>
        <v>0</v>
      </c>
      <c r="S341" s="3">
        <f ca="1">VLOOKUP($B341&amp;$C341,data!$A:$U,5,FALSE)</f>
        <v>70</v>
      </c>
      <c r="T341" s="3">
        <f ca="1">VLOOKUP($B341&amp;$C341,data!$A:$U,6,FALSE)</f>
        <v>0</v>
      </c>
      <c r="U341" s="3">
        <f ca="1">VLOOKUP($B341&amp;$C341,data!$A:$U,7,FALSE)</f>
        <v>70</v>
      </c>
      <c r="V341" s="16"/>
      <c r="W341" s="9"/>
      <c r="X341" s="9"/>
      <c r="Y341" s="3"/>
      <c r="Z341" s="13">
        <f t="shared" ca="1" si="1"/>
        <v>0.65160740743158385</v>
      </c>
    </row>
    <row r="342" spans="1:26" ht="13" x14ac:dyDescent="0.15">
      <c r="A342" s="3">
        <v>341</v>
      </c>
      <c r="B342" s="3" t="s">
        <v>21</v>
      </c>
      <c r="C342" s="3" t="s">
        <v>1073</v>
      </c>
      <c r="D342" s="10">
        <f t="shared" ca="1" si="0"/>
        <v>0.97619047619047616</v>
      </c>
      <c r="E342" s="5">
        <f ca="1">VLOOKUP($B342&amp;$C342,data!$A:$U,20,FALSE)</f>
        <v>44305.503194444398</v>
      </c>
      <c r="F342" s="3" t="str">
        <f ca="1">VLOOKUP($B342&amp;$C342,data!$A:$U,21,FALSE)</f>
        <v>Nil</v>
      </c>
      <c r="G342" s="3">
        <f ca="1">VLOOKUP($B342&amp;$C342,data!$A:$U,17,FALSE)</f>
        <v>1</v>
      </c>
      <c r="H342" s="3">
        <f ca="1">VLOOKUP($B342&amp;$C342,data!$A:$U,18,FALSE)</f>
        <v>0</v>
      </c>
      <c r="I342" s="3">
        <f ca="1">VLOOKUP($B342&amp;$C342,data!$A:$U,19,FALSE)</f>
        <v>1</v>
      </c>
      <c r="J342" s="3">
        <f ca="1">VLOOKUP($B342&amp;$C342,data!$A:$U,14,FALSE)</f>
        <v>4</v>
      </c>
      <c r="K342" s="3">
        <f ca="1">VLOOKUP($B342&amp;$C342,data!$A:$U,15,FALSE)</f>
        <v>0</v>
      </c>
      <c r="L342" s="3">
        <f ca="1">VLOOKUP($B342&amp;$C342,data!$A:$U,16,FALSE)</f>
        <v>4</v>
      </c>
      <c r="M342" s="3">
        <f ca="1">VLOOKUP($B342&amp;$C342,data!$A:$U,8,FALSE)</f>
        <v>36</v>
      </c>
      <c r="N342" s="3">
        <f ca="1">VLOOKUP($B342&amp;$C342,data!$A:$U,9,FALSE)</f>
        <v>1</v>
      </c>
      <c r="O342" s="3">
        <f ca="1">VLOOKUP($B342&amp;$C342,data!$A:$U,10,FALSE)</f>
        <v>35</v>
      </c>
      <c r="P342" s="3">
        <f ca="1">VLOOKUP($B342&amp;$C342,data!$A:$U,11,FALSE)</f>
        <v>4</v>
      </c>
      <c r="Q342" s="3">
        <f ca="1">VLOOKUP($B342&amp;$C342,data!$A:$U,12,FALSE)</f>
        <v>0</v>
      </c>
      <c r="R342" s="3">
        <f ca="1">VLOOKUP($B342&amp;$C342,data!$A:$U,13,FALSE)</f>
        <v>4</v>
      </c>
      <c r="S342" s="3">
        <f ca="1">VLOOKUP($B342&amp;$C342,data!$A:$U,5,FALSE)</f>
        <v>40</v>
      </c>
      <c r="T342" s="3">
        <f ca="1">VLOOKUP($B342&amp;$C342,data!$A:$U,6,FALSE)</f>
        <v>1</v>
      </c>
      <c r="U342" s="3">
        <f ca="1">VLOOKUP($B342&amp;$C342,data!$A:$U,7,FALSE)</f>
        <v>39</v>
      </c>
      <c r="V342" s="18" t="s">
        <v>1074</v>
      </c>
      <c r="W342" s="17" t="s">
        <v>1075</v>
      </c>
      <c r="X342" s="9"/>
      <c r="Y342" s="4" t="s">
        <v>1076</v>
      </c>
      <c r="Z342" s="13">
        <f t="shared" ca="1" si="1"/>
        <v>0.58371388893283438</v>
      </c>
    </row>
    <row r="343" spans="1:26" ht="13" x14ac:dyDescent="0.15">
      <c r="A343" s="3">
        <v>342</v>
      </c>
      <c r="B343" s="3" t="s">
        <v>21</v>
      </c>
      <c r="C343" s="3" t="s">
        <v>1077</v>
      </c>
      <c r="D343" s="10">
        <f t="shared" ca="1" si="0"/>
        <v>0.90540540540540537</v>
      </c>
      <c r="E343" s="5">
        <f ca="1">VLOOKUP($B343&amp;$C343,data!$A:$U,20,FALSE)</f>
        <v>44305.374618055503</v>
      </c>
      <c r="F343" s="3" t="str">
        <f ca="1">VLOOKUP($B343&amp;$C343,data!$A:$U,21,FALSE)</f>
        <v>Sent on 19.04.2021 at 09:00AM</v>
      </c>
      <c r="G343" s="3">
        <f ca="1">VLOOKUP($B343&amp;$C343,data!$A:$U,17,FALSE)</f>
        <v>6</v>
      </c>
      <c r="H343" s="3">
        <f ca="1">VLOOKUP($B343&amp;$C343,data!$A:$U,18,FALSE)</f>
        <v>0</v>
      </c>
      <c r="I343" s="3">
        <f ca="1">VLOOKUP($B343&amp;$C343,data!$A:$U,19,FALSE)</f>
        <v>6</v>
      </c>
      <c r="J343" s="3">
        <f ca="1">VLOOKUP($B343&amp;$C343,data!$A:$U,14,FALSE)</f>
        <v>3</v>
      </c>
      <c r="K343" s="3">
        <f ca="1">VLOOKUP($B343&amp;$C343,data!$A:$U,15,FALSE)</f>
        <v>0</v>
      </c>
      <c r="L343" s="3">
        <f ca="1">VLOOKUP($B343&amp;$C343,data!$A:$U,16,FALSE)</f>
        <v>3</v>
      </c>
      <c r="M343" s="3">
        <f ca="1">VLOOKUP($B343&amp;$C343,data!$A:$U,8,FALSE)</f>
        <v>40</v>
      </c>
      <c r="N343" s="3">
        <f ca="1">VLOOKUP($B343&amp;$C343,data!$A:$U,9,FALSE)</f>
        <v>7</v>
      </c>
      <c r="O343" s="3">
        <f ca="1">VLOOKUP($B343&amp;$C343,data!$A:$U,10,FALSE)</f>
        <v>33</v>
      </c>
      <c r="P343" s="3">
        <f ca="1">VLOOKUP($B343&amp;$C343,data!$A:$U,11,FALSE)</f>
        <v>35</v>
      </c>
      <c r="Q343" s="3">
        <f ca="1">VLOOKUP($B343&amp;$C343,data!$A:$U,12,FALSE)</f>
        <v>0</v>
      </c>
      <c r="R343" s="3">
        <f ca="1">VLOOKUP($B343&amp;$C343,data!$A:$U,13,FALSE)</f>
        <v>35</v>
      </c>
      <c r="S343" s="3">
        <f ca="1">VLOOKUP($B343&amp;$C343,data!$A:$U,5,FALSE)</f>
        <v>70</v>
      </c>
      <c r="T343" s="3">
        <f ca="1">VLOOKUP($B343&amp;$C343,data!$A:$U,6,FALSE)</f>
        <v>7</v>
      </c>
      <c r="U343" s="3">
        <f ca="1">VLOOKUP($B343&amp;$C343,data!$A:$U,7,FALSE)</f>
        <v>63</v>
      </c>
      <c r="V343" s="18" t="s">
        <v>1078</v>
      </c>
      <c r="W343" s="17" t="s">
        <v>1079</v>
      </c>
      <c r="X343" s="17" t="s">
        <v>1080</v>
      </c>
      <c r="Y343" s="4" t="s">
        <v>1081</v>
      </c>
      <c r="Z343" s="13">
        <f t="shared" ca="1" si="1"/>
        <v>0.7122902778282878</v>
      </c>
    </row>
    <row r="344" spans="1:26" ht="13" x14ac:dyDescent="0.15">
      <c r="A344" s="3">
        <v>343</v>
      </c>
      <c r="B344" s="3" t="s">
        <v>21</v>
      </c>
      <c r="C344" s="3" t="s">
        <v>1082</v>
      </c>
      <c r="D344" s="10">
        <f t="shared" ca="1" si="0"/>
        <v>0.85</v>
      </c>
      <c r="E344" s="5">
        <f ca="1">VLOOKUP($B344&amp;$C344,data!$A:$U,20,FALSE)</f>
        <v>44305.502581018503</v>
      </c>
      <c r="F344" s="3" t="str">
        <f ca="1">VLOOKUP($B344&amp;$C344,data!$A:$U,21,FALSE)</f>
        <v>Nil</v>
      </c>
      <c r="G344" s="3">
        <f ca="1">VLOOKUP($B344&amp;$C344,data!$A:$U,17,FALSE)</f>
        <v>2</v>
      </c>
      <c r="H344" s="3">
        <f ca="1">VLOOKUP($B344&amp;$C344,data!$A:$U,18,FALSE)</f>
        <v>0</v>
      </c>
      <c r="I344" s="3">
        <f ca="1">VLOOKUP($B344&amp;$C344,data!$A:$U,19,FALSE)</f>
        <v>2</v>
      </c>
      <c r="J344" s="3">
        <f ca="1">VLOOKUP($B344&amp;$C344,data!$A:$U,14,FALSE)</f>
        <v>10</v>
      </c>
      <c r="K344" s="3">
        <f ca="1">VLOOKUP($B344&amp;$C344,data!$A:$U,15,FALSE)</f>
        <v>0</v>
      </c>
      <c r="L344" s="3">
        <f ca="1">VLOOKUP($B344&amp;$C344,data!$A:$U,16,FALSE)</f>
        <v>10</v>
      </c>
      <c r="M344" s="3">
        <f ca="1">VLOOKUP($B344&amp;$C344,data!$A:$U,8,FALSE)</f>
        <v>40</v>
      </c>
      <c r="N344" s="3">
        <f ca="1">VLOOKUP($B344&amp;$C344,data!$A:$U,9,FALSE)</f>
        <v>2</v>
      </c>
      <c r="O344" s="3">
        <f ca="1">VLOOKUP($B344&amp;$C344,data!$A:$U,10,FALSE)</f>
        <v>38</v>
      </c>
      <c r="P344" s="3">
        <f ca="1">VLOOKUP($B344&amp;$C344,data!$A:$U,11,FALSE)</f>
        <v>5</v>
      </c>
      <c r="Q344" s="3">
        <f ca="1">VLOOKUP($B344&amp;$C344,data!$A:$U,12,FALSE)</f>
        <v>0</v>
      </c>
      <c r="R344" s="3">
        <f ca="1">VLOOKUP($B344&amp;$C344,data!$A:$U,13,FALSE)</f>
        <v>5</v>
      </c>
      <c r="S344" s="3">
        <f ca="1">VLOOKUP($B344&amp;$C344,data!$A:$U,5,FALSE)</f>
        <v>45</v>
      </c>
      <c r="T344" s="3">
        <f ca="1">VLOOKUP($B344&amp;$C344,data!$A:$U,6,FALSE)</f>
        <v>13</v>
      </c>
      <c r="U344" s="3">
        <f ca="1">VLOOKUP($B344&amp;$C344,data!$A:$U,7,FALSE)</f>
        <v>32</v>
      </c>
      <c r="V344" s="16">
        <f>91-9343379938/7810966889/427-2266889/427-2266778</f>
        <v>-2271995.8763376754</v>
      </c>
      <c r="W344" s="17" t="s">
        <v>1083</v>
      </c>
      <c r="X344" s="17" t="s">
        <v>1084</v>
      </c>
      <c r="Y344" s="4" t="s">
        <v>1085</v>
      </c>
      <c r="Z344" s="13">
        <f t="shared" ca="1" si="1"/>
        <v>0.58432731482753297</v>
      </c>
    </row>
    <row r="345" spans="1:26" ht="13" x14ac:dyDescent="0.15">
      <c r="A345" s="3">
        <v>344</v>
      </c>
      <c r="B345" s="3" t="s">
        <v>8</v>
      </c>
      <c r="C345" s="3" t="s">
        <v>1086</v>
      </c>
      <c r="D345" s="10">
        <f t="shared" ca="1" si="0"/>
        <v>0</v>
      </c>
      <c r="E345" s="5">
        <f ca="1">VLOOKUP($B345&amp;$C345,data!$A:$U,20,FALSE)</f>
        <v>44305.415879629603</v>
      </c>
      <c r="F345" s="3" t="str">
        <f ca="1">VLOOKUP($B345&amp;$C345,data!$A:$U,21,FALSE)</f>
        <v>NO</v>
      </c>
      <c r="G345" s="3">
        <f ca="1">VLOOKUP($B345&amp;$C345,data!$A:$U,17,FALSE)</f>
        <v>0</v>
      </c>
      <c r="H345" s="3">
        <f ca="1">VLOOKUP($B345&amp;$C345,data!$A:$U,18,FALSE)</f>
        <v>0</v>
      </c>
      <c r="I345" s="3">
        <f ca="1">VLOOKUP($B345&amp;$C345,data!$A:$U,19,FALSE)</f>
        <v>0</v>
      </c>
      <c r="J345" s="3">
        <f ca="1">VLOOKUP($B345&amp;$C345,data!$A:$U,14,FALSE)</f>
        <v>3</v>
      </c>
      <c r="K345" s="3">
        <f ca="1">VLOOKUP($B345&amp;$C345,data!$A:$U,15,FALSE)</f>
        <v>0</v>
      </c>
      <c r="L345" s="3">
        <f ca="1">VLOOKUP($B345&amp;$C345,data!$A:$U,16,FALSE)</f>
        <v>0</v>
      </c>
      <c r="M345" s="3">
        <f ca="1">VLOOKUP($B345&amp;$C345,data!$A:$U,8,FALSE)</f>
        <v>2</v>
      </c>
      <c r="N345" s="3">
        <f ca="1">VLOOKUP($B345&amp;$C345,data!$A:$U,9,FALSE)</f>
        <v>0</v>
      </c>
      <c r="O345" s="3">
        <f ca="1">VLOOKUP($B345&amp;$C345,data!$A:$U,10,FALSE)</f>
        <v>0</v>
      </c>
      <c r="P345" s="3">
        <f ca="1">VLOOKUP($B345&amp;$C345,data!$A:$U,11,FALSE)</f>
        <v>20</v>
      </c>
      <c r="Q345" s="3">
        <f ca="1">VLOOKUP($B345&amp;$C345,data!$A:$U,12,FALSE)</f>
        <v>25</v>
      </c>
      <c r="R345" s="3">
        <f ca="1">VLOOKUP($B345&amp;$C345,data!$A:$U,13,FALSE)</f>
        <v>0</v>
      </c>
      <c r="S345" s="3">
        <f ca="1">VLOOKUP($B345&amp;$C345,data!$A:$U,5,FALSE)</f>
        <v>25</v>
      </c>
      <c r="T345" s="3">
        <f ca="1">VLOOKUP($B345&amp;$C345,data!$A:$U,6,FALSE)</f>
        <v>25</v>
      </c>
      <c r="U345" s="3">
        <f ca="1">VLOOKUP($B345&amp;$C345,data!$A:$U,7,FALSE)</f>
        <v>0</v>
      </c>
      <c r="V345" s="16"/>
      <c r="W345" s="9"/>
      <c r="X345" s="9"/>
      <c r="Y345" s="3"/>
      <c r="Z345" s="13">
        <f t="shared" ca="1" si="1"/>
        <v>0.67102870372764301</v>
      </c>
    </row>
    <row r="346" spans="1:26" ht="13" x14ac:dyDescent="0.15">
      <c r="A346" s="3">
        <v>345</v>
      </c>
      <c r="B346" s="3" t="s">
        <v>14</v>
      </c>
      <c r="C346" s="3" t="s">
        <v>1087</v>
      </c>
      <c r="D346" s="10">
        <f t="shared" ca="1" si="0"/>
        <v>1</v>
      </c>
      <c r="E346" s="5">
        <f ca="1">VLOOKUP($B346&amp;$C346,data!$A:$U,20,FALSE)</f>
        <v>44305.414236111101</v>
      </c>
      <c r="F346" s="3" t="str">
        <f ca="1">VLOOKUP($B346&amp;$C346,data!$A:$U,21,FALSE)</f>
        <v>updated 19.04.2021</v>
      </c>
      <c r="G346" s="3">
        <f ca="1">VLOOKUP($B346&amp;$C346,data!$A:$U,17,FALSE)</f>
        <v>0</v>
      </c>
      <c r="H346" s="3">
        <f ca="1">VLOOKUP($B346&amp;$C346,data!$A:$U,18,FALSE)</f>
        <v>0</v>
      </c>
      <c r="I346" s="3">
        <f ca="1">VLOOKUP($B346&amp;$C346,data!$A:$U,19,FALSE)</f>
        <v>0</v>
      </c>
      <c r="J346" s="3">
        <f ca="1">VLOOKUP($B346&amp;$C346,data!$A:$U,14,FALSE)</f>
        <v>0</v>
      </c>
      <c r="K346" s="3">
        <f ca="1">VLOOKUP($B346&amp;$C346,data!$A:$U,15,FALSE)</f>
        <v>0</v>
      </c>
      <c r="L346" s="3">
        <f ca="1">VLOOKUP($B346&amp;$C346,data!$A:$U,16,FALSE)</f>
        <v>0</v>
      </c>
      <c r="M346" s="3">
        <f ca="1">VLOOKUP($B346&amp;$C346,data!$A:$U,8,FALSE)</f>
        <v>4</v>
      </c>
      <c r="N346" s="3">
        <f ca="1">VLOOKUP($B346&amp;$C346,data!$A:$U,9,FALSE)</f>
        <v>0</v>
      </c>
      <c r="O346" s="3">
        <f ca="1">VLOOKUP($B346&amp;$C346,data!$A:$U,10,FALSE)</f>
        <v>4</v>
      </c>
      <c r="P346" s="3">
        <f ca="1">VLOOKUP($B346&amp;$C346,data!$A:$U,11,FALSE)</f>
        <v>56</v>
      </c>
      <c r="Q346" s="3">
        <f ca="1">VLOOKUP($B346&amp;$C346,data!$A:$U,12,FALSE)</f>
        <v>0</v>
      </c>
      <c r="R346" s="3">
        <f ca="1">VLOOKUP($B346&amp;$C346,data!$A:$U,13,FALSE)</f>
        <v>56</v>
      </c>
      <c r="S346" s="3">
        <f ca="1">VLOOKUP($B346&amp;$C346,data!$A:$U,5,FALSE)</f>
        <v>60</v>
      </c>
      <c r="T346" s="3">
        <f ca="1">VLOOKUP($B346&amp;$C346,data!$A:$U,6,FALSE)</f>
        <v>0</v>
      </c>
      <c r="U346" s="3">
        <f ca="1">VLOOKUP($B346&amp;$C346,data!$A:$U,7,FALSE)</f>
        <v>60</v>
      </c>
      <c r="V346" s="16"/>
      <c r="W346" s="9"/>
      <c r="X346" s="9"/>
      <c r="Y346" s="3"/>
      <c r="Z346" s="13">
        <f t="shared" ca="1" si="1"/>
        <v>0.67267222223017598</v>
      </c>
    </row>
    <row r="347" spans="1:26" ht="13" x14ac:dyDescent="0.15">
      <c r="A347" s="3">
        <v>346</v>
      </c>
      <c r="B347" s="3" t="s">
        <v>12</v>
      </c>
      <c r="C347" s="3" t="s">
        <v>1088</v>
      </c>
      <c r="D347" s="10">
        <f t="shared" ca="1" si="0"/>
        <v>1</v>
      </c>
      <c r="E347" s="5">
        <f ca="1">VLOOKUP($B347&amp;$C347,data!$A:$U,20,FALSE)</f>
        <v>44305.326979166603</v>
      </c>
      <c r="F347" s="3" t="str">
        <f ca="1">VLOOKUP($B347&amp;$C347,data!$A:$U,21,FALSE)</f>
        <v>19-04-2021</v>
      </c>
      <c r="G347" s="3">
        <f ca="1">VLOOKUP($B347&amp;$C347,data!$A:$U,17,FALSE)</f>
        <v>1</v>
      </c>
      <c r="H347" s="3">
        <f ca="1">VLOOKUP($B347&amp;$C347,data!$A:$U,18,FALSE)</f>
        <v>0</v>
      </c>
      <c r="I347" s="3">
        <f ca="1">VLOOKUP($B347&amp;$C347,data!$A:$U,19,FALSE)</f>
        <v>1</v>
      </c>
      <c r="J347" s="3">
        <f ca="1">VLOOKUP($B347&amp;$C347,data!$A:$U,14,FALSE)</f>
        <v>6</v>
      </c>
      <c r="K347" s="3">
        <f ca="1">VLOOKUP($B347&amp;$C347,data!$A:$U,15,FALSE)</f>
        <v>0</v>
      </c>
      <c r="L347" s="3">
        <f ca="1">VLOOKUP($B347&amp;$C347,data!$A:$U,16,FALSE)</f>
        <v>6</v>
      </c>
      <c r="M347" s="3">
        <f ca="1">VLOOKUP($B347&amp;$C347,data!$A:$U,8,FALSE)</f>
        <v>5</v>
      </c>
      <c r="N347" s="3">
        <f ca="1">VLOOKUP($B347&amp;$C347,data!$A:$U,9,FALSE)</f>
        <v>0</v>
      </c>
      <c r="O347" s="3">
        <f ca="1">VLOOKUP($B347&amp;$C347,data!$A:$U,10,FALSE)</f>
        <v>5</v>
      </c>
      <c r="P347" s="3">
        <f ca="1">VLOOKUP($B347&amp;$C347,data!$A:$U,11,FALSE)</f>
        <v>10</v>
      </c>
      <c r="Q347" s="3">
        <f ca="1">VLOOKUP($B347&amp;$C347,data!$A:$U,12,FALSE)</f>
        <v>0</v>
      </c>
      <c r="R347" s="3">
        <f ca="1">VLOOKUP($B347&amp;$C347,data!$A:$U,13,FALSE)</f>
        <v>10</v>
      </c>
      <c r="S347" s="3">
        <f ca="1">VLOOKUP($B347&amp;$C347,data!$A:$U,5,FALSE)</f>
        <v>15</v>
      </c>
      <c r="T347" s="3">
        <f ca="1">VLOOKUP($B347&amp;$C347,data!$A:$U,6,FALSE)</f>
        <v>0</v>
      </c>
      <c r="U347" s="3">
        <f ca="1">VLOOKUP($B347&amp;$C347,data!$A:$U,7,FALSE)</f>
        <v>15</v>
      </c>
      <c r="V347" s="18" t="s">
        <v>1089</v>
      </c>
      <c r="W347" s="12" t="s">
        <v>1090</v>
      </c>
      <c r="X347" s="9"/>
      <c r="Y347" s="4" t="s">
        <v>1091</v>
      </c>
      <c r="Z347" s="13">
        <f t="shared" ca="1" si="1"/>
        <v>0.75992916672839783</v>
      </c>
    </row>
    <row r="348" spans="1:26" ht="13" x14ac:dyDescent="0.15">
      <c r="A348" s="3">
        <v>347</v>
      </c>
      <c r="B348" s="3" t="s">
        <v>17</v>
      </c>
      <c r="C348" s="3" t="s">
        <v>1092</v>
      </c>
      <c r="D348" s="10">
        <f t="shared" ca="1" si="0"/>
        <v>0.61643835616438358</v>
      </c>
      <c r="E348" s="5">
        <f ca="1">VLOOKUP($B348&amp;$C348,data!$A:$U,20,FALSE)</f>
        <v>44305.275185185099</v>
      </c>
      <c r="F348" s="3" t="str">
        <f ca="1">VLOOKUP($B348&amp;$C348,data!$A:$U,21,FALSE)</f>
        <v>Report submitted on 19.04.2021</v>
      </c>
      <c r="G348" s="3">
        <f ca="1">VLOOKUP($B348&amp;$C348,data!$A:$U,17,FALSE)</f>
        <v>4</v>
      </c>
      <c r="H348" s="3">
        <f ca="1">VLOOKUP($B348&amp;$C348,data!$A:$U,18,FALSE)</f>
        <v>3</v>
      </c>
      <c r="I348" s="3">
        <f ca="1">VLOOKUP($B348&amp;$C348,data!$A:$U,19,FALSE)</f>
        <v>0</v>
      </c>
      <c r="J348" s="3">
        <f ca="1">VLOOKUP($B348&amp;$C348,data!$A:$U,14,FALSE)</f>
        <v>8</v>
      </c>
      <c r="K348" s="3">
        <f ca="1">VLOOKUP($B348&amp;$C348,data!$A:$U,15,FALSE)</f>
        <v>4</v>
      </c>
      <c r="L348" s="3">
        <f ca="1">VLOOKUP($B348&amp;$C348,data!$A:$U,16,FALSE)</f>
        <v>4</v>
      </c>
      <c r="M348" s="3">
        <f ca="1">VLOOKUP($B348&amp;$C348,data!$A:$U,8,FALSE)</f>
        <v>25</v>
      </c>
      <c r="N348" s="3">
        <f ca="1">VLOOKUP($B348&amp;$C348,data!$A:$U,9,FALSE)</f>
        <v>12</v>
      </c>
      <c r="O348" s="3">
        <f ca="1">VLOOKUP($B348&amp;$C348,data!$A:$U,10,FALSE)</f>
        <v>13</v>
      </c>
      <c r="P348" s="3">
        <f ca="1">VLOOKUP($B348&amp;$C348,data!$A:$U,11,FALSE)</f>
        <v>0</v>
      </c>
      <c r="Q348" s="3">
        <f ca="1">VLOOKUP($B348&amp;$C348,data!$A:$U,12,FALSE)</f>
        <v>0</v>
      </c>
      <c r="R348" s="3">
        <f ca="1">VLOOKUP($B348&amp;$C348,data!$A:$U,13,FALSE)</f>
        <v>0</v>
      </c>
      <c r="S348" s="3">
        <f ca="1">VLOOKUP($B348&amp;$C348,data!$A:$U,5,FALSE)</f>
        <v>40</v>
      </c>
      <c r="T348" s="3">
        <f ca="1">VLOOKUP($B348&amp;$C348,data!$A:$U,6,FALSE)</f>
        <v>12</v>
      </c>
      <c r="U348" s="3">
        <f ca="1">VLOOKUP($B348&amp;$C348,data!$A:$U,7,FALSE)</f>
        <v>28</v>
      </c>
      <c r="V348" s="16"/>
      <c r="W348" s="9"/>
      <c r="X348" s="9"/>
      <c r="Y348" s="3"/>
      <c r="Z348" s="13">
        <f t="shared" ca="1" si="1"/>
        <v>0.81172314823197667</v>
      </c>
    </row>
    <row r="349" spans="1:26" ht="13" x14ac:dyDescent="0.15">
      <c r="A349" s="3">
        <v>348</v>
      </c>
      <c r="B349" s="3" t="s">
        <v>17</v>
      </c>
      <c r="C349" s="3" t="s">
        <v>1093</v>
      </c>
      <c r="D349" s="10">
        <f t="shared" ca="1" si="0"/>
        <v>0.9</v>
      </c>
      <c r="E349" s="5">
        <f ca="1">VLOOKUP($B349&amp;$C349,data!$A:$U,20,FALSE)</f>
        <v>44305.256770833301</v>
      </c>
      <c r="F349" s="3" t="str">
        <f ca="1">VLOOKUP($B349&amp;$C349,data!$A:$U,21,FALSE)</f>
        <v>REPORT SUBMITTED ON 19.04.2021</v>
      </c>
      <c r="G349" s="3">
        <f ca="1">VLOOKUP($B349&amp;$C349,data!$A:$U,17,FALSE)</f>
        <v>0</v>
      </c>
      <c r="H349" s="3">
        <f ca="1">VLOOKUP($B349&amp;$C349,data!$A:$U,18,FALSE)</f>
        <v>0</v>
      </c>
      <c r="I349" s="3">
        <f ca="1">VLOOKUP($B349&amp;$C349,data!$A:$U,19,FALSE)</f>
        <v>0</v>
      </c>
      <c r="J349" s="3">
        <f ca="1">VLOOKUP($B349&amp;$C349,data!$A:$U,14,FALSE)</f>
        <v>2</v>
      </c>
      <c r="K349" s="3">
        <f ca="1">VLOOKUP($B349&amp;$C349,data!$A:$U,15,FALSE)</f>
        <v>0</v>
      </c>
      <c r="L349" s="3">
        <f ca="1">VLOOKUP($B349&amp;$C349,data!$A:$U,16,FALSE)</f>
        <v>2</v>
      </c>
      <c r="M349" s="3">
        <f ca="1">VLOOKUP($B349&amp;$C349,data!$A:$U,8,FALSE)</f>
        <v>28</v>
      </c>
      <c r="N349" s="3">
        <f ca="1">VLOOKUP($B349&amp;$C349,data!$A:$U,9,FALSE)</f>
        <v>3</v>
      </c>
      <c r="O349" s="3">
        <f ca="1">VLOOKUP($B349&amp;$C349,data!$A:$U,10,FALSE)</f>
        <v>25</v>
      </c>
      <c r="P349" s="3">
        <f ca="1">VLOOKUP($B349&amp;$C349,data!$A:$U,11,FALSE)</f>
        <v>0</v>
      </c>
      <c r="Q349" s="3">
        <f ca="1">VLOOKUP($B349&amp;$C349,data!$A:$U,12,FALSE)</f>
        <v>0</v>
      </c>
      <c r="R349" s="3">
        <f ca="1">VLOOKUP($B349&amp;$C349,data!$A:$U,13,FALSE)</f>
        <v>0</v>
      </c>
      <c r="S349" s="3">
        <f ca="1">VLOOKUP($B349&amp;$C349,data!$A:$U,5,FALSE)</f>
        <v>30</v>
      </c>
      <c r="T349" s="3">
        <f ca="1">VLOOKUP($B349&amp;$C349,data!$A:$U,6,FALSE)</f>
        <v>3</v>
      </c>
      <c r="U349" s="3">
        <f ca="1">VLOOKUP($B349&amp;$C349,data!$A:$U,7,FALSE)</f>
        <v>27</v>
      </c>
      <c r="V349" s="16"/>
      <c r="W349" s="9"/>
      <c r="X349" s="9"/>
      <c r="Y349" s="3"/>
      <c r="Z349" s="13">
        <f t="shared" ca="1" si="1"/>
        <v>0.830137500030105</v>
      </c>
    </row>
    <row r="350" spans="1:26" ht="13" x14ac:dyDescent="0.15">
      <c r="A350" s="3">
        <v>349</v>
      </c>
      <c r="B350" s="3" t="s">
        <v>12</v>
      </c>
      <c r="C350" s="3" t="s">
        <v>1094</v>
      </c>
      <c r="D350" s="10">
        <f t="shared" ca="1" si="0"/>
        <v>0.93333333333333335</v>
      </c>
      <c r="E350" s="5">
        <f ca="1">VLOOKUP($B350&amp;$C350,data!$A:$U,20,FALSE)</f>
        <v>44305.313148148103</v>
      </c>
      <c r="F350" s="3" t="str">
        <f ca="1">VLOOKUP($B350&amp;$C350,data!$A:$U,21,FALSE)</f>
        <v>19.04.2021</v>
      </c>
      <c r="G350" s="3">
        <f ca="1">VLOOKUP($B350&amp;$C350,data!$A:$U,17,FALSE)</f>
        <v>5</v>
      </c>
      <c r="H350" s="3">
        <f ca="1">VLOOKUP($B350&amp;$C350,data!$A:$U,18,FALSE)</f>
        <v>0</v>
      </c>
      <c r="I350" s="3">
        <f ca="1">VLOOKUP($B350&amp;$C350,data!$A:$U,19,FALSE)</f>
        <v>5</v>
      </c>
      <c r="J350" s="3">
        <f ca="1">VLOOKUP($B350&amp;$C350,data!$A:$U,14,FALSE)</f>
        <v>0</v>
      </c>
      <c r="K350" s="3">
        <f ca="1">VLOOKUP($B350&amp;$C350,data!$A:$U,15,FALSE)</f>
        <v>0</v>
      </c>
      <c r="L350" s="3">
        <f ca="1">VLOOKUP($B350&amp;$C350,data!$A:$U,16,FALSE)</f>
        <v>0</v>
      </c>
      <c r="M350" s="3">
        <f ca="1">VLOOKUP($B350&amp;$C350,data!$A:$U,8,FALSE)</f>
        <v>8</v>
      </c>
      <c r="N350" s="3">
        <f ca="1">VLOOKUP($B350&amp;$C350,data!$A:$U,9,FALSE)</f>
        <v>1</v>
      </c>
      <c r="O350" s="3">
        <f ca="1">VLOOKUP($B350&amp;$C350,data!$A:$U,10,FALSE)</f>
        <v>7</v>
      </c>
      <c r="P350" s="3">
        <f ca="1">VLOOKUP($B350&amp;$C350,data!$A:$U,11,FALSE)</f>
        <v>7</v>
      </c>
      <c r="Q350" s="3">
        <f ca="1">VLOOKUP($B350&amp;$C350,data!$A:$U,12,FALSE)</f>
        <v>0</v>
      </c>
      <c r="R350" s="3">
        <f ca="1">VLOOKUP($B350&amp;$C350,data!$A:$U,13,FALSE)</f>
        <v>7</v>
      </c>
      <c r="S350" s="3">
        <f ca="1">VLOOKUP($B350&amp;$C350,data!$A:$U,5,FALSE)</f>
        <v>15</v>
      </c>
      <c r="T350" s="3">
        <f ca="1">VLOOKUP($B350&amp;$C350,data!$A:$U,6,FALSE)</f>
        <v>1</v>
      </c>
      <c r="U350" s="3">
        <f ca="1">VLOOKUP($B350&amp;$C350,data!$A:$U,7,FALSE)</f>
        <v>14</v>
      </c>
      <c r="V350" s="29" t="s">
        <v>1095</v>
      </c>
      <c r="W350" s="17" t="s">
        <v>1096</v>
      </c>
      <c r="X350" s="17" t="s">
        <v>1097</v>
      </c>
      <c r="Y350" s="4" t="s">
        <v>1098</v>
      </c>
      <c r="Z350" s="13">
        <f t="shared" ca="1" si="1"/>
        <v>0.77376018522772938</v>
      </c>
    </row>
    <row r="351" spans="1:26" ht="13" x14ac:dyDescent="0.15">
      <c r="A351" s="3">
        <v>350</v>
      </c>
      <c r="B351" s="3" t="s">
        <v>4</v>
      </c>
      <c r="C351" s="3" t="s">
        <v>1099</v>
      </c>
      <c r="D351" s="10">
        <f t="shared" ca="1" si="0"/>
        <v>0.1095890410958904</v>
      </c>
      <c r="E351" s="5">
        <f ca="1">VLOOKUP($B351&amp;$C351,data!$A:$U,20,FALSE)</f>
        <v>44305.447673611103</v>
      </c>
      <c r="F351" s="3" t="str">
        <f ca="1">VLOOKUP($B351&amp;$C351,data!$A:$U,21,FALSE)</f>
        <v>19-04-21</v>
      </c>
      <c r="G351" s="3">
        <f ca="1">VLOOKUP($B351&amp;$C351,data!$A:$U,17,FALSE)</f>
        <v>2</v>
      </c>
      <c r="H351" s="3">
        <f ca="1">VLOOKUP($B351&amp;$C351,data!$A:$U,18,FALSE)</f>
        <v>0</v>
      </c>
      <c r="I351" s="3">
        <f ca="1">VLOOKUP($B351&amp;$C351,data!$A:$U,19,FALSE)</f>
        <v>2</v>
      </c>
      <c r="J351" s="3">
        <f ca="1">VLOOKUP($B351&amp;$C351,data!$A:$U,14,FALSE)</f>
        <v>8</v>
      </c>
      <c r="K351" s="3">
        <f ca="1">VLOOKUP($B351&amp;$C351,data!$A:$U,15,FALSE)</f>
        <v>6</v>
      </c>
      <c r="L351" s="3">
        <f ca="1">VLOOKUP($B351&amp;$C351,data!$A:$U,16,FALSE)</f>
        <v>2</v>
      </c>
      <c r="M351" s="3">
        <f ca="1">VLOOKUP($B351&amp;$C351,data!$A:$U,8,FALSE)</f>
        <v>25</v>
      </c>
      <c r="N351" s="3">
        <f ca="1">VLOOKUP($B351&amp;$C351,data!$A:$U,9,FALSE)</f>
        <v>22</v>
      </c>
      <c r="O351" s="3">
        <f ca="1">VLOOKUP($B351&amp;$C351,data!$A:$U,10,FALSE)</f>
        <v>3</v>
      </c>
      <c r="P351" s="3">
        <f ca="1">VLOOKUP($B351&amp;$C351,data!$A:$U,11,FALSE)</f>
        <v>15</v>
      </c>
      <c r="Q351" s="3">
        <f ca="1">VLOOKUP($B351&amp;$C351,data!$A:$U,12,FALSE)</f>
        <v>0</v>
      </c>
      <c r="R351" s="3">
        <f ca="1">VLOOKUP($B351&amp;$C351,data!$A:$U,13,FALSE)</f>
        <v>0</v>
      </c>
      <c r="S351" s="3">
        <f ca="1">VLOOKUP($B351&amp;$C351,data!$A:$U,5,FALSE)</f>
        <v>25</v>
      </c>
      <c r="T351" s="3">
        <f ca="1">VLOOKUP($B351&amp;$C351,data!$A:$U,6,FALSE)</f>
        <v>22</v>
      </c>
      <c r="U351" s="3">
        <f ca="1">VLOOKUP($B351&amp;$C351,data!$A:$U,7,FALSE)</f>
        <v>3</v>
      </c>
      <c r="V351" s="18" t="s">
        <v>1100</v>
      </c>
      <c r="W351" s="17" t="s">
        <v>1101</v>
      </c>
      <c r="X351" s="17" t="s">
        <v>1102</v>
      </c>
      <c r="Y351" s="4" t="s">
        <v>1103</v>
      </c>
      <c r="Z351" s="13">
        <f t="shared" ca="1" si="1"/>
        <v>0.63923472222813871</v>
      </c>
    </row>
    <row r="352" spans="1:26" ht="13" x14ac:dyDescent="0.15">
      <c r="A352" s="3">
        <v>351</v>
      </c>
      <c r="B352" s="3" t="s">
        <v>2</v>
      </c>
      <c r="C352" s="3" t="s">
        <v>1104</v>
      </c>
      <c r="D352" s="10">
        <f t="shared" ca="1" si="0"/>
        <v>9.6774193548387094E-2</v>
      </c>
      <c r="E352" s="5">
        <f ca="1">VLOOKUP($B352&amp;$C352,data!$A:$U,20,FALSE)</f>
        <v>44305.397569444402</v>
      </c>
      <c r="F352" s="3" t="str">
        <f ca="1">VLOOKUP($B352&amp;$C352,data!$A:$U,21,FALSE)</f>
        <v>19/04/2021</v>
      </c>
      <c r="G352" s="3">
        <f ca="1">VLOOKUP($B352&amp;$C352,data!$A:$U,17,FALSE)</f>
        <v>2</v>
      </c>
      <c r="H352" s="3">
        <f ca="1">VLOOKUP($B352&amp;$C352,data!$A:$U,18,FALSE)</f>
        <v>0</v>
      </c>
      <c r="I352" s="3">
        <f ca="1">VLOOKUP($B352&amp;$C352,data!$A:$U,19,FALSE)</f>
        <v>2</v>
      </c>
      <c r="J352" s="3">
        <f ca="1">VLOOKUP($B352&amp;$C352,data!$A:$U,14,FALSE)</f>
        <v>3</v>
      </c>
      <c r="K352" s="3">
        <f ca="1">VLOOKUP($B352&amp;$C352,data!$A:$U,15,FALSE)</f>
        <v>0</v>
      </c>
      <c r="L352" s="3">
        <f ca="1">VLOOKUP($B352&amp;$C352,data!$A:$U,16,FALSE)</f>
        <v>3</v>
      </c>
      <c r="M352" s="3">
        <f ca="1">VLOOKUP($B352&amp;$C352,data!$A:$U,8,FALSE)</f>
        <v>14</v>
      </c>
      <c r="N352" s="3">
        <f ca="1">VLOOKUP($B352&amp;$C352,data!$A:$U,9,FALSE)</f>
        <v>14</v>
      </c>
      <c r="O352" s="3">
        <f ca="1">VLOOKUP($B352&amp;$C352,data!$A:$U,10,FALSE)</f>
        <v>0</v>
      </c>
      <c r="P352" s="3">
        <f ca="1">VLOOKUP($B352&amp;$C352,data!$A:$U,11,FALSE)</f>
        <v>0</v>
      </c>
      <c r="Q352" s="3">
        <f ca="1">VLOOKUP($B352&amp;$C352,data!$A:$U,12,FALSE)</f>
        <v>0</v>
      </c>
      <c r="R352" s="3">
        <f ca="1">VLOOKUP($B352&amp;$C352,data!$A:$U,13,FALSE)</f>
        <v>0</v>
      </c>
      <c r="S352" s="3">
        <f ca="1">VLOOKUP($B352&amp;$C352,data!$A:$U,5,FALSE)</f>
        <v>14</v>
      </c>
      <c r="T352" s="3">
        <f ca="1">VLOOKUP($B352&amp;$C352,data!$A:$U,6,FALSE)</f>
        <v>14</v>
      </c>
      <c r="U352" s="3">
        <f ca="1">VLOOKUP($B352&amp;$C352,data!$A:$U,7,FALSE)</f>
        <v>0</v>
      </c>
      <c r="V352" s="18">
        <v>919962900030</v>
      </c>
      <c r="W352" s="17" t="s">
        <v>1105</v>
      </c>
      <c r="X352" s="12" t="s">
        <v>1106</v>
      </c>
      <c r="Y352" s="4" t="s">
        <v>1107</v>
      </c>
      <c r="Z352" s="13">
        <f t="shared" ca="1" si="1"/>
        <v>0.68933888892934192</v>
      </c>
    </row>
    <row r="353" spans="1:26" ht="13" x14ac:dyDescent="0.15">
      <c r="A353" s="3">
        <v>352</v>
      </c>
      <c r="B353" s="3" t="s">
        <v>2</v>
      </c>
      <c r="C353" s="3" t="s">
        <v>1108</v>
      </c>
      <c r="D353" s="10">
        <f t="shared" ca="1" si="0"/>
        <v>8.3333333333333329E-2</v>
      </c>
      <c r="E353" s="5">
        <f ca="1">VLOOKUP($B353&amp;$C353,data!$A:$U,20,FALSE)</f>
        <v>44304.442858796298</v>
      </c>
      <c r="F353" s="3" t="str">
        <f ca="1">VLOOKUP($B353&amp;$C353,data!$A:$U,21,FALSE)</f>
        <v>18.03-2021</v>
      </c>
      <c r="G353" s="3">
        <f ca="1">VLOOKUP($B353&amp;$C353,data!$A:$U,17,FALSE)</f>
        <v>0</v>
      </c>
      <c r="H353" s="3">
        <f ca="1">VLOOKUP($B353&amp;$C353,data!$A:$U,18,FALSE)</f>
        <v>0</v>
      </c>
      <c r="I353" s="3">
        <f ca="1">VLOOKUP($B353&amp;$C353,data!$A:$U,19,FALSE)</f>
        <v>0</v>
      </c>
      <c r="J353" s="3">
        <f ca="1">VLOOKUP($B353&amp;$C353,data!$A:$U,14,FALSE)</f>
        <v>0</v>
      </c>
      <c r="K353" s="3">
        <f ca="1">VLOOKUP($B353&amp;$C353,data!$A:$U,15,FALSE)</f>
        <v>0</v>
      </c>
      <c r="L353" s="3">
        <f ca="1">VLOOKUP($B353&amp;$C353,data!$A:$U,16,FALSE)</f>
        <v>0</v>
      </c>
      <c r="M353" s="3">
        <f ca="1">VLOOKUP($B353&amp;$C353,data!$A:$U,8,FALSE)</f>
        <v>5</v>
      </c>
      <c r="N353" s="3">
        <f ca="1">VLOOKUP($B353&amp;$C353,data!$A:$U,9,FALSE)</f>
        <v>3</v>
      </c>
      <c r="O353" s="3">
        <f ca="1">VLOOKUP($B353&amp;$C353,data!$A:$U,10,FALSE)</f>
        <v>2</v>
      </c>
      <c r="P353" s="3">
        <f ca="1">VLOOKUP($B353&amp;$C353,data!$A:$U,11,FALSE)</f>
        <v>25</v>
      </c>
      <c r="Q353" s="3">
        <f ca="1">VLOOKUP($B353&amp;$C353,data!$A:$U,12,FALSE)</f>
        <v>25</v>
      </c>
      <c r="R353" s="3">
        <f ca="1">VLOOKUP($B353&amp;$C353,data!$A:$U,13,FALSE)</f>
        <v>0</v>
      </c>
      <c r="S353" s="3">
        <f ca="1">VLOOKUP($B353&amp;$C353,data!$A:$U,5,FALSE)</f>
        <v>30</v>
      </c>
      <c r="T353" s="3">
        <f ca="1">VLOOKUP($B353&amp;$C353,data!$A:$U,6,FALSE)</f>
        <v>27</v>
      </c>
      <c r="U353" s="3">
        <f ca="1">VLOOKUP($B353&amp;$C353,data!$A:$U,7,FALSE)</f>
        <v>3</v>
      </c>
      <c r="V353" s="16"/>
      <c r="W353" s="9"/>
      <c r="X353" s="9"/>
      <c r="Y353" s="3"/>
      <c r="Z353" s="13">
        <f t="shared" ca="1" si="1"/>
        <v>1.6440495370334247</v>
      </c>
    </row>
    <row r="354" spans="1:26" ht="13" x14ac:dyDescent="0.15">
      <c r="A354" s="3">
        <v>353</v>
      </c>
      <c r="B354" s="3" t="s">
        <v>11</v>
      </c>
      <c r="C354" s="3" t="s">
        <v>1109</v>
      </c>
      <c r="D354" s="10">
        <f t="shared" ca="1" si="0"/>
        <v>0.86363636363636365</v>
      </c>
      <c r="E354" s="5">
        <f ca="1">VLOOKUP($B354&amp;$C354,data!$A:$U,20,FALSE)</f>
        <v>44305.318506944401</v>
      </c>
      <c r="F354" s="3" t="str">
        <f ca="1">VLOOKUP($B354&amp;$C354,data!$A:$U,21,FALSE)</f>
        <v>.</v>
      </c>
      <c r="G354" s="3">
        <f ca="1">VLOOKUP($B354&amp;$C354,data!$A:$U,17,FALSE)</f>
        <v>1</v>
      </c>
      <c r="H354" s="3">
        <f ca="1">VLOOKUP($B354&amp;$C354,data!$A:$U,18,FALSE)</f>
        <v>0</v>
      </c>
      <c r="I354" s="3">
        <f ca="1">VLOOKUP($B354&amp;$C354,data!$A:$U,19,FALSE)</f>
        <v>1</v>
      </c>
      <c r="J354" s="3">
        <f ca="1">VLOOKUP($B354&amp;$C354,data!$A:$U,14,FALSE)</f>
        <v>6</v>
      </c>
      <c r="K354" s="3">
        <f ca="1">VLOOKUP($B354&amp;$C354,data!$A:$U,15,FALSE)</f>
        <v>0</v>
      </c>
      <c r="L354" s="3">
        <f ca="1">VLOOKUP($B354&amp;$C354,data!$A:$U,16,FALSE)</f>
        <v>6</v>
      </c>
      <c r="M354" s="3">
        <f ca="1">VLOOKUP($B354&amp;$C354,data!$A:$U,8,FALSE)</f>
        <v>21</v>
      </c>
      <c r="N354" s="3">
        <f ca="1">VLOOKUP($B354&amp;$C354,data!$A:$U,9,FALSE)</f>
        <v>0</v>
      </c>
      <c r="O354" s="3">
        <f ca="1">VLOOKUP($B354&amp;$C354,data!$A:$U,10,FALSE)</f>
        <v>21</v>
      </c>
      <c r="P354" s="3">
        <f ca="1">VLOOKUP($B354&amp;$C354,data!$A:$U,11,FALSE)</f>
        <v>17</v>
      </c>
      <c r="Q354" s="3">
        <f ca="1">VLOOKUP($B354&amp;$C354,data!$A:$U,12,FALSE)</f>
        <v>0</v>
      </c>
      <c r="R354" s="3">
        <f ca="1">VLOOKUP($B354&amp;$C354,data!$A:$U,13,FALSE)</f>
        <v>11</v>
      </c>
      <c r="S354" s="3">
        <f ca="1">VLOOKUP($B354&amp;$C354,data!$A:$U,5,FALSE)</f>
        <v>44</v>
      </c>
      <c r="T354" s="3">
        <f ca="1">VLOOKUP($B354&amp;$C354,data!$A:$U,6,FALSE)</f>
        <v>6</v>
      </c>
      <c r="U354" s="3">
        <f ca="1">VLOOKUP($B354&amp;$C354,data!$A:$U,7,FALSE)</f>
        <v>38</v>
      </c>
      <c r="V354" s="11" t="s">
        <v>1110</v>
      </c>
      <c r="W354" s="12" t="s">
        <v>1111</v>
      </c>
      <c r="X354" s="9"/>
      <c r="Y354" s="4" t="s">
        <v>1112</v>
      </c>
      <c r="Z354" s="13">
        <f t="shared" ca="1" si="1"/>
        <v>0.76840138893021503</v>
      </c>
    </row>
    <row r="355" spans="1:26" ht="13" x14ac:dyDescent="0.15">
      <c r="A355" s="3">
        <v>354</v>
      </c>
      <c r="B355" s="3" t="s">
        <v>23</v>
      </c>
      <c r="C355" s="3" t="s">
        <v>1113</v>
      </c>
      <c r="D355" s="10" t="e">
        <f t="shared" ca="1" si="0"/>
        <v>#DIV/0!</v>
      </c>
      <c r="E355" s="5">
        <f ca="1">VLOOKUP($B355&amp;$C355,data!$A:$U,20,FALSE)</f>
        <v>44305.4013425925</v>
      </c>
      <c r="F355" s="3" t="str">
        <f ca="1">VLOOKUP($B355&amp;$C355,data!$A:$U,21,FALSE)</f>
        <v>.</v>
      </c>
      <c r="G355" s="3">
        <f ca="1">VLOOKUP($B355&amp;$C355,data!$A:$U,17,FALSE)</f>
        <v>0</v>
      </c>
      <c r="H355" s="3">
        <f ca="1">VLOOKUP($B355&amp;$C355,data!$A:$U,18,FALSE)</f>
        <v>0</v>
      </c>
      <c r="I355" s="3">
        <f ca="1">VLOOKUP($B355&amp;$C355,data!$A:$U,19,FALSE)</f>
        <v>0</v>
      </c>
      <c r="J355" s="3">
        <f ca="1">VLOOKUP($B355&amp;$C355,data!$A:$U,14,FALSE)</f>
        <v>0</v>
      </c>
      <c r="K355" s="3">
        <f ca="1">VLOOKUP($B355&amp;$C355,data!$A:$U,15,FALSE)</f>
        <v>0</v>
      </c>
      <c r="L355" s="3">
        <f ca="1">VLOOKUP($B355&amp;$C355,data!$A:$U,16,FALSE)</f>
        <v>0</v>
      </c>
      <c r="M355" s="3">
        <f ca="1">VLOOKUP($B355&amp;$C355,data!$A:$U,8,FALSE)</f>
        <v>0</v>
      </c>
      <c r="N355" s="3">
        <f ca="1">VLOOKUP($B355&amp;$C355,data!$A:$U,9,FALSE)</f>
        <v>0</v>
      </c>
      <c r="O355" s="3">
        <f ca="1">VLOOKUP($B355&amp;$C355,data!$A:$U,10,FALSE)</f>
        <v>0</v>
      </c>
      <c r="P355" s="3">
        <f ca="1">VLOOKUP($B355&amp;$C355,data!$A:$U,11,FALSE)</f>
        <v>0</v>
      </c>
      <c r="Q355" s="3">
        <f ca="1">VLOOKUP($B355&amp;$C355,data!$A:$U,12,FALSE)</f>
        <v>0</v>
      </c>
      <c r="R355" s="3">
        <f ca="1">VLOOKUP($B355&amp;$C355,data!$A:$U,13,FALSE)</f>
        <v>0</v>
      </c>
      <c r="S355" s="3">
        <f ca="1">VLOOKUP($B355&amp;$C355,data!$A:$U,5,FALSE)</f>
        <v>0</v>
      </c>
      <c r="T355" s="3">
        <f ca="1">VLOOKUP($B355&amp;$C355,data!$A:$U,6,FALSE)</f>
        <v>0</v>
      </c>
      <c r="U355" s="3">
        <f ca="1">VLOOKUP($B355&amp;$C355,data!$A:$U,7,FALSE)</f>
        <v>0</v>
      </c>
      <c r="V355" s="16"/>
      <c r="W355" s="9"/>
      <c r="X355" s="9"/>
      <c r="Y355" s="3"/>
      <c r="Z355" s="13">
        <f t="shared" ca="1" si="1"/>
        <v>0.68556574083049782</v>
      </c>
    </row>
    <row r="356" spans="1:26" ht="13" x14ac:dyDescent="0.15">
      <c r="A356" s="3">
        <v>355</v>
      </c>
      <c r="B356" s="3" t="s">
        <v>4</v>
      </c>
      <c r="C356" s="3" t="s">
        <v>1114</v>
      </c>
      <c r="D356" s="10">
        <f t="shared" ca="1" si="0"/>
        <v>0</v>
      </c>
      <c r="E356" s="5">
        <f ca="1">VLOOKUP($B356&amp;$C356,data!$A:$U,20,FALSE)</f>
        <v>44305.6484375</v>
      </c>
      <c r="F356" s="3" t="str">
        <f ca="1">VLOOKUP($B356&amp;$C356,data!$A:$U,21,FALSE)</f>
        <v>(19/4/2021)</v>
      </c>
      <c r="G356" s="3">
        <f ca="1">VLOOKUP($B356&amp;$C356,data!$A:$U,17,FALSE)</f>
        <v>0</v>
      </c>
      <c r="H356" s="3">
        <f ca="1">VLOOKUP($B356&amp;$C356,data!$A:$U,18,FALSE)</f>
        <v>0</v>
      </c>
      <c r="I356" s="3">
        <f ca="1">VLOOKUP($B356&amp;$C356,data!$A:$U,19,FALSE)</f>
        <v>0</v>
      </c>
      <c r="J356" s="3">
        <f ca="1">VLOOKUP($B356&amp;$C356,data!$A:$U,14,FALSE)</f>
        <v>0</v>
      </c>
      <c r="K356" s="3">
        <f ca="1">VLOOKUP($B356&amp;$C356,data!$A:$U,15,FALSE)</f>
        <v>0</v>
      </c>
      <c r="L356" s="3">
        <f ca="1">VLOOKUP($B356&amp;$C356,data!$A:$U,16,FALSE)</f>
        <v>0</v>
      </c>
      <c r="M356" s="3">
        <f ca="1">VLOOKUP($B356&amp;$C356,data!$A:$U,8,FALSE)</f>
        <v>15</v>
      </c>
      <c r="N356" s="3">
        <f ca="1">VLOOKUP($B356&amp;$C356,data!$A:$U,9,FALSE)</f>
        <v>16</v>
      </c>
      <c r="O356" s="3">
        <f ca="1">VLOOKUP($B356&amp;$C356,data!$A:$U,10,FALSE)</f>
        <v>0</v>
      </c>
      <c r="P356" s="3">
        <f ca="1">VLOOKUP($B356&amp;$C356,data!$A:$U,11,FALSE)</f>
        <v>11</v>
      </c>
      <c r="Q356" s="3">
        <f ca="1">VLOOKUP($B356&amp;$C356,data!$A:$U,12,FALSE)</f>
        <v>9</v>
      </c>
      <c r="R356" s="3">
        <f ca="1">VLOOKUP($B356&amp;$C356,data!$A:$U,13,FALSE)</f>
        <v>0</v>
      </c>
      <c r="S356" s="3">
        <f ca="1">VLOOKUP($B356&amp;$C356,data!$A:$U,5,FALSE)</f>
        <v>15</v>
      </c>
      <c r="T356" s="3">
        <f ca="1">VLOOKUP($B356&amp;$C356,data!$A:$U,6,FALSE)</f>
        <v>23</v>
      </c>
      <c r="U356" s="3">
        <f ca="1">VLOOKUP($B356&amp;$C356,data!$A:$U,7,FALSE)</f>
        <v>0</v>
      </c>
      <c r="V356" s="16"/>
      <c r="W356" s="9"/>
      <c r="X356" s="9"/>
      <c r="Y356" s="3"/>
      <c r="Z356" s="13">
        <f t="shared" ca="1" si="1"/>
        <v>0.43847083333093906</v>
      </c>
    </row>
    <row r="357" spans="1:26" ht="13" x14ac:dyDescent="0.15">
      <c r="A357" s="3">
        <v>356</v>
      </c>
      <c r="B357" s="3" t="s">
        <v>32</v>
      </c>
      <c r="C357" s="3" t="s">
        <v>1115</v>
      </c>
      <c r="D357" s="10">
        <f t="shared" ca="1" si="0"/>
        <v>0.15151515151515152</v>
      </c>
      <c r="E357" s="5">
        <f ca="1">VLOOKUP($B357&amp;$C357,data!$A:$U,20,FALSE)</f>
        <v>44305.3070138888</v>
      </c>
      <c r="F357" s="3" t="str">
        <f ca="1">VLOOKUP($B357&amp;$C357,data!$A:$U,21,FALSE)</f>
        <v>19.04.2021</v>
      </c>
      <c r="G357" s="3">
        <f ca="1">VLOOKUP($B357&amp;$C357,data!$A:$U,17,FALSE)</f>
        <v>3</v>
      </c>
      <c r="H357" s="3">
        <f ca="1">VLOOKUP($B357&amp;$C357,data!$A:$U,18,FALSE)</f>
        <v>0</v>
      </c>
      <c r="I357" s="3">
        <f ca="1">VLOOKUP($B357&amp;$C357,data!$A:$U,19,FALSE)</f>
        <v>3</v>
      </c>
      <c r="J357" s="3">
        <f ca="1">VLOOKUP($B357&amp;$C357,data!$A:$U,14,FALSE)</f>
        <v>3</v>
      </c>
      <c r="K357" s="3">
        <f ca="1">VLOOKUP($B357&amp;$C357,data!$A:$U,15,FALSE)</f>
        <v>0</v>
      </c>
      <c r="L357" s="3">
        <f ca="1">VLOOKUP($B357&amp;$C357,data!$A:$U,16,FALSE)</f>
        <v>3</v>
      </c>
      <c r="M357" s="3">
        <f ca="1">VLOOKUP($B357&amp;$C357,data!$A:$U,8,FALSE)</f>
        <v>15</v>
      </c>
      <c r="N357" s="3">
        <f ca="1">VLOOKUP($B357&amp;$C357,data!$A:$U,9,FALSE)</f>
        <v>14</v>
      </c>
      <c r="O357" s="3">
        <f ca="1">VLOOKUP($B357&amp;$C357,data!$A:$U,10,FALSE)</f>
        <v>1</v>
      </c>
      <c r="P357" s="3">
        <f ca="1">VLOOKUP($B357&amp;$C357,data!$A:$U,11,FALSE)</f>
        <v>0</v>
      </c>
      <c r="Q357" s="3">
        <f ca="1">VLOOKUP($B357&amp;$C357,data!$A:$U,12,FALSE)</f>
        <v>0</v>
      </c>
      <c r="R357" s="3">
        <f ca="1">VLOOKUP($B357&amp;$C357,data!$A:$U,13,FALSE)</f>
        <v>0</v>
      </c>
      <c r="S357" s="3">
        <f ca="1">VLOOKUP($B357&amp;$C357,data!$A:$U,5,FALSE)</f>
        <v>15</v>
      </c>
      <c r="T357" s="3">
        <f ca="1">VLOOKUP($B357&amp;$C357,data!$A:$U,6,FALSE)</f>
        <v>14</v>
      </c>
      <c r="U357" s="3">
        <f ca="1">VLOOKUP($B357&amp;$C357,data!$A:$U,7,FALSE)</f>
        <v>1</v>
      </c>
      <c r="V357" s="11" t="s">
        <v>1116</v>
      </c>
      <c r="W357" s="12" t="s">
        <v>1117</v>
      </c>
      <c r="X357" s="9"/>
      <c r="Y357" s="4" t="s">
        <v>1118</v>
      </c>
      <c r="Z357" s="13">
        <f t="shared" ca="1" si="1"/>
        <v>0.77989444453123724</v>
      </c>
    </row>
    <row r="358" spans="1:26" ht="13" x14ac:dyDescent="0.15">
      <c r="A358" s="3">
        <v>357</v>
      </c>
      <c r="B358" s="3" t="s">
        <v>28</v>
      </c>
      <c r="C358" s="3" t="s">
        <v>1119</v>
      </c>
      <c r="D358" s="10">
        <f t="shared" ca="1" si="0"/>
        <v>1</v>
      </c>
      <c r="E358" s="5">
        <f ca="1">VLOOKUP($B358&amp;$C358,data!$A:$U,20,FALSE)</f>
        <v>44305.3664236111</v>
      </c>
      <c r="F358" s="3" t="str">
        <f ca="1">VLOOKUP($B358&amp;$C358,data!$A:$U,21,FALSE)</f>
        <v>updated 19.04.2021</v>
      </c>
      <c r="G358" s="3">
        <f ca="1">VLOOKUP($B358&amp;$C358,data!$A:$U,17,FALSE)</f>
        <v>0</v>
      </c>
      <c r="H358" s="3">
        <f ca="1">VLOOKUP($B358&amp;$C358,data!$A:$U,18,FALSE)</f>
        <v>0</v>
      </c>
      <c r="I358" s="3">
        <f ca="1">VLOOKUP($B358&amp;$C358,data!$A:$U,19,FALSE)</f>
        <v>0</v>
      </c>
      <c r="J358" s="3">
        <f ca="1">VLOOKUP($B358&amp;$C358,data!$A:$U,14,FALSE)</f>
        <v>4</v>
      </c>
      <c r="K358" s="3">
        <f ca="1">VLOOKUP($B358&amp;$C358,data!$A:$U,15,FALSE)</f>
        <v>0</v>
      </c>
      <c r="L358" s="3">
        <f ca="1">VLOOKUP($B358&amp;$C358,data!$A:$U,16,FALSE)</f>
        <v>4</v>
      </c>
      <c r="M358" s="3">
        <f ca="1">VLOOKUP($B358&amp;$C358,data!$A:$U,8,FALSE)</f>
        <v>15</v>
      </c>
      <c r="N358" s="3">
        <f ca="1">VLOOKUP($B358&amp;$C358,data!$A:$U,9,FALSE)</f>
        <v>0</v>
      </c>
      <c r="O358" s="3">
        <f ca="1">VLOOKUP($B358&amp;$C358,data!$A:$U,10,FALSE)</f>
        <v>15</v>
      </c>
      <c r="P358" s="3">
        <f ca="1">VLOOKUP($B358&amp;$C358,data!$A:$U,11,FALSE)</f>
        <v>0</v>
      </c>
      <c r="Q358" s="3">
        <f ca="1">VLOOKUP($B358&amp;$C358,data!$A:$U,12,FALSE)</f>
        <v>0</v>
      </c>
      <c r="R358" s="3">
        <f ca="1">VLOOKUP($B358&amp;$C358,data!$A:$U,13,FALSE)</f>
        <v>0</v>
      </c>
      <c r="S358" s="3">
        <f ca="1">VLOOKUP($B358&amp;$C358,data!$A:$U,5,FALSE)</f>
        <v>15</v>
      </c>
      <c r="T358" s="3">
        <f ca="1">VLOOKUP($B358&amp;$C358,data!$A:$U,6,FALSE)</f>
        <v>0</v>
      </c>
      <c r="U358" s="3">
        <f ca="1">VLOOKUP($B358&amp;$C358,data!$A:$U,7,FALSE)</f>
        <v>15</v>
      </c>
      <c r="V358" s="16"/>
      <c r="W358" s="9"/>
      <c r="X358" s="9"/>
      <c r="Y358" s="3"/>
      <c r="Z358" s="13">
        <f t="shared" ca="1" si="1"/>
        <v>0.72048472223104909</v>
      </c>
    </row>
    <row r="359" spans="1:26" ht="13" x14ac:dyDescent="0.15">
      <c r="A359" s="3">
        <v>358</v>
      </c>
      <c r="B359" s="3" t="s">
        <v>7</v>
      </c>
      <c r="C359" s="3" t="s">
        <v>408</v>
      </c>
      <c r="D359" s="10">
        <f t="shared" ca="1" si="0"/>
        <v>0.45945945945945948</v>
      </c>
      <c r="E359" s="5">
        <f ca="1">VLOOKUP($B359&amp;$C359,data!$A:$U,20,FALSE)</f>
        <v>44305.299305555498</v>
      </c>
      <c r="F359" s="3" t="str">
        <f ca="1">VLOOKUP($B359&amp;$C359,data!$A:$U,21,FALSE)</f>
        <v>updated 19-04-2021</v>
      </c>
      <c r="G359" s="3">
        <f ca="1">VLOOKUP($B359&amp;$C359,data!$A:$U,17,FALSE)</f>
        <v>5</v>
      </c>
      <c r="H359" s="3">
        <f ca="1">VLOOKUP($B359&amp;$C359,data!$A:$U,18,FALSE)</f>
        <v>0</v>
      </c>
      <c r="I359" s="3">
        <f ca="1">VLOOKUP($B359&amp;$C359,data!$A:$U,19,FALSE)</f>
        <v>5</v>
      </c>
      <c r="J359" s="3">
        <f ca="1">VLOOKUP($B359&amp;$C359,data!$A:$U,14,FALSE)</f>
        <v>5</v>
      </c>
      <c r="K359" s="3">
        <f ca="1">VLOOKUP($B359&amp;$C359,data!$A:$U,15,FALSE)</f>
        <v>2</v>
      </c>
      <c r="L359" s="3">
        <f ca="1">VLOOKUP($B359&amp;$C359,data!$A:$U,16,FALSE)</f>
        <v>3</v>
      </c>
      <c r="M359" s="3">
        <f ca="1">VLOOKUP($B359&amp;$C359,data!$A:$U,8,FALSE)</f>
        <v>32</v>
      </c>
      <c r="N359" s="3">
        <f ca="1">VLOOKUP($B359&amp;$C359,data!$A:$U,9,FALSE)</f>
        <v>18</v>
      </c>
      <c r="O359" s="3">
        <f ca="1">VLOOKUP($B359&amp;$C359,data!$A:$U,10,FALSE)</f>
        <v>14</v>
      </c>
      <c r="P359" s="3">
        <f ca="1">VLOOKUP($B359&amp;$C359,data!$A:$U,11,FALSE)</f>
        <v>0</v>
      </c>
      <c r="Q359" s="3">
        <f ca="1">VLOOKUP($B359&amp;$C359,data!$A:$U,12,FALSE)</f>
        <v>0</v>
      </c>
      <c r="R359" s="3">
        <f ca="1">VLOOKUP($B359&amp;$C359,data!$A:$U,13,FALSE)</f>
        <v>0</v>
      </c>
      <c r="S359" s="3">
        <f ca="1">VLOOKUP($B359&amp;$C359,data!$A:$U,5,FALSE)</f>
        <v>37</v>
      </c>
      <c r="T359" s="3">
        <f ca="1">VLOOKUP($B359&amp;$C359,data!$A:$U,6,FALSE)</f>
        <v>20</v>
      </c>
      <c r="U359" s="3">
        <f ca="1">VLOOKUP($B359&amp;$C359,data!$A:$U,7,FALSE)</f>
        <v>17</v>
      </c>
      <c r="V359" s="18" t="s">
        <v>1120</v>
      </c>
      <c r="W359" s="17" t="s">
        <v>1121</v>
      </c>
      <c r="X359" s="12" t="s">
        <v>1122</v>
      </c>
      <c r="Y359" s="4" t="s">
        <v>1123</v>
      </c>
      <c r="Z359" s="13">
        <f t="shared" ca="1" si="1"/>
        <v>0.78760277783294441</v>
      </c>
    </row>
    <row r="360" spans="1:26" ht="13" x14ac:dyDescent="0.15">
      <c r="A360" s="3">
        <v>359</v>
      </c>
      <c r="B360" s="3" t="s">
        <v>4</v>
      </c>
      <c r="C360" s="3" t="s">
        <v>1124</v>
      </c>
      <c r="D360" s="10">
        <f t="shared" ca="1" si="0"/>
        <v>1</v>
      </c>
      <c r="E360" s="5">
        <f ca="1">VLOOKUP($B360&amp;$C360,data!$A:$U,20,FALSE)</f>
        <v>44305.221261573999</v>
      </c>
      <c r="F360" s="3">
        <f ca="1">VLOOKUP($B360&amp;$C360,data!$A:$U,21,FALSE)</f>
        <v>0.81783564814814802</v>
      </c>
      <c r="G360" s="3">
        <f ca="1">VLOOKUP($B360&amp;$C360,data!$A:$U,17,FALSE)</f>
        <v>0</v>
      </c>
      <c r="H360" s="3">
        <f ca="1">VLOOKUP($B360&amp;$C360,data!$A:$U,18,FALSE)</f>
        <v>0</v>
      </c>
      <c r="I360" s="3">
        <f ca="1">VLOOKUP($B360&amp;$C360,data!$A:$U,19,FALSE)</f>
        <v>0</v>
      </c>
      <c r="J360" s="3">
        <f ca="1">VLOOKUP($B360&amp;$C360,data!$A:$U,14,FALSE)</f>
        <v>0</v>
      </c>
      <c r="K360" s="3">
        <f ca="1">VLOOKUP($B360&amp;$C360,data!$A:$U,15,FALSE)</f>
        <v>0</v>
      </c>
      <c r="L360" s="3">
        <f ca="1">VLOOKUP($B360&amp;$C360,data!$A:$U,16,FALSE)</f>
        <v>0</v>
      </c>
      <c r="M360" s="3">
        <f ca="1">VLOOKUP($B360&amp;$C360,data!$A:$U,8,FALSE)</f>
        <v>4</v>
      </c>
      <c r="N360" s="3">
        <f ca="1">VLOOKUP($B360&amp;$C360,data!$A:$U,9,FALSE)</f>
        <v>0</v>
      </c>
      <c r="O360" s="3">
        <f ca="1">VLOOKUP($B360&amp;$C360,data!$A:$U,10,FALSE)</f>
        <v>4</v>
      </c>
      <c r="P360" s="3">
        <f ca="1">VLOOKUP($B360&amp;$C360,data!$A:$U,11,FALSE)</f>
        <v>4</v>
      </c>
      <c r="Q360" s="3">
        <f ca="1">VLOOKUP($B360&amp;$C360,data!$A:$U,12,FALSE)</f>
        <v>0</v>
      </c>
      <c r="R360" s="3">
        <f ca="1">VLOOKUP($B360&amp;$C360,data!$A:$U,13,FALSE)</f>
        <v>4</v>
      </c>
      <c r="S360" s="3">
        <f ca="1">VLOOKUP($B360&amp;$C360,data!$A:$U,5,FALSE)</f>
        <v>8</v>
      </c>
      <c r="T360" s="3">
        <f ca="1">VLOOKUP($B360&amp;$C360,data!$A:$U,6,FALSE)</f>
        <v>0</v>
      </c>
      <c r="U360" s="3">
        <f ca="1">VLOOKUP($B360&amp;$C360,data!$A:$U,7,FALSE)</f>
        <v>8</v>
      </c>
      <c r="V360" s="16"/>
      <c r="W360" s="9"/>
      <c r="X360" s="9"/>
      <c r="Y360" s="3"/>
      <c r="Z360" s="13">
        <f t="shared" ca="1" si="1"/>
        <v>0.86564675933186663</v>
      </c>
    </row>
    <row r="361" spans="1:26" ht="13" x14ac:dyDescent="0.15">
      <c r="A361" s="3">
        <v>360</v>
      </c>
      <c r="B361" s="3" t="s">
        <v>4</v>
      </c>
      <c r="C361" s="3" t="s">
        <v>1125</v>
      </c>
      <c r="D361" s="10">
        <f t="shared" ca="1" si="0"/>
        <v>0.46666666666666667</v>
      </c>
      <c r="E361" s="5">
        <f ca="1">VLOOKUP($B361&amp;$C361,data!$A:$U,20,FALSE)</f>
        <v>44305.431354166598</v>
      </c>
      <c r="F361" s="3" t="str">
        <f ca="1">VLOOKUP($B361&amp;$C361,data!$A:$U,21,FALSE)</f>
        <v>19.04.2021</v>
      </c>
      <c r="G361" s="3">
        <f ca="1">VLOOKUP($B361&amp;$C361,data!$A:$U,17,FALSE)</f>
        <v>2</v>
      </c>
      <c r="H361" s="3">
        <f ca="1">VLOOKUP($B361&amp;$C361,data!$A:$U,18,FALSE)</f>
        <v>0</v>
      </c>
      <c r="I361" s="3">
        <f ca="1">VLOOKUP($B361&amp;$C361,data!$A:$U,19,FALSE)</f>
        <v>2</v>
      </c>
      <c r="J361" s="3">
        <f ca="1">VLOOKUP($B361&amp;$C361,data!$A:$U,14,FALSE)</f>
        <v>15</v>
      </c>
      <c r="K361" s="3">
        <f ca="1">VLOOKUP($B361&amp;$C361,data!$A:$U,15,FALSE)</f>
        <v>3</v>
      </c>
      <c r="L361" s="3">
        <f ca="1">VLOOKUP($B361&amp;$C361,data!$A:$U,16,FALSE)</f>
        <v>12</v>
      </c>
      <c r="M361" s="3">
        <f ca="1">VLOOKUP($B361&amp;$C361,data!$A:$U,8,FALSE)</f>
        <v>15</v>
      </c>
      <c r="N361" s="3">
        <f ca="1">VLOOKUP($B361&amp;$C361,data!$A:$U,9,FALSE)</f>
        <v>5</v>
      </c>
      <c r="O361" s="3">
        <f ca="1">VLOOKUP($B361&amp;$C361,data!$A:$U,10,FALSE)</f>
        <v>10</v>
      </c>
      <c r="P361" s="3">
        <f ca="1">VLOOKUP($B361&amp;$C361,data!$A:$U,11,FALSE)</f>
        <v>0</v>
      </c>
      <c r="Q361" s="3">
        <f ca="1">VLOOKUP($B361&amp;$C361,data!$A:$U,12,FALSE)</f>
        <v>0</v>
      </c>
      <c r="R361" s="3">
        <f ca="1">VLOOKUP($B361&amp;$C361,data!$A:$U,13,FALSE)</f>
        <v>0</v>
      </c>
      <c r="S361" s="3">
        <f ca="1">VLOOKUP($B361&amp;$C361,data!$A:$U,5,FALSE)</f>
        <v>30</v>
      </c>
      <c r="T361" s="3">
        <f ca="1">VLOOKUP($B361&amp;$C361,data!$A:$U,6,FALSE)</f>
        <v>24</v>
      </c>
      <c r="U361" s="3">
        <f ca="1">VLOOKUP($B361&amp;$C361,data!$A:$U,7,FALSE)</f>
        <v>6</v>
      </c>
      <c r="V361" s="18" t="s">
        <v>1126</v>
      </c>
      <c r="W361" s="12" t="s">
        <v>1127</v>
      </c>
      <c r="X361" s="12" t="s">
        <v>1128</v>
      </c>
      <c r="Y361" s="4" t="s">
        <v>1129</v>
      </c>
      <c r="Z361" s="13">
        <f t="shared" ca="1" si="1"/>
        <v>0.65555416673305444</v>
      </c>
    </row>
    <row r="362" spans="1:26" ht="13" x14ac:dyDescent="0.15">
      <c r="A362" s="3">
        <v>361</v>
      </c>
      <c r="B362" s="3" t="s">
        <v>28</v>
      </c>
      <c r="C362" s="3" t="s">
        <v>1130</v>
      </c>
      <c r="D362" s="10">
        <f t="shared" ca="1" si="0"/>
        <v>0.73333333333333328</v>
      </c>
      <c r="E362" s="5">
        <f ca="1">VLOOKUP($B362&amp;$C362,data!$A:$U,20,FALSE)</f>
        <v>44305.326851851802</v>
      </c>
      <c r="F362" s="3" t="str">
        <f ca="1">VLOOKUP($B362&amp;$C362,data!$A:$U,21,FALSE)</f>
        <v>19.04.2021</v>
      </c>
      <c r="G362" s="3">
        <f ca="1">VLOOKUP($B362&amp;$C362,data!$A:$U,17,FALSE)</f>
        <v>0</v>
      </c>
      <c r="H362" s="3">
        <f ca="1">VLOOKUP($B362&amp;$C362,data!$A:$U,18,FALSE)</f>
        <v>0</v>
      </c>
      <c r="I362" s="3">
        <f ca="1">VLOOKUP($B362&amp;$C362,data!$A:$U,19,FALSE)</f>
        <v>0</v>
      </c>
      <c r="J362" s="3">
        <f ca="1">VLOOKUP($B362&amp;$C362,data!$A:$U,14,FALSE)</f>
        <v>0</v>
      </c>
      <c r="K362" s="3">
        <f ca="1">VLOOKUP($B362&amp;$C362,data!$A:$U,15,FALSE)</f>
        <v>0</v>
      </c>
      <c r="L362" s="3">
        <f ca="1">VLOOKUP($B362&amp;$C362,data!$A:$U,16,FALSE)</f>
        <v>0</v>
      </c>
      <c r="M362" s="3">
        <f ca="1">VLOOKUP($B362&amp;$C362,data!$A:$U,8,FALSE)</f>
        <v>15</v>
      </c>
      <c r="N362" s="3">
        <f ca="1">VLOOKUP($B362&amp;$C362,data!$A:$U,9,FALSE)</f>
        <v>1</v>
      </c>
      <c r="O362" s="3">
        <f ca="1">VLOOKUP($B362&amp;$C362,data!$A:$U,10,FALSE)</f>
        <v>14</v>
      </c>
      <c r="P362" s="3">
        <f ca="1">VLOOKUP($B362&amp;$C362,data!$A:$U,11,FALSE)</f>
        <v>0</v>
      </c>
      <c r="Q362" s="3">
        <f ca="1">VLOOKUP($B362&amp;$C362,data!$A:$U,12,FALSE)</f>
        <v>0</v>
      </c>
      <c r="R362" s="3">
        <f ca="1">VLOOKUP($B362&amp;$C362,data!$A:$U,13,FALSE)</f>
        <v>0</v>
      </c>
      <c r="S362" s="3">
        <f ca="1">VLOOKUP($B362&amp;$C362,data!$A:$U,5,FALSE)</f>
        <v>15</v>
      </c>
      <c r="T362" s="3">
        <f ca="1">VLOOKUP($B362&amp;$C362,data!$A:$U,6,FALSE)</f>
        <v>7</v>
      </c>
      <c r="U362" s="3">
        <f ca="1">VLOOKUP($B362&amp;$C362,data!$A:$U,7,FALSE)</f>
        <v>8</v>
      </c>
      <c r="V362" s="16"/>
      <c r="W362" s="9"/>
      <c r="X362" s="9"/>
      <c r="Y362" s="3"/>
      <c r="Z362" s="13">
        <f t="shared" ca="1" si="1"/>
        <v>0.76005648152931826</v>
      </c>
    </row>
    <row r="363" spans="1:26" ht="13" x14ac:dyDescent="0.15">
      <c r="A363" s="3">
        <v>362</v>
      </c>
      <c r="B363" s="3" t="s">
        <v>2</v>
      </c>
      <c r="C363" s="3" t="s">
        <v>1131</v>
      </c>
      <c r="D363" s="10">
        <f t="shared" ca="1" si="0"/>
        <v>0</v>
      </c>
      <c r="E363" s="5">
        <f ca="1">VLOOKUP($B363&amp;$C363,data!$A:$U,20,FALSE)</f>
        <v>44304.4550925925</v>
      </c>
      <c r="F363" s="3" t="str">
        <f ca="1">VLOOKUP($B363&amp;$C363,data!$A:$U,21,FALSE)</f>
        <v>18-04-2021</v>
      </c>
      <c r="G363" s="3">
        <f ca="1">VLOOKUP($B363&amp;$C363,data!$A:$U,17,FALSE)</f>
        <v>3</v>
      </c>
      <c r="H363" s="3">
        <f ca="1">VLOOKUP($B363&amp;$C363,data!$A:$U,18,FALSE)</f>
        <v>0</v>
      </c>
      <c r="I363" s="3">
        <f ca="1">VLOOKUP($B363&amp;$C363,data!$A:$U,19,FALSE)</f>
        <v>3</v>
      </c>
      <c r="J363" s="3">
        <f ca="1">VLOOKUP($B363&amp;$C363,data!$A:$U,14,FALSE)</f>
        <v>3</v>
      </c>
      <c r="K363" s="3">
        <f ca="1">VLOOKUP($B363&amp;$C363,data!$A:$U,15,FALSE)</f>
        <v>3</v>
      </c>
      <c r="L363" s="3">
        <f ca="1">VLOOKUP($B363&amp;$C363,data!$A:$U,16,FALSE)</f>
        <v>0</v>
      </c>
      <c r="M363" s="3">
        <f ca="1">VLOOKUP($B363&amp;$C363,data!$A:$U,8,FALSE)</f>
        <v>26</v>
      </c>
      <c r="N363" s="3">
        <f ca="1">VLOOKUP($B363&amp;$C363,data!$A:$U,9,FALSE)</f>
        <v>26</v>
      </c>
      <c r="O363" s="3">
        <f ca="1">VLOOKUP($B363&amp;$C363,data!$A:$U,10,FALSE)</f>
        <v>0</v>
      </c>
      <c r="P363" s="3">
        <f ca="1">VLOOKUP($B363&amp;$C363,data!$A:$U,11,FALSE)</f>
        <v>0</v>
      </c>
      <c r="Q363" s="3">
        <f ca="1">VLOOKUP($B363&amp;$C363,data!$A:$U,12,FALSE)</f>
        <v>0</v>
      </c>
      <c r="R363" s="3">
        <f ca="1">VLOOKUP($B363&amp;$C363,data!$A:$U,13,FALSE)</f>
        <v>0</v>
      </c>
      <c r="S363" s="3">
        <f ca="1">VLOOKUP($B363&amp;$C363,data!$A:$U,5,FALSE)</f>
        <v>29</v>
      </c>
      <c r="T363" s="3">
        <f ca="1">VLOOKUP($B363&amp;$C363,data!$A:$U,6,FALSE)</f>
        <v>29</v>
      </c>
      <c r="U363" s="3">
        <f ca="1">VLOOKUP($B363&amp;$C363,data!$A:$U,7,FALSE)</f>
        <v>0</v>
      </c>
      <c r="V363" s="18" t="s">
        <v>1132</v>
      </c>
      <c r="W363" s="17" t="s">
        <v>1133</v>
      </c>
      <c r="X363" s="12" t="s">
        <v>1134</v>
      </c>
      <c r="Y363" s="4" t="s">
        <v>1135</v>
      </c>
      <c r="Z363" s="13">
        <f t="shared" ca="1" si="1"/>
        <v>1.6318157408313709</v>
      </c>
    </row>
    <row r="364" spans="1:26" ht="13" x14ac:dyDescent="0.15">
      <c r="A364" s="3">
        <v>363</v>
      </c>
      <c r="B364" s="3" t="s">
        <v>4</v>
      </c>
      <c r="C364" s="3" t="s">
        <v>1136</v>
      </c>
      <c r="D364" s="10">
        <f t="shared" ca="1" si="0"/>
        <v>0.2</v>
      </c>
      <c r="E364" s="5">
        <f ca="1">VLOOKUP($B364&amp;$C364,data!$A:$U,20,FALSE)</f>
        <v>44305.324537036999</v>
      </c>
      <c r="F364" s="3" t="str">
        <f ca="1">VLOOKUP($B364&amp;$C364,data!$A:$U,21,FALSE)</f>
        <v>19.04.2021</v>
      </c>
      <c r="G364" s="3">
        <f ca="1">VLOOKUP($B364&amp;$C364,data!$A:$U,17,FALSE)</f>
        <v>0</v>
      </c>
      <c r="H364" s="3">
        <f ca="1">VLOOKUP($B364&amp;$C364,data!$A:$U,18,FALSE)</f>
        <v>0</v>
      </c>
      <c r="I364" s="3">
        <f ca="1">VLOOKUP($B364&amp;$C364,data!$A:$U,19,FALSE)</f>
        <v>0</v>
      </c>
      <c r="J364" s="3">
        <f ca="1">VLOOKUP($B364&amp;$C364,data!$A:$U,14,FALSE)</f>
        <v>0</v>
      </c>
      <c r="K364" s="3">
        <f ca="1">VLOOKUP($B364&amp;$C364,data!$A:$U,15,FALSE)</f>
        <v>0</v>
      </c>
      <c r="L364" s="3">
        <f ca="1">VLOOKUP($B364&amp;$C364,data!$A:$U,16,FALSE)</f>
        <v>0</v>
      </c>
      <c r="M364" s="3">
        <f ca="1">VLOOKUP($B364&amp;$C364,data!$A:$U,8,FALSE)</f>
        <v>15</v>
      </c>
      <c r="N364" s="3">
        <f ca="1">VLOOKUP($B364&amp;$C364,data!$A:$U,9,FALSE)</f>
        <v>11</v>
      </c>
      <c r="O364" s="3">
        <f ca="1">VLOOKUP($B364&amp;$C364,data!$A:$U,10,FALSE)</f>
        <v>4</v>
      </c>
      <c r="P364" s="3">
        <f ca="1">VLOOKUP($B364&amp;$C364,data!$A:$U,11,FALSE)</f>
        <v>5</v>
      </c>
      <c r="Q364" s="3">
        <f ca="1">VLOOKUP($B364&amp;$C364,data!$A:$U,12,FALSE)</f>
        <v>2</v>
      </c>
      <c r="R364" s="3">
        <f ca="1">VLOOKUP($B364&amp;$C364,data!$A:$U,13,FALSE)</f>
        <v>3</v>
      </c>
      <c r="S364" s="3">
        <f ca="1">VLOOKUP($B364&amp;$C364,data!$A:$U,5,FALSE)</f>
        <v>20</v>
      </c>
      <c r="T364" s="3">
        <f ca="1">VLOOKUP($B364&amp;$C364,data!$A:$U,6,FALSE)</f>
        <v>19</v>
      </c>
      <c r="U364" s="3">
        <f ca="1">VLOOKUP($B364&amp;$C364,data!$A:$U,7,FALSE)</f>
        <v>1</v>
      </c>
      <c r="V364" s="16"/>
      <c r="W364" s="9"/>
      <c r="X364" s="9"/>
      <c r="Y364" s="3"/>
      <c r="Z364" s="13">
        <f t="shared" ca="1" si="1"/>
        <v>0.76237129633227596</v>
      </c>
    </row>
    <row r="365" spans="1:26" ht="13" x14ac:dyDescent="0.15">
      <c r="A365" s="3">
        <v>364</v>
      </c>
      <c r="B365" s="3" t="s">
        <v>17</v>
      </c>
      <c r="C365" s="3" t="s">
        <v>1137</v>
      </c>
      <c r="D365" s="10">
        <f t="shared" ca="1" si="0"/>
        <v>0.51111111111111107</v>
      </c>
      <c r="E365" s="5">
        <f ca="1">VLOOKUP($B365&amp;$C365,data!$A:$U,20,FALSE)</f>
        <v>44304.307847222197</v>
      </c>
      <c r="F365" s="3" t="str">
        <f ca="1">VLOOKUP($B365&amp;$C365,data!$A:$U,21,FALSE)</f>
        <v>Report Submitted on 18. 04.2021</v>
      </c>
      <c r="G365" s="3">
        <f ca="1">VLOOKUP($B365&amp;$C365,data!$A:$U,17,FALSE)</f>
        <v>1</v>
      </c>
      <c r="H365" s="3">
        <f ca="1">VLOOKUP($B365&amp;$C365,data!$A:$U,18,FALSE)</f>
        <v>0</v>
      </c>
      <c r="I365" s="3">
        <f ca="1">VLOOKUP($B365&amp;$C365,data!$A:$U,19,FALSE)</f>
        <v>1</v>
      </c>
      <c r="J365" s="3">
        <f ca="1">VLOOKUP($B365&amp;$C365,data!$A:$U,14,FALSE)</f>
        <v>5</v>
      </c>
      <c r="K365" s="3">
        <f ca="1">VLOOKUP($B365&amp;$C365,data!$A:$U,15,FALSE)</f>
        <v>0</v>
      </c>
      <c r="L365" s="3">
        <f ca="1">VLOOKUP($B365&amp;$C365,data!$A:$U,16,FALSE)</f>
        <v>5</v>
      </c>
      <c r="M365" s="3">
        <f ca="1">VLOOKUP($B365&amp;$C365,data!$A:$U,8,FALSE)</f>
        <v>7</v>
      </c>
      <c r="N365" s="3">
        <f ca="1">VLOOKUP($B365&amp;$C365,data!$A:$U,9,FALSE)</f>
        <v>7</v>
      </c>
      <c r="O365" s="3">
        <f ca="1">VLOOKUP($B365&amp;$C365,data!$A:$U,10,FALSE)</f>
        <v>0</v>
      </c>
      <c r="P365" s="3">
        <f ca="1">VLOOKUP($B365&amp;$C365,data!$A:$U,11,FALSE)</f>
        <v>13</v>
      </c>
      <c r="Q365" s="3">
        <f ca="1">VLOOKUP($B365&amp;$C365,data!$A:$U,12,FALSE)</f>
        <v>4</v>
      </c>
      <c r="R365" s="3">
        <f ca="1">VLOOKUP($B365&amp;$C365,data!$A:$U,13,FALSE)</f>
        <v>9</v>
      </c>
      <c r="S365" s="3">
        <f ca="1">VLOOKUP($B365&amp;$C365,data!$A:$U,5,FALSE)</f>
        <v>20</v>
      </c>
      <c r="T365" s="3">
        <f ca="1">VLOOKUP($B365&amp;$C365,data!$A:$U,6,FALSE)</f>
        <v>11</v>
      </c>
      <c r="U365" s="3">
        <f ca="1">VLOOKUP($B365&amp;$C365,data!$A:$U,7,FALSE)</f>
        <v>9</v>
      </c>
      <c r="V365" s="18" t="s">
        <v>1138</v>
      </c>
      <c r="W365" s="12" t="s">
        <v>1139</v>
      </c>
      <c r="X365" s="12" t="s">
        <v>1140</v>
      </c>
      <c r="Y365" s="4" t="s">
        <v>1141</v>
      </c>
      <c r="Z365" s="13">
        <f t="shared" ca="1" si="1"/>
        <v>1.7790611111340695</v>
      </c>
    </row>
    <row r="366" spans="1:26" ht="13" x14ac:dyDescent="0.15">
      <c r="A366" s="3">
        <v>365</v>
      </c>
      <c r="B366" s="3" t="s">
        <v>13</v>
      </c>
      <c r="C366" s="3" t="s">
        <v>1142</v>
      </c>
      <c r="D366" s="10">
        <f t="shared" ca="1" si="0"/>
        <v>0.32</v>
      </c>
      <c r="E366" s="5">
        <f ca="1">VLOOKUP($B366&amp;$C366,data!$A:$U,20,FALSE)</f>
        <v>44305.435162037</v>
      </c>
      <c r="F366" s="3" t="str">
        <f ca="1">VLOOKUP($B366&amp;$C366,data!$A:$U,21,FALSE)</f>
        <v>Nil</v>
      </c>
      <c r="G366" s="3">
        <f ca="1">VLOOKUP($B366&amp;$C366,data!$A:$U,17,FALSE)</f>
        <v>0</v>
      </c>
      <c r="H366" s="3">
        <f ca="1">VLOOKUP($B366&amp;$C366,data!$A:$U,18,FALSE)</f>
        <v>0</v>
      </c>
      <c r="I366" s="3">
        <f ca="1">VLOOKUP($B366&amp;$C366,data!$A:$U,19,FALSE)</f>
        <v>0</v>
      </c>
      <c r="J366" s="3">
        <f ca="1">VLOOKUP($B366&amp;$C366,data!$A:$U,14,FALSE)</f>
        <v>0</v>
      </c>
      <c r="K366" s="3">
        <f ca="1">VLOOKUP($B366&amp;$C366,data!$A:$U,15,FALSE)</f>
        <v>0</v>
      </c>
      <c r="L366" s="3">
        <f ca="1">VLOOKUP($B366&amp;$C366,data!$A:$U,16,FALSE)</f>
        <v>0</v>
      </c>
      <c r="M366" s="3">
        <f ca="1">VLOOKUP($B366&amp;$C366,data!$A:$U,8,FALSE)</f>
        <v>0</v>
      </c>
      <c r="N366" s="3">
        <f ca="1">VLOOKUP($B366&amp;$C366,data!$A:$U,9,FALSE)</f>
        <v>0</v>
      </c>
      <c r="O366" s="3">
        <f ca="1">VLOOKUP($B366&amp;$C366,data!$A:$U,10,FALSE)</f>
        <v>0</v>
      </c>
      <c r="P366" s="3">
        <f ca="1">VLOOKUP($B366&amp;$C366,data!$A:$U,11,FALSE)</f>
        <v>0</v>
      </c>
      <c r="Q366" s="3">
        <f ca="1">VLOOKUP($B366&amp;$C366,data!$A:$U,12,FALSE)</f>
        <v>0</v>
      </c>
      <c r="R366" s="3">
        <f ca="1">VLOOKUP($B366&amp;$C366,data!$A:$U,13,FALSE)</f>
        <v>0</v>
      </c>
      <c r="S366" s="3">
        <f ca="1">VLOOKUP($B366&amp;$C366,data!$A:$U,5,FALSE)</f>
        <v>50</v>
      </c>
      <c r="T366" s="3">
        <f ca="1">VLOOKUP($B366&amp;$C366,data!$A:$U,6,FALSE)</f>
        <v>34</v>
      </c>
      <c r="U366" s="3">
        <f ca="1">VLOOKUP($B366&amp;$C366,data!$A:$U,7,FALSE)</f>
        <v>16</v>
      </c>
      <c r="V366" s="16"/>
      <c r="W366" s="9"/>
      <c r="X366" s="9"/>
      <c r="Y366" s="3"/>
      <c r="Z366" s="13">
        <f t="shared" ca="1" si="1"/>
        <v>0.65174629633111181</v>
      </c>
    </row>
    <row r="367" spans="1:26" ht="13" x14ac:dyDescent="0.15">
      <c r="A367" s="3">
        <v>366</v>
      </c>
      <c r="B367" s="3" t="s">
        <v>21</v>
      </c>
      <c r="C367" s="3" t="s">
        <v>1143</v>
      </c>
      <c r="D367" s="10">
        <f t="shared" ca="1" si="0"/>
        <v>0</v>
      </c>
      <c r="E367" s="5">
        <f ca="1">VLOOKUP($B367&amp;$C367,data!$A:$U,20,FALSE)</f>
        <v>44305.502858796201</v>
      </c>
      <c r="F367" s="3" t="str">
        <f ca="1">VLOOKUP($B367&amp;$C367,data!$A:$U,21,FALSE)</f>
        <v>Nil.</v>
      </c>
      <c r="G367" s="3">
        <f ca="1">VLOOKUP($B367&amp;$C367,data!$A:$U,17,FALSE)</f>
        <v>0</v>
      </c>
      <c r="H367" s="3">
        <f ca="1">VLOOKUP($B367&amp;$C367,data!$A:$U,18,FALSE)</f>
        <v>0</v>
      </c>
      <c r="I367" s="3">
        <f ca="1">VLOOKUP($B367&amp;$C367,data!$A:$U,19,FALSE)</f>
        <v>0</v>
      </c>
      <c r="J367" s="3">
        <f ca="1">VLOOKUP($B367&amp;$C367,data!$A:$U,14,FALSE)</f>
        <v>0</v>
      </c>
      <c r="K367" s="3">
        <f ca="1">VLOOKUP($B367&amp;$C367,data!$A:$U,15,FALSE)</f>
        <v>0</v>
      </c>
      <c r="L367" s="3">
        <f ca="1">VLOOKUP($B367&amp;$C367,data!$A:$U,16,FALSE)</f>
        <v>0</v>
      </c>
      <c r="M367" s="3">
        <f ca="1">VLOOKUP($B367&amp;$C367,data!$A:$U,8,FALSE)</f>
        <v>0</v>
      </c>
      <c r="N367" s="3">
        <f ca="1">VLOOKUP($B367&amp;$C367,data!$A:$U,9,FALSE)</f>
        <v>0</v>
      </c>
      <c r="O367" s="3">
        <f ca="1">VLOOKUP($B367&amp;$C367,data!$A:$U,10,FALSE)</f>
        <v>0</v>
      </c>
      <c r="P367" s="3">
        <f ca="1">VLOOKUP($B367&amp;$C367,data!$A:$U,11,FALSE)</f>
        <v>0</v>
      </c>
      <c r="Q367" s="3">
        <f ca="1">VLOOKUP($B367&amp;$C367,data!$A:$U,12,FALSE)</f>
        <v>0</v>
      </c>
      <c r="R367" s="3">
        <f ca="1">VLOOKUP($B367&amp;$C367,data!$A:$U,13,FALSE)</f>
        <v>0</v>
      </c>
      <c r="S367" s="3">
        <f ca="1">VLOOKUP($B367&amp;$C367,data!$A:$U,5,FALSE)</f>
        <v>6</v>
      </c>
      <c r="T367" s="3">
        <f ca="1">VLOOKUP($B367&amp;$C367,data!$A:$U,6,FALSE)</f>
        <v>3</v>
      </c>
      <c r="U367" s="3">
        <f ca="1">VLOOKUP($B367&amp;$C367,data!$A:$U,7,FALSE)</f>
        <v>0</v>
      </c>
      <c r="V367" s="16"/>
      <c r="W367" s="9"/>
      <c r="X367" s="9"/>
      <c r="Y367" s="3"/>
      <c r="Z367" s="13">
        <f t="shared" ca="1" si="1"/>
        <v>0.58404953713034047</v>
      </c>
    </row>
    <row r="368" spans="1:26" ht="13" x14ac:dyDescent="0.15">
      <c r="A368" s="3">
        <v>367</v>
      </c>
      <c r="B368" s="3" t="s">
        <v>13</v>
      </c>
      <c r="C368" s="3" t="s">
        <v>1144</v>
      </c>
      <c r="D368" s="10">
        <f t="shared" ca="1" si="0"/>
        <v>0.92500000000000004</v>
      </c>
      <c r="E368" s="5">
        <f ca="1">VLOOKUP($B368&amp;$C368,data!$A:$U,20,FALSE)</f>
        <v>44172.370706018497</v>
      </c>
      <c r="F368" s="3" t="str">
        <f ca="1">VLOOKUP($B368&amp;$C368,data!$A:$U,21,FALSE)</f>
        <v>Nil</v>
      </c>
      <c r="G368" s="3">
        <f ca="1">VLOOKUP($B368&amp;$C368,data!$A:$U,17,FALSE)</f>
        <v>0</v>
      </c>
      <c r="H368" s="3">
        <f ca="1">VLOOKUP($B368&amp;$C368,data!$A:$U,18,FALSE)</f>
        <v>0</v>
      </c>
      <c r="I368" s="3">
        <f ca="1">VLOOKUP($B368&amp;$C368,data!$A:$U,19,FALSE)</f>
        <v>0</v>
      </c>
      <c r="J368" s="3">
        <f ca="1">VLOOKUP($B368&amp;$C368,data!$A:$U,14,FALSE)</f>
        <v>0</v>
      </c>
      <c r="K368" s="3">
        <f ca="1">VLOOKUP($B368&amp;$C368,data!$A:$U,15,FALSE)</f>
        <v>0</v>
      </c>
      <c r="L368" s="3">
        <f ca="1">VLOOKUP($B368&amp;$C368,data!$A:$U,16,FALSE)</f>
        <v>0</v>
      </c>
      <c r="M368" s="3">
        <f ca="1">VLOOKUP($B368&amp;$C368,data!$A:$U,8,FALSE)</f>
        <v>40</v>
      </c>
      <c r="N368" s="3">
        <f ca="1">VLOOKUP($B368&amp;$C368,data!$A:$U,9,FALSE)</f>
        <v>3</v>
      </c>
      <c r="O368" s="3">
        <f ca="1">VLOOKUP($B368&amp;$C368,data!$A:$U,10,FALSE)</f>
        <v>37</v>
      </c>
      <c r="P368" s="3">
        <f ca="1">VLOOKUP($B368&amp;$C368,data!$A:$U,11,FALSE)</f>
        <v>0</v>
      </c>
      <c r="Q368" s="3">
        <f ca="1">VLOOKUP($B368&amp;$C368,data!$A:$U,12,FALSE)</f>
        <v>0</v>
      </c>
      <c r="R368" s="3">
        <f ca="1">VLOOKUP($B368&amp;$C368,data!$A:$U,13,FALSE)</f>
        <v>0</v>
      </c>
      <c r="S368" s="3">
        <f ca="1">VLOOKUP($B368&amp;$C368,data!$A:$U,5,FALSE)</f>
        <v>40</v>
      </c>
      <c r="T368" s="3">
        <f ca="1">VLOOKUP($B368&amp;$C368,data!$A:$U,6,FALSE)</f>
        <v>3</v>
      </c>
      <c r="U368" s="3">
        <f ca="1">VLOOKUP($B368&amp;$C368,data!$A:$U,7,FALSE)</f>
        <v>37</v>
      </c>
      <c r="V368" s="16"/>
      <c r="W368" s="9"/>
      <c r="X368" s="9"/>
      <c r="Y368" s="3"/>
      <c r="Z368" s="13">
        <f t="shared" ca="1" si="1"/>
        <v>133.71620231483394</v>
      </c>
    </row>
    <row r="369" spans="1:26" ht="13" x14ac:dyDescent="0.15">
      <c r="A369" s="3">
        <v>368</v>
      </c>
      <c r="B369" s="3" t="s">
        <v>34</v>
      </c>
      <c r="C369" s="3" t="s">
        <v>1145</v>
      </c>
      <c r="D369" s="10">
        <f t="shared" ca="1" si="0"/>
        <v>7.0422535211267609E-2</v>
      </c>
      <c r="E369" s="5">
        <f ca="1">VLOOKUP($B369&amp;$C369,data!$A:$U,20,FALSE)</f>
        <v>44305.410729166601</v>
      </c>
      <c r="F369" s="3" t="str">
        <f ca="1">VLOOKUP($B369&amp;$C369,data!$A:$U,21,FALSE)</f>
        <v>updated on 19/04/2021</v>
      </c>
      <c r="G369" s="3">
        <f ca="1">VLOOKUP($B369&amp;$C369,data!$A:$U,17,FALSE)</f>
        <v>25</v>
      </c>
      <c r="H369" s="3">
        <f ca="1">VLOOKUP($B369&amp;$C369,data!$A:$U,18,FALSE)</f>
        <v>10</v>
      </c>
      <c r="I369" s="3">
        <f ca="1">VLOOKUP($B369&amp;$C369,data!$A:$U,19,FALSE)</f>
        <v>15</v>
      </c>
      <c r="J369" s="3">
        <f ca="1">VLOOKUP($B369&amp;$C369,data!$A:$U,14,FALSE)</f>
        <v>25</v>
      </c>
      <c r="K369" s="3">
        <f ca="1">VLOOKUP($B369&amp;$C369,data!$A:$U,15,FALSE)</f>
        <v>24</v>
      </c>
      <c r="L369" s="3">
        <f ca="1">VLOOKUP($B369&amp;$C369,data!$A:$U,16,FALSE)</f>
        <v>1</v>
      </c>
      <c r="M369" s="3">
        <f ca="1">VLOOKUP($B369&amp;$C369,data!$A:$U,8,FALSE)</f>
        <v>117</v>
      </c>
      <c r="N369" s="3">
        <f ca="1">VLOOKUP($B369&amp;$C369,data!$A:$U,9,FALSE)</f>
        <v>108</v>
      </c>
      <c r="O369" s="3">
        <f ca="1">VLOOKUP($B369&amp;$C369,data!$A:$U,10,FALSE)</f>
        <v>9</v>
      </c>
      <c r="P369" s="3">
        <f ca="1">VLOOKUP($B369&amp;$C369,data!$A:$U,11,FALSE)</f>
        <v>0</v>
      </c>
      <c r="Q369" s="3">
        <f ca="1">VLOOKUP($B369&amp;$C369,data!$A:$U,12,FALSE)</f>
        <v>0</v>
      </c>
      <c r="R369" s="3">
        <f ca="1">VLOOKUP($B369&amp;$C369,data!$A:$U,13,FALSE)</f>
        <v>0</v>
      </c>
      <c r="S369" s="3">
        <f ca="1">VLOOKUP($B369&amp;$C369,data!$A:$U,5,FALSE)</f>
        <v>142</v>
      </c>
      <c r="T369" s="3">
        <f ca="1">VLOOKUP($B369&amp;$C369,data!$A:$U,6,FALSE)</f>
        <v>132</v>
      </c>
      <c r="U369" s="3">
        <f ca="1">VLOOKUP($B369&amp;$C369,data!$A:$U,7,FALSE)</f>
        <v>10</v>
      </c>
      <c r="V369" s="18" t="s">
        <v>1146</v>
      </c>
      <c r="W369" s="12" t="s">
        <v>1147</v>
      </c>
      <c r="X369" s="12" t="s">
        <v>1148</v>
      </c>
      <c r="Y369" s="4" t="s">
        <v>1149</v>
      </c>
      <c r="Z369" s="13">
        <f t="shared" ca="1" si="1"/>
        <v>0.6761791667304351</v>
      </c>
    </row>
    <row r="370" spans="1:26" ht="13" x14ac:dyDescent="0.15">
      <c r="A370" s="3">
        <v>369</v>
      </c>
      <c r="B370" s="3" t="s">
        <v>13</v>
      </c>
      <c r="C370" s="3" t="s">
        <v>1150</v>
      </c>
      <c r="D370" s="10">
        <f t="shared" ca="1" si="0"/>
        <v>0.83333333333333337</v>
      </c>
      <c r="E370" s="5">
        <f ca="1">VLOOKUP($B370&amp;$C370,data!$A:$U,20,FALSE)</f>
        <v>44301.418923611098</v>
      </c>
      <c r="F370" s="3" t="str">
        <f ca="1">VLOOKUP($B370&amp;$C370,data!$A:$U,21,FALSE)</f>
        <v>NIL nil. NIL</v>
      </c>
      <c r="G370" s="3">
        <f ca="1">VLOOKUP($B370&amp;$C370,data!$A:$U,17,FALSE)</f>
        <v>1</v>
      </c>
      <c r="H370" s="3">
        <f ca="1">VLOOKUP($B370&amp;$C370,data!$A:$U,18,FALSE)</f>
        <v>0</v>
      </c>
      <c r="I370" s="3">
        <f ca="1">VLOOKUP($B370&amp;$C370,data!$A:$U,19,FALSE)</f>
        <v>1</v>
      </c>
      <c r="J370" s="3">
        <f ca="1">VLOOKUP($B370&amp;$C370,data!$A:$U,14,FALSE)</f>
        <v>0</v>
      </c>
      <c r="K370" s="3">
        <f ca="1">VLOOKUP($B370&amp;$C370,data!$A:$U,15,FALSE)</f>
        <v>0</v>
      </c>
      <c r="L370" s="3">
        <f ca="1">VLOOKUP($B370&amp;$C370,data!$A:$U,16,FALSE)</f>
        <v>0</v>
      </c>
      <c r="M370" s="3">
        <f ca="1">VLOOKUP($B370&amp;$C370,data!$A:$U,8,FALSE)</f>
        <v>20</v>
      </c>
      <c r="N370" s="3">
        <f ca="1">VLOOKUP($B370&amp;$C370,data!$A:$U,9,FALSE)</f>
        <v>7</v>
      </c>
      <c r="O370" s="3">
        <f ca="1">VLOOKUP($B370&amp;$C370,data!$A:$U,10,FALSE)</f>
        <v>13</v>
      </c>
      <c r="P370" s="3">
        <f ca="1">VLOOKUP($B370&amp;$C370,data!$A:$U,11,FALSE)</f>
        <v>10</v>
      </c>
      <c r="Q370" s="3">
        <f ca="1">VLOOKUP($B370&amp;$C370,data!$A:$U,12,FALSE)</f>
        <v>3</v>
      </c>
      <c r="R370" s="3">
        <f ca="1">VLOOKUP($B370&amp;$C370,data!$A:$U,13,FALSE)</f>
        <v>7</v>
      </c>
      <c r="S370" s="3">
        <f ca="1">VLOOKUP($B370&amp;$C370,data!$A:$U,5,FALSE)</f>
        <v>30</v>
      </c>
      <c r="T370" s="3">
        <f ca="1">VLOOKUP($B370&amp;$C370,data!$A:$U,6,FALSE)</f>
        <v>0</v>
      </c>
      <c r="U370" s="3">
        <f ca="1">VLOOKUP($B370&amp;$C370,data!$A:$U,7,FALSE)</f>
        <v>30</v>
      </c>
      <c r="V370" s="18" t="s">
        <v>1151</v>
      </c>
      <c r="W370" s="12" t="s">
        <v>1152</v>
      </c>
      <c r="X370" s="12" t="s">
        <v>1153</v>
      </c>
      <c r="Y370" s="4" t="s">
        <v>1154</v>
      </c>
      <c r="Z370" s="13">
        <f t="shared" ca="1" si="1"/>
        <v>4.6679847222330864</v>
      </c>
    </row>
    <row r="371" spans="1:26" ht="13" x14ac:dyDescent="0.15">
      <c r="A371" s="3">
        <v>370</v>
      </c>
      <c r="B371" s="3" t="s">
        <v>4</v>
      </c>
      <c r="C371" s="3" t="s">
        <v>1155</v>
      </c>
      <c r="D371" s="10">
        <f t="shared" ca="1" si="0"/>
        <v>0</v>
      </c>
      <c r="E371" s="5">
        <f ca="1">VLOOKUP($B371&amp;$C371,data!$A:$U,20,FALSE)</f>
        <v>44305.431851851798</v>
      </c>
      <c r="F371" s="3" t="str">
        <f ca="1">VLOOKUP($B371&amp;$C371,data!$A:$U,21,FALSE)</f>
        <v>19/04/2021</v>
      </c>
      <c r="G371" s="3">
        <f ca="1">VLOOKUP($B371&amp;$C371,data!$A:$U,17,FALSE)</f>
        <v>1</v>
      </c>
      <c r="H371" s="3">
        <f ca="1">VLOOKUP($B371&amp;$C371,data!$A:$U,18,FALSE)</f>
        <v>0</v>
      </c>
      <c r="I371" s="3">
        <f ca="1">VLOOKUP($B371&amp;$C371,data!$A:$U,19,FALSE)</f>
        <v>1</v>
      </c>
      <c r="J371" s="3">
        <f ca="1">VLOOKUP($B371&amp;$C371,data!$A:$U,14,FALSE)</f>
        <v>2</v>
      </c>
      <c r="K371" s="3">
        <f ca="1">VLOOKUP($B371&amp;$C371,data!$A:$U,15,FALSE)</f>
        <v>2</v>
      </c>
      <c r="L371" s="3">
        <f ca="1">VLOOKUP($B371&amp;$C371,data!$A:$U,16,FALSE)</f>
        <v>0</v>
      </c>
      <c r="M371" s="3">
        <f ca="1">VLOOKUP($B371&amp;$C371,data!$A:$U,8,FALSE)</f>
        <v>4</v>
      </c>
      <c r="N371" s="3">
        <f ca="1">VLOOKUP($B371&amp;$C371,data!$A:$U,9,FALSE)</f>
        <v>4</v>
      </c>
      <c r="O371" s="3">
        <f ca="1">VLOOKUP($B371&amp;$C371,data!$A:$U,10,FALSE)</f>
        <v>0</v>
      </c>
      <c r="P371" s="3">
        <f ca="1">VLOOKUP($B371&amp;$C371,data!$A:$U,11,FALSE)</f>
        <v>2</v>
      </c>
      <c r="Q371" s="3">
        <f ca="1">VLOOKUP($B371&amp;$C371,data!$A:$U,12,FALSE)</f>
        <v>2</v>
      </c>
      <c r="R371" s="3">
        <f ca="1">VLOOKUP($B371&amp;$C371,data!$A:$U,13,FALSE)</f>
        <v>0</v>
      </c>
      <c r="S371" s="3">
        <f ca="1">VLOOKUP($B371&amp;$C371,data!$A:$U,5,FALSE)</f>
        <v>8</v>
      </c>
      <c r="T371" s="3">
        <f ca="1">VLOOKUP($B371&amp;$C371,data!$A:$U,6,FALSE)</f>
        <v>8</v>
      </c>
      <c r="U371" s="3">
        <f ca="1">VLOOKUP($B371&amp;$C371,data!$A:$U,7,FALSE)</f>
        <v>0</v>
      </c>
      <c r="V371" s="18" t="s">
        <v>1156</v>
      </c>
      <c r="W371" s="12" t="s">
        <v>1157</v>
      </c>
      <c r="X371" s="9"/>
      <c r="Y371" s="4" t="s">
        <v>1158</v>
      </c>
      <c r="Z371" s="13">
        <f t="shared" ca="1" si="1"/>
        <v>0.6550564815333928</v>
      </c>
    </row>
    <row r="372" spans="1:26" ht="13" x14ac:dyDescent="0.15">
      <c r="A372" s="3">
        <v>371</v>
      </c>
      <c r="B372" s="3" t="s">
        <v>30</v>
      </c>
      <c r="C372" s="3" t="s">
        <v>1159</v>
      </c>
      <c r="D372" s="10">
        <f t="shared" ca="1" si="0"/>
        <v>7.1428571428571425E-2</v>
      </c>
      <c r="E372" s="5">
        <f ca="1">VLOOKUP($B372&amp;$C372,data!$A:$U,20,FALSE)</f>
        <v>44305.487534722197</v>
      </c>
      <c r="F372" s="3">
        <f ca="1">VLOOKUP($B372&amp;$C372,data!$A:$U,21,FALSE)</f>
        <v>0</v>
      </c>
      <c r="G372" s="3">
        <f ca="1">VLOOKUP($B372&amp;$C372,data!$A:$U,17,FALSE)</f>
        <v>1</v>
      </c>
      <c r="H372" s="3">
        <f ca="1">VLOOKUP($B372&amp;$C372,data!$A:$U,18,FALSE)</f>
        <v>0</v>
      </c>
      <c r="I372" s="3">
        <f ca="1">VLOOKUP($B372&amp;$C372,data!$A:$U,19,FALSE)</f>
        <v>1</v>
      </c>
      <c r="J372" s="3">
        <f ca="1">VLOOKUP($B372&amp;$C372,data!$A:$U,14,FALSE)</f>
        <v>6</v>
      </c>
      <c r="K372" s="3">
        <f ca="1">VLOOKUP($B372&amp;$C372,data!$A:$U,15,FALSE)</f>
        <v>4</v>
      </c>
      <c r="L372" s="3">
        <f ca="1">VLOOKUP($B372&amp;$C372,data!$A:$U,16,FALSE)</f>
        <v>2</v>
      </c>
      <c r="M372" s="3">
        <f ca="1">VLOOKUP($B372&amp;$C372,data!$A:$U,8,FALSE)</f>
        <v>8</v>
      </c>
      <c r="N372" s="3">
        <f ca="1">VLOOKUP($B372&amp;$C372,data!$A:$U,9,FALSE)</f>
        <v>8</v>
      </c>
      <c r="O372" s="3">
        <f ca="1">VLOOKUP($B372&amp;$C372,data!$A:$U,10,FALSE)</f>
        <v>0</v>
      </c>
      <c r="P372" s="3">
        <f ca="1">VLOOKUP($B372&amp;$C372,data!$A:$U,11,FALSE)</f>
        <v>0</v>
      </c>
      <c r="Q372" s="3">
        <f ca="1">VLOOKUP($B372&amp;$C372,data!$A:$U,12,FALSE)</f>
        <v>0</v>
      </c>
      <c r="R372" s="3">
        <f ca="1">VLOOKUP($B372&amp;$C372,data!$A:$U,13,FALSE)</f>
        <v>0</v>
      </c>
      <c r="S372" s="3">
        <f ca="1">VLOOKUP($B372&amp;$C372,data!$A:$U,5,FALSE)</f>
        <v>14</v>
      </c>
      <c r="T372" s="3">
        <f ca="1">VLOOKUP($B372&amp;$C372,data!$A:$U,6,FALSE)</f>
        <v>14</v>
      </c>
      <c r="U372" s="3">
        <f ca="1">VLOOKUP($B372&amp;$C372,data!$A:$U,7,FALSE)</f>
        <v>0</v>
      </c>
      <c r="V372" s="18" t="s">
        <v>1160</v>
      </c>
      <c r="W372" s="12" t="s">
        <v>1161</v>
      </c>
      <c r="X372" s="12" t="s">
        <v>1162</v>
      </c>
      <c r="Y372" s="4" t="s">
        <v>1163</v>
      </c>
      <c r="Z372" s="13">
        <f t="shared" ca="1" si="1"/>
        <v>0.59937361113406951</v>
      </c>
    </row>
    <row r="373" spans="1:26" ht="13" x14ac:dyDescent="0.15">
      <c r="A373" s="3">
        <v>372</v>
      </c>
      <c r="B373" s="3" t="s">
        <v>4</v>
      </c>
      <c r="C373" s="3" t="s">
        <v>1164</v>
      </c>
      <c r="D373" s="10">
        <f t="shared" ca="1" si="0"/>
        <v>0.37142857142857144</v>
      </c>
      <c r="E373" s="5">
        <f ca="1">VLOOKUP($B373&amp;$C373,data!$A:$U,20,FALSE)</f>
        <v>44305.382997685098</v>
      </c>
      <c r="F373" s="3" t="str">
        <f ca="1">VLOOKUP($B373&amp;$C373,data!$A:$U,21,FALSE)</f>
        <v>19/04/2021</v>
      </c>
      <c r="G373" s="3">
        <f ca="1">VLOOKUP($B373&amp;$C373,data!$A:$U,17,FALSE)</f>
        <v>0</v>
      </c>
      <c r="H373" s="3">
        <f ca="1">VLOOKUP($B373&amp;$C373,data!$A:$U,18,FALSE)</f>
        <v>0</v>
      </c>
      <c r="I373" s="3">
        <f ca="1">VLOOKUP($B373&amp;$C373,data!$A:$U,19,FALSE)</f>
        <v>0</v>
      </c>
      <c r="J373" s="3">
        <f ca="1">VLOOKUP($B373&amp;$C373,data!$A:$U,14,FALSE)</f>
        <v>5</v>
      </c>
      <c r="K373" s="3">
        <f ca="1">VLOOKUP($B373&amp;$C373,data!$A:$U,15,FALSE)</f>
        <v>4</v>
      </c>
      <c r="L373" s="3">
        <f ca="1">VLOOKUP($B373&amp;$C373,data!$A:$U,16,FALSE)</f>
        <v>1</v>
      </c>
      <c r="M373" s="3">
        <f ca="1">VLOOKUP($B373&amp;$C373,data!$A:$U,8,FALSE)</f>
        <v>15</v>
      </c>
      <c r="N373" s="3">
        <f ca="1">VLOOKUP($B373&amp;$C373,data!$A:$U,9,FALSE)</f>
        <v>3</v>
      </c>
      <c r="O373" s="3">
        <f ca="1">VLOOKUP($B373&amp;$C373,data!$A:$U,10,FALSE)</f>
        <v>12</v>
      </c>
      <c r="P373" s="3">
        <f ca="1">VLOOKUP($B373&amp;$C373,data!$A:$U,11,FALSE)</f>
        <v>0</v>
      </c>
      <c r="Q373" s="3">
        <f ca="1">VLOOKUP($B373&amp;$C373,data!$A:$U,12,FALSE)</f>
        <v>0</v>
      </c>
      <c r="R373" s="3">
        <f ca="1">VLOOKUP($B373&amp;$C373,data!$A:$U,13,FALSE)</f>
        <v>0</v>
      </c>
      <c r="S373" s="3">
        <f ca="1">VLOOKUP($B373&amp;$C373,data!$A:$U,5,FALSE)</f>
        <v>15</v>
      </c>
      <c r="T373" s="3">
        <f ca="1">VLOOKUP($B373&amp;$C373,data!$A:$U,6,FALSE)</f>
        <v>15</v>
      </c>
      <c r="U373" s="3">
        <f ca="1">VLOOKUP($B373&amp;$C373,data!$A:$U,7,FALSE)</f>
        <v>0</v>
      </c>
      <c r="V373" s="16"/>
      <c r="W373" s="9"/>
      <c r="X373" s="9"/>
      <c r="Y373" s="3"/>
      <c r="Z373" s="13">
        <f t="shared" ca="1" si="1"/>
        <v>0.70391064823343186</v>
      </c>
    </row>
    <row r="374" spans="1:26" ht="13" x14ac:dyDescent="0.15">
      <c r="A374" s="3">
        <v>373</v>
      </c>
      <c r="B374" s="3" t="s">
        <v>4</v>
      </c>
      <c r="C374" s="3" t="s">
        <v>1165</v>
      </c>
      <c r="D374" s="10">
        <f t="shared" ca="1" si="0"/>
        <v>0.42857142857142855</v>
      </c>
      <c r="E374" s="5">
        <f ca="1">VLOOKUP($B374&amp;$C374,data!$A:$U,20,FALSE)</f>
        <v>44305.665543981399</v>
      </c>
      <c r="F374" s="3">
        <f ca="1">VLOOKUP($B374&amp;$C374,data!$A:$U,21,FALSE)</f>
        <v>0</v>
      </c>
      <c r="G374" s="3">
        <f ca="1">VLOOKUP($B374&amp;$C374,data!$A:$U,17,FALSE)</f>
        <v>2</v>
      </c>
      <c r="H374" s="3">
        <f ca="1">VLOOKUP($B374&amp;$C374,data!$A:$U,18,FALSE)</f>
        <v>0</v>
      </c>
      <c r="I374" s="3">
        <f ca="1">VLOOKUP($B374&amp;$C374,data!$A:$U,19,FALSE)</f>
        <v>0</v>
      </c>
      <c r="J374" s="3">
        <f ca="1">VLOOKUP($B374&amp;$C374,data!$A:$U,14,FALSE)</f>
        <v>6</v>
      </c>
      <c r="K374" s="3">
        <f ca="1">VLOOKUP($B374&amp;$C374,data!$A:$U,15,FALSE)</f>
        <v>6</v>
      </c>
      <c r="L374" s="3">
        <f ca="1">VLOOKUP($B374&amp;$C374,data!$A:$U,16,FALSE)</f>
        <v>0</v>
      </c>
      <c r="M374" s="3">
        <f ca="1">VLOOKUP($B374&amp;$C374,data!$A:$U,8,FALSE)</f>
        <v>25</v>
      </c>
      <c r="N374" s="3">
        <f ca="1">VLOOKUP($B374&amp;$C374,data!$A:$U,9,FALSE)</f>
        <v>13</v>
      </c>
      <c r="O374" s="3">
        <f ca="1">VLOOKUP($B374&amp;$C374,data!$A:$U,10,FALSE)</f>
        <v>12</v>
      </c>
      <c r="P374" s="3">
        <f ca="1">VLOOKUP($B374&amp;$C374,data!$A:$U,11,FALSE)</f>
        <v>0</v>
      </c>
      <c r="Q374" s="3">
        <f ca="1">VLOOKUP($B374&amp;$C374,data!$A:$U,12,FALSE)</f>
        <v>0</v>
      </c>
      <c r="R374" s="3">
        <f ca="1">VLOOKUP($B374&amp;$C374,data!$A:$U,13,FALSE)</f>
        <v>0</v>
      </c>
      <c r="S374" s="3">
        <f ca="1">VLOOKUP($B374&amp;$C374,data!$A:$U,5,FALSE)</f>
        <v>25</v>
      </c>
      <c r="T374" s="3">
        <f ca="1">VLOOKUP($B374&amp;$C374,data!$A:$U,6,FALSE)</f>
        <v>13</v>
      </c>
      <c r="U374" s="3">
        <f ca="1">VLOOKUP($B374&amp;$C374,data!$A:$U,7,FALSE)</f>
        <v>12</v>
      </c>
      <c r="V374" s="16"/>
      <c r="W374" s="9"/>
      <c r="X374" s="9"/>
      <c r="Y374" s="3"/>
      <c r="Z374" s="13">
        <f t="shared" ca="1" si="1"/>
        <v>0.42136435193242505</v>
      </c>
    </row>
    <row r="375" spans="1:26" ht="13" x14ac:dyDescent="0.15">
      <c r="A375" s="3">
        <v>374</v>
      </c>
      <c r="B375" s="3" t="s">
        <v>4</v>
      </c>
      <c r="C375" s="3" t="s">
        <v>1166</v>
      </c>
      <c r="D375" s="10">
        <f t="shared" ca="1" si="0"/>
        <v>0.24675324675324675</v>
      </c>
      <c r="E375" s="5">
        <f ca="1">VLOOKUP($B375&amp;$C375,data!$A:$U,20,FALSE)</f>
        <v>44305.674537036997</v>
      </c>
      <c r="F375" s="3" t="str">
        <f ca="1">VLOOKUP($B375&amp;$C375,data!$A:$U,21,FALSE)</f>
        <v>Positive cases- 20</v>
      </c>
      <c r="G375" s="3">
        <f ca="1">VLOOKUP($B375&amp;$C375,data!$A:$U,17,FALSE)</f>
        <v>2</v>
      </c>
      <c r="H375" s="3">
        <f ca="1">VLOOKUP($B375&amp;$C375,data!$A:$U,18,FALSE)</f>
        <v>2</v>
      </c>
      <c r="I375" s="3">
        <f ca="1">VLOOKUP($B375&amp;$C375,data!$A:$U,19,FALSE)</f>
        <v>0</v>
      </c>
      <c r="J375" s="3">
        <f ca="1">VLOOKUP($B375&amp;$C375,data!$A:$U,14,FALSE)</f>
        <v>8</v>
      </c>
      <c r="K375" s="3">
        <f ca="1">VLOOKUP($B375&amp;$C375,data!$A:$U,15,FALSE)</f>
        <v>6</v>
      </c>
      <c r="L375" s="3">
        <f ca="1">VLOOKUP($B375&amp;$C375,data!$A:$U,16,FALSE)</f>
        <v>2</v>
      </c>
      <c r="M375" s="3">
        <f ca="1">VLOOKUP($B375&amp;$C375,data!$A:$U,8,FALSE)</f>
        <v>23</v>
      </c>
      <c r="N375" s="3">
        <f ca="1">VLOOKUP($B375&amp;$C375,data!$A:$U,9,FALSE)</f>
        <v>9</v>
      </c>
      <c r="O375" s="3">
        <f ca="1">VLOOKUP($B375&amp;$C375,data!$A:$U,10,FALSE)</f>
        <v>14</v>
      </c>
      <c r="P375" s="3">
        <f ca="1">VLOOKUP($B375&amp;$C375,data!$A:$U,11,FALSE)</f>
        <v>23</v>
      </c>
      <c r="Q375" s="3">
        <f ca="1">VLOOKUP($B375&amp;$C375,data!$A:$U,12,FALSE)</f>
        <v>0</v>
      </c>
      <c r="R375" s="3">
        <f ca="1">VLOOKUP($B375&amp;$C375,data!$A:$U,13,FALSE)</f>
        <v>0</v>
      </c>
      <c r="S375" s="3">
        <f ca="1">VLOOKUP($B375&amp;$C375,data!$A:$U,5,FALSE)</f>
        <v>23</v>
      </c>
      <c r="T375" s="3">
        <f ca="1">VLOOKUP($B375&amp;$C375,data!$A:$U,6,FALSE)</f>
        <v>20</v>
      </c>
      <c r="U375" s="3">
        <f ca="1">VLOOKUP($B375&amp;$C375,data!$A:$U,7,FALSE)</f>
        <v>3</v>
      </c>
      <c r="V375" s="18">
        <v>9104424991081</v>
      </c>
      <c r="W375" s="12" t="s">
        <v>1167</v>
      </c>
      <c r="X375" s="12" t="s">
        <v>1168</v>
      </c>
      <c r="Y375" s="4" t="s">
        <v>1169</v>
      </c>
      <c r="Z375" s="13">
        <f t="shared" ca="1" si="1"/>
        <v>0.41237129633373115</v>
      </c>
    </row>
    <row r="376" spans="1:26" ht="13" x14ac:dyDescent="0.15">
      <c r="A376" s="3">
        <v>375</v>
      </c>
      <c r="B376" s="3" t="s">
        <v>4</v>
      </c>
      <c r="C376" s="3" t="s">
        <v>1170</v>
      </c>
      <c r="D376" s="10">
        <f t="shared" ca="1" si="0"/>
        <v>0.1875</v>
      </c>
      <c r="E376" s="5">
        <f ca="1">VLOOKUP($B376&amp;$C376,data!$A:$U,20,FALSE)</f>
        <v>44299.631967592497</v>
      </c>
      <c r="F376" s="3" t="str">
        <f ca="1">VLOOKUP($B376&amp;$C376,data!$A:$U,21,FALSE)</f>
        <v>Daily Data Base</v>
      </c>
      <c r="G376" s="3">
        <f ca="1">VLOOKUP($B376&amp;$C376,data!$A:$U,17,FALSE)</f>
        <v>0</v>
      </c>
      <c r="H376" s="3">
        <f ca="1">VLOOKUP($B376&amp;$C376,data!$A:$U,18,FALSE)</f>
        <v>0</v>
      </c>
      <c r="I376" s="3">
        <f ca="1">VLOOKUP($B376&amp;$C376,data!$A:$U,19,FALSE)</f>
        <v>0</v>
      </c>
      <c r="J376" s="3">
        <f ca="1">VLOOKUP($B376&amp;$C376,data!$A:$U,14,FALSE)</f>
        <v>4</v>
      </c>
      <c r="K376" s="3">
        <f ca="1">VLOOKUP($B376&amp;$C376,data!$A:$U,15,FALSE)</f>
        <v>0</v>
      </c>
      <c r="L376" s="3">
        <f ca="1">VLOOKUP($B376&amp;$C376,data!$A:$U,16,FALSE)</f>
        <v>0</v>
      </c>
      <c r="M376" s="3">
        <f ca="1">VLOOKUP($B376&amp;$C376,data!$A:$U,8,FALSE)</f>
        <v>4</v>
      </c>
      <c r="N376" s="3">
        <f ca="1">VLOOKUP($B376&amp;$C376,data!$A:$U,9,FALSE)</f>
        <v>2</v>
      </c>
      <c r="O376" s="3">
        <f ca="1">VLOOKUP($B376&amp;$C376,data!$A:$U,10,FALSE)</f>
        <v>1</v>
      </c>
      <c r="P376" s="3">
        <f ca="1">VLOOKUP($B376&amp;$C376,data!$A:$U,11,FALSE)</f>
        <v>2</v>
      </c>
      <c r="Q376" s="3">
        <f ca="1">VLOOKUP($B376&amp;$C376,data!$A:$U,12,FALSE)</f>
        <v>0</v>
      </c>
      <c r="R376" s="3">
        <f ca="1">VLOOKUP($B376&amp;$C376,data!$A:$U,13,FALSE)</f>
        <v>1</v>
      </c>
      <c r="S376" s="3">
        <f ca="1">VLOOKUP($B376&amp;$C376,data!$A:$U,5,FALSE)</f>
        <v>6</v>
      </c>
      <c r="T376" s="3">
        <f ca="1">VLOOKUP($B376&amp;$C376,data!$A:$U,6,FALSE)</f>
        <v>5</v>
      </c>
      <c r="U376" s="3">
        <f ca="1">VLOOKUP($B376&amp;$C376,data!$A:$U,7,FALSE)</f>
        <v>1</v>
      </c>
      <c r="V376" s="16"/>
      <c r="W376" s="9"/>
      <c r="X376" s="9"/>
      <c r="Y376" s="3"/>
      <c r="Z376" s="13">
        <f t="shared" ca="1" si="1"/>
        <v>6.4549407408339903</v>
      </c>
    </row>
    <row r="377" spans="1:26" ht="13" x14ac:dyDescent="0.15">
      <c r="A377" s="3">
        <v>376</v>
      </c>
      <c r="B377" s="3" t="s">
        <v>4</v>
      </c>
      <c r="C377" s="3" t="s">
        <v>1171</v>
      </c>
      <c r="D377" s="10">
        <f t="shared" ca="1" si="0"/>
        <v>0</v>
      </c>
      <c r="E377" s="5">
        <f ca="1">VLOOKUP($B377&amp;$C377,data!$A:$U,20,FALSE)</f>
        <v>44302.525069444397</v>
      </c>
      <c r="F377" s="3">
        <f ca="1">VLOOKUP($B377&amp;$C377,data!$A:$U,21,FALSE)</f>
        <v>0</v>
      </c>
      <c r="G377" s="3">
        <f ca="1">VLOOKUP($B377&amp;$C377,data!$A:$U,17,FALSE)</f>
        <v>0</v>
      </c>
      <c r="H377" s="3">
        <f ca="1">VLOOKUP($B377&amp;$C377,data!$A:$U,18,FALSE)</f>
        <v>0</v>
      </c>
      <c r="I377" s="3">
        <f ca="1">VLOOKUP($B377&amp;$C377,data!$A:$U,19,FALSE)</f>
        <v>0</v>
      </c>
      <c r="J377" s="3">
        <f ca="1">VLOOKUP($B377&amp;$C377,data!$A:$U,14,FALSE)</f>
        <v>0</v>
      </c>
      <c r="K377" s="3">
        <f ca="1">VLOOKUP($B377&amp;$C377,data!$A:$U,15,FALSE)</f>
        <v>0</v>
      </c>
      <c r="L377" s="3">
        <f ca="1">VLOOKUP($B377&amp;$C377,data!$A:$U,16,FALSE)</f>
        <v>0</v>
      </c>
      <c r="M377" s="3">
        <f ca="1">VLOOKUP($B377&amp;$C377,data!$A:$U,8,FALSE)</f>
        <v>12</v>
      </c>
      <c r="N377" s="3">
        <f ca="1">VLOOKUP($B377&amp;$C377,data!$A:$U,9,FALSE)</f>
        <v>0</v>
      </c>
      <c r="O377" s="3">
        <f ca="1">VLOOKUP($B377&amp;$C377,data!$A:$U,10,FALSE)</f>
        <v>0</v>
      </c>
      <c r="P377" s="3">
        <f ca="1">VLOOKUP($B377&amp;$C377,data!$A:$U,11,FALSE)</f>
        <v>0</v>
      </c>
      <c r="Q377" s="3">
        <f ca="1">VLOOKUP($B377&amp;$C377,data!$A:$U,12,FALSE)</f>
        <v>12</v>
      </c>
      <c r="R377" s="3">
        <f ca="1">VLOOKUP($B377&amp;$C377,data!$A:$U,13,FALSE)</f>
        <v>0</v>
      </c>
      <c r="S377" s="3">
        <f ca="1">VLOOKUP($B377&amp;$C377,data!$A:$U,5,FALSE)</f>
        <v>12</v>
      </c>
      <c r="T377" s="3">
        <f ca="1">VLOOKUP($B377&amp;$C377,data!$A:$U,6,FALSE)</f>
        <v>12</v>
      </c>
      <c r="U377" s="3">
        <f ca="1">VLOOKUP($B377&amp;$C377,data!$A:$U,7,FALSE)</f>
        <v>0</v>
      </c>
      <c r="V377" s="16"/>
      <c r="W377" s="9"/>
      <c r="X377" s="9"/>
      <c r="Y377" s="3"/>
      <c r="Z377" s="13">
        <f t="shared" ca="1" si="1"/>
        <v>3.5618388889342896</v>
      </c>
    </row>
    <row r="378" spans="1:26" ht="13" x14ac:dyDescent="0.15">
      <c r="A378" s="3">
        <v>377</v>
      </c>
      <c r="B378" s="3" t="s">
        <v>4</v>
      </c>
      <c r="C378" s="3" t="s">
        <v>1172</v>
      </c>
      <c r="D378" s="10">
        <f t="shared" ca="1" si="0"/>
        <v>0.3888888888888889</v>
      </c>
      <c r="E378" s="5">
        <f ca="1">VLOOKUP($B378&amp;$C378,data!$A:$U,20,FALSE)</f>
        <v>44305.713969907403</v>
      </c>
      <c r="F378" s="3">
        <f ca="1">VLOOKUP($B378&amp;$C378,data!$A:$U,21,FALSE)</f>
        <v>0</v>
      </c>
      <c r="G378" s="3">
        <f ca="1">VLOOKUP($B378&amp;$C378,data!$A:$U,17,FALSE)</f>
        <v>4</v>
      </c>
      <c r="H378" s="3">
        <f ca="1">VLOOKUP($B378&amp;$C378,data!$A:$U,18,FALSE)</f>
        <v>0</v>
      </c>
      <c r="I378" s="3">
        <f ca="1">VLOOKUP($B378&amp;$C378,data!$A:$U,19,FALSE)</f>
        <v>0</v>
      </c>
      <c r="J378" s="3">
        <f ca="1">VLOOKUP($B378&amp;$C378,data!$A:$U,14,FALSE)</f>
        <v>5</v>
      </c>
      <c r="K378" s="3">
        <f ca="1">VLOOKUP($B378&amp;$C378,data!$A:$U,15,FALSE)</f>
        <v>2</v>
      </c>
      <c r="L378" s="3">
        <f ca="1">VLOOKUP($B378&amp;$C378,data!$A:$U,16,FALSE)</f>
        <v>3</v>
      </c>
      <c r="M378" s="3">
        <f ca="1">VLOOKUP($B378&amp;$C378,data!$A:$U,8,FALSE)</f>
        <v>10</v>
      </c>
      <c r="N378" s="3">
        <f ca="1">VLOOKUP($B378&amp;$C378,data!$A:$U,9,FALSE)</f>
        <v>7</v>
      </c>
      <c r="O378" s="3">
        <f ca="1">VLOOKUP($B378&amp;$C378,data!$A:$U,10,FALSE)</f>
        <v>3</v>
      </c>
      <c r="P378" s="3">
        <f ca="1">VLOOKUP($B378&amp;$C378,data!$A:$U,11,FALSE)</f>
        <v>6</v>
      </c>
      <c r="Q378" s="3">
        <f ca="1">VLOOKUP($B378&amp;$C378,data!$A:$U,12,FALSE)</f>
        <v>3</v>
      </c>
      <c r="R378" s="3">
        <f ca="1">VLOOKUP($B378&amp;$C378,data!$A:$U,13,FALSE)</f>
        <v>3</v>
      </c>
      <c r="S378" s="3">
        <f ca="1">VLOOKUP($B378&amp;$C378,data!$A:$U,5,FALSE)</f>
        <v>15</v>
      </c>
      <c r="T378" s="3">
        <f ca="1">VLOOKUP($B378&amp;$C378,data!$A:$U,6,FALSE)</f>
        <v>10</v>
      </c>
      <c r="U378" s="3">
        <f ca="1">VLOOKUP($B378&amp;$C378,data!$A:$U,7,FALSE)</f>
        <v>5</v>
      </c>
      <c r="V378" s="18" t="s">
        <v>1173</v>
      </c>
      <c r="W378" s="17" t="s">
        <v>1174</v>
      </c>
      <c r="X378" s="17" t="s">
        <v>1175</v>
      </c>
      <c r="Y378" s="4" t="s">
        <v>1176</v>
      </c>
      <c r="Z378" s="13">
        <f t="shared" ca="1" si="1"/>
        <v>0.37293842592771398</v>
      </c>
    </row>
    <row r="379" spans="1:26" ht="13" x14ac:dyDescent="0.15">
      <c r="A379" s="3">
        <v>378</v>
      </c>
      <c r="B379" s="3" t="s">
        <v>4</v>
      </c>
      <c r="C379" s="3" t="s">
        <v>1177</v>
      </c>
      <c r="D379" s="10">
        <f t="shared" ca="1" si="0"/>
        <v>0.52777777777777779</v>
      </c>
      <c r="E379" s="5">
        <f ca="1">VLOOKUP($B379&amp;$C379,data!$A:$U,20,FALSE)</f>
        <v>44298.764513888797</v>
      </c>
      <c r="F379" s="3">
        <f ca="1">VLOOKUP($B379&amp;$C379,data!$A:$U,21,FALSE)</f>
        <v>0</v>
      </c>
      <c r="G379" s="3">
        <f ca="1">VLOOKUP($B379&amp;$C379,data!$A:$U,17,FALSE)</f>
        <v>2</v>
      </c>
      <c r="H379" s="3">
        <f ca="1">VLOOKUP($B379&amp;$C379,data!$A:$U,18,FALSE)</f>
        <v>1</v>
      </c>
      <c r="I379" s="3">
        <f ca="1">VLOOKUP($B379&amp;$C379,data!$A:$U,19,FALSE)</f>
        <v>1</v>
      </c>
      <c r="J379" s="3">
        <f ca="1">VLOOKUP($B379&amp;$C379,data!$A:$U,14,FALSE)</f>
        <v>10</v>
      </c>
      <c r="K379" s="3">
        <f ca="1">VLOOKUP($B379&amp;$C379,data!$A:$U,15,FALSE)</f>
        <v>9</v>
      </c>
      <c r="L379" s="3">
        <f ca="1">VLOOKUP($B379&amp;$C379,data!$A:$U,16,FALSE)</f>
        <v>1</v>
      </c>
      <c r="M379" s="3">
        <f ca="1">VLOOKUP($B379&amp;$C379,data!$A:$U,8,FALSE)</f>
        <v>31</v>
      </c>
      <c r="N379" s="3">
        <f ca="1">VLOOKUP($B379&amp;$C379,data!$A:$U,9,FALSE)</f>
        <v>16</v>
      </c>
      <c r="O379" s="3">
        <f ca="1">VLOOKUP($B379&amp;$C379,data!$A:$U,10,FALSE)</f>
        <v>15</v>
      </c>
      <c r="P379" s="3">
        <f ca="1">VLOOKUP($B379&amp;$C379,data!$A:$U,11,FALSE)</f>
        <v>13</v>
      </c>
      <c r="Q379" s="3">
        <f ca="1">VLOOKUP($B379&amp;$C379,data!$A:$U,12,FALSE)</f>
        <v>0</v>
      </c>
      <c r="R379" s="3">
        <f ca="1">VLOOKUP($B379&amp;$C379,data!$A:$U,13,FALSE)</f>
        <v>13</v>
      </c>
      <c r="S379" s="3">
        <f ca="1">VLOOKUP($B379&amp;$C379,data!$A:$U,5,FALSE)</f>
        <v>54</v>
      </c>
      <c r="T379" s="3">
        <f ca="1">VLOOKUP($B379&amp;$C379,data!$A:$U,6,FALSE)</f>
        <v>26</v>
      </c>
      <c r="U379" s="3">
        <f ca="1">VLOOKUP($B379&amp;$C379,data!$A:$U,7,FALSE)</f>
        <v>28</v>
      </c>
      <c r="V379" s="16"/>
      <c r="W379" s="17" t="s">
        <v>1178</v>
      </c>
      <c r="X379" s="14"/>
      <c r="Y379" s="4" t="s">
        <v>1179</v>
      </c>
      <c r="Z379" s="13">
        <f t="shared" ca="1" si="1"/>
        <v>7.3223944445344387</v>
      </c>
    </row>
    <row r="380" spans="1:26" ht="13" x14ac:dyDescent="0.15">
      <c r="A380" s="3">
        <v>379</v>
      </c>
      <c r="B380" s="3" t="s">
        <v>11</v>
      </c>
      <c r="C380" s="3" t="s">
        <v>1180</v>
      </c>
      <c r="D380" s="10">
        <f t="shared" ca="1" si="0"/>
        <v>0.7384615384615385</v>
      </c>
      <c r="E380" s="5">
        <f ca="1">VLOOKUP($B380&amp;$C380,data!$A:$U,20,FALSE)</f>
        <v>44305.3187384259</v>
      </c>
      <c r="F380" s="3">
        <f ca="1">VLOOKUP($B380&amp;$C380,data!$A:$U,21,FALSE)</f>
        <v>0</v>
      </c>
      <c r="G380" s="3">
        <f ca="1">VLOOKUP($B380&amp;$C380,data!$A:$U,17,FALSE)</f>
        <v>3</v>
      </c>
      <c r="H380" s="3">
        <f ca="1">VLOOKUP($B380&amp;$C380,data!$A:$U,18,FALSE)</f>
        <v>0</v>
      </c>
      <c r="I380" s="3">
        <f ca="1">VLOOKUP($B380&amp;$C380,data!$A:$U,19,FALSE)</f>
        <v>0</v>
      </c>
      <c r="J380" s="3">
        <f ca="1">VLOOKUP($B380&amp;$C380,data!$A:$U,14,FALSE)</f>
        <v>7</v>
      </c>
      <c r="K380" s="3">
        <f ca="1">VLOOKUP($B380&amp;$C380,data!$A:$U,15,FALSE)</f>
        <v>0</v>
      </c>
      <c r="L380" s="3">
        <f ca="1">VLOOKUP($B380&amp;$C380,data!$A:$U,16,FALSE)</f>
        <v>0</v>
      </c>
      <c r="M380" s="3">
        <f ca="1">VLOOKUP($B380&amp;$C380,data!$A:$U,8,FALSE)</f>
        <v>25</v>
      </c>
      <c r="N380" s="3">
        <f ca="1">VLOOKUP($B380&amp;$C380,data!$A:$U,9,FALSE)</f>
        <v>3</v>
      </c>
      <c r="O380" s="3">
        <f ca="1">VLOOKUP($B380&amp;$C380,data!$A:$U,10,FALSE)</f>
        <v>22</v>
      </c>
      <c r="P380" s="3">
        <f ca="1">VLOOKUP($B380&amp;$C380,data!$A:$U,11,FALSE)</f>
        <v>4</v>
      </c>
      <c r="Q380" s="3">
        <f ca="1">VLOOKUP($B380&amp;$C380,data!$A:$U,12,FALSE)</f>
        <v>0</v>
      </c>
      <c r="R380" s="3">
        <f ca="1">VLOOKUP($B380&amp;$C380,data!$A:$U,13,FALSE)</f>
        <v>0</v>
      </c>
      <c r="S380" s="3">
        <f ca="1">VLOOKUP($B380&amp;$C380,data!$A:$U,5,FALSE)</f>
        <v>29</v>
      </c>
      <c r="T380" s="3">
        <f ca="1">VLOOKUP($B380&amp;$C380,data!$A:$U,6,FALSE)</f>
        <v>3</v>
      </c>
      <c r="U380" s="3">
        <f ca="1">VLOOKUP($B380&amp;$C380,data!$A:$U,7,FALSE)</f>
        <v>26</v>
      </c>
      <c r="V380" s="16"/>
      <c r="W380" s="9"/>
      <c r="X380" s="9"/>
      <c r="Y380" s="3"/>
      <c r="Z380" s="13">
        <f t="shared" ca="1" si="1"/>
        <v>0.76816990743100177</v>
      </c>
    </row>
    <row r="381" spans="1:26" ht="13" x14ac:dyDescent="0.15">
      <c r="A381" s="3">
        <v>380</v>
      </c>
      <c r="B381" s="3" t="s">
        <v>21</v>
      </c>
      <c r="C381" s="3" t="s">
        <v>1181</v>
      </c>
      <c r="D381" s="10">
        <f t="shared" ca="1" si="0"/>
        <v>0.88888888888888884</v>
      </c>
      <c r="E381" s="5">
        <f ca="1">VLOOKUP($B381&amp;$C381,data!$A:$U,20,FALSE)</f>
        <v>44305.4745833333</v>
      </c>
      <c r="F381" s="3" t="str">
        <f ca="1">VLOOKUP($B381&amp;$C381,data!$A:$U,21,FALSE)</f>
        <v>Here with Updating our Hospital bed details</v>
      </c>
      <c r="G381" s="3">
        <f ca="1">VLOOKUP($B381&amp;$C381,data!$A:$U,17,FALSE)</f>
        <v>2</v>
      </c>
      <c r="H381" s="3">
        <f ca="1">VLOOKUP($B381&amp;$C381,data!$A:$U,18,FALSE)</f>
        <v>0</v>
      </c>
      <c r="I381" s="3">
        <f ca="1">VLOOKUP($B381&amp;$C381,data!$A:$U,19,FALSE)</f>
        <v>2</v>
      </c>
      <c r="J381" s="3">
        <f ca="1">VLOOKUP($B381&amp;$C381,data!$A:$U,14,FALSE)</f>
        <v>2</v>
      </c>
      <c r="K381" s="3">
        <f ca="1">VLOOKUP($B381&amp;$C381,data!$A:$U,15,FALSE)</f>
        <v>0</v>
      </c>
      <c r="L381" s="3">
        <f ca="1">VLOOKUP($B381&amp;$C381,data!$A:$U,16,FALSE)</f>
        <v>2</v>
      </c>
      <c r="M381" s="3">
        <f ca="1">VLOOKUP($B381&amp;$C381,data!$A:$U,8,FALSE)</f>
        <v>10</v>
      </c>
      <c r="N381" s="3">
        <f ca="1">VLOOKUP($B381&amp;$C381,data!$A:$U,9,FALSE)</f>
        <v>0</v>
      </c>
      <c r="O381" s="3">
        <f ca="1">VLOOKUP($B381&amp;$C381,data!$A:$U,10,FALSE)</f>
        <v>10</v>
      </c>
      <c r="P381" s="3">
        <f ca="1">VLOOKUP($B381&amp;$C381,data!$A:$U,11,FALSE)</f>
        <v>3</v>
      </c>
      <c r="Q381" s="3">
        <f ca="1">VLOOKUP($B381&amp;$C381,data!$A:$U,12,FALSE)</f>
        <v>0</v>
      </c>
      <c r="R381" s="3">
        <f ca="1">VLOOKUP($B381&amp;$C381,data!$A:$U,13,FALSE)</f>
        <v>3</v>
      </c>
      <c r="S381" s="3">
        <f ca="1">VLOOKUP($B381&amp;$C381,data!$A:$U,5,FALSE)</f>
        <v>12</v>
      </c>
      <c r="T381" s="3">
        <f ca="1">VLOOKUP($B381&amp;$C381,data!$A:$U,6,FALSE)</f>
        <v>3</v>
      </c>
      <c r="U381" s="3">
        <f ca="1">VLOOKUP($B381&amp;$C381,data!$A:$U,7,FALSE)</f>
        <v>9</v>
      </c>
      <c r="V381" s="18" t="s">
        <v>1182</v>
      </c>
      <c r="W381" s="12" t="s">
        <v>1183</v>
      </c>
      <c r="X381" s="9"/>
      <c r="Y381" s="4" t="s">
        <v>1184</v>
      </c>
      <c r="Z381" s="13">
        <f t="shared" ca="1" si="1"/>
        <v>0.61232500003097812</v>
      </c>
    </row>
    <row r="382" spans="1:26" ht="13" x14ac:dyDescent="0.15">
      <c r="A382" s="3">
        <v>381</v>
      </c>
      <c r="B382" s="3" t="s">
        <v>12</v>
      </c>
      <c r="C382" s="3" t="s">
        <v>1185</v>
      </c>
      <c r="D382" s="10">
        <f t="shared" ca="1" si="0"/>
        <v>0.89473684210526316</v>
      </c>
      <c r="E382" s="5">
        <f ca="1">VLOOKUP($B382&amp;$C382,data!$A:$U,20,FALSE)</f>
        <v>44305.309050925898</v>
      </c>
      <c r="F382" s="3" t="str">
        <f ca="1">VLOOKUP($B382&amp;$C382,data!$A:$U,21,FALSE)</f>
        <v>19.04.2021</v>
      </c>
      <c r="G382" s="3">
        <f ca="1">VLOOKUP($B382&amp;$C382,data!$A:$U,17,FALSE)</f>
        <v>1</v>
      </c>
      <c r="H382" s="3">
        <f ca="1">VLOOKUP($B382&amp;$C382,data!$A:$U,18,FALSE)</f>
        <v>0</v>
      </c>
      <c r="I382" s="3">
        <f ca="1">VLOOKUP($B382&amp;$C382,data!$A:$U,19,FALSE)</f>
        <v>1</v>
      </c>
      <c r="J382" s="3">
        <f ca="1">VLOOKUP($B382&amp;$C382,data!$A:$U,14,FALSE)</f>
        <v>3</v>
      </c>
      <c r="K382" s="3">
        <f ca="1">VLOOKUP($B382&amp;$C382,data!$A:$U,15,FALSE)</f>
        <v>0</v>
      </c>
      <c r="L382" s="3">
        <f ca="1">VLOOKUP($B382&amp;$C382,data!$A:$U,16,FALSE)</f>
        <v>3</v>
      </c>
      <c r="M382" s="3">
        <f ca="1">VLOOKUP($B382&amp;$C382,data!$A:$U,8,FALSE)</f>
        <v>6</v>
      </c>
      <c r="N382" s="3">
        <f ca="1">VLOOKUP($B382&amp;$C382,data!$A:$U,9,FALSE)</f>
        <v>1</v>
      </c>
      <c r="O382" s="3">
        <f ca="1">VLOOKUP($B382&amp;$C382,data!$A:$U,10,FALSE)</f>
        <v>5</v>
      </c>
      <c r="P382" s="3">
        <f ca="1">VLOOKUP($B382&amp;$C382,data!$A:$U,11,FALSE)</f>
        <v>0</v>
      </c>
      <c r="Q382" s="3">
        <f ca="1">VLOOKUP($B382&amp;$C382,data!$A:$U,12,FALSE)</f>
        <v>0</v>
      </c>
      <c r="R382" s="3">
        <f ca="1">VLOOKUP($B382&amp;$C382,data!$A:$U,13,FALSE)</f>
        <v>0</v>
      </c>
      <c r="S382" s="3">
        <f ca="1">VLOOKUP($B382&amp;$C382,data!$A:$U,5,FALSE)</f>
        <v>10</v>
      </c>
      <c r="T382" s="3">
        <f ca="1">VLOOKUP($B382&amp;$C382,data!$A:$U,6,FALSE)</f>
        <v>1</v>
      </c>
      <c r="U382" s="3">
        <f ca="1">VLOOKUP($B382&amp;$C382,data!$A:$U,7,FALSE)</f>
        <v>9</v>
      </c>
      <c r="V382" s="18">
        <v>9894782837</v>
      </c>
      <c r="W382" s="17" t="s">
        <v>1186</v>
      </c>
      <c r="X382" s="9"/>
      <c r="Y382" s="4" t="s">
        <v>1187</v>
      </c>
      <c r="Z382" s="13">
        <f t="shared" ca="1" si="1"/>
        <v>0.777857407432748</v>
      </c>
    </row>
    <row r="383" spans="1:26" ht="13" x14ac:dyDescent="0.15">
      <c r="A383" s="3">
        <v>382</v>
      </c>
      <c r="B383" s="3" t="s">
        <v>35</v>
      </c>
      <c r="C383" s="3" t="s">
        <v>1188</v>
      </c>
      <c r="D383" s="10">
        <f t="shared" ca="1" si="0"/>
        <v>0.72881355932203384</v>
      </c>
      <c r="E383" s="5">
        <f ca="1">VLOOKUP($B383&amp;$C383,data!$A:$U,20,FALSE)</f>
        <v>44305.796076388797</v>
      </c>
      <c r="F383" s="3" t="str">
        <f ca="1">VLOOKUP($B383&amp;$C383,data!$A:$U,21,FALSE)</f>
        <v>19/04/2021 19.06 Pm</v>
      </c>
      <c r="G383" s="3">
        <f ca="1">VLOOKUP($B383&amp;$C383,data!$A:$U,17,FALSE)</f>
        <v>2</v>
      </c>
      <c r="H383" s="3">
        <f ca="1">VLOOKUP($B383&amp;$C383,data!$A:$U,18,FALSE)</f>
        <v>0</v>
      </c>
      <c r="I383" s="3">
        <f ca="1">VLOOKUP($B383&amp;$C383,data!$A:$U,19,FALSE)</f>
        <v>2</v>
      </c>
      <c r="J383" s="3">
        <f ca="1">VLOOKUP($B383&amp;$C383,data!$A:$U,14,FALSE)</f>
        <v>5</v>
      </c>
      <c r="K383" s="3">
        <f ca="1">VLOOKUP($B383&amp;$C383,data!$A:$U,15,FALSE)</f>
        <v>0</v>
      </c>
      <c r="L383" s="3">
        <f ca="1">VLOOKUP($B383&amp;$C383,data!$A:$U,16,FALSE)</f>
        <v>5</v>
      </c>
      <c r="M383" s="3">
        <f ca="1">VLOOKUP($B383&amp;$C383,data!$A:$U,8,FALSE)</f>
        <v>27</v>
      </c>
      <c r="N383" s="3">
        <f ca="1">VLOOKUP($B383&amp;$C383,data!$A:$U,9,FALSE)</f>
        <v>3</v>
      </c>
      <c r="O383" s="3">
        <f ca="1">VLOOKUP($B383&amp;$C383,data!$A:$U,10,FALSE)</f>
        <v>24</v>
      </c>
      <c r="P383" s="3">
        <f ca="1">VLOOKUP($B383&amp;$C383,data!$A:$U,11,FALSE)</f>
        <v>0</v>
      </c>
      <c r="Q383" s="3">
        <f ca="1">VLOOKUP($B383&amp;$C383,data!$A:$U,12,FALSE)</f>
        <v>0</v>
      </c>
      <c r="R383" s="3">
        <f ca="1">VLOOKUP($B383&amp;$C383,data!$A:$U,13,FALSE)</f>
        <v>0</v>
      </c>
      <c r="S383" s="3">
        <f ca="1">VLOOKUP($B383&amp;$C383,data!$A:$U,5,FALSE)</f>
        <v>27</v>
      </c>
      <c r="T383" s="3">
        <f ca="1">VLOOKUP($B383&amp;$C383,data!$A:$U,6,FALSE)</f>
        <v>13</v>
      </c>
      <c r="U383" s="3">
        <f ca="1">VLOOKUP($B383&amp;$C383,data!$A:$U,7,FALSE)</f>
        <v>14</v>
      </c>
      <c r="V383" s="18" t="s">
        <v>1189</v>
      </c>
      <c r="W383" s="17" t="s">
        <v>1190</v>
      </c>
      <c r="X383" s="12" t="s">
        <v>1191</v>
      </c>
      <c r="Y383" s="4" t="s">
        <v>1192</v>
      </c>
      <c r="Z383" s="13">
        <f t="shared" ca="1" si="1"/>
        <v>0.29083194453414762</v>
      </c>
    </row>
    <row r="384" spans="1:26" ht="13" x14ac:dyDescent="0.15">
      <c r="A384" s="3">
        <v>383</v>
      </c>
      <c r="B384" s="3" t="s">
        <v>13</v>
      </c>
      <c r="C384" s="3" t="s">
        <v>1193</v>
      </c>
      <c r="D384" s="10" t="e">
        <f t="shared" ca="1" si="0"/>
        <v>#DIV/0!</v>
      </c>
      <c r="E384" s="5">
        <f ca="1">VLOOKUP($B384&amp;$C384,data!$A:$U,20,FALSE)</f>
        <v>44301.539733796199</v>
      </c>
      <c r="F384" s="3">
        <f ca="1">VLOOKUP($B384&amp;$C384,data!$A:$U,21,FALSE)</f>
        <v>0</v>
      </c>
      <c r="G384" s="3">
        <f ca="1">VLOOKUP($B384&amp;$C384,data!$A:$U,17,FALSE)</f>
        <v>0</v>
      </c>
      <c r="H384" s="3">
        <f ca="1">VLOOKUP($B384&amp;$C384,data!$A:$U,18,FALSE)</f>
        <v>0</v>
      </c>
      <c r="I384" s="3">
        <f ca="1">VLOOKUP($B384&amp;$C384,data!$A:$U,19,FALSE)</f>
        <v>0</v>
      </c>
      <c r="J384" s="3">
        <f ca="1">VLOOKUP($B384&amp;$C384,data!$A:$U,14,FALSE)</f>
        <v>0</v>
      </c>
      <c r="K384" s="3">
        <f ca="1">VLOOKUP($B384&amp;$C384,data!$A:$U,15,FALSE)</f>
        <v>0</v>
      </c>
      <c r="L384" s="3">
        <f ca="1">VLOOKUP($B384&amp;$C384,data!$A:$U,16,FALSE)</f>
        <v>0</v>
      </c>
      <c r="M384" s="3">
        <f ca="1">VLOOKUP($B384&amp;$C384,data!$A:$U,8,FALSE)</f>
        <v>0</v>
      </c>
      <c r="N384" s="3">
        <f ca="1">VLOOKUP($B384&amp;$C384,data!$A:$U,9,FALSE)</f>
        <v>0</v>
      </c>
      <c r="O384" s="3">
        <f ca="1">VLOOKUP($B384&amp;$C384,data!$A:$U,10,FALSE)</f>
        <v>0</v>
      </c>
      <c r="P384" s="3">
        <f ca="1">VLOOKUP($B384&amp;$C384,data!$A:$U,11,FALSE)</f>
        <v>0</v>
      </c>
      <c r="Q384" s="3">
        <f ca="1">VLOOKUP($B384&amp;$C384,data!$A:$U,12,FALSE)</f>
        <v>0</v>
      </c>
      <c r="R384" s="3">
        <f ca="1">VLOOKUP($B384&amp;$C384,data!$A:$U,13,FALSE)</f>
        <v>0</v>
      </c>
      <c r="S384" s="3">
        <f ca="1">VLOOKUP($B384&amp;$C384,data!$A:$U,5,FALSE)</f>
        <v>0</v>
      </c>
      <c r="T384" s="3">
        <f ca="1">VLOOKUP($B384&amp;$C384,data!$A:$U,6,FALSE)</f>
        <v>0</v>
      </c>
      <c r="U384" s="3">
        <f ca="1">VLOOKUP($B384&amp;$C384,data!$A:$U,7,FALSE)</f>
        <v>0</v>
      </c>
      <c r="V384" s="16"/>
      <c r="W384" s="9"/>
      <c r="X384" s="9"/>
      <c r="Y384" s="4"/>
      <c r="Z384" s="13">
        <f t="shared" ca="1" si="1"/>
        <v>4.5471745371323777</v>
      </c>
    </row>
    <row r="385" spans="1:26" ht="13" x14ac:dyDescent="0.15">
      <c r="A385" s="3">
        <v>384</v>
      </c>
      <c r="B385" s="3" t="s">
        <v>30</v>
      </c>
      <c r="C385" s="3" t="s">
        <v>1194</v>
      </c>
      <c r="D385" s="10">
        <f t="shared" ca="1" si="0"/>
        <v>0.32258064516129031</v>
      </c>
      <c r="E385" s="5">
        <f ca="1">VLOOKUP($B385&amp;$C385,data!$A:$U,20,FALSE)</f>
        <v>44305.72</v>
      </c>
      <c r="F385" s="3" t="str">
        <f ca="1">VLOOKUP($B385&amp;$C385,data!$A:$U,21,FALSE)</f>
        <v>11 Active cases</v>
      </c>
      <c r="G385" s="3">
        <f ca="1">VLOOKUP($B385&amp;$C385,data!$A:$U,17,FALSE)</f>
        <v>5</v>
      </c>
      <c r="H385" s="3">
        <f ca="1">VLOOKUP($B385&amp;$C385,data!$A:$U,18,FALSE)</f>
        <v>0</v>
      </c>
      <c r="I385" s="3">
        <f ca="1">VLOOKUP($B385&amp;$C385,data!$A:$U,19,FALSE)</f>
        <v>5</v>
      </c>
      <c r="J385" s="3">
        <f ca="1">VLOOKUP($B385&amp;$C385,data!$A:$U,14,FALSE)</f>
        <v>5</v>
      </c>
      <c r="K385" s="3">
        <f ca="1">VLOOKUP($B385&amp;$C385,data!$A:$U,15,FALSE)</f>
        <v>2</v>
      </c>
      <c r="L385" s="3">
        <f ca="1">VLOOKUP($B385&amp;$C385,data!$A:$U,16,FALSE)</f>
        <v>3</v>
      </c>
      <c r="M385" s="3">
        <f ca="1">VLOOKUP($B385&amp;$C385,data!$A:$U,8,FALSE)</f>
        <v>10</v>
      </c>
      <c r="N385" s="3">
        <f ca="1">VLOOKUP($B385&amp;$C385,data!$A:$U,9,FALSE)</f>
        <v>5</v>
      </c>
      <c r="O385" s="3">
        <f ca="1">VLOOKUP($B385&amp;$C385,data!$A:$U,10,FALSE)</f>
        <v>5</v>
      </c>
      <c r="P385" s="3">
        <f ca="1">VLOOKUP($B385&amp;$C385,data!$A:$U,11,FALSE)</f>
        <v>3</v>
      </c>
      <c r="Q385" s="3">
        <f ca="1">VLOOKUP($B385&amp;$C385,data!$A:$U,12,FALSE)</f>
        <v>3</v>
      </c>
      <c r="R385" s="3">
        <f ca="1">VLOOKUP($B385&amp;$C385,data!$A:$U,13,FALSE)</f>
        <v>0</v>
      </c>
      <c r="S385" s="3">
        <f ca="1">VLOOKUP($B385&amp;$C385,data!$A:$U,5,FALSE)</f>
        <v>13</v>
      </c>
      <c r="T385" s="3">
        <f ca="1">VLOOKUP($B385&amp;$C385,data!$A:$U,6,FALSE)</f>
        <v>11</v>
      </c>
      <c r="U385" s="3">
        <f ca="1">VLOOKUP($B385&amp;$C385,data!$A:$U,7,FALSE)</f>
        <v>2</v>
      </c>
      <c r="V385" s="18" t="s">
        <v>1195</v>
      </c>
      <c r="W385" s="17" t="s">
        <v>1196</v>
      </c>
      <c r="X385" s="12" t="s">
        <v>1197</v>
      </c>
      <c r="Y385" s="4" t="s">
        <v>1198</v>
      </c>
      <c r="Z385" s="13">
        <f t="shared" ca="1" si="1"/>
        <v>0.3669083333297749</v>
      </c>
    </row>
    <row r="386" spans="1:26" ht="13" x14ac:dyDescent="0.15">
      <c r="A386" s="3">
        <v>385</v>
      </c>
      <c r="B386" s="3" t="s">
        <v>27</v>
      </c>
      <c r="C386" s="3" t="s">
        <v>1199</v>
      </c>
      <c r="D386" s="10">
        <f t="shared" ca="1" si="0"/>
        <v>0.7</v>
      </c>
      <c r="E386" s="5">
        <f ca="1">VLOOKUP($B386&amp;$C386,data!$A:$U,20,FALSE)</f>
        <v>44305.481608796297</v>
      </c>
      <c r="F386" s="3" t="str">
        <f ca="1">VLOOKUP($B386&amp;$C386,data!$A:$U,21,FALSE)</f>
        <v>COVID-19-3 Sari, Ili &amp; Ct Chest Positive -6.</v>
      </c>
      <c r="G386" s="3">
        <f ca="1">VLOOKUP($B386&amp;$C386,data!$A:$U,17,FALSE)</f>
        <v>1</v>
      </c>
      <c r="H386" s="3">
        <f ca="1">VLOOKUP($B386&amp;$C386,data!$A:$U,18,FALSE)</f>
        <v>0</v>
      </c>
      <c r="I386" s="3">
        <f ca="1">VLOOKUP($B386&amp;$C386,data!$A:$U,19,FALSE)</f>
        <v>1</v>
      </c>
      <c r="J386" s="3">
        <f ca="1">VLOOKUP($B386&amp;$C386,data!$A:$U,14,FALSE)</f>
        <v>6</v>
      </c>
      <c r="K386" s="3">
        <f ca="1">VLOOKUP($B386&amp;$C386,data!$A:$U,15,FALSE)</f>
        <v>0</v>
      </c>
      <c r="L386" s="3">
        <f ca="1">VLOOKUP($B386&amp;$C386,data!$A:$U,16,FALSE)</f>
        <v>6</v>
      </c>
      <c r="M386" s="3">
        <f ca="1">VLOOKUP($B386&amp;$C386,data!$A:$U,8,FALSE)</f>
        <v>12</v>
      </c>
      <c r="N386" s="3">
        <f ca="1">VLOOKUP($B386&amp;$C386,data!$A:$U,9,FALSE)</f>
        <v>3</v>
      </c>
      <c r="O386" s="3">
        <f ca="1">VLOOKUP($B386&amp;$C386,data!$A:$U,10,FALSE)</f>
        <v>9</v>
      </c>
      <c r="P386" s="3">
        <f ca="1">VLOOKUP($B386&amp;$C386,data!$A:$U,11,FALSE)</f>
        <v>2</v>
      </c>
      <c r="Q386" s="3">
        <f ca="1">VLOOKUP($B386&amp;$C386,data!$A:$U,12,FALSE)</f>
        <v>0</v>
      </c>
      <c r="R386" s="3">
        <f ca="1">VLOOKUP($B386&amp;$C386,data!$A:$U,13,FALSE)</f>
        <v>2</v>
      </c>
      <c r="S386" s="3">
        <f ca="1">VLOOKUP($B386&amp;$C386,data!$A:$U,5,FALSE)</f>
        <v>20</v>
      </c>
      <c r="T386" s="3">
        <f ca="1">VLOOKUP($B386&amp;$C386,data!$A:$U,6,FALSE)</f>
        <v>3</v>
      </c>
      <c r="U386" s="3">
        <f ca="1">VLOOKUP($B386&amp;$C386,data!$A:$U,7,FALSE)</f>
        <v>11</v>
      </c>
      <c r="V386" s="18" t="s">
        <v>1200</v>
      </c>
      <c r="W386" s="17" t="s">
        <v>1201</v>
      </c>
      <c r="X386" s="12" t="s">
        <v>1202</v>
      </c>
      <c r="Y386" s="4" t="s">
        <v>1203</v>
      </c>
      <c r="Z386" s="13">
        <f t="shared" ca="1" si="1"/>
        <v>0.60529953703371575</v>
      </c>
    </row>
    <row r="387" spans="1:26" ht="13" x14ac:dyDescent="0.15">
      <c r="A387" s="3">
        <v>386</v>
      </c>
      <c r="B387" s="3" t="s">
        <v>31</v>
      </c>
      <c r="C387" s="3" t="s">
        <v>1204</v>
      </c>
      <c r="D387" s="10">
        <f t="shared" ca="1" si="0"/>
        <v>0.5892857142857143</v>
      </c>
      <c r="E387" s="5">
        <f ca="1">VLOOKUP($B387&amp;$C387,data!$A:$U,20,FALSE)</f>
        <v>44305.653159722198</v>
      </c>
      <c r="F387" s="3">
        <f ca="1">VLOOKUP($B387&amp;$C387,data!$A:$U,21,FALSE)</f>
        <v>0</v>
      </c>
      <c r="G387" s="3">
        <f ca="1">VLOOKUP($B387&amp;$C387,data!$A:$U,17,FALSE)</f>
        <v>3</v>
      </c>
      <c r="H387" s="3">
        <f ca="1">VLOOKUP($B387&amp;$C387,data!$A:$U,18,FALSE)</f>
        <v>0</v>
      </c>
      <c r="I387" s="3">
        <f ca="1">VLOOKUP($B387&amp;$C387,data!$A:$U,19,FALSE)</f>
        <v>3</v>
      </c>
      <c r="J387" s="3">
        <f ca="1">VLOOKUP($B387&amp;$C387,data!$A:$U,14,FALSE)</f>
        <v>8</v>
      </c>
      <c r="K387" s="3">
        <f ca="1">VLOOKUP($B387&amp;$C387,data!$A:$U,15,FALSE)</f>
        <v>4</v>
      </c>
      <c r="L387" s="3">
        <f ca="1">VLOOKUP($B387&amp;$C387,data!$A:$U,16,FALSE)</f>
        <v>4</v>
      </c>
      <c r="M387" s="3">
        <f ca="1">VLOOKUP($B387&amp;$C387,data!$A:$U,8,FALSE)</f>
        <v>18</v>
      </c>
      <c r="N387" s="3">
        <f ca="1">VLOOKUP($B387&amp;$C387,data!$A:$U,9,FALSE)</f>
        <v>0</v>
      </c>
      <c r="O387" s="3">
        <f ca="1">VLOOKUP($B387&amp;$C387,data!$A:$U,10,FALSE)</f>
        <v>10</v>
      </c>
      <c r="P387" s="3">
        <f ca="1">VLOOKUP($B387&amp;$C387,data!$A:$U,11,FALSE)</f>
        <v>0</v>
      </c>
      <c r="Q387" s="3">
        <f ca="1">VLOOKUP($B387&amp;$C387,data!$A:$U,12,FALSE)</f>
        <v>0</v>
      </c>
      <c r="R387" s="3">
        <f ca="1">VLOOKUP($B387&amp;$C387,data!$A:$U,13,FALSE)</f>
        <v>0</v>
      </c>
      <c r="S387" s="3">
        <f ca="1">VLOOKUP($B387&amp;$C387,data!$A:$U,5,FALSE)</f>
        <v>30</v>
      </c>
      <c r="T387" s="3">
        <f ca="1">VLOOKUP($B387&amp;$C387,data!$A:$U,6,FALSE)</f>
        <v>11</v>
      </c>
      <c r="U387" s="3">
        <f ca="1">VLOOKUP($B387&amp;$C387,data!$A:$U,7,FALSE)</f>
        <v>19</v>
      </c>
      <c r="V387" s="16"/>
      <c r="W387" s="9"/>
      <c r="X387" s="9"/>
      <c r="Y387" s="4"/>
      <c r="Z387" s="13">
        <f t="shared" ca="1" si="1"/>
        <v>0.43374861113261431</v>
      </c>
    </row>
    <row r="388" spans="1:26" ht="13" x14ac:dyDescent="0.15">
      <c r="A388" s="3">
        <v>387</v>
      </c>
      <c r="B388" s="3" t="s">
        <v>7</v>
      </c>
      <c r="C388" s="3" t="s">
        <v>1205</v>
      </c>
      <c r="D388" s="10">
        <f t="shared" ca="1" si="0"/>
        <v>0.80701754385964908</v>
      </c>
      <c r="E388" s="5">
        <f ca="1">VLOOKUP($B388&amp;$C388,data!$A:$U,20,FALSE)</f>
        <v>44305.347488425898</v>
      </c>
      <c r="F388" s="3" t="str">
        <f ca="1">VLOOKUP($B388&amp;$C388,data!$A:$U,21,FALSE)</f>
        <v>19.04.2021</v>
      </c>
      <c r="G388" s="3">
        <f ca="1">VLOOKUP($B388&amp;$C388,data!$A:$U,17,FALSE)</f>
        <v>5</v>
      </c>
      <c r="H388" s="3">
        <f ca="1">VLOOKUP($B388&amp;$C388,data!$A:$U,18,FALSE)</f>
        <v>2</v>
      </c>
      <c r="I388" s="3">
        <f ca="1">VLOOKUP($B388&amp;$C388,data!$A:$U,19,FALSE)</f>
        <v>3</v>
      </c>
      <c r="J388" s="3">
        <f ca="1">VLOOKUP($B388&amp;$C388,data!$A:$U,14,FALSE)</f>
        <v>10</v>
      </c>
      <c r="K388" s="3">
        <f ca="1">VLOOKUP($B388&amp;$C388,data!$A:$U,15,FALSE)</f>
        <v>2</v>
      </c>
      <c r="L388" s="3">
        <f ca="1">VLOOKUP($B388&amp;$C388,data!$A:$U,16,FALSE)</f>
        <v>8</v>
      </c>
      <c r="M388" s="3">
        <f ca="1">VLOOKUP($B388&amp;$C388,data!$A:$U,8,FALSE)</f>
        <v>14</v>
      </c>
      <c r="N388" s="3">
        <f ca="1">VLOOKUP($B388&amp;$C388,data!$A:$U,9,FALSE)</f>
        <v>2</v>
      </c>
      <c r="O388" s="3">
        <f ca="1">VLOOKUP($B388&amp;$C388,data!$A:$U,10,FALSE)</f>
        <v>12</v>
      </c>
      <c r="P388" s="3">
        <f ca="1">VLOOKUP($B388&amp;$C388,data!$A:$U,11,FALSE)</f>
        <v>5</v>
      </c>
      <c r="Q388" s="3">
        <f ca="1">VLOOKUP($B388&amp;$C388,data!$A:$U,12,FALSE)</f>
        <v>2</v>
      </c>
      <c r="R388" s="3">
        <f ca="1">VLOOKUP($B388&amp;$C388,data!$A:$U,13,FALSE)</f>
        <v>2</v>
      </c>
      <c r="S388" s="3">
        <f ca="1">VLOOKUP($B388&amp;$C388,data!$A:$U,5,FALSE)</f>
        <v>28</v>
      </c>
      <c r="T388" s="3">
        <f ca="1">VLOOKUP($B388&amp;$C388,data!$A:$U,6,FALSE)</f>
        <v>4</v>
      </c>
      <c r="U388" s="3">
        <f ca="1">VLOOKUP($B388&amp;$C388,data!$A:$U,7,FALSE)</f>
        <v>24</v>
      </c>
      <c r="V388" s="11" t="s">
        <v>1206</v>
      </c>
      <c r="W388" s="17" t="s">
        <v>1207</v>
      </c>
      <c r="X388" s="12" t="s">
        <v>1208</v>
      </c>
      <c r="Y388" s="4" t="s">
        <v>1209</v>
      </c>
      <c r="Z388" s="13">
        <f t="shared" ca="1" si="1"/>
        <v>0.73941990743333008</v>
      </c>
    </row>
    <row r="389" spans="1:26" ht="13" x14ac:dyDescent="0.15">
      <c r="A389" s="3">
        <v>388</v>
      </c>
      <c r="B389" s="3" t="s">
        <v>4</v>
      </c>
      <c r="C389" s="3" t="s">
        <v>1210</v>
      </c>
      <c r="D389" s="10">
        <f t="shared" ca="1" si="0"/>
        <v>0</v>
      </c>
      <c r="E389" s="5">
        <f ca="1">VLOOKUP($B389&amp;$C389,data!$A:$U,20,FALSE)</f>
        <v>44305.378101851798</v>
      </c>
      <c r="F389" s="3">
        <f ca="1">VLOOKUP($B389&amp;$C389,data!$A:$U,21,FALSE)</f>
        <v>0</v>
      </c>
      <c r="G389" s="3">
        <f ca="1">VLOOKUP($B389&amp;$C389,data!$A:$U,17,FALSE)</f>
        <v>0</v>
      </c>
      <c r="H389" s="3">
        <f ca="1">VLOOKUP($B389&amp;$C389,data!$A:$U,18,FALSE)</f>
        <v>0</v>
      </c>
      <c r="I389" s="3">
        <f ca="1">VLOOKUP($B389&amp;$C389,data!$A:$U,19,FALSE)</f>
        <v>0</v>
      </c>
      <c r="J389" s="3">
        <f ca="1">VLOOKUP($B389&amp;$C389,data!$A:$U,14,FALSE)</f>
        <v>0</v>
      </c>
      <c r="K389" s="3">
        <f ca="1">VLOOKUP($B389&amp;$C389,data!$A:$U,15,FALSE)</f>
        <v>0</v>
      </c>
      <c r="L389" s="3">
        <f ca="1">VLOOKUP($B389&amp;$C389,data!$A:$U,16,FALSE)</f>
        <v>0</v>
      </c>
      <c r="M389" s="3">
        <f ca="1">VLOOKUP($B389&amp;$C389,data!$A:$U,8,FALSE)</f>
        <v>18</v>
      </c>
      <c r="N389" s="3">
        <f ca="1">VLOOKUP($B389&amp;$C389,data!$A:$U,9,FALSE)</f>
        <v>18</v>
      </c>
      <c r="O389" s="3">
        <f ca="1">VLOOKUP($B389&amp;$C389,data!$A:$U,10,FALSE)</f>
        <v>0</v>
      </c>
      <c r="P389" s="3">
        <f ca="1">VLOOKUP($B389&amp;$C389,data!$A:$U,11,FALSE)</f>
        <v>18</v>
      </c>
      <c r="Q389" s="3">
        <f ca="1">VLOOKUP($B389&amp;$C389,data!$A:$U,12,FALSE)</f>
        <v>0</v>
      </c>
      <c r="R389" s="3">
        <f ca="1">VLOOKUP($B389&amp;$C389,data!$A:$U,13,FALSE)</f>
        <v>0</v>
      </c>
      <c r="S389" s="3">
        <f ca="1">VLOOKUP($B389&amp;$C389,data!$A:$U,5,FALSE)</f>
        <v>18</v>
      </c>
      <c r="T389" s="3">
        <f ca="1">VLOOKUP($B389&amp;$C389,data!$A:$U,6,FALSE)</f>
        <v>18</v>
      </c>
      <c r="U389" s="3">
        <f ca="1">VLOOKUP($B389&amp;$C389,data!$A:$U,7,FALSE)</f>
        <v>0</v>
      </c>
      <c r="V389" s="16"/>
      <c r="W389" s="9"/>
      <c r="X389" s="9"/>
      <c r="Y389" s="4"/>
      <c r="Z389" s="13">
        <f t="shared" ca="1" si="1"/>
        <v>0.70880648153251968</v>
      </c>
    </row>
    <row r="390" spans="1:26" ht="13" x14ac:dyDescent="0.15">
      <c r="A390" s="3">
        <v>389</v>
      </c>
      <c r="B390" s="3" t="s">
        <v>4</v>
      </c>
      <c r="C390" s="3" t="s">
        <v>1211</v>
      </c>
      <c r="D390" s="10">
        <f t="shared" ca="1" si="0"/>
        <v>0.35</v>
      </c>
      <c r="E390" s="5">
        <f ca="1">VLOOKUP($B390&amp;$C390,data!$A:$U,20,FALSE)</f>
        <v>44305.640601851803</v>
      </c>
      <c r="F390" s="3">
        <f ca="1">VLOOKUP($B390&amp;$C390,data!$A:$U,21,FALSE)</f>
        <v>0</v>
      </c>
      <c r="G390" s="3">
        <f ca="1">VLOOKUP($B390&amp;$C390,data!$A:$U,17,FALSE)</f>
        <v>0</v>
      </c>
      <c r="H390" s="3">
        <f ca="1">VLOOKUP($B390&amp;$C390,data!$A:$U,18,FALSE)</f>
        <v>0</v>
      </c>
      <c r="I390" s="3">
        <f ca="1">VLOOKUP($B390&amp;$C390,data!$A:$U,19,FALSE)</f>
        <v>0</v>
      </c>
      <c r="J390" s="3">
        <f ca="1">VLOOKUP($B390&amp;$C390,data!$A:$U,14,FALSE)</f>
        <v>5</v>
      </c>
      <c r="K390" s="3">
        <f ca="1">VLOOKUP($B390&amp;$C390,data!$A:$U,15,FALSE)</f>
        <v>3</v>
      </c>
      <c r="L390" s="3">
        <f ca="1">VLOOKUP($B390&amp;$C390,data!$A:$U,16,FALSE)</f>
        <v>2</v>
      </c>
      <c r="M390" s="3">
        <f ca="1">VLOOKUP($B390&amp;$C390,data!$A:$U,8,FALSE)</f>
        <v>25</v>
      </c>
      <c r="N390" s="3">
        <f ca="1">VLOOKUP($B390&amp;$C390,data!$A:$U,9,FALSE)</f>
        <v>12</v>
      </c>
      <c r="O390" s="3">
        <f ca="1">VLOOKUP($B390&amp;$C390,data!$A:$U,10,FALSE)</f>
        <v>13</v>
      </c>
      <c r="P390" s="3">
        <f ca="1">VLOOKUP($B390&amp;$C390,data!$A:$U,11,FALSE)</f>
        <v>25</v>
      </c>
      <c r="Q390" s="3">
        <f ca="1">VLOOKUP($B390&amp;$C390,data!$A:$U,12,FALSE)</f>
        <v>0</v>
      </c>
      <c r="R390" s="3">
        <f ca="1">VLOOKUP($B390&amp;$C390,data!$A:$U,13,FALSE)</f>
        <v>0</v>
      </c>
      <c r="S390" s="3">
        <f ca="1">VLOOKUP($B390&amp;$C390,data!$A:$U,5,FALSE)</f>
        <v>25</v>
      </c>
      <c r="T390" s="3">
        <f ca="1">VLOOKUP($B390&amp;$C390,data!$A:$U,6,FALSE)</f>
        <v>12</v>
      </c>
      <c r="U390" s="3">
        <f ca="1">VLOOKUP($B390&amp;$C390,data!$A:$U,7,FALSE)</f>
        <v>13</v>
      </c>
      <c r="V390" s="16"/>
      <c r="W390" s="9"/>
      <c r="X390" s="9"/>
      <c r="Y390" s="4"/>
      <c r="Z390" s="13">
        <f t="shared" ca="1" si="1"/>
        <v>0.44630648152815411</v>
      </c>
    </row>
    <row r="391" spans="1:26" ht="13" x14ac:dyDescent="0.15">
      <c r="A391" s="3">
        <v>390</v>
      </c>
      <c r="B391" s="3" t="s">
        <v>4</v>
      </c>
      <c r="C391" s="3" t="s">
        <v>1212</v>
      </c>
      <c r="D391" s="10" t="e">
        <f t="shared" ca="1" si="0"/>
        <v>#DIV/0!</v>
      </c>
      <c r="E391" s="5">
        <f ca="1">VLOOKUP($B391&amp;$C391,data!$A:$U,20,FALSE)</f>
        <v>44303.9841087963</v>
      </c>
      <c r="F391" s="3">
        <f ca="1">VLOOKUP($B391&amp;$C391,data!$A:$U,21,FALSE)</f>
        <v>0</v>
      </c>
      <c r="G391" s="3">
        <f ca="1">VLOOKUP($B391&amp;$C391,data!$A:$U,17,FALSE)</f>
        <v>0</v>
      </c>
      <c r="H391" s="3">
        <f ca="1">VLOOKUP($B391&amp;$C391,data!$A:$U,18,FALSE)</f>
        <v>0</v>
      </c>
      <c r="I391" s="3">
        <f ca="1">VLOOKUP($B391&amp;$C391,data!$A:$U,19,FALSE)</f>
        <v>0</v>
      </c>
      <c r="J391" s="3">
        <f ca="1">VLOOKUP($B391&amp;$C391,data!$A:$U,14,FALSE)</f>
        <v>0</v>
      </c>
      <c r="K391" s="3">
        <f ca="1">VLOOKUP($B391&amp;$C391,data!$A:$U,15,FALSE)</f>
        <v>0</v>
      </c>
      <c r="L391" s="3">
        <f ca="1">VLOOKUP($B391&amp;$C391,data!$A:$U,16,FALSE)</f>
        <v>0</v>
      </c>
      <c r="M391" s="3">
        <f ca="1">VLOOKUP($B391&amp;$C391,data!$A:$U,8,FALSE)</f>
        <v>0</v>
      </c>
      <c r="N391" s="3">
        <f ca="1">VLOOKUP($B391&amp;$C391,data!$A:$U,9,FALSE)</f>
        <v>0</v>
      </c>
      <c r="O391" s="3">
        <f ca="1">VLOOKUP($B391&amp;$C391,data!$A:$U,10,FALSE)</f>
        <v>0</v>
      </c>
      <c r="P391" s="3">
        <f ca="1">VLOOKUP($B391&amp;$C391,data!$A:$U,11,FALSE)</f>
        <v>0</v>
      </c>
      <c r="Q391" s="3">
        <f ca="1">VLOOKUP($B391&amp;$C391,data!$A:$U,12,FALSE)</f>
        <v>0</v>
      </c>
      <c r="R391" s="3">
        <f ca="1">VLOOKUP($B391&amp;$C391,data!$A:$U,13,FALSE)</f>
        <v>0</v>
      </c>
      <c r="S391" s="3">
        <f ca="1">VLOOKUP($B391&amp;$C391,data!$A:$U,5,FALSE)</f>
        <v>0</v>
      </c>
      <c r="T391" s="3">
        <f ca="1">VLOOKUP($B391&amp;$C391,data!$A:$U,6,FALSE)</f>
        <v>0</v>
      </c>
      <c r="U391" s="3">
        <f ca="1">VLOOKUP($B391&amp;$C391,data!$A:$U,7,FALSE)</f>
        <v>0</v>
      </c>
      <c r="V391" s="16"/>
      <c r="W391" s="9"/>
      <c r="X391" s="9"/>
      <c r="Y391" s="4"/>
      <c r="Z391" s="13">
        <f t="shared" ca="1" si="1"/>
        <v>2.1027995370313874</v>
      </c>
    </row>
    <row r="392" spans="1:26" ht="13" x14ac:dyDescent="0.15">
      <c r="A392" s="3">
        <v>391</v>
      </c>
      <c r="B392" s="3" t="s">
        <v>24</v>
      </c>
      <c r="C392" s="3" t="s">
        <v>1213</v>
      </c>
      <c r="D392" s="10">
        <f t="shared" ca="1" si="0"/>
        <v>0.7857142857142857</v>
      </c>
      <c r="E392" s="5">
        <f ca="1">VLOOKUP($B392&amp;$C392,data!$A:$U,20,FALSE)</f>
        <v>44305.698888888801</v>
      </c>
      <c r="F392" s="3" t="str">
        <f ca="1">VLOOKUP($B392&amp;$C392,data!$A:$U,21,FALSE)</f>
        <v>sari cases 6 positive 3</v>
      </c>
      <c r="G392" s="3">
        <f ca="1">VLOOKUP($B392&amp;$C392,data!$A:$U,17,FALSE)</f>
        <v>1</v>
      </c>
      <c r="H392" s="3">
        <f ca="1">VLOOKUP($B392&amp;$C392,data!$A:$U,18,FALSE)</f>
        <v>0</v>
      </c>
      <c r="I392" s="3">
        <f ca="1">VLOOKUP($B392&amp;$C392,data!$A:$U,19,FALSE)</f>
        <v>1</v>
      </c>
      <c r="J392" s="3">
        <f ca="1">VLOOKUP($B392&amp;$C392,data!$A:$U,14,FALSE)</f>
        <v>2</v>
      </c>
      <c r="K392" s="3">
        <f ca="1">VLOOKUP($B392&amp;$C392,data!$A:$U,15,FALSE)</f>
        <v>0</v>
      </c>
      <c r="L392" s="3">
        <f ca="1">VLOOKUP($B392&amp;$C392,data!$A:$U,16,FALSE)</f>
        <v>2</v>
      </c>
      <c r="M392" s="3">
        <f ca="1">VLOOKUP($B392&amp;$C392,data!$A:$U,8,FALSE)</f>
        <v>20</v>
      </c>
      <c r="N392" s="3">
        <f ca="1">VLOOKUP($B392&amp;$C392,data!$A:$U,9,FALSE)</f>
        <v>0</v>
      </c>
      <c r="O392" s="3">
        <f ca="1">VLOOKUP($B392&amp;$C392,data!$A:$U,10,FALSE)</f>
        <v>20</v>
      </c>
      <c r="P392" s="3">
        <f ca="1">VLOOKUP($B392&amp;$C392,data!$A:$U,11,FALSE)</f>
        <v>0</v>
      </c>
      <c r="Q392" s="3">
        <f ca="1">VLOOKUP($B392&amp;$C392,data!$A:$U,12,FALSE)</f>
        <v>0</v>
      </c>
      <c r="R392" s="3">
        <f ca="1">VLOOKUP($B392&amp;$C392,data!$A:$U,13,FALSE)</f>
        <v>0</v>
      </c>
      <c r="S392" s="3">
        <f ca="1">VLOOKUP($B392&amp;$C392,data!$A:$U,5,FALSE)</f>
        <v>20</v>
      </c>
      <c r="T392" s="3">
        <f ca="1">VLOOKUP($B392&amp;$C392,data!$A:$U,6,FALSE)</f>
        <v>9</v>
      </c>
      <c r="U392" s="3">
        <f ca="1">VLOOKUP($B392&amp;$C392,data!$A:$U,7,FALSE)</f>
        <v>11</v>
      </c>
      <c r="V392" s="16"/>
      <c r="W392" s="9"/>
      <c r="X392" s="9"/>
      <c r="Y392" s="4"/>
      <c r="Z392" s="13">
        <f t="shared" ca="1" si="1"/>
        <v>0.38801944453007309</v>
      </c>
    </row>
    <row r="393" spans="1:26" ht="13" x14ac:dyDescent="0.15">
      <c r="A393" s="3">
        <v>392</v>
      </c>
      <c r="B393" s="3" t="s">
        <v>5</v>
      </c>
      <c r="C393" s="3" t="s">
        <v>1214</v>
      </c>
      <c r="D393" s="10" t="e">
        <f t="shared" ca="1" si="0"/>
        <v>#DIV/0!</v>
      </c>
      <c r="E393" s="5">
        <f ca="1">VLOOKUP($B393&amp;$C393,data!$A:$U,20,FALSE)</f>
        <v>44303.985555555497</v>
      </c>
      <c r="F393" s="3">
        <f ca="1">VLOOKUP($B393&amp;$C393,data!$A:$U,21,FALSE)</f>
        <v>0</v>
      </c>
      <c r="G393" s="3">
        <f ca="1">VLOOKUP($B393&amp;$C393,data!$A:$U,17,FALSE)</f>
        <v>0</v>
      </c>
      <c r="H393" s="3">
        <f ca="1">VLOOKUP($B393&amp;$C393,data!$A:$U,18,FALSE)</f>
        <v>0</v>
      </c>
      <c r="I393" s="3">
        <f ca="1">VLOOKUP($B393&amp;$C393,data!$A:$U,19,FALSE)</f>
        <v>0</v>
      </c>
      <c r="J393" s="3">
        <f ca="1">VLOOKUP($B393&amp;$C393,data!$A:$U,14,FALSE)</f>
        <v>0</v>
      </c>
      <c r="K393" s="3">
        <f ca="1">VLOOKUP($B393&amp;$C393,data!$A:$U,15,FALSE)</f>
        <v>0</v>
      </c>
      <c r="L393" s="3">
        <f ca="1">VLOOKUP($B393&amp;$C393,data!$A:$U,16,FALSE)</f>
        <v>0</v>
      </c>
      <c r="M393" s="3">
        <f ca="1">VLOOKUP($B393&amp;$C393,data!$A:$U,8,FALSE)</f>
        <v>0</v>
      </c>
      <c r="N393" s="3">
        <f ca="1">VLOOKUP($B393&amp;$C393,data!$A:$U,9,FALSE)</f>
        <v>0</v>
      </c>
      <c r="O393" s="3">
        <f ca="1">VLOOKUP($B393&amp;$C393,data!$A:$U,10,FALSE)</f>
        <v>0</v>
      </c>
      <c r="P393" s="3">
        <f ca="1">VLOOKUP($B393&amp;$C393,data!$A:$U,11,FALSE)</f>
        <v>0</v>
      </c>
      <c r="Q393" s="3">
        <f ca="1">VLOOKUP($B393&amp;$C393,data!$A:$U,12,FALSE)</f>
        <v>0</v>
      </c>
      <c r="R393" s="3">
        <f ca="1">VLOOKUP($B393&amp;$C393,data!$A:$U,13,FALSE)</f>
        <v>0</v>
      </c>
      <c r="S393" s="3">
        <f ca="1">VLOOKUP($B393&amp;$C393,data!$A:$U,5,FALSE)</f>
        <v>0</v>
      </c>
      <c r="T393" s="3">
        <f ca="1">VLOOKUP($B393&amp;$C393,data!$A:$U,6,FALSE)</f>
        <v>0</v>
      </c>
      <c r="U393" s="3">
        <f ca="1">VLOOKUP($B393&amp;$C393,data!$A:$U,7,FALSE)</f>
        <v>0</v>
      </c>
      <c r="V393" s="16"/>
      <c r="W393" s="9"/>
      <c r="X393" s="9"/>
      <c r="Y393" s="4"/>
      <c r="Z393" s="13">
        <f t="shared" ca="1" si="1"/>
        <v>2.1013527778341086</v>
      </c>
    </row>
    <row r="394" spans="1:26" ht="13" x14ac:dyDescent="0.15">
      <c r="A394" s="3">
        <v>393</v>
      </c>
      <c r="B394" s="3" t="s">
        <v>5</v>
      </c>
      <c r="C394" s="3" t="s">
        <v>1215</v>
      </c>
      <c r="D394" s="10">
        <f t="shared" ca="1" si="0"/>
        <v>0.5</v>
      </c>
      <c r="E394" s="5">
        <f ca="1">VLOOKUP($B394&amp;$C394,data!$A:$U,20,FALSE)</f>
        <v>44305.313333333303</v>
      </c>
      <c r="F394" s="3">
        <f ca="1">VLOOKUP($B394&amp;$C394,data!$A:$U,21,FALSE)</f>
        <v>0</v>
      </c>
      <c r="G394" s="3">
        <f ca="1">VLOOKUP($B394&amp;$C394,data!$A:$U,17,FALSE)</f>
        <v>2</v>
      </c>
      <c r="H394" s="3">
        <f ca="1">VLOOKUP($B394&amp;$C394,data!$A:$U,18,FALSE)</f>
        <v>0</v>
      </c>
      <c r="I394" s="3">
        <f ca="1">VLOOKUP($B394&amp;$C394,data!$A:$U,19,FALSE)</f>
        <v>2</v>
      </c>
      <c r="J394" s="3">
        <f ca="1">VLOOKUP($B394&amp;$C394,data!$A:$U,14,FALSE)</f>
        <v>6</v>
      </c>
      <c r="K394" s="3">
        <f ca="1">VLOOKUP($B394&amp;$C394,data!$A:$U,15,FALSE)</f>
        <v>0</v>
      </c>
      <c r="L394" s="3">
        <f ca="1">VLOOKUP($B394&amp;$C394,data!$A:$U,16,FALSE)</f>
        <v>6</v>
      </c>
      <c r="M394" s="3">
        <f ca="1">VLOOKUP($B394&amp;$C394,data!$A:$U,8,FALSE)</f>
        <v>20</v>
      </c>
      <c r="N394" s="3">
        <f ca="1">VLOOKUP($B394&amp;$C394,data!$A:$U,9,FALSE)</f>
        <v>13</v>
      </c>
      <c r="O394" s="3">
        <f ca="1">VLOOKUP($B394&amp;$C394,data!$A:$U,10,FALSE)</f>
        <v>7</v>
      </c>
      <c r="P394" s="3">
        <f ca="1">VLOOKUP($B394&amp;$C394,data!$A:$U,11,FALSE)</f>
        <v>0</v>
      </c>
      <c r="Q394" s="3">
        <f ca="1">VLOOKUP($B394&amp;$C394,data!$A:$U,12,FALSE)</f>
        <v>0</v>
      </c>
      <c r="R394" s="3">
        <f ca="1">VLOOKUP($B394&amp;$C394,data!$A:$U,13,FALSE)</f>
        <v>0</v>
      </c>
      <c r="S394" s="3">
        <f ca="1">VLOOKUP($B394&amp;$C394,data!$A:$U,5,FALSE)</f>
        <v>26</v>
      </c>
      <c r="T394" s="3">
        <f ca="1">VLOOKUP($B394&amp;$C394,data!$A:$U,6,FALSE)</f>
        <v>13</v>
      </c>
      <c r="U394" s="3">
        <f ca="1">VLOOKUP($B394&amp;$C394,data!$A:$U,7,FALSE)</f>
        <v>13</v>
      </c>
      <c r="V394" s="11" t="s">
        <v>1216</v>
      </c>
      <c r="W394" s="17" t="s">
        <v>1217</v>
      </c>
      <c r="X394" s="14"/>
      <c r="Y394" s="4" t="s">
        <v>1218</v>
      </c>
      <c r="Z394" s="13">
        <f t="shared" ca="1" si="1"/>
        <v>0.77357500002835877</v>
      </c>
    </row>
    <row r="395" spans="1:26" ht="13" x14ac:dyDescent="0.15">
      <c r="A395" s="3">
        <v>394</v>
      </c>
      <c r="B395" s="3" t="s">
        <v>17</v>
      </c>
      <c r="C395" s="3" t="s">
        <v>1219</v>
      </c>
      <c r="D395" s="10">
        <f t="shared" ca="1" si="0"/>
        <v>1</v>
      </c>
      <c r="E395" s="5">
        <f ca="1">VLOOKUP($B395&amp;$C395,data!$A:$U,20,FALSE)</f>
        <v>44305.567465277702</v>
      </c>
      <c r="F395" s="3" t="str">
        <f ca="1">VLOOKUP($B395&amp;$C395,data!$A:$U,21,FALSE)</f>
        <v>Date 19.04.2021 Time 9.11</v>
      </c>
      <c r="G395" s="3">
        <f ca="1">VLOOKUP($B395&amp;$C395,data!$A:$U,17,FALSE)</f>
        <v>10</v>
      </c>
      <c r="H395" s="3">
        <f ca="1">VLOOKUP($B395&amp;$C395,data!$A:$U,18,FALSE)</f>
        <v>0</v>
      </c>
      <c r="I395" s="3">
        <f ca="1">VLOOKUP($B395&amp;$C395,data!$A:$U,19,FALSE)</f>
        <v>10</v>
      </c>
      <c r="J395" s="3">
        <f ca="1">VLOOKUP($B395&amp;$C395,data!$A:$U,14,FALSE)</f>
        <v>10</v>
      </c>
      <c r="K395" s="3">
        <f ca="1">VLOOKUP($B395&amp;$C395,data!$A:$U,15,FALSE)</f>
        <v>0</v>
      </c>
      <c r="L395" s="3">
        <f ca="1">VLOOKUP($B395&amp;$C395,data!$A:$U,16,FALSE)</f>
        <v>10</v>
      </c>
      <c r="M395" s="3">
        <f ca="1">VLOOKUP($B395&amp;$C395,data!$A:$U,8,FALSE)</f>
        <v>40</v>
      </c>
      <c r="N395" s="3">
        <f ca="1">VLOOKUP($B395&amp;$C395,data!$A:$U,9,FALSE)</f>
        <v>0</v>
      </c>
      <c r="O395" s="3">
        <f ca="1">VLOOKUP($B395&amp;$C395,data!$A:$U,10,FALSE)</f>
        <v>40</v>
      </c>
      <c r="P395" s="3">
        <f ca="1">VLOOKUP($B395&amp;$C395,data!$A:$U,11,FALSE)</f>
        <v>50</v>
      </c>
      <c r="Q395" s="3">
        <f ca="1">VLOOKUP($B395&amp;$C395,data!$A:$U,12,FALSE)</f>
        <v>0</v>
      </c>
      <c r="R395" s="3">
        <f ca="1">VLOOKUP($B395&amp;$C395,data!$A:$U,13,FALSE)</f>
        <v>50</v>
      </c>
      <c r="S395" s="3">
        <f ca="1">VLOOKUP($B395&amp;$C395,data!$A:$U,5,FALSE)</f>
        <v>100</v>
      </c>
      <c r="T395" s="3">
        <f ca="1">VLOOKUP($B395&amp;$C395,data!$A:$U,6,FALSE)</f>
        <v>0</v>
      </c>
      <c r="U395" s="3">
        <f ca="1">VLOOKUP($B395&amp;$C395,data!$A:$U,7,FALSE)</f>
        <v>100</v>
      </c>
      <c r="V395" s="16"/>
      <c r="W395" s="9"/>
      <c r="X395" s="9"/>
      <c r="Y395" s="4"/>
      <c r="Z395" s="13">
        <f t="shared" ca="1" si="1"/>
        <v>0.51944305562938098</v>
      </c>
    </row>
    <row r="396" spans="1:26" ht="13" x14ac:dyDescent="0.15">
      <c r="A396" s="3">
        <v>395</v>
      </c>
      <c r="B396" s="3" t="s">
        <v>32</v>
      </c>
      <c r="C396" s="3" t="s">
        <v>1220</v>
      </c>
      <c r="D396" s="10" t="e">
        <f t="shared" ca="1" si="0"/>
        <v>#DIV/0!</v>
      </c>
      <c r="E396" s="5">
        <f ca="1">VLOOKUP($B396&amp;$C396,data!$A:$U,20,FALSE)</f>
        <v>44304.5827893518</v>
      </c>
      <c r="F396" s="3"/>
      <c r="G396" s="3"/>
      <c r="H396" s="3"/>
      <c r="I396" s="3">
        <f ca="1">VLOOKUP($B396&amp;$C396,data!$A:$U,19,FALSE)</f>
        <v>0</v>
      </c>
      <c r="J396" s="3"/>
      <c r="K396" s="3"/>
      <c r="L396" s="3">
        <f ca="1">VLOOKUP($B396&amp;$C396,data!$A:$U,16,FALSE)</f>
        <v>0</v>
      </c>
      <c r="M396" s="3"/>
      <c r="N396" s="3"/>
      <c r="O396" s="3">
        <f ca="1">VLOOKUP($B396&amp;$C396,data!$A:$U,10,FALSE)</f>
        <v>0</v>
      </c>
      <c r="P396" s="3"/>
      <c r="Q396" s="3"/>
      <c r="R396" s="3">
        <f ca="1">VLOOKUP($B396&amp;$C396,data!$A:$U,13,FALSE)</f>
        <v>0</v>
      </c>
      <c r="S396" s="3"/>
      <c r="T396" s="3"/>
      <c r="U396" s="3">
        <f ca="1">VLOOKUP($B396&amp;$C396,data!$A:$U,7,FALSE)</f>
        <v>7</v>
      </c>
      <c r="V396" s="16"/>
      <c r="W396" s="9"/>
      <c r="X396" s="9"/>
      <c r="Y396" s="4"/>
      <c r="Z396" s="13"/>
    </row>
    <row r="397" spans="1:26" ht="13" x14ac:dyDescent="0.15">
      <c r="A397" s="3">
        <v>396</v>
      </c>
      <c r="B397" s="3" t="s">
        <v>24</v>
      </c>
      <c r="C397" s="3" t="s">
        <v>1221</v>
      </c>
      <c r="D397" s="10" t="e">
        <f t="shared" ca="1" si="0"/>
        <v>#DIV/0!</v>
      </c>
      <c r="E397" s="5">
        <f ca="1">VLOOKUP($B397&amp;$C397,data!$A:$U,20,FALSE)</f>
        <v>44304.546145833301</v>
      </c>
      <c r="F397" s="3"/>
      <c r="G397" s="3"/>
      <c r="H397" s="3"/>
      <c r="I397" s="3">
        <f ca="1">VLOOKUP($B397&amp;$C397,data!$A:$U,19,FALSE)</f>
        <v>0</v>
      </c>
      <c r="J397" s="3"/>
      <c r="K397" s="3"/>
      <c r="L397" s="3">
        <f ca="1">VLOOKUP($B397&amp;$C397,data!$A:$U,16,FALSE)</f>
        <v>0</v>
      </c>
      <c r="M397" s="3"/>
      <c r="N397" s="3"/>
      <c r="O397" s="3">
        <f ca="1">VLOOKUP($B397&amp;$C397,data!$A:$U,10,FALSE)</f>
        <v>0</v>
      </c>
      <c r="P397" s="3"/>
      <c r="Q397" s="3"/>
      <c r="R397" s="3">
        <f ca="1">VLOOKUP($B397&amp;$C397,data!$A:$U,13,FALSE)</f>
        <v>0</v>
      </c>
      <c r="S397" s="3"/>
      <c r="T397" s="3"/>
      <c r="U397" s="3">
        <f ca="1">VLOOKUP($B397&amp;$C397,data!$A:$U,7,FALSE)</f>
        <v>0</v>
      </c>
      <c r="V397" s="16"/>
      <c r="W397" s="9"/>
      <c r="X397" s="9"/>
      <c r="Y397" s="4"/>
      <c r="Z397" s="13"/>
    </row>
  </sheetData>
  <autoFilter ref="A1:Z397" xr:uid="{00000000-0009-0000-0000-000001000000}"/>
  <conditionalFormatting sqref="I1:U397">
    <cfRule type="colorScale" priority="2">
      <colorScale>
        <cfvo type="formula" val="0"/>
        <cfvo type="formula" val="20"/>
        <color rgb="FFFFFFFF"/>
        <color rgb="FF57BB8A"/>
      </colorScale>
    </cfRule>
  </conditionalFormatting>
  <conditionalFormatting sqref="D1:D397">
    <cfRule type="colorScale" priority="3">
      <colorScale>
        <cfvo type="min"/>
        <cfvo type="percentile" val="50"/>
        <cfvo type="formula" val="1"/>
        <color rgb="FFE67C73"/>
        <color rgb="FFFFFFFF"/>
        <color rgb="FF57BB8A"/>
      </colorScale>
    </cfRule>
  </conditionalFormatting>
  <hyperlinks>
    <hyperlink ref="W2" r:id="rId1" xr:uid="{00000000-0004-0000-0100-000000000000}"/>
    <hyperlink ref="X2" r:id="rId2" xr:uid="{00000000-0004-0000-0100-000001000000}"/>
    <hyperlink ref="W3" r:id="rId3" xr:uid="{00000000-0004-0000-0100-000002000000}"/>
    <hyperlink ref="W4" r:id="rId4" xr:uid="{00000000-0004-0000-0100-000003000000}"/>
    <hyperlink ref="W5" r:id="rId5" xr:uid="{00000000-0004-0000-0100-000004000000}"/>
    <hyperlink ref="X5" r:id="rId6" xr:uid="{00000000-0004-0000-0100-000005000000}"/>
    <hyperlink ref="W6" r:id="rId7" xr:uid="{00000000-0004-0000-0100-000006000000}"/>
    <hyperlink ref="X6" r:id="rId8" xr:uid="{00000000-0004-0000-0100-000007000000}"/>
    <hyperlink ref="W7" r:id="rId9" xr:uid="{00000000-0004-0000-0100-000008000000}"/>
    <hyperlink ref="X7" r:id="rId10" xr:uid="{00000000-0004-0000-0100-000009000000}"/>
    <hyperlink ref="W8" r:id="rId11" xr:uid="{00000000-0004-0000-0100-00000A000000}"/>
    <hyperlink ref="X8" r:id="rId12" xr:uid="{00000000-0004-0000-0100-00000B000000}"/>
    <hyperlink ref="W9" r:id="rId13" xr:uid="{00000000-0004-0000-0100-00000C000000}"/>
    <hyperlink ref="X9" r:id="rId14" xr:uid="{00000000-0004-0000-0100-00000D000000}"/>
    <hyperlink ref="W10" r:id="rId15" xr:uid="{00000000-0004-0000-0100-00000E000000}"/>
    <hyperlink ref="X10" r:id="rId16" xr:uid="{00000000-0004-0000-0100-00000F000000}"/>
    <hyperlink ref="W11" r:id="rId17" xr:uid="{00000000-0004-0000-0100-000010000000}"/>
    <hyperlink ref="X11" r:id="rId18" xr:uid="{00000000-0004-0000-0100-000011000000}"/>
    <hyperlink ref="W12" r:id="rId19" xr:uid="{00000000-0004-0000-0100-000012000000}"/>
    <hyperlink ref="X12" r:id="rId20" xr:uid="{00000000-0004-0000-0100-000013000000}"/>
    <hyperlink ref="W13" r:id="rId21" xr:uid="{00000000-0004-0000-0100-000014000000}"/>
    <hyperlink ref="W14" r:id="rId22" xr:uid="{00000000-0004-0000-0100-000015000000}"/>
    <hyperlink ref="X14" r:id="rId23" xr:uid="{00000000-0004-0000-0100-000016000000}"/>
    <hyperlink ref="W15" r:id="rId24" xr:uid="{00000000-0004-0000-0100-000017000000}"/>
    <hyperlink ref="W16" r:id="rId25" xr:uid="{00000000-0004-0000-0100-000018000000}"/>
    <hyperlink ref="X16" r:id="rId26" xr:uid="{00000000-0004-0000-0100-000019000000}"/>
    <hyperlink ref="W17" r:id="rId27" xr:uid="{00000000-0004-0000-0100-00001A000000}"/>
    <hyperlink ref="X17" r:id="rId28" xr:uid="{00000000-0004-0000-0100-00001B000000}"/>
    <hyperlink ref="W18" r:id="rId29" xr:uid="{00000000-0004-0000-0100-00001C000000}"/>
    <hyperlink ref="X18" r:id="rId30" xr:uid="{00000000-0004-0000-0100-00001D000000}"/>
    <hyperlink ref="W19" r:id="rId31" xr:uid="{00000000-0004-0000-0100-00001E000000}"/>
    <hyperlink ref="X19" r:id="rId32" xr:uid="{00000000-0004-0000-0100-00001F000000}"/>
    <hyperlink ref="W20" r:id="rId33" xr:uid="{00000000-0004-0000-0100-000020000000}"/>
    <hyperlink ref="X20" r:id="rId34" xr:uid="{00000000-0004-0000-0100-000021000000}"/>
    <hyperlink ref="W21" r:id="rId35" xr:uid="{00000000-0004-0000-0100-000022000000}"/>
    <hyperlink ref="X21" r:id="rId36" xr:uid="{00000000-0004-0000-0100-000023000000}"/>
    <hyperlink ref="W22" r:id="rId37" xr:uid="{00000000-0004-0000-0100-000024000000}"/>
    <hyperlink ref="X22" r:id="rId38" xr:uid="{00000000-0004-0000-0100-000025000000}"/>
    <hyperlink ref="W23" r:id="rId39" xr:uid="{00000000-0004-0000-0100-000026000000}"/>
    <hyperlink ref="X23" r:id="rId40" xr:uid="{00000000-0004-0000-0100-000027000000}"/>
    <hyperlink ref="W24" r:id="rId41" xr:uid="{00000000-0004-0000-0100-000028000000}"/>
    <hyperlink ref="X24" r:id="rId42" xr:uid="{00000000-0004-0000-0100-000029000000}"/>
    <hyperlink ref="W25" r:id="rId43" xr:uid="{00000000-0004-0000-0100-00002A000000}"/>
    <hyperlink ref="X25" r:id="rId44" xr:uid="{00000000-0004-0000-0100-00002B000000}"/>
    <hyperlink ref="W28" r:id="rId45" xr:uid="{00000000-0004-0000-0100-00002C000000}"/>
    <hyperlink ref="X28" r:id="rId46" xr:uid="{00000000-0004-0000-0100-00002D000000}"/>
    <hyperlink ref="W29" r:id="rId47" xr:uid="{00000000-0004-0000-0100-00002E000000}"/>
    <hyperlink ref="X29" r:id="rId48" xr:uid="{00000000-0004-0000-0100-00002F000000}"/>
    <hyperlink ref="W35" r:id="rId49" xr:uid="{00000000-0004-0000-0100-000030000000}"/>
    <hyperlink ref="X35" r:id="rId50" xr:uid="{00000000-0004-0000-0100-000031000000}"/>
    <hyperlink ref="W36" r:id="rId51" xr:uid="{00000000-0004-0000-0100-000032000000}"/>
    <hyperlink ref="X36" r:id="rId52" xr:uid="{00000000-0004-0000-0100-000033000000}"/>
    <hyperlink ref="W37" r:id="rId53" xr:uid="{00000000-0004-0000-0100-000034000000}"/>
    <hyperlink ref="X37" r:id="rId54" xr:uid="{00000000-0004-0000-0100-000035000000}"/>
    <hyperlink ref="W38" r:id="rId55" xr:uid="{00000000-0004-0000-0100-000036000000}"/>
    <hyperlink ref="X38" r:id="rId56" xr:uid="{00000000-0004-0000-0100-000037000000}"/>
    <hyperlink ref="W39" r:id="rId57" xr:uid="{00000000-0004-0000-0100-000038000000}"/>
    <hyperlink ref="X39" r:id="rId58" xr:uid="{00000000-0004-0000-0100-000039000000}"/>
    <hyperlink ref="W40" r:id="rId59" xr:uid="{00000000-0004-0000-0100-00003A000000}"/>
    <hyperlink ref="X40" r:id="rId60" xr:uid="{00000000-0004-0000-0100-00003B000000}"/>
    <hyperlink ref="W43" r:id="rId61" xr:uid="{00000000-0004-0000-0100-00003C000000}"/>
    <hyperlink ref="X43" r:id="rId62" xr:uid="{00000000-0004-0000-0100-00003D000000}"/>
    <hyperlink ref="W47" r:id="rId63" xr:uid="{00000000-0004-0000-0100-00003E000000}"/>
    <hyperlink ref="X47" r:id="rId64" xr:uid="{00000000-0004-0000-0100-00003F000000}"/>
    <hyperlink ref="W48" r:id="rId65" xr:uid="{00000000-0004-0000-0100-000040000000}"/>
    <hyperlink ref="X48" r:id="rId66" xr:uid="{00000000-0004-0000-0100-000041000000}"/>
    <hyperlink ref="W50" r:id="rId67" xr:uid="{00000000-0004-0000-0100-000042000000}"/>
    <hyperlink ref="X50" r:id="rId68" xr:uid="{00000000-0004-0000-0100-000043000000}"/>
    <hyperlink ref="W54" r:id="rId69" xr:uid="{00000000-0004-0000-0100-000044000000}"/>
    <hyperlink ref="X54" r:id="rId70" xr:uid="{00000000-0004-0000-0100-000045000000}"/>
    <hyperlink ref="W60" r:id="rId71" xr:uid="{00000000-0004-0000-0100-000046000000}"/>
    <hyperlink ref="X60" r:id="rId72" xr:uid="{00000000-0004-0000-0100-000047000000}"/>
    <hyperlink ref="W65" r:id="rId73" xr:uid="{00000000-0004-0000-0100-000048000000}"/>
    <hyperlink ref="X65" r:id="rId74" xr:uid="{00000000-0004-0000-0100-000049000000}"/>
    <hyperlink ref="W67" r:id="rId75" xr:uid="{00000000-0004-0000-0100-00004A000000}"/>
    <hyperlink ref="X67" r:id="rId76" xr:uid="{00000000-0004-0000-0100-00004B000000}"/>
    <hyperlink ref="W93" r:id="rId77" xr:uid="{00000000-0004-0000-0100-00004C000000}"/>
    <hyperlink ref="X93" r:id="rId78" xr:uid="{00000000-0004-0000-0100-00004D000000}"/>
    <hyperlink ref="W94" r:id="rId79" xr:uid="{00000000-0004-0000-0100-00004E000000}"/>
    <hyperlink ref="X94" r:id="rId80" xr:uid="{00000000-0004-0000-0100-00004F000000}"/>
    <hyperlink ref="W95" r:id="rId81" xr:uid="{00000000-0004-0000-0100-000050000000}"/>
    <hyperlink ref="X95" r:id="rId82" xr:uid="{00000000-0004-0000-0100-000051000000}"/>
    <hyperlink ref="W96" r:id="rId83" xr:uid="{00000000-0004-0000-0100-000052000000}"/>
    <hyperlink ref="X96" r:id="rId84" xr:uid="{00000000-0004-0000-0100-000053000000}"/>
    <hyperlink ref="W97" r:id="rId85" xr:uid="{00000000-0004-0000-0100-000054000000}"/>
    <hyperlink ref="X97" r:id="rId86" xr:uid="{00000000-0004-0000-0100-000055000000}"/>
    <hyperlink ref="W98" r:id="rId87" xr:uid="{00000000-0004-0000-0100-000056000000}"/>
    <hyperlink ref="X98" r:id="rId88" xr:uid="{00000000-0004-0000-0100-000057000000}"/>
    <hyperlink ref="W99" r:id="rId89" xr:uid="{00000000-0004-0000-0100-000058000000}"/>
    <hyperlink ref="X99" r:id="rId90" xr:uid="{00000000-0004-0000-0100-000059000000}"/>
    <hyperlink ref="W100" r:id="rId91" xr:uid="{00000000-0004-0000-0100-00005A000000}"/>
    <hyperlink ref="X100" r:id="rId92" xr:uid="{00000000-0004-0000-0100-00005B000000}"/>
    <hyperlink ref="W101" r:id="rId93" xr:uid="{00000000-0004-0000-0100-00005C000000}"/>
    <hyperlink ref="X101" r:id="rId94" xr:uid="{00000000-0004-0000-0100-00005D000000}"/>
    <hyperlink ref="W102" r:id="rId95" xr:uid="{00000000-0004-0000-0100-00005E000000}"/>
    <hyperlink ref="X102" r:id="rId96" xr:uid="{00000000-0004-0000-0100-00005F000000}"/>
    <hyperlink ref="W103" r:id="rId97" xr:uid="{00000000-0004-0000-0100-000060000000}"/>
    <hyperlink ref="X103" r:id="rId98" xr:uid="{00000000-0004-0000-0100-000061000000}"/>
    <hyperlink ref="W104" r:id="rId99" xr:uid="{00000000-0004-0000-0100-000062000000}"/>
    <hyperlink ref="X104" r:id="rId100" xr:uid="{00000000-0004-0000-0100-000063000000}"/>
    <hyperlink ref="W105" r:id="rId101" xr:uid="{00000000-0004-0000-0100-000064000000}"/>
    <hyperlink ref="W107" r:id="rId102" xr:uid="{00000000-0004-0000-0100-000065000000}"/>
    <hyperlink ref="X107" r:id="rId103" xr:uid="{00000000-0004-0000-0100-000066000000}"/>
    <hyperlink ref="X132" r:id="rId104" xr:uid="{00000000-0004-0000-0100-000067000000}"/>
    <hyperlink ref="W137" r:id="rId105" xr:uid="{00000000-0004-0000-0100-000068000000}"/>
    <hyperlink ref="X137" r:id="rId106" xr:uid="{00000000-0004-0000-0100-000069000000}"/>
    <hyperlink ref="W138" r:id="rId107" xr:uid="{00000000-0004-0000-0100-00006A000000}"/>
    <hyperlink ref="X138" r:id="rId108" xr:uid="{00000000-0004-0000-0100-00006B000000}"/>
    <hyperlink ref="W140" r:id="rId109" xr:uid="{00000000-0004-0000-0100-00006C000000}"/>
    <hyperlink ref="X140" r:id="rId110" xr:uid="{00000000-0004-0000-0100-00006D000000}"/>
    <hyperlink ref="W141" r:id="rId111" xr:uid="{00000000-0004-0000-0100-00006E000000}"/>
    <hyperlink ref="X141" r:id="rId112" xr:uid="{00000000-0004-0000-0100-00006F000000}"/>
    <hyperlink ref="W142" r:id="rId113" xr:uid="{00000000-0004-0000-0100-000070000000}"/>
    <hyperlink ref="X142" r:id="rId114" xr:uid="{00000000-0004-0000-0100-000071000000}"/>
    <hyperlink ref="W144" r:id="rId115" xr:uid="{00000000-0004-0000-0100-000072000000}"/>
    <hyperlink ref="X144" r:id="rId116" xr:uid="{00000000-0004-0000-0100-000073000000}"/>
    <hyperlink ref="W145" r:id="rId117" xr:uid="{00000000-0004-0000-0100-000074000000}"/>
    <hyperlink ref="X145" r:id="rId118" xr:uid="{00000000-0004-0000-0100-000075000000}"/>
    <hyperlink ref="W146" r:id="rId119" xr:uid="{00000000-0004-0000-0100-000076000000}"/>
    <hyperlink ref="X146" r:id="rId120" xr:uid="{00000000-0004-0000-0100-000077000000}"/>
    <hyperlink ref="W147" r:id="rId121" xr:uid="{00000000-0004-0000-0100-000078000000}"/>
    <hyperlink ref="W149" r:id="rId122" xr:uid="{00000000-0004-0000-0100-000079000000}"/>
    <hyperlink ref="X149" r:id="rId123" xr:uid="{00000000-0004-0000-0100-00007A000000}"/>
    <hyperlink ref="W151" r:id="rId124" xr:uid="{00000000-0004-0000-0100-00007B000000}"/>
    <hyperlink ref="W152" r:id="rId125" xr:uid="{00000000-0004-0000-0100-00007C000000}"/>
    <hyperlink ref="W153" r:id="rId126" xr:uid="{00000000-0004-0000-0100-00007D000000}"/>
    <hyperlink ref="W154" r:id="rId127" xr:uid="{00000000-0004-0000-0100-00007E000000}"/>
    <hyperlink ref="W155" r:id="rId128" xr:uid="{00000000-0004-0000-0100-00007F000000}"/>
    <hyperlink ref="W156" r:id="rId129" xr:uid="{00000000-0004-0000-0100-000080000000}"/>
    <hyperlink ref="X156" r:id="rId130" xr:uid="{00000000-0004-0000-0100-000081000000}"/>
    <hyperlink ref="W157" r:id="rId131" xr:uid="{00000000-0004-0000-0100-000082000000}"/>
    <hyperlink ref="X157" r:id="rId132" xr:uid="{00000000-0004-0000-0100-000083000000}"/>
    <hyperlink ref="W159" r:id="rId133" xr:uid="{00000000-0004-0000-0100-000084000000}"/>
    <hyperlink ref="X159" r:id="rId134" xr:uid="{00000000-0004-0000-0100-000085000000}"/>
    <hyperlink ref="W164" r:id="rId135" xr:uid="{00000000-0004-0000-0100-000086000000}"/>
    <hyperlink ref="X164" r:id="rId136" xr:uid="{00000000-0004-0000-0100-000087000000}"/>
    <hyperlink ref="W166" r:id="rId137" xr:uid="{00000000-0004-0000-0100-000088000000}"/>
    <hyperlink ref="W168" r:id="rId138" xr:uid="{00000000-0004-0000-0100-000089000000}"/>
    <hyperlink ref="W173" r:id="rId139" xr:uid="{00000000-0004-0000-0100-00008A000000}"/>
    <hyperlink ref="X173" r:id="rId140" xr:uid="{00000000-0004-0000-0100-00008B000000}"/>
    <hyperlink ref="W174" r:id="rId141" xr:uid="{00000000-0004-0000-0100-00008C000000}"/>
    <hyperlink ref="X174" r:id="rId142" xr:uid="{00000000-0004-0000-0100-00008D000000}"/>
    <hyperlink ref="W175" r:id="rId143" xr:uid="{00000000-0004-0000-0100-00008E000000}"/>
    <hyperlink ref="X175" r:id="rId144" xr:uid="{00000000-0004-0000-0100-00008F000000}"/>
    <hyperlink ref="W176" r:id="rId145" xr:uid="{00000000-0004-0000-0100-000090000000}"/>
    <hyperlink ref="W177" r:id="rId146" xr:uid="{00000000-0004-0000-0100-000091000000}"/>
    <hyperlink ref="X177" r:id="rId147" xr:uid="{00000000-0004-0000-0100-000092000000}"/>
    <hyperlink ref="W178" r:id="rId148" xr:uid="{00000000-0004-0000-0100-000093000000}"/>
    <hyperlink ref="X178" r:id="rId149" xr:uid="{00000000-0004-0000-0100-000094000000}"/>
    <hyperlink ref="W179" r:id="rId150" xr:uid="{00000000-0004-0000-0100-000095000000}"/>
    <hyperlink ref="X179" r:id="rId151" xr:uid="{00000000-0004-0000-0100-000096000000}"/>
    <hyperlink ref="W180" r:id="rId152" xr:uid="{00000000-0004-0000-0100-000097000000}"/>
    <hyperlink ref="X180" r:id="rId153" xr:uid="{00000000-0004-0000-0100-000098000000}"/>
    <hyperlink ref="W181" r:id="rId154" xr:uid="{00000000-0004-0000-0100-000099000000}"/>
    <hyperlink ref="X181" r:id="rId155" xr:uid="{00000000-0004-0000-0100-00009A000000}"/>
    <hyperlink ref="W182" r:id="rId156" xr:uid="{00000000-0004-0000-0100-00009B000000}"/>
    <hyperlink ref="X182" r:id="rId157" xr:uid="{00000000-0004-0000-0100-00009C000000}"/>
    <hyperlink ref="W183" r:id="rId158" xr:uid="{00000000-0004-0000-0100-00009D000000}"/>
    <hyperlink ref="X183" r:id="rId159" xr:uid="{00000000-0004-0000-0100-00009E000000}"/>
    <hyperlink ref="W185" r:id="rId160" xr:uid="{00000000-0004-0000-0100-00009F000000}"/>
    <hyperlink ref="W186" r:id="rId161" xr:uid="{00000000-0004-0000-0100-0000A0000000}"/>
    <hyperlink ref="W187" r:id="rId162" xr:uid="{00000000-0004-0000-0100-0000A1000000}"/>
    <hyperlink ref="X187" r:id="rId163" xr:uid="{00000000-0004-0000-0100-0000A2000000}"/>
    <hyperlink ref="X188" r:id="rId164" xr:uid="{00000000-0004-0000-0100-0000A3000000}"/>
    <hyperlink ref="W189" r:id="rId165" xr:uid="{00000000-0004-0000-0100-0000A4000000}"/>
    <hyperlink ref="X189" r:id="rId166" xr:uid="{00000000-0004-0000-0100-0000A5000000}"/>
    <hyperlink ref="W190" r:id="rId167" xr:uid="{00000000-0004-0000-0100-0000A6000000}"/>
    <hyperlink ref="X190" r:id="rId168" xr:uid="{00000000-0004-0000-0100-0000A7000000}"/>
    <hyperlink ref="W193" r:id="rId169" xr:uid="{00000000-0004-0000-0100-0000A8000000}"/>
    <hyperlink ref="X193" r:id="rId170" xr:uid="{00000000-0004-0000-0100-0000A9000000}"/>
    <hyperlink ref="W198" r:id="rId171" xr:uid="{00000000-0004-0000-0100-0000AA000000}"/>
    <hyperlink ref="X198" r:id="rId172" xr:uid="{00000000-0004-0000-0100-0000AB000000}"/>
    <hyperlink ref="W199" r:id="rId173" xr:uid="{00000000-0004-0000-0100-0000AC000000}"/>
    <hyperlink ref="X199" r:id="rId174" xr:uid="{00000000-0004-0000-0100-0000AD000000}"/>
    <hyperlink ref="W200" r:id="rId175" xr:uid="{00000000-0004-0000-0100-0000AE000000}"/>
    <hyperlink ref="W201" r:id="rId176" xr:uid="{00000000-0004-0000-0100-0000AF000000}"/>
    <hyperlink ref="X201" r:id="rId177" xr:uid="{00000000-0004-0000-0100-0000B0000000}"/>
    <hyperlink ref="W205" r:id="rId178" xr:uid="{00000000-0004-0000-0100-0000B1000000}"/>
    <hyperlink ref="X205" r:id="rId179" xr:uid="{00000000-0004-0000-0100-0000B2000000}"/>
    <hyperlink ref="W206" r:id="rId180" xr:uid="{00000000-0004-0000-0100-0000B3000000}"/>
    <hyperlink ref="X206" r:id="rId181" xr:uid="{00000000-0004-0000-0100-0000B4000000}"/>
    <hyperlink ref="W207" r:id="rId182" xr:uid="{00000000-0004-0000-0100-0000B5000000}"/>
    <hyperlink ref="W208" r:id="rId183" xr:uid="{00000000-0004-0000-0100-0000B6000000}"/>
    <hyperlink ref="X208" r:id="rId184" xr:uid="{00000000-0004-0000-0100-0000B7000000}"/>
    <hyperlink ref="X209" r:id="rId185" xr:uid="{00000000-0004-0000-0100-0000B8000000}"/>
    <hyperlink ref="W210" r:id="rId186" xr:uid="{00000000-0004-0000-0100-0000B9000000}"/>
    <hyperlink ref="X210" r:id="rId187" xr:uid="{00000000-0004-0000-0100-0000BA000000}"/>
    <hyperlink ref="W211" r:id="rId188" xr:uid="{00000000-0004-0000-0100-0000BB000000}"/>
    <hyperlink ref="X211" r:id="rId189" xr:uid="{00000000-0004-0000-0100-0000BC000000}"/>
    <hyperlink ref="W212" r:id="rId190" xr:uid="{00000000-0004-0000-0100-0000BD000000}"/>
    <hyperlink ref="X212" r:id="rId191" xr:uid="{00000000-0004-0000-0100-0000BE000000}"/>
    <hyperlink ref="W213" r:id="rId192" xr:uid="{00000000-0004-0000-0100-0000BF000000}"/>
    <hyperlink ref="W215" r:id="rId193" xr:uid="{00000000-0004-0000-0100-0000C0000000}"/>
    <hyperlink ref="X215" r:id="rId194" xr:uid="{00000000-0004-0000-0100-0000C1000000}"/>
    <hyperlink ref="W216" r:id="rId195" xr:uid="{00000000-0004-0000-0100-0000C2000000}"/>
    <hyperlink ref="W217" r:id="rId196" xr:uid="{00000000-0004-0000-0100-0000C3000000}"/>
    <hyperlink ref="W218" r:id="rId197" xr:uid="{00000000-0004-0000-0100-0000C4000000}"/>
    <hyperlink ref="X218" r:id="rId198" xr:uid="{00000000-0004-0000-0100-0000C5000000}"/>
    <hyperlink ref="W220" r:id="rId199" xr:uid="{00000000-0004-0000-0100-0000C6000000}"/>
    <hyperlink ref="X220" r:id="rId200" xr:uid="{00000000-0004-0000-0100-0000C7000000}"/>
    <hyperlink ref="W222" r:id="rId201" xr:uid="{00000000-0004-0000-0100-0000C8000000}"/>
    <hyperlink ref="X222" r:id="rId202" xr:uid="{00000000-0004-0000-0100-0000C9000000}"/>
    <hyperlink ref="W223" r:id="rId203" xr:uid="{00000000-0004-0000-0100-0000CA000000}"/>
    <hyperlink ref="W224" r:id="rId204" xr:uid="{00000000-0004-0000-0100-0000CB000000}"/>
    <hyperlink ref="X224" r:id="rId205" xr:uid="{00000000-0004-0000-0100-0000CC000000}"/>
    <hyperlink ref="W225" r:id="rId206" xr:uid="{00000000-0004-0000-0100-0000CD000000}"/>
    <hyperlink ref="X225" r:id="rId207" xr:uid="{00000000-0004-0000-0100-0000CE000000}"/>
    <hyperlink ref="W226" r:id="rId208" xr:uid="{00000000-0004-0000-0100-0000CF000000}"/>
    <hyperlink ref="W227" r:id="rId209" xr:uid="{00000000-0004-0000-0100-0000D0000000}"/>
    <hyperlink ref="W228" r:id="rId210" xr:uid="{00000000-0004-0000-0100-0000D1000000}"/>
    <hyperlink ref="X228" r:id="rId211" xr:uid="{00000000-0004-0000-0100-0000D2000000}"/>
    <hyperlink ref="W229" r:id="rId212" xr:uid="{00000000-0004-0000-0100-0000D3000000}"/>
    <hyperlink ref="X229" r:id="rId213" xr:uid="{00000000-0004-0000-0100-0000D4000000}"/>
    <hyperlink ref="W230" r:id="rId214" xr:uid="{00000000-0004-0000-0100-0000D5000000}"/>
    <hyperlink ref="X230" r:id="rId215" xr:uid="{00000000-0004-0000-0100-0000D6000000}"/>
    <hyperlink ref="W233" r:id="rId216" xr:uid="{00000000-0004-0000-0100-0000D7000000}"/>
    <hyperlink ref="X233" r:id="rId217" xr:uid="{00000000-0004-0000-0100-0000D8000000}"/>
    <hyperlink ref="W234" r:id="rId218" xr:uid="{00000000-0004-0000-0100-0000D9000000}"/>
    <hyperlink ref="X234" r:id="rId219" xr:uid="{00000000-0004-0000-0100-0000DA000000}"/>
    <hyperlink ref="W235" r:id="rId220" xr:uid="{00000000-0004-0000-0100-0000DB000000}"/>
    <hyperlink ref="W236" r:id="rId221" xr:uid="{00000000-0004-0000-0100-0000DC000000}"/>
    <hyperlink ref="X236" r:id="rId222" xr:uid="{00000000-0004-0000-0100-0000DD000000}"/>
    <hyperlink ref="W237" r:id="rId223" xr:uid="{00000000-0004-0000-0100-0000DE000000}"/>
    <hyperlink ref="X237" r:id="rId224" xr:uid="{00000000-0004-0000-0100-0000DF000000}"/>
    <hyperlink ref="W238" r:id="rId225" xr:uid="{00000000-0004-0000-0100-0000E0000000}"/>
    <hyperlink ref="X238" r:id="rId226" xr:uid="{00000000-0004-0000-0100-0000E1000000}"/>
    <hyperlink ref="W240" r:id="rId227" xr:uid="{00000000-0004-0000-0100-0000E2000000}"/>
    <hyperlink ref="X240" r:id="rId228" xr:uid="{00000000-0004-0000-0100-0000E3000000}"/>
    <hyperlink ref="W241" r:id="rId229" xr:uid="{00000000-0004-0000-0100-0000E4000000}"/>
    <hyperlink ref="X241" r:id="rId230" xr:uid="{00000000-0004-0000-0100-0000E5000000}"/>
    <hyperlink ref="W242" r:id="rId231" xr:uid="{00000000-0004-0000-0100-0000E6000000}"/>
    <hyperlink ref="X242" r:id="rId232" xr:uid="{00000000-0004-0000-0100-0000E7000000}"/>
    <hyperlink ref="W244" r:id="rId233" xr:uid="{00000000-0004-0000-0100-0000E8000000}"/>
    <hyperlink ref="X244" r:id="rId234" xr:uid="{00000000-0004-0000-0100-0000E9000000}"/>
    <hyperlink ref="W247" r:id="rId235" xr:uid="{00000000-0004-0000-0100-0000EA000000}"/>
    <hyperlink ref="X247" r:id="rId236" xr:uid="{00000000-0004-0000-0100-0000EB000000}"/>
    <hyperlink ref="W248" r:id="rId237" xr:uid="{00000000-0004-0000-0100-0000EC000000}"/>
    <hyperlink ref="W249" r:id="rId238" xr:uid="{00000000-0004-0000-0100-0000ED000000}"/>
    <hyperlink ref="W250" r:id="rId239" xr:uid="{00000000-0004-0000-0100-0000EE000000}"/>
    <hyperlink ref="X250" r:id="rId240" xr:uid="{00000000-0004-0000-0100-0000EF000000}"/>
    <hyperlink ref="W252" r:id="rId241" xr:uid="{00000000-0004-0000-0100-0000F0000000}"/>
    <hyperlink ref="X252" r:id="rId242" xr:uid="{00000000-0004-0000-0100-0000F1000000}"/>
    <hyperlink ref="W253" r:id="rId243" xr:uid="{00000000-0004-0000-0100-0000F2000000}"/>
    <hyperlink ref="W256" r:id="rId244" xr:uid="{00000000-0004-0000-0100-0000F3000000}"/>
    <hyperlink ref="X256" r:id="rId245" xr:uid="{00000000-0004-0000-0100-0000F4000000}"/>
    <hyperlink ref="W257" r:id="rId246" xr:uid="{00000000-0004-0000-0100-0000F5000000}"/>
    <hyperlink ref="W259" r:id="rId247" xr:uid="{00000000-0004-0000-0100-0000F6000000}"/>
    <hyperlink ref="W261" r:id="rId248" xr:uid="{00000000-0004-0000-0100-0000F7000000}"/>
    <hyperlink ref="W263" r:id="rId249" xr:uid="{00000000-0004-0000-0100-0000F8000000}"/>
    <hyperlink ref="X263" r:id="rId250" xr:uid="{00000000-0004-0000-0100-0000F9000000}"/>
    <hyperlink ref="W264" r:id="rId251" xr:uid="{00000000-0004-0000-0100-0000FA000000}"/>
    <hyperlink ref="X264" r:id="rId252" xr:uid="{00000000-0004-0000-0100-0000FB000000}"/>
    <hyperlink ref="W265" r:id="rId253" xr:uid="{00000000-0004-0000-0100-0000FC000000}"/>
    <hyperlink ref="X265" r:id="rId254" xr:uid="{00000000-0004-0000-0100-0000FD000000}"/>
    <hyperlink ref="W266" r:id="rId255" xr:uid="{00000000-0004-0000-0100-0000FE000000}"/>
    <hyperlink ref="W268" r:id="rId256" xr:uid="{00000000-0004-0000-0100-0000FF000000}"/>
    <hyperlink ref="W270" r:id="rId257" xr:uid="{00000000-0004-0000-0100-000000010000}"/>
    <hyperlink ref="X270" r:id="rId258" xr:uid="{00000000-0004-0000-0100-000001010000}"/>
    <hyperlink ref="W271" r:id="rId259" xr:uid="{00000000-0004-0000-0100-000002010000}"/>
    <hyperlink ref="W275" r:id="rId260" xr:uid="{00000000-0004-0000-0100-000003010000}"/>
    <hyperlink ref="X275" r:id="rId261" xr:uid="{00000000-0004-0000-0100-000004010000}"/>
    <hyperlink ref="W276" r:id="rId262" xr:uid="{00000000-0004-0000-0100-000005010000}"/>
    <hyperlink ref="X276" r:id="rId263" xr:uid="{00000000-0004-0000-0100-000006010000}"/>
    <hyperlink ref="W277" r:id="rId264" xr:uid="{00000000-0004-0000-0100-000007010000}"/>
    <hyperlink ref="W279" r:id="rId265" xr:uid="{00000000-0004-0000-0100-000008010000}"/>
    <hyperlink ref="X279" r:id="rId266" xr:uid="{00000000-0004-0000-0100-000009010000}"/>
    <hyperlink ref="W282" r:id="rId267" xr:uid="{00000000-0004-0000-0100-00000A010000}"/>
    <hyperlink ref="X282" r:id="rId268" xr:uid="{00000000-0004-0000-0100-00000B010000}"/>
    <hyperlink ref="W283" r:id="rId269" xr:uid="{00000000-0004-0000-0100-00000C010000}"/>
    <hyperlink ref="X283" r:id="rId270" xr:uid="{00000000-0004-0000-0100-00000D010000}"/>
    <hyperlink ref="W284" r:id="rId271" xr:uid="{00000000-0004-0000-0100-00000E010000}"/>
    <hyperlink ref="W285" r:id="rId272" xr:uid="{00000000-0004-0000-0100-00000F010000}"/>
    <hyperlink ref="W286" r:id="rId273" xr:uid="{00000000-0004-0000-0100-000010010000}"/>
    <hyperlink ref="W287" r:id="rId274" xr:uid="{00000000-0004-0000-0100-000011010000}"/>
    <hyperlink ref="X287" r:id="rId275" xr:uid="{00000000-0004-0000-0100-000012010000}"/>
    <hyperlink ref="W289" r:id="rId276" xr:uid="{00000000-0004-0000-0100-000013010000}"/>
    <hyperlink ref="W290" r:id="rId277" xr:uid="{00000000-0004-0000-0100-000014010000}"/>
    <hyperlink ref="W292" r:id="rId278" xr:uid="{00000000-0004-0000-0100-000015010000}"/>
    <hyperlink ref="X292" r:id="rId279" xr:uid="{00000000-0004-0000-0100-000016010000}"/>
    <hyperlink ref="W293" r:id="rId280" xr:uid="{00000000-0004-0000-0100-000017010000}"/>
    <hyperlink ref="W294" r:id="rId281" xr:uid="{00000000-0004-0000-0100-000018010000}"/>
    <hyperlink ref="W300" r:id="rId282" xr:uid="{00000000-0004-0000-0100-000019010000}"/>
    <hyperlink ref="W301" r:id="rId283" xr:uid="{00000000-0004-0000-0100-00001A010000}"/>
    <hyperlink ref="X301" r:id="rId284" xr:uid="{00000000-0004-0000-0100-00001B010000}"/>
    <hyperlink ref="W302" r:id="rId285" xr:uid="{00000000-0004-0000-0100-00001C010000}"/>
    <hyperlink ref="X302" r:id="rId286" xr:uid="{00000000-0004-0000-0100-00001D010000}"/>
    <hyperlink ref="W304" r:id="rId287" xr:uid="{00000000-0004-0000-0100-00001E010000}"/>
    <hyperlink ref="X304" r:id="rId288" xr:uid="{00000000-0004-0000-0100-00001F010000}"/>
    <hyperlink ref="W305" r:id="rId289" xr:uid="{00000000-0004-0000-0100-000020010000}"/>
    <hyperlink ref="W306" r:id="rId290" xr:uid="{00000000-0004-0000-0100-000021010000}"/>
    <hyperlink ref="W307" r:id="rId291" xr:uid="{00000000-0004-0000-0100-000022010000}"/>
    <hyperlink ref="X307" r:id="rId292" xr:uid="{00000000-0004-0000-0100-000023010000}"/>
    <hyperlink ref="W308" r:id="rId293" xr:uid="{00000000-0004-0000-0100-000024010000}"/>
    <hyperlink ref="W310" r:id="rId294" xr:uid="{00000000-0004-0000-0100-000025010000}"/>
    <hyperlink ref="X310" r:id="rId295" xr:uid="{00000000-0004-0000-0100-000026010000}"/>
    <hyperlink ref="W313" r:id="rId296" xr:uid="{00000000-0004-0000-0100-000027010000}"/>
    <hyperlink ref="W314" r:id="rId297" xr:uid="{00000000-0004-0000-0100-000028010000}"/>
    <hyperlink ref="X314" r:id="rId298" xr:uid="{00000000-0004-0000-0100-000029010000}"/>
    <hyperlink ref="W316" r:id="rId299" xr:uid="{00000000-0004-0000-0100-00002A010000}"/>
    <hyperlink ref="X316" r:id="rId300" xr:uid="{00000000-0004-0000-0100-00002B010000}"/>
    <hyperlink ref="W317" r:id="rId301" xr:uid="{00000000-0004-0000-0100-00002C010000}"/>
    <hyperlink ref="X317" r:id="rId302" xr:uid="{00000000-0004-0000-0100-00002D010000}"/>
    <hyperlink ref="W318" r:id="rId303" xr:uid="{00000000-0004-0000-0100-00002E010000}"/>
    <hyperlink ref="W319" r:id="rId304" xr:uid="{00000000-0004-0000-0100-00002F010000}"/>
    <hyperlink ref="X319" r:id="rId305" xr:uid="{00000000-0004-0000-0100-000030010000}"/>
    <hyperlink ref="W320" r:id="rId306" xr:uid="{00000000-0004-0000-0100-000031010000}"/>
    <hyperlink ref="W321" r:id="rId307" xr:uid="{00000000-0004-0000-0100-000032010000}"/>
    <hyperlink ref="X321" r:id="rId308" xr:uid="{00000000-0004-0000-0100-000033010000}"/>
    <hyperlink ref="W322" r:id="rId309" xr:uid="{00000000-0004-0000-0100-000034010000}"/>
    <hyperlink ref="W323" r:id="rId310" xr:uid="{00000000-0004-0000-0100-000035010000}"/>
    <hyperlink ref="X323" r:id="rId311" xr:uid="{00000000-0004-0000-0100-000036010000}"/>
    <hyperlink ref="W324" r:id="rId312" xr:uid="{00000000-0004-0000-0100-000037010000}"/>
    <hyperlink ref="X324" r:id="rId313" xr:uid="{00000000-0004-0000-0100-000038010000}"/>
    <hyperlink ref="W325" r:id="rId314" xr:uid="{00000000-0004-0000-0100-000039010000}"/>
    <hyperlink ref="W326" r:id="rId315" xr:uid="{00000000-0004-0000-0100-00003A010000}"/>
    <hyperlink ref="W327" r:id="rId316" xr:uid="{00000000-0004-0000-0100-00003B010000}"/>
    <hyperlink ref="W328" r:id="rId317" xr:uid="{00000000-0004-0000-0100-00003C010000}"/>
    <hyperlink ref="X328" r:id="rId318" xr:uid="{00000000-0004-0000-0100-00003D010000}"/>
    <hyperlink ref="W330" r:id="rId319" xr:uid="{00000000-0004-0000-0100-00003E010000}"/>
    <hyperlink ref="W331" r:id="rId320" xr:uid="{00000000-0004-0000-0100-00003F010000}"/>
    <hyperlink ref="X331" r:id="rId321" xr:uid="{00000000-0004-0000-0100-000040010000}"/>
    <hyperlink ref="W332" r:id="rId322" xr:uid="{00000000-0004-0000-0100-000041010000}"/>
    <hyperlink ref="X332" r:id="rId323" xr:uid="{00000000-0004-0000-0100-000042010000}"/>
    <hyperlink ref="W333" r:id="rId324" xr:uid="{00000000-0004-0000-0100-000043010000}"/>
    <hyperlink ref="X333" r:id="rId325" xr:uid="{00000000-0004-0000-0100-000044010000}"/>
    <hyperlink ref="W334" r:id="rId326" xr:uid="{00000000-0004-0000-0100-000045010000}"/>
    <hyperlink ref="X334" r:id="rId327" xr:uid="{00000000-0004-0000-0100-000046010000}"/>
    <hyperlink ref="W335" r:id="rId328" xr:uid="{00000000-0004-0000-0100-000047010000}"/>
    <hyperlink ref="X335" r:id="rId329" xr:uid="{00000000-0004-0000-0100-000048010000}"/>
    <hyperlink ref="W336" r:id="rId330" xr:uid="{00000000-0004-0000-0100-000049010000}"/>
    <hyperlink ref="X336" r:id="rId331" xr:uid="{00000000-0004-0000-0100-00004A010000}"/>
    <hyperlink ref="W337" r:id="rId332" xr:uid="{00000000-0004-0000-0100-00004B010000}"/>
    <hyperlink ref="W338" r:id="rId333" xr:uid="{00000000-0004-0000-0100-00004C010000}"/>
    <hyperlink ref="X338" r:id="rId334" xr:uid="{00000000-0004-0000-0100-00004D010000}"/>
    <hyperlink ref="W339" r:id="rId335" xr:uid="{00000000-0004-0000-0100-00004E010000}"/>
    <hyperlink ref="X339" r:id="rId336" xr:uid="{00000000-0004-0000-0100-00004F010000}"/>
    <hyperlink ref="W340" r:id="rId337" xr:uid="{00000000-0004-0000-0100-000050010000}"/>
    <hyperlink ref="W342" r:id="rId338" xr:uid="{00000000-0004-0000-0100-000051010000}"/>
    <hyperlink ref="W343" r:id="rId339" xr:uid="{00000000-0004-0000-0100-000052010000}"/>
    <hyperlink ref="X343" r:id="rId340" xr:uid="{00000000-0004-0000-0100-000053010000}"/>
    <hyperlink ref="W344" r:id="rId341" xr:uid="{00000000-0004-0000-0100-000054010000}"/>
    <hyperlink ref="X344" r:id="rId342" xr:uid="{00000000-0004-0000-0100-000055010000}"/>
    <hyperlink ref="W347" r:id="rId343" xr:uid="{00000000-0004-0000-0100-000056010000}"/>
    <hyperlink ref="W350" r:id="rId344" xr:uid="{00000000-0004-0000-0100-000057010000}"/>
    <hyperlink ref="X350" r:id="rId345" xr:uid="{00000000-0004-0000-0100-000058010000}"/>
    <hyperlink ref="W351" r:id="rId346" xr:uid="{00000000-0004-0000-0100-000059010000}"/>
    <hyperlink ref="X351" r:id="rId347" xr:uid="{00000000-0004-0000-0100-00005A010000}"/>
    <hyperlink ref="W352" r:id="rId348" xr:uid="{00000000-0004-0000-0100-00005B010000}"/>
    <hyperlink ref="X352" r:id="rId349" xr:uid="{00000000-0004-0000-0100-00005C010000}"/>
    <hyperlink ref="W354" r:id="rId350" xr:uid="{00000000-0004-0000-0100-00005D010000}"/>
    <hyperlink ref="W357" r:id="rId351" xr:uid="{00000000-0004-0000-0100-00005E010000}"/>
    <hyperlink ref="W359" r:id="rId352" xr:uid="{00000000-0004-0000-0100-00005F010000}"/>
    <hyperlink ref="X359" r:id="rId353" xr:uid="{00000000-0004-0000-0100-000060010000}"/>
    <hyperlink ref="W361" r:id="rId354" xr:uid="{00000000-0004-0000-0100-000061010000}"/>
    <hyperlink ref="X361" r:id="rId355" xr:uid="{00000000-0004-0000-0100-000062010000}"/>
    <hyperlink ref="W363" r:id="rId356" xr:uid="{00000000-0004-0000-0100-000063010000}"/>
    <hyperlink ref="X363" r:id="rId357" xr:uid="{00000000-0004-0000-0100-000064010000}"/>
    <hyperlink ref="W365" r:id="rId358" xr:uid="{00000000-0004-0000-0100-000065010000}"/>
    <hyperlink ref="X365" r:id="rId359" xr:uid="{00000000-0004-0000-0100-000066010000}"/>
    <hyperlink ref="W369" r:id="rId360" xr:uid="{00000000-0004-0000-0100-000067010000}"/>
    <hyperlink ref="X369" r:id="rId361" xr:uid="{00000000-0004-0000-0100-000068010000}"/>
    <hyperlink ref="W370" r:id="rId362" xr:uid="{00000000-0004-0000-0100-000069010000}"/>
    <hyperlink ref="X370" r:id="rId363" xr:uid="{00000000-0004-0000-0100-00006A010000}"/>
    <hyperlink ref="W371" r:id="rId364" xr:uid="{00000000-0004-0000-0100-00006B010000}"/>
    <hyperlink ref="W372" r:id="rId365" xr:uid="{00000000-0004-0000-0100-00006C010000}"/>
    <hyperlink ref="X372" r:id="rId366" xr:uid="{00000000-0004-0000-0100-00006D010000}"/>
    <hyperlink ref="W375" r:id="rId367" xr:uid="{00000000-0004-0000-0100-00006E010000}"/>
    <hyperlink ref="X375" r:id="rId368" xr:uid="{00000000-0004-0000-0100-00006F010000}"/>
    <hyperlink ref="W378" r:id="rId369" xr:uid="{00000000-0004-0000-0100-000070010000}"/>
    <hyperlink ref="X378" r:id="rId370" xr:uid="{00000000-0004-0000-0100-000071010000}"/>
    <hyperlink ref="W379" r:id="rId371" xr:uid="{00000000-0004-0000-0100-000072010000}"/>
    <hyperlink ref="W381" r:id="rId372" xr:uid="{00000000-0004-0000-0100-000073010000}"/>
    <hyperlink ref="W382" r:id="rId373" xr:uid="{00000000-0004-0000-0100-000074010000}"/>
    <hyperlink ref="W383" r:id="rId374" xr:uid="{00000000-0004-0000-0100-000075010000}"/>
    <hyperlink ref="X383" r:id="rId375" xr:uid="{00000000-0004-0000-0100-000076010000}"/>
    <hyperlink ref="W385" r:id="rId376" xr:uid="{00000000-0004-0000-0100-000077010000}"/>
    <hyperlink ref="X385" r:id="rId377" xr:uid="{00000000-0004-0000-0100-000078010000}"/>
    <hyperlink ref="W386" r:id="rId378" xr:uid="{00000000-0004-0000-0100-000079010000}"/>
    <hyperlink ref="X386" r:id="rId379" xr:uid="{00000000-0004-0000-0100-00007A010000}"/>
    <hyperlink ref="W388" r:id="rId380" xr:uid="{00000000-0004-0000-0100-00007B010000}"/>
    <hyperlink ref="X388" r:id="rId381" xr:uid="{00000000-0004-0000-0100-00007C010000}"/>
    <hyperlink ref="W394" r:id="rId382" xr:uid="{00000000-0004-0000-0100-00007D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3C47D"/>
    <outlinePr summaryBelow="0" summaryRight="0"/>
  </sheetPr>
  <dimension ref="A1:T397"/>
  <sheetViews>
    <sheetView tabSelected="1" topLeftCell="A15" workbookViewId="0">
      <selection activeCell="D18" sqref="D18"/>
    </sheetView>
  </sheetViews>
  <sheetFormatPr baseColWidth="10" defaultColWidth="14.5" defaultRowHeight="15.75" customHeight="1" x14ac:dyDescent="0.15"/>
  <cols>
    <col min="1" max="1" width="12.5" customWidth="1"/>
    <col min="2" max="2" width="29.1640625" customWidth="1"/>
    <col min="4" max="4" width="18.6640625" customWidth="1"/>
    <col min="20" max="20" width="20.33203125" bestFit="1" customWidth="1"/>
  </cols>
  <sheetData>
    <row r="1" spans="1:20" ht="15.75" customHeight="1" x14ac:dyDescent="0.15">
      <c r="A1" s="30" t="s">
        <v>0</v>
      </c>
      <c r="B1" s="3" t="s">
        <v>37</v>
      </c>
      <c r="C1" s="4" t="s">
        <v>38</v>
      </c>
      <c r="D1" s="5" t="s">
        <v>39</v>
      </c>
      <c r="E1" s="3" t="s">
        <v>40</v>
      </c>
      <c r="F1" s="3" t="s">
        <v>41</v>
      </c>
      <c r="G1" s="3" t="s">
        <v>41</v>
      </c>
      <c r="H1" s="32" t="s">
        <v>1223</v>
      </c>
      <c r="I1" s="3" t="s">
        <v>42</v>
      </c>
      <c r="J1" s="3" t="s">
        <v>42</v>
      </c>
      <c r="K1" s="32" t="s">
        <v>1228</v>
      </c>
      <c r="L1" s="3" t="s">
        <v>43</v>
      </c>
      <c r="M1" s="3" t="s">
        <v>43</v>
      </c>
      <c r="N1" s="32" t="s">
        <v>1231</v>
      </c>
      <c r="O1" s="3" t="s">
        <v>44</v>
      </c>
      <c r="P1" s="3" t="s">
        <v>44</v>
      </c>
      <c r="Q1" s="32" t="s">
        <v>1234</v>
      </c>
      <c r="R1" s="3" t="s">
        <v>45</v>
      </c>
      <c r="S1" s="3" t="s">
        <v>45</v>
      </c>
      <c r="T1" s="33" t="s">
        <v>1237</v>
      </c>
    </row>
    <row r="2" spans="1:20" ht="15.75" customHeight="1" x14ac:dyDescent="0.15">
      <c r="A2" s="3" t="s">
        <v>1</v>
      </c>
      <c r="B2" s="3" t="s">
        <v>55</v>
      </c>
      <c r="C2" s="10">
        <f t="shared" ref="C2:C397" ca="1" si="0">(T2+K2+N2+Q2)/(R2+I2+O2+L2)</f>
        <v>0.66101694915254239</v>
      </c>
      <c r="D2" s="5">
        <f ca="1">VLOOKUP($A2&amp;$B2,data!$A:$U,20,FALSE)</f>
        <v>44305.3984837963</v>
      </c>
      <c r="E2" s="3" t="str">
        <f ca="1">VLOOKUP($A2&amp;$B2,data!$A:$U,21,FALSE)</f>
        <v>Report on 19.04.2021</v>
      </c>
      <c r="F2" s="3">
        <f ca="1">VLOOKUP($A2&amp;$B2,data!$A:$U,17,FALSE)</f>
        <v>5</v>
      </c>
      <c r="G2" s="3">
        <f ca="1">VLOOKUP($A2&amp;$B2,data!$A:$U,18,FALSE)</f>
        <v>0</v>
      </c>
      <c r="H2" s="3">
        <f ca="1">VLOOKUP($A2&amp;$B2,data!$A:$U,19,FALSE)</f>
        <v>5</v>
      </c>
      <c r="I2" s="3">
        <f ca="1">VLOOKUP($A2&amp;$B2,data!$A:$U,14,FALSE)</f>
        <v>5</v>
      </c>
      <c r="J2" s="3">
        <f ca="1">VLOOKUP($A2&amp;$B2,data!$A:$U,15,FALSE)</f>
        <v>0</v>
      </c>
      <c r="K2" s="3">
        <f ca="1">VLOOKUP($A2&amp;$B2,data!$A:$U,16,FALSE)</f>
        <v>5</v>
      </c>
      <c r="L2" s="3">
        <f ca="1">VLOOKUP($A2&amp;$B2,data!$A:$U,8,FALSE)</f>
        <v>23</v>
      </c>
      <c r="M2" s="3">
        <f ca="1">VLOOKUP($A2&amp;$B2,data!$A:$U,9,FALSE)</f>
        <v>10</v>
      </c>
      <c r="N2" s="3">
        <f ca="1">VLOOKUP($A2&amp;$B2,data!$A:$U,10,FALSE)</f>
        <v>13</v>
      </c>
      <c r="O2" s="3">
        <f ca="1">VLOOKUP($A2&amp;$B2,data!$A:$U,11,FALSE)</f>
        <v>0</v>
      </c>
      <c r="P2" s="3">
        <f ca="1">VLOOKUP($A2&amp;$B2,data!$A:$U,12,FALSE)</f>
        <v>0</v>
      </c>
      <c r="Q2" s="3">
        <f ca="1">VLOOKUP($A2&amp;$B2,data!$A:$U,13,FALSE)</f>
        <v>0</v>
      </c>
      <c r="R2" s="3">
        <f ca="1">VLOOKUP($A2&amp;$B2,data!$A:$U,5,FALSE)</f>
        <v>31</v>
      </c>
      <c r="S2" s="3">
        <f ca="1">VLOOKUP($A2&amp;$B2,data!$A:$U,6,FALSE)</f>
        <v>10</v>
      </c>
      <c r="T2" s="3">
        <f ca="1">VLOOKUP($A2&amp;$B2,data!$A:$U,7,FALSE)</f>
        <v>21</v>
      </c>
    </row>
    <row r="3" spans="1:20" ht="15.75" customHeight="1" x14ac:dyDescent="0.15">
      <c r="A3" s="3" t="s">
        <v>1</v>
      </c>
      <c r="B3" s="3" t="s">
        <v>51</v>
      </c>
      <c r="C3" s="10">
        <f t="shared" ca="1" si="0"/>
        <v>0.54</v>
      </c>
      <c r="D3" s="5">
        <f ca="1">VLOOKUP($A3&amp;$B3,data!$A:$U,20,FALSE)</f>
        <v>44305.412835648101</v>
      </c>
      <c r="E3" s="3" t="str">
        <f ca="1">VLOOKUP($A3&amp;$B3,data!$A:$U,21,FALSE)</f>
        <v>Report on 18.04.2021</v>
      </c>
      <c r="F3" s="3">
        <f ca="1">VLOOKUP($A3&amp;$B3,data!$A:$U,17,FALSE)</f>
        <v>2</v>
      </c>
      <c r="G3" s="3">
        <f ca="1">VLOOKUP($A3&amp;$B3,data!$A:$U,18,FALSE)</f>
        <v>0</v>
      </c>
      <c r="H3" s="3">
        <f ca="1">VLOOKUP($A3&amp;$B3,data!$A:$U,19,FALSE)</f>
        <v>2</v>
      </c>
      <c r="I3" s="3">
        <f ca="1">VLOOKUP($A3&amp;$B3,data!$A:$U,14,FALSE)</f>
        <v>5</v>
      </c>
      <c r="J3" s="3">
        <f ca="1">VLOOKUP($A3&amp;$B3,data!$A:$U,15,FALSE)</f>
        <v>0</v>
      </c>
      <c r="K3" s="3">
        <f ca="1">VLOOKUP($A3&amp;$B3,data!$A:$U,16,FALSE)</f>
        <v>5</v>
      </c>
      <c r="L3" s="3">
        <f ca="1">VLOOKUP($A3&amp;$B3,data!$A:$U,8,FALSE)</f>
        <v>12</v>
      </c>
      <c r="M3" s="3">
        <f ca="1">VLOOKUP($A3&amp;$B3,data!$A:$U,9,FALSE)</f>
        <v>5</v>
      </c>
      <c r="N3" s="3">
        <f ca="1">VLOOKUP($A3&amp;$B3,data!$A:$U,10,FALSE)</f>
        <v>7</v>
      </c>
      <c r="O3" s="3">
        <f ca="1">VLOOKUP($A3&amp;$B3,data!$A:$U,11,FALSE)</f>
        <v>8</v>
      </c>
      <c r="P3" s="3">
        <f ca="1">VLOOKUP($A3&amp;$B3,data!$A:$U,12,FALSE)</f>
        <v>5</v>
      </c>
      <c r="Q3" s="3">
        <f ca="1">VLOOKUP($A3&amp;$B3,data!$A:$U,13,FALSE)</f>
        <v>2</v>
      </c>
      <c r="R3" s="3">
        <f ca="1">VLOOKUP($A3&amp;$B3,data!$A:$U,5,FALSE)</f>
        <v>25</v>
      </c>
      <c r="S3" s="3">
        <f ca="1">VLOOKUP($A3&amp;$B3,data!$A:$U,6,FALSE)</f>
        <v>12</v>
      </c>
      <c r="T3" s="3">
        <f ca="1">VLOOKUP($A3&amp;$B3,data!$A:$U,7,FALSE)</f>
        <v>13</v>
      </c>
    </row>
    <row r="4" spans="1:20" ht="15.75" customHeight="1" x14ac:dyDescent="0.15">
      <c r="A4" s="3" t="s">
        <v>2</v>
      </c>
      <c r="B4" s="3" t="s">
        <v>669</v>
      </c>
      <c r="C4" s="10">
        <f t="shared" ca="1" si="0"/>
        <v>1</v>
      </c>
      <c r="D4" s="5">
        <f ca="1">VLOOKUP($A4&amp;$B4,data!$A:$U,20,FALSE)</f>
        <v>44305.304212962903</v>
      </c>
      <c r="E4" s="3" t="str">
        <f ca="1">VLOOKUP($A4&amp;$B4,data!$A:$U,21,FALSE)</f>
        <v>19.04.2021</v>
      </c>
      <c r="F4" s="3">
        <f ca="1">VLOOKUP($A4&amp;$B4,data!$A:$U,17,FALSE)</f>
        <v>1</v>
      </c>
      <c r="G4" s="3">
        <f ca="1">VLOOKUP($A4&amp;$B4,data!$A:$U,18,FALSE)</f>
        <v>0</v>
      </c>
      <c r="H4" s="3">
        <f ca="1">VLOOKUP($A4&amp;$B4,data!$A:$U,19,FALSE)</f>
        <v>1</v>
      </c>
      <c r="I4" s="3">
        <f ca="1">VLOOKUP($A4&amp;$B4,data!$A:$U,14,FALSE)</f>
        <v>1</v>
      </c>
      <c r="J4" s="3">
        <f ca="1">VLOOKUP($A4&amp;$B4,data!$A:$U,15,FALSE)</f>
        <v>0</v>
      </c>
      <c r="K4" s="3">
        <f ca="1">VLOOKUP($A4&amp;$B4,data!$A:$U,16,FALSE)</f>
        <v>1</v>
      </c>
      <c r="L4" s="3">
        <f ca="1">VLOOKUP($A4&amp;$B4,data!$A:$U,8,FALSE)</f>
        <v>4</v>
      </c>
      <c r="M4" s="3">
        <f ca="1">VLOOKUP($A4&amp;$B4,data!$A:$U,9,FALSE)</f>
        <v>0</v>
      </c>
      <c r="N4" s="3">
        <f ca="1">VLOOKUP($A4&amp;$B4,data!$A:$U,10,FALSE)</f>
        <v>4</v>
      </c>
      <c r="O4" s="3">
        <f ca="1">VLOOKUP($A4&amp;$B4,data!$A:$U,11,FALSE)</f>
        <v>3</v>
      </c>
      <c r="P4" s="3">
        <f ca="1">VLOOKUP($A4&amp;$B4,data!$A:$U,12,FALSE)</f>
        <v>0</v>
      </c>
      <c r="Q4" s="3">
        <f ca="1">VLOOKUP($A4&amp;$B4,data!$A:$U,13,FALSE)</f>
        <v>3</v>
      </c>
      <c r="R4" s="3">
        <f ca="1">VLOOKUP($A4&amp;$B4,data!$A:$U,5,FALSE)</f>
        <v>8</v>
      </c>
      <c r="S4" s="3">
        <f ca="1">VLOOKUP($A4&amp;$B4,data!$A:$U,6,FALSE)</f>
        <v>0</v>
      </c>
      <c r="T4" s="3">
        <f ca="1">VLOOKUP($A4&amp;$B4,data!$A:$U,7,FALSE)</f>
        <v>8</v>
      </c>
    </row>
    <row r="5" spans="1:20" ht="15.75" customHeight="1" x14ac:dyDescent="0.15">
      <c r="A5" s="3" t="s">
        <v>2</v>
      </c>
      <c r="B5" s="3" t="s">
        <v>1108</v>
      </c>
      <c r="C5" s="10">
        <f t="shared" ca="1" si="0"/>
        <v>8.3333333333333329E-2</v>
      </c>
      <c r="D5" s="5">
        <f ca="1">VLOOKUP($A5&amp;$B5,data!$A:$U,20,FALSE)</f>
        <v>44304.442858796298</v>
      </c>
      <c r="E5" s="3" t="str">
        <f ca="1">VLOOKUP($A5&amp;$B5,data!$A:$U,21,FALSE)</f>
        <v>18.03-2021</v>
      </c>
      <c r="F5" s="3">
        <f ca="1">VLOOKUP($A5&amp;$B5,data!$A:$U,17,FALSE)</f>
        <v>0</v>
      </c>
      <c r="G5" s="3">
        <f ca="1">VLOOKUP($A5&amp;$B5,data!$A:$U,18,FALSE)</f>
        <v>0</v>
      </c>
      <c r="H5" s="3">
        <f ca="1">VLOOKUP($A5&amp;$B5,data!$A:$U,19,FALSE)</f>
        <v>0</v>
      </c>
      <c r="I5" s="3">
        <f ca="1">VLOOKUP($A5&amp;$B5,data!$A:$U,14,FALSE)</f>
        <v>0</v>
      </c>
      <c r="J5" s="3">
        <f ca="1">VLOOKUP($A5&amp;$B5,data!$A:$U,15,FALSE)</f>
        <v>0</v>
      </c>
      <c r="K5" s="3">
        <f ca="1">VLOOKUP($A5&amp;$B5,data!$A:$U,16,FALSE)</f>
        <v>0</v>
      </c>
      <c r="L5" s="3">
        <f ca="1">VLOOKUP($A5&amp;$B5,data!$A:$U,8,FALSE)</f>
        <v>5</v>
      </c>
      <c r="M5" s="3">
        <f ca="1">VLOOKUP($A5&amp;$B5,data!$A:$U,9,FALSE)</f>
        <v>3</v>
      </c>
      <c r="N5" s="3">
        <f ca="1">VLOOKUP($A5&amp;$B5,data!$A:$U,10,FALSE)</f>
        <v>2</v>
      </c>
      <c r="O5" s="3">
        <f ca="1">VLOOKUP($A5&amp;$B5,data!$A:$U,11,FALSE)</f>
        <v>25</v>
      </c>
      <c r="P5" s="3">
        <f ca="1">VLOOKUP($A5&amp;$B5,data!$A:$U,12,FALSE)</f>
        <v>25</v>
      </c>
      <c r="Q5" s="3">
        <f ca="1">VLOOKUP($A5&amp;$B5,data!$A:$U,13,FALSE)</f>
        <v>0</v>
      </c>
      <c r="R5" s="3">
        <f ca="1">VLOOKUP($A5&amp;$B5,data!$A:$U,5,FALSE)</f>
        <v>30</v>
      </c>
      <c r="S5" s="3">
        <f ca="1">VLOOKUP($A5&amp;$B5,data!$A:$U,6,FALSE)</f>
        <v>27</v>
      </c>
      <c r="T5" s="3">
        <f ca="1">VLOOKUP($A5&amp;$B5,data!$A:$U,7,FALSE)</f>
        <v>3</v>
      </c>
    </row>
    <row r="6" spans="1:20" ht="15.75" customHeight="1" x14ac:dyDescent="0.15">
      <c r="A6" s="3" t="s">
        <v>2</v>
      </c>
      <c r="B6" s="3" t="s">
        <v>62</v>
      </c>
      <c r="C6" s="10">
        <f t="shared" ca="1" si="0"/>
        <v>4.3478260869565216E-2</v>
      </c>
      <c r="D6" s="5">
        <f ca="1">VLOOKUP($A6&amp;$B6,data!$A:$U,20,FALSE)</f>
        <v>44305.320104166603</v>
      </c>
      <c r="E6" s="3" t="str">
        <f ca="1">VLOOKUP($A6&amp;$B6,data!$A:$U,21,FALSE)</f>
        <v>19.04.2021</v>
      </c>
      <c r="F6" s="3">
        <f ca="1">VLOOKUP($A6&amp;$B6,data!$A:$U,17,FALSE)</f>
        <v>0</v>
      </c>
      <c r="G6" s="3">
        <f ca="1">VLOOKUP($A6&amp;$B6,data!$A:$U,18,FALSE)</f>
        <v>0</v>
      </c>
      <c r="H6" s="3">
        <f ca="1">VLOOKUP($A6&amp;$B6,data!$A:$U,19,FALSE)</f>
        <v>0</v>
      </c>
      <c r="I6" s="3">
        <f ca="1">VLOOKUP($A6&amp;$B6,data!$A:$U,14,FALSE)</f>
        <v>0</v>
      </c>
      <c r="J6" s="3">
        <f ca="1">VLOOKUP($A6&amp;$B6,data!$A:$U,15,FALSE)</f>
        <v>0</v>
      </c>
      <c r="K6" s="3">
        <f ca="1">VLOOKUP($A6&amp;$B6,data!$A:$U,16,FALSE)</f>
        <v>0</v>
      </c>
      <c r="L6" s="3">
        <f ca="1">VLOOKUP($A6&amp;$B6,data!$A:$U,8,FALSE)</f>
        <v>9</v>
      </c>
      <c r="M6" s="3">
        <f ca="1">VLOOKUP($A6&amp;$B6,data!$A:$U,9,FALSE)</f>
        <v>9</v>
      </c>
      <c r="N6" s="3">
        <f ca="1">VLOOKUP($A6&amp;$B6,data!$A:$U,10,FALSE)</f>
        <v>0</v>
      </c>
      <c r="O6" s="3">
        <f ca="1">VLOOKUP($A6&amp;$B6,data!$A:$U,11,FALSE)</f>
        <v>2</v>
      </c>
      <c r="P6" s="3">
        <f ca="1">VLOOKUP($A6&amp;$B6,data!$A:$U,12,FALSE)</f>
        <v>2</v>
      </c>
      <c r="Q6" s="3">
        <f ca="1">VLOOKUP($A6&amp;$B6,data!$A:$U,13,FALSE)</f>
        <v>0</v>
      </c>
      <c r="R6" s="3">
        <f ca="1">VLOOKUP($A6&amp;$B6,data!$A:$U,5,FALSE)</f>
        <v>12</v>
      </c>
      <c r="S6" s="3">
        <f ca="1">VLOOKUP($A6&amp;$B6,data!$A:$U,6,FALSE)</f>
        <v>11</v>
      </c>
      <c r="T6" s="3">
        <f ca="1">VLOOKUP($A6&amp;$B6,data!$A:$U,7,FALSE)</f>
        <v>1</v>
      </c>
    </row>
    <row r="7" spans="1:20" ht="15.75" customHeight="1" x14ac:dyDescent="0.15">
      <c r="A7" s="3" t="s">
        <v>2</v>
      </c>
      <c r="B7" s="3" t="s">
        <v>59</v>
      </c>
      <c r="C7" s="10">
        <f t="shared" ca="1" si="0"/>
        <v>0</v>
      </c>
      <c r="D7" s="5">
        <f ca="1">VLOOKUP($A7&amp;$B7,data!$A:$U,20,FALSE)</f>
        <v>44305.387638888802</v>
      </c>
      <c r="E7" s="3" t="str">
        <f ca="1">VLOOKUP($A7&amp;$B7,data!$A:$U,21,FALSE)</f>
        <v>19.04.2021</v>
      </c>
      <c r="F7" s="3">
        <f ca="1">VLOOKUP($A7&amp;$B7,data!$A:$U,17,FALSE)</f>
        <v>2</v>
      </c>
      <c r="G7" s="3">
        <f ca="1">VLOOKUP($A7&amp;$B7,data!$A:$U,18,FALSE)</f>
        <v>1</v>
      </c>
      <c r="H7" s="3">
        <f ca="1">VLOOKUP($A7&amp;$B7,data!$A:$U,19,FALSE)</f>
        <v>1</v>
      </c>
      <c r="I7" s="3">
        <f ca="1">VLOOKUP($A7&amp;$B7,data!$A:$U,14,FALSE)</f>
        <v>2</v>
      </c>
      <c r="J7" s="3">
        <f ca="1">VLOOKUP($A7&amp;$B7,data!$A:$U,15,FALSE)</f>
        <v>2</v>
      </c>
      <c r="K7" s="3">
        <f ca="1">VLOOKUP($A7&amp;$B7,data!$A:$U,16,FALSE)</f>
        <v>0</v>
      </c>
      <c r="L7" s="3">
        <f ca="1">VLOOKUP($A7&amp;$B7,data!$A:$U,8,FALSE)</f>
        <v>38</v>
      </c>
      <c r="M7" s="3">
        <f ca="1">VLOOKUP($A7&amp;$B7,data!$A:$U,9,FALSE)</f>
        <v>34</v>
      </c>
      <c r="N7" s="3">
        <f ca="1">VLOOKUP($A7&amp;$B7,data!$A:$U,10,FALSE)</f>
        <v>0</v>
      </c>
      <c r="O7" s="3">
        <f ca="1">VLOOKUP($A7&amp;$B7,data!$A:$U,11,FALSE)</f>
        <v>0</v>
      </c>
      <c r="P7" s="3">
        <f ca="1">VLOOKUP($A7&amp;$B7,data!$A:$U,12,FALSE)</f>
        <v>0</v>
      </c>
      <c r="Q7" s="3">
        <f ca="1">VLOOKUP($A7&amp;$B7,data!$A:$U,13,FALSE)</f>
        <v>0</v>
      </c>
      <c r="R7" s="3">
        <f ca="1">VLOOKUP($A7&amp;$B7,data!$A:$U,5,FALSE)</f>
        <v>40</v>
      </c>
      <c r="S7" s="3">
        <f ca="1">VLOOKUP($A7&amp;$B7,data!$A:$U,6,FALSE)</f>
        <v>36</v>
      </c>
      <c r="T7" s="3">
        <f ca="1">VLOOKUP($A7&amp;$B7,data!$A:$U,7,FALSE)</f>
        <v>0</v>
      </c>
    </row>
    <row r="8" spans="1:20" ht="15.75" customHeight="1" x14ac:dyDescent="0.15">
      <c r="A8" s="3" t="s">
        <v>2</v>
      </c>
      <c r="B8" s="3" t="s">
        <v>67</v>
      </c>
      <c r="C8" s="10">
        <f t="shared" ca="1" si="0"/>
        <v>0</v>
      </c>
      <c r="D8" s="5">
        <f ca="1">VLOOKUP($A8&amp;$B8,data!$A:$U,20,FALSE)</f>
        <v>44304.659328703703</v>
      </c>
      <c r="E8" s="3" t="str">
        <f ca="1">VLOOKUP($A8&amp;$B8,data!$A:$U,21,FALSE)</f>
        <v>18-4-21</v>
      </c>
      <c r="F8" s="3">
        <f ca="1">VLOOKUP($A8&amp;$B8,data!$A:$U,17,FALSE)</f>
        <v>6</v>
      </c>
      <c r="G8" s="3">
        <f ca="1">VLOOKUP($A8&amp;$B8,data!$A:$U,18,FALSE)</f>
        <v>6</v>
      </c>
      <c r="H8" s="3">
        <f ca="1">VLOOKUP($A8&amp;$B8,data!$A:$U,19,FALSE)</f>
        <v>0</v>
      </c>
      <c r="I8" s="3">
        <f ca="1">VLOOKUP($A8&amp;$B8,data!$A:$U,14,FALSE)</f>
        <v>20</v>
      </c>
      <c r="J8" s="3">
        <f ca="1">VLOOKUP($A8&amp;$B8,data!$A:$U,15,FALSE)</f>
        <v>20</v>
      </c>
      <c r="K8" s="3">
        <f ca="1">VLOOKUP($A8&amp;$B8,data!$A:$U,16,FALSE)</f>
        <v>0</v>
      </c>
      <c r="L8" s="3">
        <f ca="1">VLOOKUP($A8&amp;$B8,data!$A:$U,8,FALSE)</f>
        <v>114</v>
      </c>
      <c r="M8" s="3">
        <f ca="1">VLOOKUP($A8&amp;$B8,data!$A:$U,9,FALSE)</f>
        <v>114</v>
      </c>
      <c r="N8" s="3">
        <f ca="1">VLOOKUP($A8&amp;$B8,data!$A:$U,10,FALSE)</f>
        <v>0</v>
      </c>
      <c r="O8" s="3">
        <f ca="1">VLOOKUP($A8&amp;$B8,data!$A:$U,11,FALSE)</f>
        <v>0</v>
      </c>
      <c r="P8" s="3">
        <f ca="1">VLOOKUP($A8&amp;$B8,data!$A:$U,12,FALSE)</f>
        <v>0</v>
      </c>
      <c r="Q8" s="3">
        <f ca="1">VLOOKUP($A8&amp;$B8,data!$A:$U,13,FALSE)</f>
        <v>0</v>
      </c>
      <c r="R8" s="3">
        <f ca="1">VLOOKUP($A8&amp;$B8,data!$A:$U,5,FALSE)</f>
        <v>134</v>
      </c>
      <c r="S8" s="3">
        <f ca="1">VLOOKUP($A8&amp;$B8,data!$A:$U,6,FALSE)</f>
        <v>134</v>
      </c>
      <c r="T8" s="3">
        <f ca="1">VLOOKUP($A8&amp;$B8,data!$A:$U,7,FALSE)</f>
        <v>0</v>
      </c>
    </row>
    <row r="9" spans="1:20" ht="15.75" customHeight="1" x14ac:dyDescent="0.15">
      <c r="A9" s="3" t="s">
        <v>2</v>
      </c>
      <c r="B9" s="3" t="s">
        <v>71</v>
      </c>
      <c r="C9" s="10">
        <f t="shared" ca="1" si="0"/>
        <v>0.05</v>
      </c>
      <c r="D9" s="5">
        <f ca="1">VLOOKUP($A9&amp;$B9,data!$A:$U,20,FALSE)</f>
        <v>44301.278518518498</v>
      </c>
      <c r="E9" s="3" t="str">
        <f ca="1">VLOOKUP($A9&amp;$B9,data!$A:$U,21,FALSE)</f>
        <v>15.04.21</v>
      </c>
      <c r="F9" s="3">
        <f ca="1">VLOOKUP($A9&amp;$B9,data!$A:$U,17,FALSE)</f>
        <v>2</v>
      </c>
      <c r="G9" s="3">
        <f ca="1">VLOOKUP($A9&amp;$B9,data!$A:$U,18,FALSE)</f>
        <v>2</v>
      </c>
      <c r="H9" s="3">
        <f ca="1">VLOOKUP($A9&amp;$B9,data!$A:$U,19,FALSE)</f>
        <v>0</v>
      </c>
      <c r="I9" s="3">
        <f ca="1">VLOOKUP($A9&amp;$B9,data!$A:$U,14,FALSE)</f>
        <v>10</v>
      </c>
      <c r="J9" s="3">
        <f ca="1">VLOOKUP($A9&amp;$B9,data!$A:$U,15,FALSE)</f>
        <v>10</v>
      </c>
      <c r="K9" s="3">
        <f ca="1">VLOOKUP($A9&amp;$B9,data!$A:$U,16,FALSE)</f>
        <v>0</v>
      </c>
      <c r="L9" s="3">
        <f ca="1">VLOOKUP($A9&amp;$B9,data!$A:$U,8,FALSE)</f>
        <v>30</v>
      </c>
      <c r="M9" s="3">
        <f ca="1">VLOOKUP($A9&amp;$B9,data!$A:$U,9,FALSE)</f>
        <v>27</v>
      </c>
      <c r="N9" s="3">
        <f ca="1">VLOOKUP($A9&amp;$B9,data!$A:$U,10,FALSE)</f>
        <v>3</v>
      </c>
      <c r="O9" s="3">
        <f ca="1">VLOOKUP($A9&amp;$B9,data!$A:$U,11,FALSE)</f>
        <v>0</v>
      </c>
      <c r="P9" s="3">
        <f ca="1">VLOOKUP($A9&amp;$B9,data!$A:$U,12,FALSE)</f>
        <v>0</v>
      </c>
      <c r="Q9" s="3">
        <f ca="1">VLOOKUP($A9&amp;$B9,data!$A:$U,13,FALSE)</f>
        <v>0</v>
      </c>
      <c r="R9" s="3">
        <f ca="1">VLOOKUP($A9&amp;$B9,data!$A:$U,5,FALSE)</f>
        <v>20</v>
      </c>
      <c r="S9" s="3">
        <f ca="1">VLOOKUP($A9&amp;$B9,data!$A:$U,6,FALSE)</f>
        <v>10</v>
      </c>
      <c r="T9" s="3">
        <f ca="1">VLOOKUP($A9&amp;$B9,data!$A:$U,7,FALSE)</f>
        <v>0</v>
      </c>
    </row>
    <row r="10" spans="1:20" ht="15.75" customHeight="1" x14ac:dyDescent="0.15">
      <c r="A10" s="3" t="s">
        <v>2</v>
      </c>
      <c r="B10" s="3" t="s">
        <v>75</v>
      </c>
      <c r="C10" s="10">
        <f t="shared" ca="1" si="0"/>
        <v>0</v>
      </c>
      <c r="D10" s="5">
        <f ca="1">VLOOKUP($A10&amp;$B10,data!$A:$U,20,FALSE)</f>
        <v>44305.301249999997</v>
      </c>
      <c r="E10" s="3" t="str">
        <f ca="1">VLOOKUP($A10&amp;$B10,data!$A:$U,21,FALSE)</f>
        <v>19 . 04.2021</v>
      </c>
      <c r="F10" s="3">
        <f ca="1">VLOOKUP($A10&amp;$B10,data!$A:$U,17,FALSE)</f>
        <v>2</v>
      </c>
      <c r="G10" s="3">
        <f ca="1">VLOOKUP($A10&amp;$B10,data!$A:$U,18,FALSE)</f>
        <v>2</v>
      </c>
      <c r="H10" s="3">
        <f ca="1">VLOOKUP($A10&amp;$B10,data!$A:$U,19,FALSE)</f>
        <v>0</v>
      </c>
      <c r="I10" s="3">
        <f ca="1">VLOOKUP($A10&amp;$B10,data!$A:$U,14,FALSE)</f>
        <v>2</v>
      </c>
      <c r="J10" s="3">
        <f ca="1">VLOOKUP($A10&amp;$B10,data!$A:$U,15,FALSE)</f>
        <v>2</v>
      </c>
      <c r="K10" s="3">
        <f ca="1">VLOOKUP($A10&amp;$B10,data!$A:$U,16,FALSE)</f>
        <v>0</v>
      </c>
      <c r="L10" s="3">
        <f ca="1">VLOOKUP($A10&amp;$B10,data!$A:$U,8,FALSE)</f>
        <v>28</v>
      </c>
      <c r="M10" s="3">
        <f ca="1">VLOOKUP($A10&amp;$B10,data!$A:$U,9,FALSE)</f>
        <v>28</v>
      </c>
      <c r="N10" s="3">
        <f ca="1">VLOOKUP($A10&amp;$B10,data!$A:$U,10,FALSE)</f>
        <v>0</v>
      </c>
      <c r="O10" s="3">
        <f ca="1">VLOOKUP($A10&amp;$B10,data!$A:$U,11,FALSE)</f>
        <v>0</v>
      </c>
      <c r="P10" s="3">
        <f ca="1">VLOOKUP($A10&amp;$B10,data!$A:$U,12,FALSE)</f>
        <v>0</v>
      </c>
      <c r="Q10" s="3">
        <f ca="1">VLOOKUP($A10&amp;$B10,data!$A:$U,13,FALSE)</f>
        <v>0</v>
      </c>
      <c r="R10" s="3">
        <f ca="1">VLOOKUP($A10&amp;$B10,data!$A:$U,5,FALSE)</f>
        <v>30</v>
      </c>
      <c r="S10" s="3">
        <f ca="1">VLOOKUP($A10&amp;$B10,data!$A:$U,6,FALSE)</f>
        <v>30</v>
      </c>
      <c r="T10" s="3">
        <f ca="1">VLOOKUP($A10&amp;$B10,data!$A:$U,7,FALSE)</f>
        <v>0</v>
      </c>
    </row>
    <row r="11" spans="1:20" ht="15.75" customHeight="1" x14ac:dyDescent="0.15">
      <c r="A11" s="3" t="s">
        <v>2</v>
      </c>
      <c r="B11" s="3" t="s">
        <v>80</v>
      </c>
      <c r="C11" s="10">
        <f t="shared" ca="1" si="0"/>
        <v>0</v>
      </c>
      <c r="D11" s="5">
        <f ca="1">VLOOKUP($A11&amp;$B11,data!$A:$U,20,FALSE)</f>
        <v>44305.029537037</v>
      </c>
      <c r="E11" s="3" t="str">
        <f ca="1">VLOOKUP($A11&amp;$B11,data!$A:$U,21,FALSE)</f>
        <v>19/04/2021</v>
      </c>
      <c r="F11" s="3">
        <f ca="1">VLOOKUP($A11&amp;$B11,data!$A:$U,17,FALSE)</f>
        <v>0</v>
      </c>
      <c r="G11" s="3">
        <f ca="1">VLOOKUP($A11&amp;$B11,data!$A:$U,18,FALSE)</f>
        <v>0</v>
      </c>
      <c r="H11" s="3">
        <f ca="1">VLOOKUP($A11&amp;$B11,data!$A:$U,19,FALSE)</f>
        <v>0</v>
      </c>
      <c r="I11" s="3">
        <f ca="1">VLOOKUP($A11&amp;$B11,data!$A:$U,14,FALSE)</f>
        <v>0</v>
      </c>
      <c r="J11" s="3">
        <f ca="1">VLOOKUP($A11&amp;$B11,data!$A:$U,15,FALSE)</f>
        <v>0</v>
      </c>
      <c r="K11" s="3">
        <f ca="1">VLOOKUP($A11&amp;$B11,data!$A:$U,16,FALSE)</f>
        <v>0</v>
      </c>
      <c r="L11" s="3">
        <f ca="1">VLOOKUP($A11&amp;$B11,data!$A:$U,8,FALSE)</f>
        <v>5</v>
      </c>
      <c r="M11" s="3">
        <f ca="1">VLOOKUP($A11&amp;$B11,data!$A:$U,9,FALSE)</f>
        <v>5</v>
      </c>
      <c r="N11" s="3">
        <f ca="1">VLOOKUP($A11&amp;$B11,data!$A:$U,10,FALSE)</f>
        <v>0</v>
      </c>
      <c r="O11" s="3">
        <f ca="1">VLOOKUP($A11&amp;$B11,data!$A:$U,11,FALSE)</f>
        <v>29</v>
      </c>
      <c r="P11" s="3">
        <f ca="1">VLOOKUP($A11&amp;$B11,data!$A:$U,12,FALSE)</f>
        <v>29</v>
      </c>
      <c r="Q11" s="3">
        <f ca="1">VLOOKUP($A11&amp;$B11,data!$A:$U,13,FALSE)</f>
        <v>0</v>
      </c>
      <c r="R11" s="3">
        <f ca="1">VLOOKUP($A11&amp;$B11,data!$A:$U,5,FALSE)</f>
        <v>34</v>
      </c>
      <c r="S11" s="3">
        <f ca="1">VLOOKUP($A11&amp;$B11,data!$A:$U,6,FALSE)</f>
        <v>34</v>
      </c>
      <c r="T11" s="3">
        <f ca="1">VLOOKUP($A11&amp;$B11,data!$A:$U,7,FALSE)</f>
        <v>0</v>
      </c>
    </row>
    <row r="12" spans="1:20" ht="15.75" customHeight="1" x14ac:dyDescent="0.15">
      <c r="A12" s="3" t="s">
        <v>2</v>
      </c>
      <c r="B12" s="3" t="s">
        <v>742</v>
      </c>
      <c r="C12" s="10">
        <f t="shared" ca="1" si="0"/>
        <v>0</v>
      </c>
      <c r="D12" s="5">
        <f ca="1">VLOOKUP($A12&amp;$B12,data!$A:$U,20,FALSE)</f>
        <v>44305.272118055502</v>
      </c>
      <c r="E12" s="3" t="str">
        <f ca="1">VLOOKUP($A12&amp;$B12,data!$A:$U,21,FALSE)</f>
        <v>19.04.2021</v>
      </c>
      <c r="F12" s="3">
        <f ca="1">VLOOKUP($A12&amp;$B12,data!$A:$U,17,FALSE)</f>
        <v>3</v>
      </c>
      <c r="G12" s="3">
        <f ca="1">VLOOKUP($A12&amp;$B12,data!$A:$U,18,FALSE)</f>
        <v>0</v>
      </c>
      <c r="H12" s="3">
        <f ca="1">VLOOKUP($A12&amp;$B12,data!$A:$U,19,FALSE)</f>
        <v>0</v>
      </c>
      <c r="I12" s="3">
        <f ca="1">VLOOKUP($A12&amp;$B12,data!$A:$U,14,FALSE)</f>
        <v>18</v>
      </c>
      <c r="J12" s="3">
        <f ca="1">VLOOKUP($A12&amp;$B12,data!$A:$U,15,FALSE)</f>
        <v>18</v>
      </c>
      <c r="K12" s="3">
        <f ca="1">VLOOKUP($A12&amp;$B12,data!$A:$U,16,FALSE)</f>
        <v>0</v>
      </c>
      <c r="L12" s="3">
        <f ca="1">VLOOKUP($A12&amp;$B12,data!$A:$U,8,FALSE)</f>
        <v>9</v>
      </c>
      <c r="M12" s="3">
        <f ca="1">VLOOKUP($A12&amp;$B12,data!$A:$U,9,FALSE)</f>
        <v>9</v>
      </c>
      <c r="N12" s="3">
        <f ca="1">VLOOKUP($A12&amp;$B12,data!$A:$U,10,FALSE)</f>
        <v>0</v>
      </c>
      <c r="O12" s="3">
        <f ca="1">VLOOKUP($A12&amp;$B12,data!$A:$U,11,FALSE)</f>
        <v>0</v>
      </c>
      <c r="P12" s="3">
        <f ca="1">VLOOKUP($A12&amp;$B12,data!$A:$U,12,FALSE)</f>
        <v>0</v>
      </c>
      <c r="Q12" s="3">
        <f ca="1">VLOOKUP($A12&amp;$B12,data!$A:$U,13,FALSE)</f>
        <v>0</v>
      </c>
      <c r="R12" s="3">
        <f ca="1">VLOOKUP($A12&amp;$B12,data!$A:$U,5,FALSE)</f>
        <v>27</v>
      </c>
      <c r="S12" s="3">
        <f ca="1">VLOOKUP($A12&amp;$B12,data!$A:$U,6,FALSE)</f>
        <v>27</v>
      </c>
      <c r="T12" s="3">
        <f ca="1">VLOOKUP($A12&amp;$B12,data!$A:$U,7,FALSE)</f>
        <v>0</v>
      </c>
    </row>
    <row r="13" spans="1:20" ht="15.75" customHeight="1" x14ac:dyDescent="0.15">
      <c r="A13" s="3" t="s">
        <v>2</v>
      </c>
      <c r="B13" s="3" t="s">
        <v>1104</v>
      </c>
      <c r="C13" s="10">
        <f t="shared" ca="1" si="0"/>
        <v>9.6774193548387094E-2</v>
      </c>
      <c r="D13" s="5">
        <f ca="1">VLOOKUP($A13&amp;$B13,data!$A:$U,20,FALSE)</f>
        <v>44305.397569444402</v>
      </c>
      <c r="E13" s="3" t="str">
        <f ca="1">VLOOKUP($A13&amp;$B13,data!$A:$U,21,FALSE)</f>
        <v>19/04/2021</v>
      </c>
      <c r="F13" s="3">
        <f ca="1">VLOOKUP($A13&amp;$B13,data!$A:$U,17,FALSE)</f>
        <v>2</v>
      </c>
      <c r="G13" s="3">
        <f ca="1">VLOOKUP($A13&amp;$B13,data!$A:$U,18,FALSE)</f>
        <v>0</v>
      </c>
      <c r="H13" s="3">
        <f ca="1">VLOOKUP($A13&amp;$B13,data!$A:$U,19,FALSE)</f>
        <v>2</v>
      </c>
      <c r="I13" s="3">
        <f ca="1">VLOOKUP($A13&amp;$B13,data!$A:$U,14,FALSE)</f>
        <v>3</v>
      </c>
      <c r="J13" s="3">
        <f ca="1">VLOOKUP($A13&amp;$B13,data!$A:$U,15,FALSE)</f>
        <v>0</v>
      </c>
      <c r="K13" s="3">
        <f ca="1">VLOOKUP($A13&amp;$B13,data!$A:$U,16,FALSE)</f>
        <v>3</v>
      </c>
      <c r="L13" s="3">
        <f ca="1">VLOOKUP($A13&amp;$B13,data!$A:$U,8,FALSE)</f>
        <v>14</v>
      </c>
      <c r="M13" s="3">
        <f ca="1">VLOOKUP($A13&amp;$B13,data!$A:$U,9,FALSE)</f>
        <v>14</v>
      </c>
      <c r="N13" s="3">
        <f ca="1">VLOOKUP($A13&amp;$B13,data!$A:$U,10,FALSE)</f>
        <v>0</v>
      </c>
      <c r="O13" s="3">
        <f ca="1">VLOOKUP($A13&amp;$B13,data!$A:$U,11,FALSE)</f>
        <v>0</v>
      </c>
      <c r="P13" s="3">
        <f ca="1">VLOOKUP($A13&amp;$B13,data!$A:$U,12,FALSE)</f>
        <v>0</v>
      </c>
      <c r="Q13" s="3">
        <f ca="1">VLOOKUP($A13&amp;$B13,data!$A:$U,13,FALSE)</f>
        <v>0</v>
      </c>
      <c r="R13" s="3">
        <f ca="1">VLOOKUP($A13&amp;$B13,data!$A:$U,5,FALSE)</f>
        <v>14</v>
      </c>
      <c r="S13" s="3">
        <f ca="1">VLOOKUP($A13&amp;$B13,data!$A:$U,6,FALSE)</f>
        <v>14</v>
      </c>
      <c r="T13" s="3">
        <f ca="1">VLOOKUP($A13&amp;$B13,data!$A:$U,7,FALSE)</f>
        <v>0</v>
      </c>
    </row>
    <row r="14" spans="1:20" ht="15.75" customHeight="1" x14ac:dyDescent="0.15">
      <c r="A14" s="3" t="s">
        <v>2</v>
      </c>
      <c r="B14" s="3" t="s">
        <v>1131</v>
      </c>
      <c r="C14" s="10">
        <f t="shared" ca="1" si="0"/>
        <v>0</v>
      </c>
      <c r="D14" s="5">
        <f ca="1">VLOOKUP($A14&amp;$B14,data!$A:$U,20,FALSE)</f>
        <v>44304.4550925925</v>
      </c>
      <c r="E14" s="3" t="str">
        <f ca="1">VLOOKUP($A14&amp;$B14,data!$A:$U,21,FALSE)</f>
        <v>18-04-2021</v>
      </c>
      <c r="F14" s="3">
        <f ca="1">VLOOKUP($A14&amp;$B14,data!$A:$U,17,FALSE)</f>
        <v>3</v>
      </c>
      <c r="G14" s="3">
        <f ca="1">VLOOKUP($A14&amp;$B14,data!$A:$U,18,FALSE)</f>
        <v>0</v>
      </c>
      <c r="H14" s="3">
        <f ca="1">VLOOKUP($A14&amp;$B14,data!$A:$U,19,FALSE)</f>
        <v>3</v>
      </c>
      <c r="I14" s="3">
        <f ca="1">VLOOKUP($A14&amp;$B14,data!$A:$U,14,FALSE)</f>
        <v>3</v>
      </c>
      <c r="J14" s="3">
        <f ca="1">VLOOKUP($A14&amp;$B14,data!$A:$U,15,FALSE)</f>
        <v>3</v>
      </c>
      <c r="K14" s="3">
        <f ca="1">VLOOKUP($A14&amp;$B14,data!$A:$U,16,FALSE)</f>
        <v>0</v>
      </c>
      <c r="L14" s="3">
        <f ca="1">VLOOKUP($A14&amp;$B14,data!$A:$U,8,FALSE)</f>
        <v>26</v>
      </c>
      <c r="M14" s="3">
        <f ca="1">VLOOKUP($A14&amp;$B14,data!$A:$U,9,FALSE)</f>
        <v>26</v>
      </c>
      <c r="N14" s="3">
        <f ca="1">VLOOKUP($A14&amp;$B14,data!$A:$U,10,FALSE)</f>
        <v>0</v>
      </c>
      <c r="O14" s="3">
        <f ca="1">VLOOKUP($A14&amp;$B14,data!$A:$U,11,FALSE)</f>
        <v>0</v>
      </c>
      <c r="P14" s="3">
        <f ca="1">VLOOKUP($A14&amp;$B14,data!$A:$U,12,FALSE)</f>
        <v>0</v>
      </c>
      <c r="Q14" s="3">
        <f ca="1">VLOOKUP($A14&amp;$B14,data!$A:$U,13,FALSE)</f>
        <v>0</v>
      </c>
      <c r="R14" s="3">
        <f ca="1">VLOOKUP($A14&amp;$B14,data!$A:$U,5,FALSE)</f>
        <v>29</v>
      </c>
      <c r="S14" s="3">
        <f ca="1">VLOOKUP($A14&amp;$B14,data!$A:$U,6,FALSE)</f>
        <v>29</v>
      </c>
      <c r="T14" s="3">
        <f ca="1">VLOOKUP($A14&amp;$B14,data!$A:$U,7,FALSE)</f>
        <v>0</v>
      </c>
    </row>
    <row r="15" spans="1:20" ht="15.75" customHeight="1" x14ac:dyDescent="0.15">
      <c r="A15" s="3" t="s">
        <v>3</v>
      </c>
      <c r="B15" s="3" t="s">
        <v>987</v>
      </c>
      <c r="C15" s="10">
        <f t="shared" ca="1" si="0"/>
        <v>0.26415094339622641</v>
      </c>
      <c r="D15" s="5">
        <f ca="1">VLOOKUP($A15&amp;$B15,data!$A:$U,20,FALSE)</f>
        <v>44305.515092592497</v>
      </c>
      <c r="E15" s="3" t="str">
        <f ca="1">VLOOKUP($A15&amp;$B15,data!$A:$U,21,FALSE)</f>
        <v>Nil</v>
      </c>
      <c r="F15" s="3">
        <f ca="1">VLOOKUP($A15&amp;$B15,data!$A:$U,17,FALSE)</f>
        <v>1</v>
      </c>
      <c r="G15" s="3">
        <f ca="1">VLOOKUP($A15&amp;$B15,data!$A:$U,18,FALSE)</f>
        <v>0</v>
      </c>
      <c r="H15" s="3">
        <f ca="1">VLOOKUP($A15&amp;$B15,data!$A:$U,19,FALSE)</f>
        <v>1</v>
      </c>
      <c r="I15" s="3">
        <f ca="1">VLOOKUP($A15&amp;$B15,data!$A:$U,14,FALSE)</f>
        <v>3</v>
      </c>
      <c r="J15" s="3">
        <f ca="1">VLOOKUP($A15&amp;$B15,data!$A:$U,15,FALSE)</f>
        <v>0</v>
      </c>
      <c r="K15" s="3">
        <f ca="1">VLOOKUP($A15&amp;$B15,data!$A:$U,16,FALSE)</f>
        <v>3</v>
      </c>
      <c r="L15" s="3">
        <f ca="1">VLOOKUP($A15&amp;$B15,data!$A:$U,8,FALSE)</f>
        <v>13</v>
      </c>
      <c r="M15" s="3">
        <f ca="1">VLOOKUP($A15&amp;$B15,data!$A:$U,9,FALSE)</f>
        <v>4</v>
      </c>
      <c r="N15" s="3">
        <f ca="1">VLOOKUP($A15&amp;$B15,data!$A:$U,10,FALSE)</f>
        <v>9</v>
      </c>
      <c r="O15" s="3">
        <f ca="1">VLOOKUP($A15&amp;$B15,data!$A:$U,11,FALSE)</f>
        <v>12</v>
      </c>
      <c r="P15" s="3">
        <f ca="1">VLOOKUP($A15&amp;$B15,data!$A:$U,12,FALSE)</f>
        <v>11</v>
      </c>
      <c r="Q15" s="3">
        <f ca="1">VLOOKUP($A15&amp;$B15,data!$A:$U,13,FALSE)</f>
        <v>1</v>
      </c>
      <c r="R15" s="3">
        <f ca="1">VLOOKUP($A15&amp;$B15,data!$A:$U,5,FALSE)</f>
        <v>25</v>
      </c>
      <c r="S15" s="3">
        <f ca="1">VLOOKUP($A15&amp;$B15,data!$A:$U,6,FALSE)</f>
        <v>15</v>
      </c>
      <c r="T15" s="3">
        <f ca="1">VLOOKUP($A15&amp;$B15,data!$A:$U,7,FALSE)</f>
        <v>1</v>
      </c>
    </row>
    <row r="16" spans="1:20" ht="15.75" customHeight="1" x14ac:dyDescent="0.15">
      <c r="A16" s="3" t="s">
        <v>4</v>
      </c>
      <c r="B16" s="3" t="s">
        <v>203</v>
      </c>
      <c r="C16" s="10">
        <f t="shared" ca="1" si="0"/>
        <v>0.66333333333333333</v>
      </c>
      <c r="D16" s="5">
        <f ca="1">VLOOKUP($A16&amp;$B16,data!$A:$U,20,FALSE)</f>
        <v>44305.623495370302</v>
      </c>
      <c r="E16" s="3">
        <f ca="1">VLOOKUP($A16&amp;$B16,data!$A:$U,21,FALSE)</f>
        <v>0</v>
      </c>
      <c r="F16" s="3">
        <f ca="1">VLOOKUP($A16&amp;$B16,data!$A:$U,17,FALSE)</f>
        <v>10</v>
      </c>
      <c r="G16" s="3">
        <f ca="1">VLOOKUP($A16&amp;$B16,data!$A:$U,18,FALSE)</f>
        <v>1</v>
      </c>
      <c r="H16" s="3">
        <f ca="1">VLOOKUP($A16&amp;$B16,data!$A:$U,19,FALSE)</f>
        <v>9</v>
      </c>
      <c r="I16" s="3">
        <f ca="1">VLOOKUP($A16&amp;$B16,data!$A:$U,14,FALSE)</f>
        <v>33</v>
      </c>
      <c r="J16" s="3">
        <f ca="1">VLOOKUP($A16&amp;$B16,data!$A:$U,15,FALSE)</f>
        <v>9</v>
      </c>
      <c r="K16" s="3">
        <f ca="1">VLOOKUP($A16&amp;$B16,data!$A:$U,16,FALSE)</f>
        <v>24</v>
      </c>
      <c r="L16" s="3">
        <f ca="1">VLOOKUP($A16&amp;$B16,data!$A:$U,8,FALSE)</f>
        <v>70</v>
      </c>
      <c r="M16" s="3">
        <f ca="1">VLOOKUP($A16&amp;$B16,data!$A:$U,9,FALSE)</f>
        <v>0</v>
      </c>
      <c r="N16" s="3">
        <f ca="1">VLOOKUP($A16&amp;$B16,data!$A:$U,10,FALSE)</f>
        <v>0</v>
      </c>
      <c r="O16" s="3">
        <f ca="1">VLOOKUP($A16&amp;$B16,data!$A:$U,11,FALSE)</f>
        <v>197</v>
      </c>
      <c r="P16" s="3">
        <f ca="1">VLOOKUP($A16&amp;$B16,data!$A:$U,12,FALSE)</f>
        <v>57</v>
      </c>
      <c r="Q16" s="3">
        <f ca="1">VLOOKUP($A16&amp;$B16,data!$A:$U,13,FALSE)</f>
        <v>140</v>
      </c>
      <c r="R16" s="3">
        <f ca="1">VLOOKUP($A16&amp;$B16,data!$A:$U,5,FALSE)</f>
        <v>300</v>
      </c>
      <c r="S16" s="3">
        <f ca="1">VLOOKUP($A16&amp;$B16,data!$A:$U,6,FALSE)</f>
        <v>66</v>
      </c>
      <c r="T16" s="3">
        <f ca="1">VLOOKUP($A16&amp;$B16,data!$A:$U,7,FALSE)</f>
        <v>234</v>
      </c>
    </row>
    <row r="17" spans="1:20" ht="15.75" customHeight="1" x14ac:dyDescent="0.15">
      <c r="A17" s="3" t="s">
        <v>4</v>
      </c>
      <c r="B17" s="3" t="s">
        <v>242</v>
      </c>
      <c r="C17" s="10">
        <f t="shared" ca="1" si="0"/>
        <v>0.97540983606557374</v>
      </c>
      <c r="D17" s="5">
        <f ca="1">VLOOKUP($A17&amp;$B17,data!$A:$U,20,FALSE)</f>
        <v>44305.355162036998</v>
      </c>
      <c r="E17" s="3" t="str">
        <f ca="1">VLOOKUP($A17&amp;$B17,data!$A:$U,21,FALSE)</f>
        <v>1904.2021 - 6positive cases</v>
      </c>
      <c r="F17" s="3">
        <f ca="1">VLOOKUP($A17&amp;$B17,data!$A:$U,17,FALSE)</f>
        <v>10</v>
      </c>
      <c r="G17" s="3">
        <f ca="1">VLOOKUP($A17&amp;$B17,data!$A:$U,18,FALSE)</f>
        <v>0</v>
      </c>
      <c r="H17" s="3">
        <f ca="1">VLOOKUP($A17&amp;$B17,data!$A:$U,19,FALSE)</f>
        <v>10</v>
      </c>
      <c r="I17" s="3">
        <f ca="1">VLOOKUP($A17&amp;$B17,data!$A:$U,14,FALSE)</f>
        <v>20</v>
      </c>
      <c r="J17" s="3">
        <f ca="1">VLOOKUP($A17&amp;$B17,data!$A:$U,15,FALSE)</f>
        <v>0</v>
      </c>
      <c r="K17" s="3">
        <f ca="1">VLOOKUP($A17&amp;$B17,data!$A:$U,16,FALSE)</f>
        <v>20</v>
      </c>
      <c r="L17" s="3">
        <f ca="1">VLOOKUP($A17&amp;$B17,data!$A:$U,8,FALSE)</f>
        <v>24</v>
      </c>
      <c r="M17" s="3">
        <f ca="1">VLOOKUP($A17&amp;$B17,data!$A:$U,9,FALSE)</f>
        <v>0</v>
      </c>
      <c r="N17" s="3">
        <f ca="1">VLOOKUP($A17&amp;$B17,data!$A:$U,10,FALSE)</f>
        <v>24</v>
      </c>
      <c r="O17" s="3">
        <f ca="1">VLOOKUP($A17&amp;$B17,data!$A:$U,11,FALSE)</f>
        <v>200</v>
      </c>
      <c r="P17" s="3">
        <f ca="1">VLOOKUP($A17&amp;$B17,data!$A:$U,12,FALSE)</f>
        <v>6</v>
      </c>
      <c r="Q17" s="3">
        <f ca="1">VLOOKUP($A17&amp;$B17,data!$A:$U,13,FALSE)</f>
        <v>194</v>
      </c>
      <c r="R17" s="3">
        <f ca="1">VLOOKUP($A17&amp;$B17,data!$A:$U,5,FALSE)</f>
        <v>244</v>
      </c>
      <c r="S17" s="3">
        <f ca="1">VLOOKUP($A17&amp;$B17,data!$A:$U,6,FALSE)</f>
        <v>6</v>
      </c>
      <c r="T17" s="3">
        <f ca="1">VLOOKUP($A17&amp;$B17,data!$A:$U,7,FALSE)</f>
        <v>238</v>
      </c>
    </row>
    <row r="18" spans="1:20" ht="15.75" customHeight="1" x14ac:dyDescent="0.15">
      <c r="A18" s="3" t="s">
        <v>4</v>
      </c>
      <c r="B18" s="3" t="s">
        <v>232</v>
      </c>
      <c r="C18" s="10">
        <f t="shared" ca="1" si="0"/>
        <v>0.51</v>
      </c>
      <c r="D18" s="5">
        <f ca="1">VLOOKUP($A18&amp;$B18,data!$A:$U,20,FALSE)</f>
        <v>44305.350856481396</v>
      </c>
      <c r="E18" s="3">
        <f ca="1">VLOOKUP($A18&amp;$B18,data!$A:$U,21,FALSE)</f>
        <v>0</v>
      </c>
      <c r="F18" s="3">
        <f ca="1">VLOOKUP($A18&amp;$B18,data!$A:$U,17,FALSE)</f>
        <v>15</v>
      </c>
      <c r="G18" s="3">
        <f ca="1">VLOOKUP($A18&amp;$B18,data!$A:$U,18,FALSE)</f>
        <v>6</v>
      </c>
      <c r="H18" s="3">
        <f ca="1">VLOOKUP($A18&amp;$B18,data!$A:$U,19,FALSE)</f>
        <v>9</v>
      </c>
      <c r="I18" s="3">
        <f ca="1">VLOOKUP($A18&amp;$B18,data!$A:$U,14,FALSE)</f>
        <v>15</v>
      </c>
      <c r="J18" s="3">
        <f ca="1">VLOOKUP($A18&amp;$B18,data!$A:$U,15,FALSE)</f>
        <v>15</v>
      </c>
      <c r="K18" s="3">
        <f ca="1">VLOOKUP($A18&amp;$B18,data!$A:$U,16,FALSE)</f>
        <v>0</v>
      </c>
      <c r="L18" s="3">
        <f ca="1">VLOOKUP($A18&amp;$B18,data!$A:$U,8,FALSE)</f>
        <v>250</v>
      </c>
      <c r="M18" s="3">
        <f ca="1">VLOOKUP($A18&amp;$B18,data!$A:$U,9,FALSE)</f>
        <v>108</v>
      </c>
      <c r="N18" s="3">
        <f ca="1">VLOOKUP($A18&amp;$B18,data!$A:$U,10,FALSE)</f>
        <v>142</v>
      </c>
      <c r="O18" s="3">
        <f ca="1">VLOOKUP($A18&amp;$B18,data!$A:$U,11,FALSE)</f>
        <v>135</v>
      </c>
      <c r="P18" s="3">
        <f ca="1">VLOOKUP($A18&amp;$B18,data!$A:$U,12,FALSE)</f>
        <v>73</v>
      </c>
      <c r="Q18" s="3">
        <f ca="1">VLOOKUP($A18&amp;$B18,data!$A:$U,13,FALSE)</f>
        <v>62</v>
      </c>
      <c r="R18" s="3">
        <f ca="1">VLOOKUP($A18&amp;$B18,data!$A:$U,5,FALSE)</f>
        <v>400</v>
      </c>
      <c r="S18" s="3">
        <f ca="1">VLOOKUP($A18&amp;$B18,data!$A:$U,6,FALSE)</f>
        <v>1196</v>
      </c>
      <c r="T18" s="3">
        <f ca="1">VLOOKUP($A18&amp;$B18,data!$A:$U,7,FALSE)</f>
        <v>204</v>
      </c>
    </row>
    <row r="19" spans="1:20" ht="15.75" customHeight="1" x14ac:dyDescent="0.15">
      <c r="A19" s="3" t="s">
        <v>4</v>
      </c>
      <c r="B19" s="3" t="s">
        <v>241</v>
      </c>
      <c r="C19" s="10">
        <f t="shared" ca="1" si="0"/>
        <v>0.73773584905660372</v>
      </c>
      <c r="D19" s="5">
        <f ca="1">VLOOKUP($A19&amp;$B19,data!$A:$U,20,FALSE)</f>
        <v>44305.379641203697</v>
      </c>
      <c r="E19" s="3">
        <f ca="1">VLOOKUP($A19&amp;$B19,data!$A:$U,21,FALSE)</f>
        <v>0</v>
      </c>
      <c r="F19" s="3">
        <f ca="1">VLOOKUP($A19&amp;$B19,data!$A:$U,17,FALSE)</f>
        <v>6</v>
      </c>
      <c r="G19" s="3">
        <f ca="1">VLOOKUP($A19&amp;$B19,data!$A:$U,18,FALSE)</f>
        <v>5</v>
      </c>
      <c r="H19" s="3">
        <f ca="1">VLOOKUP($A19&amp;$B19,data!$A:$U,19,FALSE)</f>
        <v>1</v>
      </c>
      <c r="I19" s="3">
        <f ca="1">VLOOKUP($A19&amp;$B19,data!$A:$U,14,FALSE)</f>
        <v>10</v>
      </c>
      <c r="J19" s="3">
        <f ca="1">VLOOKUP($A19&amp;$B19,data!$A:$U,15,FALSE)</f>
        <v>9</v>
      </c>
      <c r="K19" s="3">
        <f ca="1">VLOOKUP($A19&amp;$B19,data!$A:$U,16,FALSE)</f>
        <v>1</v>
      </c>
      <c r="L19" s="3">
        <f ca="1">VLOOKUP($A19&amp;$B19,data!$A:$U,8,FALSE)</f>
        <v>260</v>
      </c>
      <c r="M19" s="3">
        <f ca="1">VLOOKUP($A19&amp;$B19,data!$A:$U,9,FALSE)</f>
        <v>65</v>
      </c>
      <c r="N19" s="3">
        <f ca="1">VLOOKUP($A19&amp;$B19,data!$A:$U,10,FALSE)</f>
        <v>195</v>
      </c>
      <c r="O19" s="3">
        <f ca="1">VLOOKUP($A19&amp;$B19,data!$A:$U,11,FALSE)</f>
        <v>0</v>
      </c>
      <c r="P19" s="3">
        <f ca="1">VLOOKUP($A19&amp;$B19,data!$A:$U,12,FALSE)</f>
        <v>0</v>
      </c>
      <c r="Q19" s="3">
        <f ca="1">VLOOKUP($A19&amp;$B19,data!$A:$U,13,FALSE)</f>
        <v>0</v>
      </c>
      <c r="R19" s="3">
        <f ca="1">VLOOKUP($A19&amp;$B19,data!$A:$U,5,FALSE)</f>
        <v>260</v>
      </c>
      <c r="S19" s="3">
        <f ca="1">VLOOKUP($A19&amp;$B19,data!$A:$U,6,FALSE)</f>
        <v>65</v>
      </c>
      <c r="T19" s="3">
        <f ca="1">VLOOKUP($A19&amp;$B19,data!$A:$U,7,FALSE)</f>
        <v>195</v>
      </c>
    </row>
    <row r="20" spans="1:20" ht="15.75" customHeight="1" x14ac:dyDescent="0.15">
      <c r="A20" s="3" t="s">
        <v>4</v>
      </c>
      <c r="B20" s="3" t="s">
        <v>165</v>
      </c>
      <c r="C20" s="10">
        <f t="shared" ca="1" si="0"/>
        <v>0.910377358490566</v>
      </c>
      <c r="D20" s="5">
        <f ca="1">VLOOKUP($A20&amp;$B20,data!$A:$U,20,FALSE)</f>
        <v>44302.399733796199</v>
      </c>
      <c r="E20" s="3" t="str">
        <f ca="1">VLOOKUP($A20&amp;$B20,data!$A:$U,21,FALSE)</f>
        <v>9.4.2021</v>
      </c>
      <c r="F20" s="3">
        <f ca="1">VLOOKUP($A20&amp;$B20,data!$A:$U,17,FALSE)</f>
        <v>2</v>
      </c>
      <c r="G20" s="3">
        <f ca="1">VLOOKUP($A20&amp;$B20,data!$A:$U,18,FALSE)</f>
        <v>0</v>
      </c>
      <c r="H20" s="3">
        <f ca="1">VLOOKUP($A20&amp;$B20,data!$A:$U,19,FALSE)</f>
        <v>0</v>
      </c>
      <c r="I20" s="3">
        <f ca="1">VLOOKUP($A20&amp;$B20,data!$A:$U,14,FALSE)</f>
        <v>4</v>
      </c>
      <c r="J20" s="3">
        <f ca="1">VLOOKUP($A20&amp;$B20,data!$A:$U,15,FALSE)</f>
        <v>0</v>
      </c>
      <c r="K20" s="3">
        <f ca="1">VLOOKUP($A20&amp;$B20,data!$A:$U,16,FALSE)</f>
        <v>4</v>
      </c>
      <c r="L20" s="3">
        <f ca="1">VLOOKUP($A20&amp;$B20,data!$A:$U,8,FALSE)</f>
        <v>210</v>
      </c>
      <c r="M20" s="3">
        <f ca="1">VLOOKUP($A20&amp;$B20,data!$A:$U,9,FALSE)</f>
        <v>20</v>
      </c>
      <c r="N20" s="3">
        <f ca="1">VLOOKUP($A20&amp;$B20,data!$A:$U,10,FALSE)</f>
        <v>190</v>
      </c>
      <c r="O20" s="3">
        <f ca="1">VLOOKUP($A20&amp;$B20,data!$A:$U,11,FALSE)</f>
        <v>0</v>
      </c>
      <c r="P20" s="3">
        <f ca="1">VLOOKUP($A20&amp;$B20,data!$A:$U,12,FALSE)</f>
        <v>0</v>
      </c>
      <c r="Q20" s="3">
        <f ca="1">VLOOKUP($A20&amp;$B20,data!$A:$U,13,FALSE)</f>
        <v>0</v>
      </c>
      <c r="R20" s="3">
        <f ca="1">VLOOKUP($A20&amp;$B20,data!$A:$U,5,FALSE)</f>
        <v>210</v>
      </c>
      <c r="S20" s="3">
        <f ca="1">VLOOKUP($A20&amp;$B20,data!$A:$U,6,FALSE)</f>
        <v>20</v>
      </c>
      <c r="T20" s="3">
        <f ca="1">VLOOKUP($A20&amp;$B20,data!$A:$U,7,FALSE)</f>
        <v>192</v>
      </c>
    </row>
    <row r="21" spans="1:20" ht="15.75" customHeight="1" x14ac:dyDescent="0.15">
      <c r="A21" s="3" t="s">
        <v>4</v>
      </c>
      <c r="B21" s="3" t="s">
        <v>198</v>
      </c>
      <c r="C21" s="10">
        <f t="shared" ca="1" si="0"/>
        <v>0.69599999999999995</v>
      </c>
      <c r="D21" s="5">
        <f ca="1">VLOOKUP($A21&amp;$B21,data!$A:$U,20,FALSE)</f>
        <v>44305.307164351798</v>
      </c>
      <c r="E21" s="3" t="str">
        <f ca="1">VLOOKUP($A21&amp;$B21,data!$A:$U,21,FALSE)</f>
        <v>19.04.2021 SUSPECT -29 ACTIVE COVID -76 TOTAL -105</v>
      </c>
      <c r="F21" s="3">
        <f ca="1">VLOOKUP($A21&amp;$B21,data!$A:$U,17,FALSE)</f>
        <v>12</v>
      </c>
      <c r="G21" s="3">
        <f ca="1">VLOOKUP($A21&amp;$B21,data!$A:$U,18,FALSE)</f>
        <v>10</v>
      </c>
      <c r="H21" s="3">
        <f ca="1">VLOOKUP($A21&amp;$B21,data!$A:$U,19,FALSE)</f>
        <v>2</v>
      </c>
      <c r="I21" s="3">
        <f ca="1">VLOOKUP($A21&amp;$B21,data!$A:$U,14,FALSE)</f>
        <v>45</v>
      </c>
      <c r="J21" s="3">
        <f ca="1">VLOOKUP($A21&amp;$B21,data!$A:$U,15,FALSE)</f>
        <v>22</v>
      </c>
      <c r="K21" s="3">
        <f ca="1">VLOOKUP($A21&amp;$B21,data!$A:$U,16,FALSE)</f>
        <v>23</v>
      </c>
      <c r="L21" s="3">
        <f ca="1">VLOOKUP($A21&amp;$B21,data!$A:$U,8,FALSE)</f>
        <v>30</v>
      </c>
      <c r="M21" s="3">
        <f ca="1">VLOOKUP($A21&amp;$B21,data!$A:$U,9,FALSE)</f>
        <v>27</v>
      </c>
      <c r="N21" s="3">
        <f ca="1">VLOOKUP($A21&amp;$B21,data!$A:$U,10,FALSE)</f>
        <v>3</v>
      </c>
      <c r="O21" s="3">
        <f ca="1">VLOOKUP($A21&amp;$B21,data!$A:$U,11,FALSE)</f>
        <v>175</v>
      </c>
      <c r="P21" s="3">
        <f ca="1">VLOOKUP($A21&amp;$B21,data!$A:$U,12,FALSE)</f>
        <v>27</v>
      </c>
      <c r="Q21" s="3">
        <f ca="1">VLOOKUP($A21&amp;$B21,data!$A:$U,13,FALSE)</f>
        <v>148</v>
      </c>
      <c r="R21" s="3">
        <f ca="1">VLOOKUP($A21&amp;$B21,data!$A:$U,5,FALSE)</f>
        <v>250</v>
      </c>
      <c r="S21" s="3">
        <f ca="1">VLOOKUP($A21&amp;$B21,data!$A:$U,6,FALSE)</f>
        <v>76</v>
      </c>
      <c r="T21" s="3">
        <f ca="1">VLOOKUP($A21&amp;$B21,data!$A:$U,7,FALSE)</f>
        <v>174</v>
      </c>
    </row>
    <row r="22" spans="1:20" ht="15.75" customHeight="1" x14ac:dyDescent="0.15">
      <c r="A22" s="3" t="s">
        <v>4</v>
      </c>
      <c r="B22" s="3" t="s">
        <v>239</v>
      </c>
      <c r="C22" s="10">
        <f t="shared" ca="1" si="0"/>
        <v>0.77500000000000002</v>
      </c>
      <c r="D22" s="5">
        <f ca="1">VLOOKUP($A22&amp;$B22,data!$A:$U,20,FALSE)</f>
        <v>44305.370509259199</v>
      </c>
      <c r="E22" s="3">
        <f ca="1">VLOOKUP($A22&amp;$B22,data!$A:$U,21,FALSE)</f>
        <v>0</v>
      </c>
      <c r="F22" s="3">
        <f ca="1">VLOOKUP($A22&amp;$B22,data!$A:$U,17,FALSE)</f>
        <v>5</v>
      </c>
      <c r="G22" s="3">
        <f ca="1">VLOOKUP($A22&amp;$B22,data!$A:$U,18,FALSE)</f>
        <v>2</v>
      </c>
      <c r="H22" s="3">
        <f ca="1">VLOOKUP($A22&amp;$B22,data!$A:$U,19,FALSE)</f>
        <v>3</v>
      </c>
      <c r="I22" s="3">
        <f ca="1">VLOOKUP($A22&amp;$B22,data!$A:$U,14,FALSE)</f>
        <v>5</v>
      </c>
      <c r="J22" s="3">
        <f ca="1">VLOOKUP($A22&amp;$B22,data!$A:$U,15,FALSE)</f>
        <v>5</v>
      </c>
      <c r="K22" s="3">
        <f ca="1">VLOOKUP($A22&amp;$B22,data!$A:$U,16,FALSE)</f>
        <v>0</v>
      </c>
      <c r="L22" s="3">
        <f ca="1">VLOOKUP($A22&amp;$B22,data!$A:$U,8,FALSE)</f>
        <v>60</v>
      </c>
      <c r="M22" s="3">
        <f ca="1">VLOOKUP($A22&amp;$B22,data!$A:$U,9,FALSE)</f>
        <v>13</v>
      </c>
      <c r="N22" s="3">
        <f ca="1">VLOOKUP($A22&amp;$B22,data!$A:$U,10,FALSE)</f>
        <v>47</v>
      </c>
      <c r="O22" s="3">
        <f ca="1">VLOOKUP($A22&amp;$B22,data!$A:$U,11,FALSE)</f>
        <v>135</v>
      </c>
      <c r="P22" s="3">
        <f ca="1">VLOOKUP($A22&amp;$B22,data!$A:$U,12,FALSE)</f>
        <v>27</v>
      </c>
      <c r="Q22" s="3">
        <f ca="1">VLOOKUP($A22&amp;$B22,data!$A:$U,13,FALSE)</f>
        <v>108</v>
      </c>
      <c r="R22" s="3">
        <f ca="1">VLOOKUP($A22&amp;$B22,data!$A:$U,5,FALSE)</f>
        <v>200</v>
      </c>
      <c r="S22" s="3">
        <f ca="1">VLOOKUP($A22&amp;$B22,data!$A:$U,6,FALSE)</f>
        <v>45</v>
      </c>
      <c r="T22" s="3">
        <f ca="1">VLOOKUP($A22&amp;$B22,data!$A:$U,7,FALSE)</f>
        <v>155</v>
      </c>
    </row>
    <row r="23" spans="1:20" ht="15.75" customHeight="1" x14ac:dyDescent="0.15">
      <c r="A23" s="3" t="s">
        <v>4</v>
      </c>
      <c r="B23" s="3" t="s">
        <v>245</v>
      </c>
      <c r="C23" s="10">
        <f t="shared" ca="1" si="0"/>
        <v>0.59951456310679607</v>
      </c>
      <c r="D23" s="5">
        <f ca="1">VLOOKUP($A23&amp;$B23,data!$A:$U,20,FALSE)</f>
        <v>44305.383877314802</v>
      </c>
      <c r="E23" s="3" t="str">
        <f ca="1">VLOOKUP($A23&amp;$B23,data!$A:$U,21,FALSE)</f>
        <v>SRM MCH &amp; RC</v>
      </c>
      <c r="F23" s="3">
        <f ca="1">VLOOKUP($A23&amp;$B23,data!$A:$U,17,FALSE)</f>
        <v>7</v>
      </c>
      <c r="G23" s="3">
        <f ca="1">VLOOKUP($A23&amp;$B23,data!$A:$U,18,FALSE)</f>
        <v>0</v>
      </c>
      <c r="H23" s="3">
        <f ca="1">VLOOKUP($A23&amp;$B23,data!$A:$U,19,FALSE)</f>
        <v>7</v>
      </c>
      <c r="I23" s="3">
        <f ca="1">VLOOKUP($A23&amp;$B23,data!$A:$U,14,FALSE)</f>
        <v>6</v>
      </c>
      <c r="J23" s="3">
        <f ca="1">VLOOKUP($A23&amp;$B23,data!$A:$U,15,FALSE)</f>
        <v>6</v>
      </c>
      <c r="K23" s="3">
        <f ca="1">VLOOKUP($A23&amp;$B23,data!$A:$U,16,FALSE)</f>
        <v>1</v>
      </c>
      <c r="L23" s="3">
        <f ca="1">VLOOKUP($A23&amp;$B23,data!$A:$U,8,FALSE)</f>
        <v>50</v>
      </c>
      <c r="M23" s="3">
        <f ca="1">VLOOKUP($A23&amp;$B23,data!$A:$U,9,FALSE)</f>
        <v>13</v>
      </c>
      <c r="N23" s="3">
        <f ca="1">VLOOKUP($A23&amp;$B23,data!$A:$U,10,FALSE)</f>
        <v>37</v>
      </c>
      <c r="O23" s="3">
        <f ca="1">VLOOKUP($A23&amp;$B23,data!$A:$U,11,FALSE)</f>
        <v>150</v>
      </c>
      <c r="P23" s="3">
        <f ca="1">VLOOKUP($A23&amp;$B23,data!$A:$U,12,FALSE)</f>
        <v>64</v>
      </c>
      <c r="Q23" s="3">
        <f ca="1">VLOOKUP($A23&amp;$B23,data!$A:$U,13,FALSE)</f>
        <v>86</v>
      </c>
      <c r="R23" s="3">
        <f ca="1">VLOOKUP($A23&amp;$B23,data!$A:$U,5,FALSE)</f>
        <v>206</v>
      </c>
      <c r="S23" s="3">
        <f ca="1">VLOOKUP($A23&amp;$B23,data!$A:$U,6,FALSE)</f>
        <v>83</v>
      </c>
      <c r="T23" s="3">
        <f ca="1">VLOOKUP($A23&amp;$B23,data!$A:$U,7,FALSE)</f>
        <v>123</v>
      </c>
    </row>
    <row r="24" spans="1:20" ht="15.75" customHeight="1" x14ac:dyDescent="0.15">
      <c r="A24" s="3" t="s">
        <v>4</v>
      </c>
      <c r="B24" s="3" t="s">
        <v>134</v>
      </c>
      <c r="C24" s="10">
        <f t="shared" ca="1" si="0"/>
        <v>0.32800000000000001</v>
      </c>
      <c r="D24" s="5">
        <f ca="1">VLOOKUP($A24&amp;$B24,data!$A:$U,20,FALSE)</f>
        <v>44305.3647106481</v>
      </c>
      <c r="E24" s="3" t="str">
        <f ca="1">VLOOKUP($A24&amp;$B24,data!$A:$U,21,FALSE)</f>
        <v>189 ( 168 positive + 21 Suspected )</v>
      </c>
      <c r="F24" s="3">
        <f ca="1">VLOOKUP($A24&amp;$B24,data!$A:$U,17,FALSE)</f>
        <v>5</v>
      </c>
      <c r="G24" s="3">
        <f ca="1">VLOOKUP($A24&amp;$B24,data!$A:$U,18,FALSE)</f>
        <v>2</v>
      </c>
      <c r="H24" s="3">
        <f ca="1">VLOOKUP($A24&amp;$B24,data!$A:$U,19,FALSE)</f>
        <v>3</v>
      </c>
      <c r="I24" s="3">
        <f ca="1">VLOOKUP($A24&amp;$B24,data!$A:$U,14,FALSE)</f>
        <v>14</v>
      </c>
      <c r="J24" s="3">
        <f ca="1">VLOOKUP($A24&amp;$B24,data!$A:$U,15,FALSE)</f>
        <v>14</v>
      </c>
      <c r="K24" s="3">
        <f ca="1">VLOOKUP($A24&amp;$B24,data!$A:$U,16,FALSE)</f>
        <v>0</v>
      </c>
      <c r="L24" s="3">
        <f ca="1">VLOOKUP($A24&amp;$B24,data!$A:$U,8,FALSE)</f>
        <v>91</v>
      </c>
      <c r="M24" s="3">
        <f ca="1">VLOOKUP($A24&amp;$B24,data!$A:$U,9,FALSE)</f>
        <v>91</v>
      </c>
      <c r="N24" s="3">
        <f ca="1">VLOOKUP($A24&amp;$B24,data!$A:$U,10,FALSE)</f>
        <v>0</v>
      </c>
      <c r="O24" s="3">
        <f ca="1">VLOOKUP($A24&amp;$B24,data!$A:$U,11,FALSE)</f>
        <v>145</v>
      </c>
      <c r="P24" s="3">
        <f ca="1">VLOOKUP($A24&amp;$B24,data!$A:$U,12,FALSE)</f>
        <v>63</v>
      </c>
      <c r="Q24" s="3">
        <f ca="1">VLOOKUP($A24&amp;$B24,data!$A:$U,13,FALSE)</f>
        <v>82</v>
      </c>
      <c r="R24" s="3">
        <f ca="1">VLOOKUP($A24&amp;$B24,data!$A:$U,5,FALSE)</f>
        <v>250</v>
      </c>
      <c r="S24" s="3">
        <f ca="1">VLOOKUP($A24&amp;$B24,data!$A:$U,6,FALSE)</f>
        <v>168</v>
      </c>
      <c r="T24" s="3">
        <f ca="1">VLOOKUP($A24&amp;$B24,data!$A:$U,7,FALSE)</f>
        <v>82</v>
      </c>
    </row>
    <row r="25" spans="1:20" ht="15.75" customHeight="1" x14ac:dyDescent="0.15">
      <c r="A25" s="3" t="s">
        <v>4</v>
      </c>
      <c r="B25" s="3" t="s">
        <v>248</v>
      </c>
      <c r="C25" s="10">
        <f t="shared" ca="1" si="0"/>
        <v>0.81736526946107779</v>
      </c>
      <c r="D25" s="5">
        <f ca="1">VLOOKUP($A25&amp;$B25,data!$A:$U,20,FALSE)</f>
        <v>44303.456631944398</v>
      </c>
      <c r="E25" s="3" t="str">
        <f ca="1">VLOOKUP($A25&amp;$B25,data!$A:$U,21,FALSE)</f>
        <v>17-4-2021</v>
      </c>
      <c r="F25" s="3">
        <f ca="1">VLOOKUP($A25&amp;$B25,data!$A:$U,17,FALSE)</f>
        <v>4</v>
      </c>
      <c r="G25" s="3">
        <f ca="1">VLOOKUP($A25&amp;$B25,data!$A:$U,18,FALSE)</f>
        <v>0</v>
      </c>
      <c r="H25" s="3">
        <f ca="1">VLOOKUP($A25&amp;$B25,data!$A:$U,19,FALSE)</f>
        <v>4</v>
      </c>
      <c r="I25" s="3">
        <f ca="1">VLOOKUP($A25&amp;$B25,data!$A:$U,14,FALSE)</f>
        <v>12</v>
      </c>
      <c r="J25" s="3">
        <f ca="1">VLOOKUP($A25&amp;$B25,data!$A:$U,15,FALSE)</f>
        <v>7</v>
      </c>
      <c r="K25" s="3">
        <f ca="1">VLOOKUP($A25&amp;$B25,data!$A:$U,16,FALSE)</f>
        <v>5</v>
      </c>
      <c r="L25" s="3">
        <f ca="1">VLOOKUP($A25&amp;$B25,data!$A:$U,8,FALSE)</f>
        <v>80</v>
      </c>
      <c r="M25" s="3">
        <f ca="1">VLOOKUP($A25&amp;$B25,data!$A:$U,9,FALSE)</f>
        <v>13</v>
      </c>
      <c r="N25" s="3">
        <f ca="1">VLOOKUP($A25&amp;$B25,data!$A:$U,10,FALSE)</f>
        <v>67</v>
      </c>
      <c r="O25" s="3">
        <f ca="1">VLOOKUP($A25&amp;$B25,data!$A:$U,11,FALSE)</f>
        <v>162</v>
      </c>
      <c r="P25" s="3">
        <f ca="1">VLOOKUP($A25&amp;$B25,data!$A:$U,12,FALSE)</f>
        <v>41</v>
      </c>
      <c r="Q25" s="3">
        <f ca="1">VLOOKUP($A25&amp;$B25,data!$A:$U,13,FALSE)</f>
        <v>121</v>
      </c>
      <c r="R25" s="3">
        <f ca="1">VLOOKUP($A25&amp;$B25,data!$A:$U,5,FALSE)</f>
        <v>80</v>
      </c>
      <c r="S25" s="3">
        <f ca="1">VLOOKUP($A25&amp;$B25,data!$A:$U,6,FALSE)</f>
        <v>0</v>
      </c>
      <c r="T25" s="3">
        <f ca="1">VLOOKUP($A25&amp;$B25,data!$A:$U,7,FALSE)</f>
        <v>80</v>
      </c>
    </row>
    <row r="26" spans="1:20" ht="15.75" customHeight="1" x14ac:dyDescent="0.15">
      <c r="A26" s="3" t="s">
        <v>4</v>
      </c>
      <c r="B26" s="3" t="s">
        <v>194</v>
      </c>
      <c r="C26" s="10">
        <f t="shared" ca="1" si="0"/>
        <v>0.98750000000000004</v>
      </c>
      <c r="D26" s="5">
        <f ca="1">VLOOKUP($A26&amp;$B26,data!$A:$U,20,FALSE)</f>
        <v>44294.353460648097</v>
      </c>
      <c r="E26" s="3" t="str">
        <f ca="1">VLOOKUP($A26&amp;$B26,data!$A:$U,21,FALSE)</f>
        <v>Update</v>
      </c>
      <c r="F26" s="3">
        <f ca="1">VLOOKUP($A26&amp;$B26,data!$A:$U,17,FALSE)</f>
        <v>7</v>
      </c>
      <c r="G26" s="3">
        <f ca="1">VLOOKUP($A26&amp;$B26,data!$A:$U,18,FALSE)</f>
        <v>0</v>
      </c>
      <c r="H26" s="3">
        <f ca="1">VLOOKUP($A26&amp;$B26,data!$A:$U,19,FALSE)</f>
        <v>7</v>
      </c>
      <c r="I26" s="3">
        <f ca="1">VLOOKUP($A26&amp;$B26,data!$A:$U,14,FALSE)</f>
        <v>7</v>
      </c>
      <c r="J26" s="3">
        <f ca="1">VLOOKUP($A26&amp;$B26,data!$A:$U,15,FALSE)</f>
        <v>0</v>
      </c>
      <c r="K26" s="3">
        <f ca="1">VLOOKUP($A26&amp;$B26,data!$A:$U,16,FALSE)</f>
        <v>7</v>
      </c>
      <c r="L26" s="3">
        <f ca="1">VLOOKUP($A26&amp;$B26,data!$A:$U,8,FALSE)</f>
        <v>31</v>
      </c>
      <c r="M26" s="3">
        <f ca="1">VLOOKUP($A26&amp;$B26,data!$A:$U,9,FALSE)</f>
        <v>0</v>
      </c>
      <c r="N26" s="3">
        <f ca="1">VLOOKUP($A26&amp;$B26,data!$A:$U,10,FALSE)</f>
        <v>31</v>
      </c>
      <c r="O26" s="3">
        <f ca="1">VLOOKUP($A26&amp;$B26,data!$A:$U,11,FALSE)</f>
        <v>42</v>
      </c>
      <c r="P26" s="3">
        <f ca="1">VLOOKUP($A26&amp;$B26,data!$A:$U,12,FALSE)</f>
        <v>1</v>
      </c>
      <c r="Q26" s="3">
        <f ca="1">VLOOKUP($A26&amp;$B26,data!$A:$U,13,FALSE)</f>
        <v>41</v>
      </c>
      <c r="R26" s="3">
        <f ca="1">VLOOKUP($A26&amp;$B26,data!$A:$U,5,FALSE)</f>
        <v>80</v>
      </c>
      <c r="S26" s="3">
        <f ca="1">VLOOKUP($A26&amp;$B26,data!$A:$U,6,FALSE)</f>
        <v>1</v>
      </c>
      <c r="T26" s="3">
        <f ca="1">VLOOKUP($A26&amp;$B26,data!$A:$U,7,FALSE)</f>
        <v>79</v>
      </c>
    </row>
    <row r="27" spans="1:20" ht="15.75" customHeight="1" x14ac:dyDescent="0.15">
      <c r="A27" s="3" t="s">
        <v>4</v>
      </c>
      <c r="B27" s="3" t="s">
        <v>219</v>
      </c>
      <c r="C27" s="10">
        <f t="shared" ca="1" si="0"/>
        <v>1</v>
      </c>
      <c r="D27" s="5">
        <f ca="1">VLOOKUP($A27&amp;$B27,data!$A:$U,20,FALSE)</f>
        <v>44305.652824074001</v>
      </c>
      <c r="E27" s="3">
        <f ca="1">VLOOKUP($A27&amp;$B27,data!$A:$U,21,FALSE)</f>
        <v>0</v>
      </c>
      <c r="F27" s="3">
        <f ca="1">VLOOKUP($A27&amp;$B27,data!$A:$U,17,FALSE)</f>
        <v>3</v>
      </c>
      <c r="G27" s="3">
        <f ca="1">VLOOKUP($A27&amp;$B27,data!$A:$U,18,FALSE)</f>
        <v>0</v>
      </c>
      <c r="H27" s="3">
        <f ca="1">VLOOKUP($A27&amp;$B27,data!$A:$U,19,FALSE)</f>
        <v>3</v>
      </c>
      <c r="I27" s="3">
        <f ca="1">VLOOKUP($A27&amp;$B27,data!$A:$U,14,FALSE)</f>
        <v>10</v>
      </c>
      <c r="J27" s="3">
        <f ca="1">VLOOKUP($A27&amp;$B27,data!$A:$U,15,FALSE)</f>
        <v>0</v>
      </c>
      <c r="K27" s="3">
        <f ca="1">VLOOKUP($A27&amp;$B27,data!$A:$U,16,FALSE)</f>
        <v>10</v>
      </c>
      <c r="L27" s="3">
        <f ca="1">VLOOKUP($A27&amp;$B27,data!$A:$U,8,FALSE)</f>
        <v>62</v>
      </c>
      <c r="M27" s="3">
        <f ca="1">VLOOKUP($A27&amp;$B27,data!$A:$U,9,FALSE)</f>
        <v>0</v>
      </c>
      <c r="N27" s="3">
        <f ca="1">VLOOKUP($A27&amp;$B27,data!$A:$U,10,FALSE)</f>
        <v>62</v>
      </c>
      <c r="O27" s="3">
        <f ca="1">VLOOKUP($A27&amp;$B27,data!$A:$U,11,FALSE)</f>
        <v>3</v>
      </c>
      <c r="P27" s="3">
        <f ca="1">VLOOKUP($A27&amp;$B27,data!$A:$U,12,FALSE)</f>
        <v>0</v>
      </c>
      <c r="Q27" s="3">
        <f ca="1">VLOOKUP($A27&amp;$B27,data!$A:$U,13,FALSE)</f>
        <v>3</v>
      </c>
      <c r="R27" s="3">
        <f ca="1">VLOOKUP($A27&amp;$B27,data!$A:$U,5,FALSE)</f>
        <v>75</v>
      </c>
      <c r="S27" s="3">
        <f ca="1">VLOOKUP($A27&amp;$B27,data!$A:$U,6,FALSE)</f>
        <v>0</v>
      </c>
      <c r="T27" s="3">
        <f ca="1">VLOOKUP($A27&amp;$B27,data!$A:$U,7,FALSE)</f>
        <v>75</v>
      </c>
    </row>
    <row r="28" spans="1:20" ht="15.75" customHeight="1" x14ac:dyDescent="0.15">
      <c r="A28" s="3" t="s">
        <v>4</v>
      </c>
      <c r="B28" s="3" t="s">
        <v>110</v>
      </c>
      <c r="C28" s="10">
        <f t="shared" ca="1" si="0"/>
        <v>0.30909090909090908</v>
      </c>
      <c r="D28" s="5">
        <f ca="1">VLOOKUP($A28&amp;$B28,data!$A:$U,20,FALSE)</f>
        <v>44305.4132060185</v>
      </c>
      <c r="E28" s="3" t="str">
        <f ca="1">VLOOKUP($A28&amp;$B28,data!$A:$U,21,FALSE)</f>
        <v>19-04-2021</v>
      </c>
      <c r="F28" s="3">
        <f ca="1">VLOOKUP($A28&amp;$B28,data!$A:$U,17,FALSE)</f>
        <v>2</v>
      </c>
      <c r="G28" s="3">
        <f ca="1">VLOOKUP($A28&amp;$B28,data!$A:$U,18,FALSE)</f>
        <v>2</v>
      </c>
      <c r="H28" s="3">
        <f ca="1">VLOOKUP($A28&amp;$B28,data!$A:$U,19,FALSE)</f>
        <v>0</v>
      </c>
      <c r="I28" s="3">
        <f ca="1">VLOOKUP($A28&amp;$B28,data!$A:$U,14,FALSE)</f>
        <v>25</v>
      </c>
      <c r="J28" s="3">
        <f ca="1">VLOOKUP($A28&amp;$B28,data!$A:$U,15,FALSE)</f>
        <v>21</v>
      </c>
      <c r="K28" s="3">
        <f ca="1">VLOOKUP($A28&amp;$B28,data!$A:$U,16,FALSE)</f>
        <v>4</v>
      </c>
      <c r="L28" s="3">
        <f ca="1">VLOOKUP($A28&amp;$B28,data!$A:$U,8,FALSE)</f>
        <v>15</v>
      </c>
      <c r="M28" s="3">
        <f ca="1">VLOOKUP($A28&amp;$B28,data!$A:$U,9,FALSE)</f>
        <v>12</v>
      </c>
      <c r="N28" s="3">
        <f ca="1">VLOOKUP($A28&amp;$B28,data!$A:$U,10,FALSE)</f>
        <v>3</v>
      </c>
      <c r="O28" s="3">
        <f ca="1">VLOOKUP($A28&amp;$B28,data!$A:$U,11,FALSE)</f>
        <v>80</v>
      </c>
      <c r="P28" s="3">
        <f ca="1">VLOOKUP($A28&amp;$B28,data!$A:$U,12,FALSE)</f>
        <v>43</v>
      </c>
      <c r="Q28" s="3">
        <f ca="1">VLOOKUP($A28&amp;$B28,data!$A:$U,13,FALSE)</f>
        <v>37</v>
      </c>
      <c r="R28" s="3">
        <f ca="1">VLOOKUP($A28&amp;$B28,data!$A:$U,5,FALSE)</f>
        <v>100</v>
      </c>
      <c r="S28" s="3">
        <f ca="1">VLOOKUP($A28&amp;$B28,data!$A:$U,6,FALSE)</f>
        <v>76</v>
      </c>
      <c r="T28" s="3">
        <f ca="1">VLOOKUP($A28&amp;$B28,data!$A:$U,7,FALSE)</f>
        <v>24</v>
      </c>
    </row>
    <row r="29" spans="1:20" ht="15.75" customHeight="1" x14ac:dyDescent="0.15">
      <c r="A29" s="3" t="s">
        <v>4</v>
      </c>
      <c r="B29" s="3" t="s">
        <v>193</v>
      </c>
      <c r="C29" s="10">
        <f t="shared" ca="1" si="0"/>
        <v>1</v>
      </c>
      <c r="D29" s="5">
        <f ca="1">VLOOKUP($A29&amp;$B29,data!$A:$U,20,FALSE)</f>
        <v>44305.442673611098</v>
      </c>
      <c r="E29" s="3" t="str">
        <f ca="1">VLOOKUP($A29&amp;$B29,data!$A:$U,21,FALSE)</f>
        <v>19.04.21</v>
      </c>
      <c r="F29" s="3">
        <f ca="1">VLOOKUP($A29&amp;$B29,data!$A:$U,17,FALSE)</f>
        <v>3</v>
      </c>
      <c r="G29" s="3">
        <f ca="1">VLOOKUP($A29&amp;$B29,data!$A:$U,18,FALSE)</f>
        <v>0</v>
      </c>
      <c r="H29" s="3">
        <f ca="1">VLOOKUP($A29&amp;$B29,data!$A:$U,19,FALSE)</f>
        <v>3</v>
      </c>
      <c r="I29" s="3">
        <f ca="1">VLOOKUP($A29&amp;$B29,data!$A:$U,14,FALSE)</f>
        <v>8</v>
      </c>
      <c r="J29" s="3">
        <f ca="1">VLOOKUP($A29&amp;$B29,data!$A:$U,15,FALSE)</f>
        <v>0</v>
      </c>
      <c r="K29" s="3">
        <f ca="1">VLOOKUP($A29&amp;$B29,data!$A:$U,16,FALSE)</f>
        <v>8</v>
      </c>
      <c r="L29" s="3">
        <f ca="1">VLOOKUP($A29&amp;$B29,data!$A:$U,8,FALSE)</f>
        <v>8</v>
      </c>
      <c r="M29" s="3">
        <f ca="1">VLOOKUP($A29&amp;$B29,data!$A:$U,9,FALSE)</f>
        <v>0</v>
      </c>
      <c r="N29" s="3">
        <f ca="1">VLOOKUP($A29&amp;$B29,data!$A:$U,10,FALSE)</f>
        <v>8</v>
      </c>
      <c r="O29" s="3">
        <f ca="1">VLOOKUP($A29&amp;$B29,data!$A:$U,11,FALSE)</f>
        <v>0</v>
      </c>
      <c r="P29" s="3">
        <f ca="1">VLOOKUP($A29&amp;$B29,data!$A:$U,12,FALSE)</f>
        <v>0</v>
      </c>
      <c r="Q29" s="3">
        <f ca="1">VLOOKUP($A29&amp;$B29,data!$A:$U,13,FALSE)</f>
        <v>0</v>
      </c>
      <c r="R29" s="3">
        <f ca="1">VLOOKUP($A29&amp;$B29,data!$A:$U,5,FALSE)</f>
        <v>35</v>
      </c>
      <c r="S29" s="3">
        <f ca="1">VLOOKUP($A29&amp;$B29,data!$A:$U,6,FALSE)</f>
        <v>0</v>
      </c>
      <c r="T29" s="3">
        <f ca="1">VLOOKUP($A29&amp;$B29,data!$A:$U,7,FALSE)</f>
        <v>35</v>
      </c>
    </row>
    <row r="30" spans="1:20" ht="15.75" customHeight="1" x14ac:dyDescent="0.15">
      <c r="A30" s="3" t="s">
        <v>4</v>
      </c>
      <c r="B30" s="3" t="s">
        <v>214</v>
      </c>
      <c r="C30" s="10">
        <f t="shared" ca="1" si="0"/>
        <v>1</v>
      </c>
      <c r="D30" s="5">
        <f ca="1">VLOOKUP($A30&amp;$B30,data!$A:$U,20,FALSE)</f>
        <v>44305.442395833299</v>
      </c>
      <c r="E30" s="3" t="str">
        <f ca="1">VLOOKUP($A30&amp;$B30,data!$A:$U,21,FALSE)</f>
        <v>19-04-21</v>
      </c>
      <c r="F30" s="3">
        <f ca="1">VLOOKUP($A30&amp;$B30,data!$A:$U,17,FALSE)</f>
        <v>2</v>
      </c>
      <c r="G30" s="3">
        <f ca="1">VLOOKUP($A30&amp;$B30,data!$A:$U,18,FALSE)</f>
        <v>0</v>
      </c>
      <c r="H30" s="3">
        <f ca="1">VLOOKUP($A30&amp;$B30,data!$A:$U,19,FALSE)</f>
        <v>2</v>
      </c>
      <c r="I30" s="3">
        <f ca="1">VLOOKUP($A30&amp;$B30,data!$A:$U,14,FALSE)</f>
        <v>3</v>
      </c>
      <c r="J30" s="3">
        <f ca="1">VLOOKUP($A30&amp;$B30,data!$A:$U,15,FALSE)</f>
        <v>0</v>
      </c>
      <c r="K30" s="3">
        <f ca="1">VLOOKUP($A30&amp;$B30,data!$A:$U,16,FALSE)</f>
        <v>3</v>
      </c>
      <c r="L30" s="3">
        <f ca="1">VLOOKUP($A30&amp;$B30,data!$A:$U,8,FALSE)</f>
        <v>32</v>
      </c>
      <c r="M30" s="3">
        <f ca="1">VLOOKUP($A30&amp;$B30,data!$A:$U,9,FALSE)</f>
        <v>0</v>
      </c>
      <c r="N30" s="3">
        <f ca="1">VLOOKUP($A30&amp;$B30,data!$A:$U,10,FALSE)</f>
        <v>32</v>
      </c>
      <c r="O30" s="3">
        <f ca="1">VLOOKUP($A30&amp;$B30,data!$A:$U,11,FALSE)</f>
        <v>3</v>
      </c>
      <c r="P30" s="3">
        <f ca="1">VLOOKUP($A30&amp;$B30,data!$A:$U,12,FALSE)</f>
        <v>0</v>
      </c>
      <c r="Q30" s="3">
        <f ca="1">VLOOKUP($A30&amp;$B30,data!$A:$U,13,FALSE)</f>
        <v>3</v>
      </c>
      <c r="R30" s="3">
        <f ca="1">VLOOKUP($A30&amp;$B30,data!$A:$U,5,FALSE)</f>
        <v>35</v>
      </c>
      <c r="S30" s="3">
        <f ca="1">VLOOKUP($A30&amp;$B30,data!$A:$U,6,FALSE)</f>
        <v>0</v>
      </c>
      <c r="T30" s="3">
        <f ca="1">VLOOKUP($A30&amp;$B30,data!$A:$U,7,FALSE)</f>
        <v>35</v>
      </c>
    </row>
    <row r="31" spans="1:20" ht="15.75" customHeight="1" x14ac:dyDescent="0.15">
      <c r="A31" s="3" t="s">
        <v>4</v>
      </c>
      <c r="B31" s="3" t="s">
        <v>259</v>
      </c>
      <c r="C31" s="10">
        <f t="shared" ca="1" si="0"/>
        <v>1</v>
      </c>
      <c r="D31" s="5">
        <f ca="1">VLOOKUP($A31&amp;$B31,data!$A:$U,20,FALSE)</f>
        <v>44305.380474537</v>
      </c>
      <c r="E31" s="3" t="str">
        <f ca="1">VLOOKUP($A31&amp;$B31,data!$A:$U,21,FALSE)</f>
        <v>19/4/2021 - 0</v>
      </c>
      <c r="F31" s="3">
        <f ca="1">VLOOKUP($A31&amp;$B31,data!$A:$U,17,FALSE)</f>
        <v>1</v>
      </c>
      <c r="G31" s="3">
        <f ca="1">VLOOKUP($A31&amp;$B31,data!$A:$U,18,FALSE)</f>
        <v>0</v>
      </c>
      <c r="H31" s="3">
        <f ca="1">VLOOKUP($A31&amp;$B31,data!$A:$U,19,FALSE)</f>
        <v>1</v>
      </c>
      <c r="I31" s="3">
        <f ca="1">VLOOKUP($A31&amp;$B31,data!$A:$U,14,FALSE)</f>
        <v>1</v>
      </c>
      <c r="J31" s="3">
        <f ca="1">VLOOKUP($A31&amp;$B31,data!$A:$U,15,FALSE)</f>
        <v>0</v>
      </c>
      <c r="K31" s="3">
        <f ca="1">VLOOKUP($A31&amp;$B31,data!$A:$U,16,FALSE)</f>
        <v>1</v>
      </c>
      <c r="L31" s="3">
        <f ca="1">VLOOKUP($A31&amp;$B31,data!$A:$U,8,FALSE)</f>
        <v>5</v>
      </c>
      <c r="M31" s="3">
        <f ca="1">VLOOKUP($A31&amp;$B31,data!$A:$U,9,FALSE)</f>
        <v>0</v>
      </c>
      <c r="N31" s="3">
        <f ca="1">VLOOKUP($A31&amp;$B31,data!$A:$U,10,FALSE)</f>
        <v>5</v>
      </c>
      <c r="O31" s="3">
        <f ca="1">VLOOKUP($A31&amp;$B31,data!$A:$U,11,FALSE)</f>
        <v>20</v>
      </c>
      <c r="P31" s="3">
        <f ca="1">VLOOKUP($A31&amp;$B31,data!$A:$U,12,FALSE)</f>
        <v>0</v>
      </c>
      <c r="Q31" s="3">
        <f ca="1">VLOOKUP($A31&amp;$B31,data!$A:$U,13,FALSE)</f>
        <v>20</v>
      </c>
      <c r="R31" s="3">
        <f ca="1">VLOOKUP($A31&amp;$B31,data!$A:$U,5,FALSE)</f>
        <v>30</v>
      </c>
      <c r="S31" s="3">
        <f ca="1">VLOOKUP($A31&amp;$B31,data!$A:$U,6,FALSE)</f>
        <v>0</v>
      </c>
      <c r="T31" s="3">
        <f ca="1">VLOOKUP($A31&amp;$B31,data!$A:$U,7,FALSE)</f>
        <v>30</v>
      </c>
    </row>
    <row r="32" spans="1:20" ht="15.75" customHeight="1" x14ac:dyDescent="0.15">
      <c r="A32" s="3" t="s">
        <v>4</v>
      </c>
      <c r="B32" s="3" t="s">
        <v>1177</v>
      </c>
      <c r="C32" s="10">
        <f t="shared" ca="1" si="0"/>
        <v>0.52777777777777779</v>
      </c>
      <c r="D32" s="5">
        <f ca="1">VLOOKUP($A32&amp;$B32,data!$A:$U,20,FALSE)</f>
        <v>44298.764513888797</v>
      </c>
      <c r="E32" s="3">
        <f ca="1">VLOOKUP($A32&amp;$B32,data!$A:$U,21,FALSE)</f>
        <v>0</v>
      </c>
      <c r="F32" s="3">
        <f ca="1">VLOOKUP($A32&amp;$B32,data!$A:$U,17,FALSE)</f>
        <v>2</v>
      </c>
      <c r="G32" s="3">
        <f ca="1">VLOOKUP($A32&amp;$B32,data!$A:$U,18,FALSE)</f>
        <v>1</v>
      </c>
      <c r="H32" s="3">
        <f ca="1">VLOOKUP($A32&amp;$B32,data!$A:$U,19,FALSE)</f>
        <v>1</v>
      </c>
      <c r="I32" s="3">
        <f ca="1">VLOOKUP($A32&amp;$B32,data!$A:$U,14,FALSE)</f>
        <v>10</v>
      </c>
      <c r="J32" s="3">
        <f ca="1">VLOOKUP($A32&amp;$B32,data!$A:$U,15,FALSE)</f>
        <v>9</v>
      </c>
      <c r="K32" s="3">
        <f ca="1">VLOOKUP($A32&amp;$B32,data!$A:$U,16,FALSE)</f>
        <v>1</v>
      </c>
      <c r="L32" s="3">
        <f ca="1">VLOOKUP($A32&amp;$B32,data!$A:$U,8,FALSE)</f>
        <v>31</v>
      </c>
      <c r="M32" s="3">
        <f ca="1">VLOOKUP($A32&amp;$B32,data!$A:$U,9,FALSE)</f>
        <v>16</v>
      </c>
      <c r="N32" s="3">
        <f ca="1">VLOOKUP($A32&amp;$B32,data!$A:$U,10,FALSE)</f>
        <v>15</v>
      </c>
      <c r="O32" s="3">
        <f ca="1">VLOOKUP($A32&amp;$B32,data!$A:$U,11,FALSE)</f>
        <v>13</v>
      </c>
      <c r="P32" s="3">
        <f ca="1">VLOOKUP($A32&amp;$B32,data!$A:$U,12,FALSE)</f>
        <v>0</v>
      </c>
      <c r="Q32" s="3">
        <f ca="1">VLOOKUP($A32&amp;$B32,data!$A:$U,13,FALSE)</f>
        <v>13</v>
      </c>
      <c r="R32" s="3">
        <f ca="1">VLOOKUP($A32&amp;$B32,data!$A:$U,5,FALSE)</f>
        <v>54</v>
      </c>
      <c r="S32" s="3">
        <f ca="1">VLOOKUP($A32&amp;$B32,data!$A:$U,6,FALSE)</f>
        <v>26</v>
      </c>
      <c r="T32" s="3">
        <f ca="1">VLOOKUP($A32&amp;$B32,data!$A:$U,7,FALSE)</f>
        <v>28</v>
      </c>
    </row>
    <row r="33" spans="1:20" ht="15.75" customHeight="1" x14ac:dyDescent="0.15">
      <c r="A33" s="3" t="s">
        <v>4</v>
      </c>
      <c r="B33" s="3" t="s">
        <v>237</v>
      </c>
      <c r="C33" s="10">
        <f t="shared" ca="1" si="0"/>
        <v>1</v>
      </c>
      <c r="D33" s="5">
        <f ca="1">VLOOKUP($A33&amp;$B33,data!$A:$U,20,FALSE)</f>
        <v>44302.461643518502</v>
      </c>
      <c r="E33" s="3" t="str">
        <f ca="1">VLOOKUP($A33&amp;$B33,data!$A:$U,21,FALSE)</f>
        <v>16.04.2021</v>
      </c>
      <c r="F33" s="3">
        <f ca="1">VLOOKUP($A33&amp;$B33,data!$A:$U,17,FALSE)</f>
        <v>3</v>
      </c>
      <c r="G33" s="3">
        <f ca="1">VLOOKUP($A33&amp;$B33,data!$A:$U,18,FALSE)</f>
        <v>0</v>
      </c>
      <c r="H33" s="3">
        <f ca="1">VLOOKUP($A33&amp;$B33,data!$A:$U,19,FALSE)</f>
        <v>3</v>
      </c>
      <c r="I33" s="3">
        <f ca="1">VLOOKUP($A33&amp;$B33,data!$A:$U,14,FALSE)</f>
        <v>7</v>
      </c>
      <c r="J33" s="3">
        <f ca="1">VLOOKUP($A33&amp;$B33,data!$A:$U,15,FALSE)</f>
        <v>0</v>
      </c>
      <c r="K33" s="3">
        <f ca="1">VLOOKUP($A33&amp;$B33,data!$A:$U,16,FALSE)</f>
        <v>7</v>
      </c>
      <c r="L33" s="3">
        <f ca="1">VLOOKUP($A33&amp;$B33,data!$A:$U,8,FALSE)</f>
        <v>10</v>
      </c>
      <c r="M33" s="3">
        <f ca="1">VLOOKUP($A33&amp;$B33,data!$A:$U,9,FALSE)</f>
        <v>0</v>
      </c>
      <c r="N33" s="3">
        <f ca="1">VLOOKUP($A33&amp;$B33,data!$A:$U,10,FALSE)</f>
        <v>10</v>
      </c>
      <c r="O33" s="3">
        <f ca="1">VLOOKUP($A33&amp;$B33,data!$A:$U,11,FALSE)</f>
        <v>10</v>
      </c>
      <c r="P33" s="3">
        <f ca="1">VLOOKUP($A33&amp;$B33,data!$A:$U,12,FALSE)</f>
        <v>0</v>
      </c>
      <c r="Q33" s="3">
        <f ca="1">VLOOKUP($A33&amp;$B33,data!$A:$U,13,FALSE)</f>
        <v>10</v>
      </c>
      <c r="R33" s="3">
        <f ca="1">VLOOKUP($A33&amp;$B33,data!$A:$U,5,FALSE)</f>
        <v>20</v>
      </c>
      <c r="S33" s="3">
        <f ca="1">VLOOKUP($A33&amp;$B33,data!$A:$U,6,FALSE)</f>
        <v>0</v>
      </c>
      <c r="T33" s="3">
        <f ca="1">VLOOKUP($A33&amp;$B33,data!$A:$U,7,FALSE)</f>
        <v>20</v>
      </c>
    </row>
    <row r="34" spans="1:20" ht="15.75" customHeight="1" x14ac:dyDescent="0.15">
      <c r="A34" s="3" t="s">
        <v>4</v>
      </c>
      <c r="B34" s="3" t="s">
        <v>210</v>
      </c>
      <c r="C34" s="10">
        <f t="shared" ca="1" si="0"/>
        <v>0.62745098039215685</v>
      </c>
      <c r="D34" s="5">
        <f ca="1">VLOOKUP($A34&amp;$B34,data!$A:$U,20,FALSE)</f>
        <v>44305.302523148101</v>
      </c>
      <c r="E34" s="3">
        <f ca="1">VLOOKUP($A34&amp;$B34,data!$A:$U,21,FALSE)</f>
        <v>0</v>
      </c>
      <c r="F34" s="3">
        <f ca="1">VLOOKUP($A34&amp;$B34,data!$A:$U,17,FALSE)</f>
        <v>0</v>
      </c>
      <c r="G34" s="3">
        <f ca="1">VLOOKUP($A34&amp;$B34,data!$A:$U,18,FALSE)</f>
        <v>0</v>
      </c>
      <c r="H34" s="3">
        <f ca="1">VLOOKUP($A34&amp;$B34,data!$A:$U,19,FALSE)</f>
        <v>0</v>
      </c>
      <c r="I34" s="3">
        <f ca="1">VLOOKUP($A34&amp;$B34,data!$A:$U,14,FALSE)</f>
        <v>0</v>
      </c>
      <c r="J34" s="3">
        <f ca="1">VLOOKUP($A34&amp;$B34,data!$A:$U,15,FALSE)</f>
        <v>0</v>
      </c>
      <c r="K34" s="3">
        <f ca="1">VLOOKUP($A34&amp;$B34,data!$A:$U,16,FALSE)</f>
        <v>0</v>
      </c>
      <c r="L34" s="3">
        <f ca="1">VLOOKUP($A34&amp;$B34,data!$A:$U,8,FALSE)</f>
        <v>20</v>
      </c>
      <c r="M34" s="3">
        <f ca="1">VLOOKUP($A34&amp;$B34,data!$A:$U,9,FALSE)</f>
        <v>11</v>
      </c>
      <c r="N34" s="3">
        <f ca="1">VLOOKUP($A34&amp;$B34,data!$A:$U,10,FALSE)</f>
        <v>14</v>
      </c>
      <c r="O34" s="3">
        <f ca="1">VLOOKUP($A34&amp;$B34,data!$A:$U,11,FALSE)</f>
        <v>11</v>
      </c>
      <c r="P34" s="3">
        <f ca="1">VLOOKUP($A34&amp;$B34,data!$A:$U,12,FALSE)</f>
        <v>0</v>
      </c>
      <c r="Q34" s="3">
        <f ca="1">VLOOKUP($A34&amp;$B34,data!$A:$U,13,FALSE)</f>
        <v>0</v>
      </c>
      <c r="R34" s="3">
        <f ca="1">VLOOKUP($A34&amp;$B34,data!$A:$U,5,FALSE)</f>
        <v>20</v>
      </c>
      <c r="S34" s="3">
        <f ca="1">VLOOKUP($A34&amp;$B34,data!$A:$U,6,FALSE)</f>
        <v>11</v>
      </c>
      <c r="T34" s="3">
        <f ca="1">VLOOKUP($A34&amp;$B34,data!$A:$U,7,FALSE)</f>
        <v>18</v>
      </c>
    </row>
    <row r="35" spans="1:20" ht="15.75" customHeight="1" x14ac:dyDescent="0.15">
      <c r="A35" s="3" t="s">
        <v>4</v>
      </c>
      <c r="B35" s="3" t="s">
        <v>224</v>
      </c>
      <c r="C35" s="10">
        <f t="shared" ca="1" si="0"/>
        <v>0.92500000000000004</v>
      </c>
      <c r="D35" s="5">
        <f ca="1">VLOOKUP($A35&amp;$B35,data!$A:$U,20,FALSE)</f>
        <v>44305.3023032407</v>
      </c>
      <c r="E35" s="3">
        <f ca="1">VLOOKUP($A35&amp;$B35,data!$A:$U,21,FALSE)</f>
        <v>0</v>
      </c>
      <c r="F35" s="3">
        <f ca="1">VLOOKUP($A35&amp;$B35,data!$A:$U,17,FALSE)</f>
        <v>0</v>
      </c>
      <c r="G35" s="3">
        <f ca="1">VLOOKUP($A35&amp;$B35,data!$A:$U,18,FALSE)</f>
        <v>0</v>
      </c>
      <c r="H35" s="3">
        <f ca="1">VLOOKUP($A35&amp;$B35,data!$A:$U,19,FALSE)</f>
        <v>0</v>
      </c>
      <c r="I35" s="3">
        <f ca="1">VLOOKUP($A35&amp;$B35,data!$A:$U,14,FALSE)</f>
        <v>0</v>
      </c>
      <c r="J35" s="3">
        <f ca="1">VLOOKUP($A35&amp;$B35,data!$A:$U,15,FALSE)</f>
        <v>0</v>
      </c>
      <c r="K35" s="3">
        <f ca="1">VLOOKUP($A35&amp;$B35,data!$A:$U,16,FALSE)</f>
        <v>0</v>
      </c>
      <c r="L35" s="3">
        <f ca="1">VLOOKUP($A35&amp;$B35,data!$A:$U,8,FALSE)</f>
        <v>20</v>
      </c>
      <c r="M35" s="3">
        <f ca="1">VLOOKUP($A35&amp;$B35,data!$A:$U,9,FALSE)</f>
        <v>10</v>
      </c>
      <c r="N35" s="3">
        <f ca="1">VLOOKUP($A35&amp;$B35,data!$A:$U,10,FALSE)</f>
        <v>19</v>
      </c>
      <c r="O35" s="3">
        <f ca="1">VLOOKUP($A35&amp;$B35,data!$A:$U,11,FALSE)</f>
        <v>0</v>
      </c>
      <c r="P35" s="3">
        <f ca="1">VLOOKUP($A35&amp;$B35,data!$A:$U,12,FALSE)</f>
        <v>0</v>
      </c>
      <c r="Q35" s="3">
        <f ca="1">VLOOKUP($A35&amp;$B35,data!$A:$U,13,FALSE)</f>
        <v>0</v>
      </c>
      <c r="R35" s="3">
        <f ca="1">VLOOKUP($A35&amp;$B35,data!$A:$U,5,FALSE)</f>
        <v>20</v>
      </c>
      <c r="S35" s="3">
        <f ca="1">VLOOKUP($A35&amp;$B35,data!$A:$U,6,FALSE)</f>
        <v>10</v>
      </c>
      <c r="T35" s="3">
        <f ca="1">VLOOKUP($A35&amp;$B35,data!$A:$U,7,FALSE)</f>
        <v>18</v>
      </c>
    </row>
    <row r="36" spans="1:20" ht="15.75" customHeight="1" x14ac:dyDescent="0.15">
      <c r="A36" s="3" t="s">
        <v>4</v>
      </c>
      <c r="B36" s="3" t="s">
        <v>960</v>
      </c>
      <c r="C36" s="10">
        <f t="shared" ca="1" si="0"/>
        <v>4.9019607843137254E-2</v>
      </c>
      <c r="D36" s="5">
        <f ca="1">VLOOKUP($A36&amp;$B36,data!$A:$U,20,FALSE)</f>
        <v>44305.484189814801</v>
      </c>
      <c r="E36" s="3" t="str">
        <f ca="1">VLOOKUP($A36&amp;$B36,data!$A:$U,21,FALSE)</f>
        <v>Updated on 19/04/2021</v>
      </c>
      <c r="F36" s="3">
        <f ca="1">VLOOKUP($A36&amp;$B36,data!$A:$U,17,FALSE)</f>
        <v>4</v>
      </c>
      <c r="G36" s="3">
        <f ca="1">VLOOKUP($A36&amp;$B36,data!$A:$U,18,FALSE)</f>
        <v>1</v>
      </c>
      <c r="H36" s="3">
        <f ca="1">VLOOKUP($A36&amp;$B36,data!$A:$U,19,FALSE)</f>
        <v>3</v>
      </c>
      <c r="I36" s="3">
        <f ca="1">VLOOKUP($A36&amp;$B36,data!$A:$U,14,FALSE)</f>
        <v>10</v>
      </c>
      <c r="J36" s="3">
        <f ca="1">VLOOKUP($A36&amp;$B36,data!$A:$U,15,FALSE)</f>
        <v>8</v>
      </c>
      <c r="K36" s="3">
        <f ca="1">VLOOKUP($A36&amp;$B36,data!$A:$U,16,FALSE)</f>
        <v>2</v>
      </c>
      <c r="L36" s="3">
        <f ca="1">VLOOKUP($A36&amp;$B36,data!$A:$U,8,FALSE)</f>
        <v>92</v>
      </c>
      <c r="M36" s="3">
        <f ca="1">VLOOKUP($A36&amp;$B36,data!$A:$U,9,FALSE)</f>
        <v>89</v>
      </c>
      <c r="N36" s="3">
        <f ca="1">VLOOKUP($A36&amp;$B36,data!$A:$U,10,FALSE)</f>
        <v>3</v>
      </c>
      <c r="O36" s="3">
        <f ca="1">VLOOKUP($A36&amp;$B36,data!$A:$U,11,FALSE)</f>
        <v>0</v>
      </c>
      <c r="P36" s="3">
        <f ca="1">VLOOKUP($A36&amp;$B36,data!$A:$U,12,FALSE)</f>
        <v>0</v>
      </c>
      <c r="Q36" s="3">
        <f ca="1">VLOOKUP($A36&amp;$B36,data!$A:$U,13,FALSE)</f>
        <v>0</v>
      </c>
      <c r="R36" s="3">
        <f ca="1">VLOOKUP($A36&amp;$B36,data!$A:$U,5,FALSE)</f>
        <v>102</v>
      </c>
      <c r="S36" s="3">
        <f ca="1">VLOOKUP($A36&amp;$B36,data!$A:$U,6,FALSE)</f>
        <v>97</v>
      </c>
      <c r="T36" s="3">
        <f ca="1">VLOOKUP($A36&amp;$B36,data!$A:$U,7,FALSE)</f>
        <v>5</v>
      </c>
    </row>
    <row r="37" spans="1:20" ht="15.75" customHeight="1" x14ac:dyDescent="0.15">
      <c r="A37" s="3" t="s">
        <v>4</v>
      </c>
      <c r="B37" s="3" t="s">
        <v>253</v>
      </c>
      <c r="C37" s="10">
        <f t="shared" ca="1" si="0"/>
        <v>0</v>
      </c>
      <c r="D37" s="5">
        <f ca="1">VLOOKUP($A37&amp;$B37,data!$A:$U,20,FALSE)</f>
        <v>44305.439131944397</v>
      </c>
      <c r="E37" s="3" t="str">
        <f ca="1">VLOOKUP($A37&amp;$B37,data!$A:$U,21,FALSE)</f>
        <v>19.04.2021</v>
      </c>
      <c r="F37" s="3">
        <f ca="1">VLOOKUP($A37&amp;$B37,data!$A:$U,17,FALSE)</f>
        <v>10</v>
      </c>
      <c r="G37" s="3">
        <f ca="1">VLOOKUP($A37&amp;$B37,data!$A:$U,18,FALSE)</f>
        <v>10</v>
      </c>
      <c r="H37" s="3">
        <f ca="1">VLOOKUP($A37&amp;$B37,data!$A:$U,19,FALSE)</f>
        <v>0</v>
      </c>
      <c r="I37" s="3">
        <f ca="1">VLOOKUP($A37&amp;$B37,data!$A:$U,14,FALSE)</f>
        <v>20</v>
      </c>
      <c r="J37" s="3">
        <f ca="1">VLOOKUP($A37&amp;$B37,data!$A:$U,15,FALSE)</f>
        <v>20</v>
      </c>
      <c r="K37" s="3">
        <f ca="1">VLOOKUP($A37&amp;$B37,data!$A:$U,16,FALSE)</f>
        <v>0</v>
      </c>
      <c r="L37" s="3">
        <f ca="1">VLOOKUP($A37&amp;$B37,data!$A:$U,8,FALSE)</f>
        <v>100</v>
      </c>
      <c r="M37" s="3">
        <f ca="1">VLOOKUP($A37&amp;$B37,data!$A:$U,9,FALSE)</f>
        <v>100</v>
      </c>
      <c r="N37" s="3">
        <f ca="1">VLOOKUP($A37&amp;$B37,data!$A:$U,10,FALSE)</f>
        <v>0</v>
      </c>
      <c r="O37" s="3">
        <f ca="1">VLOOKUP($A37&amp;$B37,data!$A:$U,11,FALSE)</f>
        <v>0</v>
      </c>
      <c r="P37" s="3">
        <f ca="1">VLOOKUP($A37&amp;$B37,data!$A:$U,12,FALSE)</f>
        <v>0</v>
      </c>
      <c r="Q37" s="3">
        <f ca="1">VLOOKUP($A37&amp;$B37,data!$A:$U,13,FALSE)</f>
        <v>0</v>
      </c>
      <c r="R37" s="3">
        <f ca="1">VLOOKUP($A37&amp;$B37,data!$A:$U,5,FALSE)</f>
        <v>100</v>
      </c>
      <c r="S37" s="3">
        <f ca="1">VLOOKUP($A37&amp;$B37,data!$A:$U,6,FALSE)</f>
        <v>100</v>
      </c>
      <c r="T37" s="3">
        <f ca="1">VLOOKUP($A37&amp;$B37,data!$A:$U,7,FALSE)</f>
        <v>0</v>
      </c>
    </row>
    <row r="38" spans="1:20" ht="15.75" customHeight="1" x14ac:dyDescent="0.15">
      <c r="A38" s="3" t="s">
        <v>4</v>
      </c>
      <c r="B38" s="3" t="s">
        <v>89</v>
      </c>
      <c r="C38" s="10">
        <f t="shared" ca="1" si="0"/>
        <v>6.5934065934065936E-2</v>
      </c>
      <c r="D38" s="5">
        <f ca="1">VLOOKUP($A38&amp;$B38,data!$A:$U,20,FALSE)</f>
        <v>44305.383750000001</v>
      </c>
      <c r="E38" s="3">
        <f ca="1">VLOOKUP($A38&amp;$B38,data!$A:$U,21,FALSE)</f>
        <v>0</v>
      </c>
      <c r="F38" s="3">
        <f ca="1">VLOOKUP($A38&amp;$B38,data!$A:$U,17,FALSE)</f>
        <v>8</v>
      </c>
      <c r="G38" s="3">
        <f ca="1">VLOOKUP($A38&amp;$B38,data!$A:$U,18,FALSE)</f>
        <v>8</v>
      </c>
      <c r="H38" s="3">
        <f ca="1">VLOOKUP($A38&amp;$B38,data!$A:$U,19,FALSE)</f>
        <v>0</v>
      </c>
      <c r="I38" s="3">
        <f ca="1">VLOOKUP($A38&amp;$B38,data!$A:$U,14,FALSE)</f>
        <v>17</v>
      </c>
      <c r="J38" s="3">
        <f ca="1">VLOOKUP($A38&amp;$B38,data!$A:$U,15,FALSE)</f>
        <v>17</v>
      </c>
      <c r="K38" s="3">
        <f ca="1">VLOOKUP($A38&amp;$B38,data!$A:$U,16,FALSE)</f>
        <v>0</v>
      </c>
      <c r="L38" s="3">
        <f ca="1">VLOOKUP($A38&amp;$B38,data!$A:$U,8,FALSE)</f>
        <v>74</v>
      </c>
      <c r="M38" s="3">
        <f ca="1">VLOOKUP($A38&amp;$B38,data!$A:$U,9,FALSE)</f>
        <v>68</v>
      </c>
      <c r="N38" s="3">
        <f ca="1">VLOOKUP($A38&amp;$B38,data!$A:$U,10,FALSE)</f>
        <v>6</v>
      </c>
      <c r="O38" s="3">
        <f ca="1">VLOOKUP($A38&amp;$B38,data!$A:$U,11,FALSE)</f>
        <v>0</v>
      </c>
      <c r="P38" s="3">
        <f ca="1">VLOOKUP($A38&amp;$B38,data!$A:$U,12,FALSE)</f>
        <v>0</v>
      </c>
      <c r="Q38" s="3">
        <f ca="1">VLOOKUP($A38&amp;$B38,data!$A:$U,13,FALSE)</f>
        <v>0</v>
      </c>
      <c r="R38" s="3">
        <f ca="1">VLOOKUP($A38&amp;$B38,data!$A:$U,5,FALSE)</f>
        <v>91</v>
      </c>
      <c r="S38" s="3">
        <f ca="1">VLOOKUP($A38&amp;$B38,data!$A:$U,6,FALSE)</f>
        <v>85</v>
      </c>
      <c r="T38" s="3">
        <f ca="1">VLOOKUP($A38&amp;$B38,data!$A:$U,7,FALSE)</f>
        <v>6</v>
      </c>
    </row>
    <row r="39" spans="1:20" ht="15.75" customHeight="1" x14ac:dyDescent="0.15">
      <c r="A39" s="3" t="s">
        <v>4</v>
      </c>
      <c r="B39" s="3" t="s">
        <v>824</v>
      </c>
      <c r="C39" s="10">
        <f t="shared" ca="1" si="0"/>
        <v>1</v>
      </c>
      <c r="D39" s="5">
        <f ca="1">VLOOKUP($A39&amp;$B39,data!$A:$U,20,FALSE)</f>
        <v>44305.331747685101</v>
      </c>
      <c r="E39" s="3" t="str">
        <f ca="1">VLOOKUP($A39&amp;$B39,data!$A:$U,21,FALSE)</f>
        <v>19-04-2021</v>
      </c>
      <c r="F39" s="3">
        <f ca="1">VLOOKUP($A39&amp;$B39,data!$A:$U,17,FALSE)</f>
        <v>1</v>
      </c>
      <c r="G39" s="3">
        <f ca="1">VLOOKUP($A39&amp;$B39,data!$A:$U,18,FALSE)</f>
        <v>0</v>
      </c>
      <c r="H39" s="3">
        <f ca="1">VLOOKUP($A39&amp;$B39,data!$A:$U,19,FALSE)</f>
        <v>1</v>
      </c>
      <c r="I39" s="3">
        <f ca="1">VLOOKUP($A39&amp;$B39,data!$A:$U,14,FALSE)</f>
        <v>2</v>
      </c>
      <c r="J39" s="3">
        <f ca="1">VLOOKUP($A39&amp;$B39,data!$A:$U,15,FALSE)</f>
        <v>0</v>
      </c>
      <c r="K39" s="3">
        <f ca="1">VLOOKUP($A39&amp;$B39,data!$A:$U,16,FALSE)</f>
        <v>2</v>
      </c>
      <c r="L39" s="3">
        <f ca="1">VLOOKUP($A39&amp;$B39,data!$A:$U,8,FALSE)</f>
        <v>13</v>
      </c>
      <c r="M39" s="3">
        <f ca="1">VLOOKUP($A39&amp;$B39,data!$A:$U,9,FALSE)</f>
        <v>0</v>
      </c>
      <c r="N39" s="3">
        <f ca="1">VLOOKUP($A39&amp;$B39,data!$A:$U,10,FALSE)</f>
        <v>13</v>
      </c>
      <c r="O39" s="3">
        <f ca="1">VLOOKUP($A39&amp;$B39,data!$A:$U,11,FALSE)</f>
        <v>0</v>
      </c>
      <c r="P39" s="3">
        <f ca="1">VLOOKUP($A39&amp;$B39,data!$A:$U,12,FALSE)</f>
        <v>0</v>
      </c>
      <c r="Q39" s="3">
        <f ca="1">VLOOKUP($A39&amp;$B39,data!$A:$U,13,FALSE)</f>
        <v>0</v>
      </c>
      <c r="R39" s="3">
        <f ca="1">VLOOKUP($A39&amp;$B39,data!$A:$U,5,FALSE)</f>
        <v>15</v>
      </c>
      <c r="S39" s="3">
        <f ca="1">VLOOKUP($A39&amp;$B39,data!$A:$U,6,FALSE)</f>
        <v>0</v>
      </c>
      <c r="T39" s="3">
        <f ca="1">VLOOKUP($A39&amp;$B39,data!$A:$U,7,FALSE)</f>
        <v>15</v>
      </c>
    </row>
    <row r="40" spans="1:20" ht="15.75" customHeight="1" x14ac:dyDescent="0.15">
      <c r="A40" s="3" t="s">
        <v>4</v>
      </c>
      <c r="B40" s="3" t="s">
        <v>1165</v>
      </c>
      <c r="C40" s="10">
        <f t="shared" ca="1" si="0"/>
        <v>0.42857142857142855</v>
      </c>
      <c r="D40" s="5">
        <f ca="1">VLOOKUP($A40&amp;$B40,data!$A:$U,20,FALSE)</f>
        <v>44305.665543981399</v>
      </c>
      <c r="E40" s="3">
        <f ca="1">VLOOKUP($A40&amp;$B40,data!$A:$U,21,FALSE)</f>
        <v>0</v>
      </c>
      <c r="F40" s="3">
        <f ca="1">VLOOKUP($A40&amp;$B40,data!$A:$U,17,FALSE)</f>
        <v>2</v>
      </c>
      <c r="G40" s="3">
        <f ca="1">VLOOKUP($A40&amp;$B40,data!$A:$U,18,FALSE)</f>
        <v>0</v>
      </c>
      <c r="H40" s="3">
        <f ca="1">VLOOKUP($A40&amp;$B40,data!$A:$U,19,FALSE)</f>
        <v>0</v>
      </c>
      <c r="I40" s="3">
        <f ca="1">VLOOKUP($A40&amp;$B40,data!$A:$U,14,FALSE)</f>
        <v>6</v>
      </c>
      <c r="J40" s="3">
        <f ca="1">VLOOKUP($A40&amp;$B40,data!$A:$U,15,FALSE)</f>
        <v>6</v>
      </c>
      <c r="K40" s="3">
        <f ca="1">VLOOKUP($A40&amp;$B40,data!$A:$U,16,FALSE)</f>
        <v>0</v>
      </c>
      <c r="L40" s="3">
        <f ca="1">VLOOKUP($A40&amp;$B40,data!$A:$U,8,FALSE)</f>
        <v>25</v>
      </c>
      <c r="M40" s="3">
        <f ca="1">VLOOKUP($A40&amp;$B40,data!$A:$U,9,FALSE)</f>
        <v>13</v>
      </c>
      <c r="N40" s="3">
        <f ca="1">VLOOKUP($A40&amp;$B40,data!$A:$U,10,FALSE)</f>
        <v>12</v>
      </c>
      <c r="O40" s="3">
        <f ca="1">VLOOKUP($A40&amp;$B40,data!$A:$U,11,FALSE)</f>
        <v>0</v>
      </c>
      <c r="P40" s="3">
        <f ca="1">VLOOKUP($A40&amp;$B40,data!$A:$U,12,FALSE)</f>
        <v>0</v>
      </c>
      <c r="Q40" s="3">
        <f ca="1">VLOOKUP($A40&amp;$B40,data!$A:$U,13,FALSE)</f>
        <v>0</v>
      </c>
      <c r="R40" s="3">
        <f ca="1">VLOOKUP($A40&amp;$B40,data!$A:$U,5,FALSE)</f>
        <v>25</v>
      </c>
      <c r="S40" s="3">
        <f ca="1">VLOOKUP($A40&amp;$B40,data!$A:$U,6,FALSE)</f>
        <v>13</v>
      </c>
      <c r="T40" s="3">
        <f ca="1">VLOOKUP($A40&amp;$B40,data!$A:$U,7,FALSE)</f>
        <v>12</v>
      </c>
    </row>
    <row r="41" spans="1:20" ht="15.75" customHeight="1" x14ac:dyDescent="0.15">
      <c r="A41" s="3" t="s">
        <v>4</v>
      </c>
      <c r="B41" s="3" t="s">
        <v>236</v>
      </c>
      <c r="C41" s="10">
        <f t="shared" ca="1" si="0"/>
        <v>1.6759776536312849E-2</v>
      </c>
      <c r="D41" s="5">
        <f ca="1">VLOOKUP($A41&amp;$B41,data!$A:$U,20,FALSE)</f>
        <v>44305.3982986111</v>
      </c>
      <c r="E41" s="3">
        <f ca="1">VLOOKUP($A41&amp;$B41,data!$A:$U,21,FALSE)</f>
        <v>0</v>
      </c>
      <c r="F41" s="3">
        <f ca="1">VLOOKUP($A41&amp;$B41,data!$A:$U,17,FALSE)</f>
        <v>2</v>
      </c>
      <c r="G41" s="3">
        <f ca="1">VLOOKUP($A41&amp;$B41,data!$A:$U,18,FALSE)</f>
        <v>0</v>
      </c>
      <c r="H41" s="3">
        <f ca="1">VLOOKUP($A41&amp;$B41,data!$A:$U,19,FALSE)</f>
        <v>0</v>
      </c>
      <c r="I41" s="3">
        <f ca="1">VLOOKUP($A41&amp;$B41,data!$A:$U,14,FALSE)</f>
        <v>2</v>
      </c>
      <c r="J41" s="3">
        <f ca="1">VLOOKUP($A41&amp;$B41,data!$A:$U,15,FALSE)</f>
        <v>2</v>
      </c>
      <c r="K41" s="3">
        <f ca="1">VLOOKUP($A41&amp;$B41,data!$A:$U,16,FALSE)</f>
        <v>0</v>
      </c>
      <c r="L41" s="3">
        <f ca="1">VLOOKUP($A41&amp;$B41,data!$A:$U,8,FALSE)</f>
        <v>118</v>
      </c>
      <c r="M41" s="3">
        <f ca="1">VLOOKUP($A41&amp;$B41,data!$A:$U,9,FALSE)</f>
        <v>115</v>
      </c>
      <c r="N41" s="3">
        <f ca="1">VLOOKUP($A41&amp;$B41,data!$A:$U,10,FALSE)</f>
        <v>3</v>
      </c>
      <c r="O41" s="3">
        <f ca="1">VLOOKUP($A41&amp;$B41,data!$A:$U,11,FALSE)</f>
        <v>118</v>
      </c>
      <c r="P41" s="3">
        <f ca="1">VLOOKUP($A41&amp;$B41,data!$A:$U,12,FALSE)</f>
        <v>0</v>
      </c>
      <c r="Q41" s="3">
        <f ca="1">VLOOKUP($A41&amp;$B41,data!$A:$U,13,FALSE)</f>
        <v>0</v>
      </c>
      <c r="R41" s="3">
        <f ca="1">VLOOKUP($A41&amp;$B41,data!$A:$U,5,FALSE)</f>
        <v>120</v>
      </c>
      <c r="S41" s="3">
        <f ca="1">VLOOKUP($A41&amp;$B41,data!$A:$U,6,FALSE)</f>
        <v>117</v>
      </c>
      <c r="T41" s="3">
        <f ca="1">VLOOKUP($A41&amp;$B41,data!$A:$U,7,FALSE)</f>
        <v>3</v>
      </c>
    </row>
    <row r="42" spans="1:20" ht="15.75" customHeight="1" x14ac:dyDescent="0.15">
      <c r="A42" s="3" t="s">
        <v>4</v>
      </c>
      <c r="B42" s="3" t="s">
        <v>240</v>
      </c>
      <c r="C42" s="10">
        <f t="shared" ca="1" si="0"/>
        <v>1</v>
      </c>
      <c r="D42" s="5">
        <f ca="1">VLOOKUP($A42&amp;$B42,data!$A:$U,20,FALSE)</f>
        <v>44270.596666666599</v>
      </c>
      <c r="E42" s="3" t="str">
        <f ca="1">VLOOKUP($A42&amp;$B42,data!$A:$U,21,FALSE)</f>
        <v>15.03.2021</v>
      </c>
      <c r="F42" s="3">
        <f ca="1">VLOOKUP($A42&amp;$B42,data!$A:$U,17,FALSE)</f>
        <v>2</v>
      </c>
      <c r="G42" s="3">
        <f ca="1">VLOOKUP($A42&amp;$B42,data!$A:$U,18,FALSE)</f>
        <v>0</v>
      </c>
      <c r="H42" s="3">
        <f ca="1">VLOOKUP($A42&amp;$B42,data!$A:$U,19,FALSE)</f>
        <v>2</v>
      </c>
      <c r="I42" s="3">
        <f ca="1">VLOOKUP($A42&amp;$B42,data!$A:$U,14,FALSE)</f>
        <v>4</v>
      </c>
      <c r="J42" s="3">
        <f ca="1">VLOOKUP($A42&amp;$B42,data!$A:$U,15,FALSE)</f>
        <v>0</v>
      </c>
      <c r="K42" s="3">
        <f ca="1">VLOOKUP($A42&amp;$B42,data!$A:$U,16,FALSE)</f>
        <v>4</v>
      </c>
      <c r="L42" s="3">
        <f ca="1">VLOOKUP($A42&amp;$B42,data!$A:$U,8,FALSE)</f>
        <v>10</v>
      </c>
      <c r="M42" s="3">
        <f ca="1">VLOOKUP($A42&amp;$B42,data!$A:$U,9,FALSE)</f>
        <v>0</v>
      </c>
      <c r="N42" s="3">
        <f ca="1">VLOOKUP($A42&amp;$B42,data!$A:$U,10,FALSE)</f>
        <v>10</v>
      </c>
      <c r="O42" s="3">
        <f ca="1">VLOOKUP($A42&amp;$B42,data!$A:$U,11,FALSE)</f>
        <v>0</v>
      </c>
      <c r="P42" s="3">
        <f ca="1">VLOOKUP($A42&amp;$B42,data!$A:$U,12,FALSE)</f>
        <v>0</v>
      </c>
      <c r="Q42" s="3">
        <f ca="1">VLOOKUP($A42&amp;$B42,data!$A:$U,13,FALSE)</f>
        <v>0</v>
      </c>
      <c r="R42" s="3">
        <f ca="1">VLOOKUP($A42&amp;$B42,data!$A:$U,5,FALSE)</f>
        <v>14</v>
      </c>
      <c r="S42" s="3">
        <f ca="1">VLOOKUP($A42&amp;$B42,data!$A:$U,6,FALSE)</f>
        <v>0</v>
      </c>
      <c r="T42" s="3">
        <f ca="1">VLOOKUP($A42&amp;$B42,data!$A:$U,7,FALSE)</f>
        <v>14</v>
      </c>
    </row>
    <row r="43" spans="1:20" ht="15.75" customHeight="1" x14ac:dyDescent="0.15">
      <c r="A43" s="3" t="s">
        <v>4</v>
      </c>
      <c r="B43" s="3" t="s">
        <v>256</v>
      </c>
      <c r="C43" s="10">
        <f t="shared" ca="1" si="0"/>
        <v>8.8888888888888892E-2</v>
      </c>
      <c r="D43" s="5">
        <f ca="1">VLOOKUP($A43&amp;$B43,data!$A:$U,20,FALSE)</f>
        <v>44305.678437499999</v>
      </c>
      <c r="E43" s="3" t="str">
        <f ca="1">VLOOKUP($A43&amp;$B43,data!$A:$U,21,FALSE)</f>
        <v>19/04/2021</v>
      </c>
      <c r="F43" s="3">
        <f ca="1">VLOOKUP($A43&amp;$B43,data!$A:$U,17,FALSE)</f>
        <v>6</v>
      </c>
      <c r="G43" s="3">
        <f ca="1">VLOOKUP($A43&amp;$B43,data!$A:$U,18,FALSE)</f>
        <v>2</v>
      </c>
      <c r="H43" s="3">
        <f ca="1">VLOOKUP($A43&amp;$B43,data!$A:$U,19,FALSE)</f>
        <v>4</v>
      </c>
      <c r="I43" s="3">
        <f ca="1">VLOOKUP($A43&amp;$B43,data!$A:$U,14,FALSE)</f>
        <v>10</v>
      </c>
      <c r="J43" s="3">
        <f ca="1">VLOOKUP($A43&amp;$B43,data!$A:$U,15,FALSE)</f>
        <v>10</v>
      </c>
      <c r="K43" s="3">
        <f ca="1">VLOOKUP($A43&amp;$B43,data!$A:$U,16,FALSE)</f>
        <v>0</v>
      </c>
      <c r="L43" s="3">
        <f ca="1">VLOOKUP($A43&amp;$B43,data!$A:$U,8,FALSE)</f>
        <v>80</v>
      </c>
      <c r="M43" s="3">
        <f ca="1">VLOOKUP($A43&amp;$B43,data!$A:$U,9,FALSE)</f>
        <v>70</v>
      </c>
      <c r="N43" s="3">
        <f ca="1">VLOOKUP($A43&amp;$B43,data!$A:$U,10,FALSE)</f>
        <v>10</v>
      </c>
      <c r="O43" s="3">
        <f ca="1">VLOOKUP($A43&amp;$B43,data!$A:$U,11,FALSE)</f>
        <v>0</v>
      </c>
      <c r="P43" s="3">
        <f ca="1">VLOOKUP($A43&amp;$B43,data!$A:$U,12,FALSE)</f>
        <v>0</v>
      </c>
      <c r="Q43" s="3">
        <f ca="1">VLOOKUP($A43&amp;$B43,data!$A:$U,13,FALSE)</f>
        <v>0</v>
      </c>
      <c r="R43" s="3">
        <f ca="1">VLOOKUP($A43&amp;$B43,data!$A:$U,5,FALSE)</f>
        <v>90</v>
      </c>
      <c r="S43" s="3">
        <f ca="1">VLOOKUP($A43&amp;$B43,data!$A:$U,6,FALSE)</f>
        <v>84</v>
      </c>
      <c r="T43" s="3">
        <f ca="1">VLOOKUP($A43&amp;$B43,data!$A:$U,7,FALSE)</f>
        <v>6</v>
      </c>
    </row>
    <row r="44" spans="1:20" ht="15.75" customHeight="1" x14ac:dyDescent="0.15">
      <c r="A44" s="3" t="s">
        <v>4</v>
      </c>
      <c r="B44" s="3" t="s">
        <v>258</v>
      </c>
      <c r="C44" s="10">
        <f t="shared" ca="1" si="0"/>
        <v>0.48333333333333334</v>
      </c>
      <c r="D44" s="5">
        <f ca="1">VLOOKUP($A44&amp;$B44,data!$A:$U,20,FALSE)</f>
        <v>44298.719803240703</v>
      </c>
      <c r="E44" s="3">
        <f ca="1">VLOOKUP($A44&amp;$B44,data!$A:$U,21,FALSE)</f>
        <v>44298</v>
      </c>
      <c r="F44" s="3">
        <f ca="1">VLOOKUP($A44&amp;$B44,data!$A:$U,17,FALSE)</f>
        <v>2</v>
      </c>
      <c r="G44" s="3">
        <f ca="1">VLOOKUP($A44&amp;$B44,data!$A:$U,18,FALSE)</f>
        <v>1</v>
      </c>
      <c r="H44" s="3">
        <f ca="1">VLOOKUP($A44&amp;$B44,data!$A:$U,19,FALSE)</f>
        <v>1</v>
      </c>
      <c r="I44" s="3">
        <f ca="1">VLOOKUP($A44&amp;$B44,data!$A:$U,14,FALSE)</f>
        <v>10</v>
      </c>
      <c r="J44" s="3">
        <f ca="1">VLOOKUP($A44&amp;$B44,data!$A:$U,15,FALSE)</f>
        <v>5</v>
      </c>
      <c r="K44" s="3">
        <f ca="1">VLOOKUP($A44&amp;$B44,data!$A:$U,16,FALSE)</f>
        <v>5</v>
      </c>
      <c r="L44" s="3">
        <f ca="1">VLOOKUP($A44&amp;$B44,data!$A:$U,8,FALSE)</f>
        <v>10</v>
      </c>
      <c r="M44" s="3">
        <f ca="1">VLOOKUP($A44&amp;$B44,data!$A:$U,9,FALSE)</f>
        <v>10</v>
      </c>
      <c r="N44" s="3">
        <f ca="1">VLOOKUP($A44&amp;$B44,data!$A:$U,10,FALSE)</f>
        <v>0</v>
      </c>
      <c r="O44" s="3">
        <f ca="1">VLOOKUP($A44&amp;$B44,data!$A:$U,11,FALSE)</f>
        <v>10</v>
      </c>
      <c r="P44" s="3">
        <f ca="1">VLOOKUP($A44&amp;$B44,data!$A:$U,12,FALSE)</f>
        <v>0</v>
      </c>
      <c r="Q44" s="3">
        <f ca="1">VLOOKUP($A44&amp;$B44,data!$A:$U,13,FALSE)</f>
        <v>10</v>
      </c>
      <c r="R44" s="3">
        <f ca="1">VLOOKUP($A44&amp;$B44,data!$A:$U,5,FALSE)</f>
        <v>30</v>
      </c>
      <c r="S44" s="3">
        <f ca="1">VLOOKUP($A44&amp;$B44,data!$A:$U,6,FALSE)</f>
        <v>16</v>
      </c>
      <c r="T44" s="3">
        <f ca="1">VLOOKUP($A44&amp;$B44,data!$A:$U,7,FALSE)</f>
        <v>14</v>
      </c>
    </row>
    <row r="45" spans="1:20" ht="15.75" customHeight="1" x14ac:dyDescent="0.15">
      <c r="A45" s="3" t="s">
        <v>4</v>
      </c>
      <c r="B45" s="3" t="s">
        <v>727</v>
      </c>
      <c r="C45" s="10">
        <f t="shared" ca="1" si="0"/>
        <v>0.25</v>
      </c>
      <c r="D45" s="5">
        <f ca="1">VLOOKUP($A45&amp;$B45,data!$A:$U,20,FALSE)</f>
        <v>44305.394513888801</v>
      </c>
      <c r="E45" s="3" t="str">
        <f ca="1">VLOOKUP($A45&amp;$B45,data!$A:$U,21,FALSE)</f>
        <v>Date 19/04/2021</v>
      </c>
      <c r="F45" s="3">
        <f ca="1">VLOOKUP($A45&amp;$B45,data!$A:$U,17,FALSE)</f>
        <v>2</v>
      </c>
      <c r="G45" s="3">
        <f ca="1">VLOOKUP($A45&amp;$B45,data!$A:$U,18,FALSE)</f>
        <v>2</v>
      </c>
      <c r="H45" s="3">
        <f ca="1">VLOOKUP($A45&amp;$B45,data!$A:$U,19,FALSE)</f>
        <v>0</v>
      </c>
      <c r="I45" s="3">
        <f ca="1">VLOOKUP($A45&amp;$B45,data!$A:$U,14,FALSE)</f>
        <v>5</v>
      </c>
      <c r="J45" s="3">
        <f ca="1">VLOOKUP($A45&amp;$B45,data!$A:$U,15,FALSE)</f>
        <v>5</v>
      </c>
      <c r="K45" s="3">
        <f ca="1">VLOOKUP($A45&amp;$B45,data!$A:$U,16,FALSE)</f>
        <v>0</v>
      </c>
      <c r="L45" s="3">
        <f ca="1">VLOOKUP($A45&amp;$B45,data!$A:$U,8,FALSE)</f>
        <v>37</v>
      </c>
      <c r="M45" s="3">
        <f ca="1">VLOOKUP($A45&amp;$B45,data!$A:$U,9,FALSE)</f>
        <v>28</v>
      </c>
      <c r="N45" s="3">
        <f ca="1">VLOOKUP($A45&amp;$B45,data!$A:$U,10,FALSE)</f>
        <v>9</v>
      </c>
      <c r="O45" s="3">
        <f ca="1">VLOOKUP($A45&amp;$B45,data!$A:$U,11,FALSE)</f>
        <v>2</v>
      </c>
      <c r="P45" s="3">
        <f ca="1">VLOOKUP($A45&amp;$B45,data!$A:$U,12,FALSE)</f>
        <v>2</v>
      </c>
      <c r="Q45" s="3">
        <f ca="1">VLOOKUP($A45&amp;$B45,data!$A:$U,13,FALSE)</f>
        <v>0</v>
      </c>
      <c r="R45" s="3">
        <f ca="1">VLOOKUP($A45&amp;$B45,data!$A:$U,5,FALSE)</f>
        <v>40</v>
      </c>
      <c r="S45" s="3">
        <f ca="1">VLOOKUP($A45&amp;$B45,data!$A:$U,6,FALSE)</f>
        <v>28</v>
      </c>
      <c r="T45" s="3">
        <f ca="1">VLOOKUP($A45&amp;$B45,data!$A:$U,7,FALSE)</f>
        <v>12</v>
      </c>
    </row>
    <row r="46" spans="1:20" ht="15.75" customHeight="1" x14ac:dyDescent="0.15">
      <c r="A46" s="3" t="s">
        <v>4</v>
      </c>
      <c r="B46" s="3" t="s">
        <v>96</v>
      </c>
      <c r="C46" s="10">
        <f t="shared" ca="1" si="0"/>
        <v>0.57777777777777772</v>
      </c>
      <c r="D46" s="5">
        <f ca="1">VLOOKUP($A46&amp;$B46,data!$A:$U,20,FALSE)</f>
        <v>44305.3619675925</v>
      </c>
      <c r="E46" s="3" t="str">
        <f ca="1">VLOOKUP($A46&amp;$B46,data!$A:$U,21,FALSE)</f>
        <v>19-04-2021</v>
      </c>
      <c r="F46" s="3">
        <f ca="1">VLOOKUP($A46&amp;$B46,data!$A:$U,17,FALSE)</f>
        <v>2</v>
      </c>
      <c r="G46" s="3">
        <f ca="1">VLOOKUP($A46&amp;$B46,data!$A:$U,18,FALSE)</f>
        <v>0</v>
      </c>
      <c r="H46" s="3">
        <f ca="1">VLOOKUP($A46&amp;$B46,data!$A:$U,19,FALSE)</f>
        <v>2</v>
      </c>
      <c r="I46" s="3">
        <f ca="1">VLOOKUP($A46&amp;$B46,data!$A:$U,14,FALSE)</f>
        <v>4</v>
      </c>
      <c r="J46" s="3">
        <f ca="1">VLOOKUP($A46&amp;$B46,data!$A:$U,15,FALSE)</f>
        <v>0</v>
      </c>
      <c r="K46" s="3">
        <f ca="1">VLOOKUP($A46&amp;$B46,data!$A:$U,16,FALSE)</f>
        <v>4</v>
      </c>
      <c r="L46" s="3">
        <f ca="1">VLOOKUP($A46&amp;$B46,data!$A:$U,8,FALSE)</f>
        <v>10</v>
      </c>
      <c r="M46" s="3">
        <f ca="1">VLOOKUP($A46&amp;$B46,data!$A:$U,9,FALSE)</f>
        <v>0</v>
      </c>
      <c r="N46" s="3">
        <f ca="1">VLOOKUP($A46&amp;$B46,data!$A:$U,10,FALSE)</f>
        <v>10</v>
      </c>
      <c r="O46" s="3">
        <f ca="1">VLOOKUP($A46&amp;$B46,data!$A:$U,11,FALSE)</f>
        <v>10</v>
      </c>
      <c r="P46" s="3">
        <f ca="1">VLOOKUP($A46&amp;$B46,data!$A:$U,12,FALSE)</f>
        <v>6</v>
      </c>
      <c r="Q46" s="3">
        <f ca="1">VLOOKUP($A46&amp;$B46,data!$A:$U,13,FALSE)</f>
        <v>0</v>
      </c>
      <c r="R46" s="3">
        <f ca="1">VLOOKUP($A46&amp;$B46,data!$A:$U,5,FALSE)</f>
        <v>21</v>
      </c>
      <c r="S46" s="3">
        <f ca="1">VLOOKUP($A46&amp;$B46,data!$A:$U,6,FALSE)</f>
        <v>16</v>
      </c>
      <c r="T46" s="3">
        <f ca="1">VLOOKUP($A46&amp;$B46,data!$A:$U,7,FALSE)</f>
        <v>12</v>
      </c>
    </row>
    <row r="47" spans="1:20" ht="15.75" customHeight="1" x14ac:dyDescent="0.15">
      <c r="A47" s="3" t="s">
        <v>4</v>
      </c>
      <c r="B47" s="3" t="s">
        <v>126</v>
      </c>
      <c r="C47" s="10">
        <f t="shared" ca="1" si="0"/>
        <v>0.91666666666666663</v>
      </c>
      <c r="D47" s="5">
        <f ca="1">VLOOKUP($A47&amp;$B47,data!$A:$U,20,FALSE)</f>
        <v>44305.452083333301</v>
      </c>
      <c r="E47" s="3" t="str">
        <f ca="1">VLOOKUP($A47&amp;$B47,data!$A:$U,21,FALSE)</f>
        <v>19.04.2021 Updated</v>
      </c>
      <c r="F47" s="3">
        <f ca="1">VLOOKUP($A47&amp;$B47,data!$A:$U,17,FALSE)</f>
        <v>1</v>
      </c>
      <c r="G47" s="3">
        <f ca="1">VLOOKUP($A47&amp;$B47,data!$A:$U,18,FALSE)</f>
        <v>0</v>
      </c>
      <c r="H47" s="3">
        <f ca="1">VLOOKUP($A47&amp;$B47,data!$A:$U,19,FALSE)</f>
        <v>1</v>
      </c>
      <c r="I47" s="3">
        <f ca="1">VLOOKUP($A47&amp;$B47,data!$A:$U,14,FALSE)</f>
        <v>2</v>
      </c>
      <c r="J47" s="3">
        <f ca="1">VLOOKUP($A47&amp;$B47,data!$A:$U,15,FALSE)</f>
        <v>0</v>
      </c>
      <c r="K47" s="3">
        <f ca="1">VLOOKUP($A47&amp;$B47,data!$A:$U,16,FALSE)</f>
        <v>2</v>
      </c>
      <c r="L47" s="3">
        <f ca="1">VLOOKUP($A47&amp;$B47,data!$A:$U,8,FALSE)</f>
        <v>10</v>
      </c>
      <c r="M47" s="3">
        <f ca="1">VLOOKUP($A47&amp;$B47,data!$A:$U,9,FALSE)</f>
        <v>1</v>
      </c>
      <c r="N47" s="3">
        <f ca="1">VLOOKUP($A47&amp;$B47,data!$A:$U,10,FALSE)</f>
        <v>9</v>
      </c>
      <c r="O47" s="3">
        <f ca="1">VLOOKUP($A47&amp;$B47,data!$A:$U,11,FALSE)</f>
        <v>0</v>
      </c>
      <c r="P47" s="3">
        <f ca="1">VLOOKUP($A47&amp;$B47,data!$A:$U,12,FALSE)</f>
        <v>0</v>
      </c>
      <c r="Q47" s="3">
        <f ca="1">VLOOKUP($A47&amp;$B47,data!$A:$U,13,FALSE)</f>
        <v>0</v>
      </c>
      <c r="R47" s="3">
        <f ca="1">VLOOKUP($A47&amp;$B47,data!$A:$U,5,FALSE)</f>
        <v>12</v>
      </c>
      <c r="S47" s="3">
        <f ca="1">VLOOKUP($A47&amp;$B47,data!$A:$U,6,FALSE)</f>
        <v>1</v>
      </c>
      <c r="T47" s="3">
        <f ca="1">VLOOKUP($A47&amp;$B47,data!$A:$U,7,FALSE)</f>
        <v>11</v>
      </c>
    </row>
    <row r="48" spans="1:20" ht="15.75" customHeight="1" x14ac:dyDescent="0.15">
      <c r="A48" s="3" t="s">
        <v>4</v>
      </c>
      <c r="B48" s="3" t="s">
        <v>260</v>
      </c>
      <c r="C48" s="10">
        <f t="shared" ca="1" si="0"/>
        <v>0.18681318681318682</v>
      </c>
      <c r="D48" s="5">
        <f ca="1">VLOOKUP($A48&amp;$B48,data!$A:$U,20,FALSE)</f>
        <v>44305.376006944403</v>
      </c>
      <c r="E48" s="3" t="str">
        <f ca="1">VLOOKUP($A48&amp;$B48,data!$A:$U,21,FALSE)</f>
        <v>19/04/2021</v>
      </c>
      <c r="F48" s="3">
        <f ca="1">VLOOKUP($A48&amp;$B48,data!$A:$U,17,FALSE)</f>
        <v>2</v>
      </c>
      <c r="G48" s="3">
        <f ca="1">VLOOKUP($A48&amp;$B48,data!$A:$U,18,FALSE)</f>
        <v>0</v>
      </c>
      <c r="H48" s="3">
        <f ca="1">VLOOKUP($A48&amp;$B48,data!$A:$U,19,FALSE)</f>
        <v>0</v>
      </c>
      <c r="I48" s="3">
        <f ca="1">VLOOKUP($A48&amp;$B48,data!$A:$U,14,FALSE)</f>
        <v>3</v>
      </c>
      <c r="J48" s="3">
        <f ca="1">VLOOKUP($A48&amp;$B48,data!$A:$U,15,FALSE)</f>
        <v>3</v>
      </c>
      <c r="K48" s="3">
        <f ca="1">VLOOKUP($A48&amp;$B48,data!$A:$U,16,FALSE)</f>
        <v>0</v>
      </c>
      <c r="L48" s="3">
        <f ca="1">VLOOKUP($A48&amp;$B48,data!$A:$U,8,FALSE)</f>
        <v>43</v>
      </c>
      <c r="M48" s="3">
        <f ca="1">VLOOKUP($A48&amp;$B48,data!$A:$U,9,FALSE)</f>
        <v>34</v>
      </c>
      <c r="N48" s="3">
        <f ca="1">VLOOKUP($A48&amp;$B48,data!$A:$U,10,FALSE)</f>
        <v>9</v>
      </c>
      <c r="O48" s="3">
        <f ca="1">VLOOKUP($A48&amp;$B48,data!$A:$U,11,FALSE)</f>
        <v>0</v>
      </c>
      <c r="P48" s="3">
        <f ca="1">VLOOKUP($A48&amp;$B48,data!$A:$U,12,FALSE)</f>
        <v>0</v>
      </c>
      <c r="Q48" s="3">
        <f ca="1">VLOOKUP($A48&amp;$B48,data!$A:$U,13,FALSE)</f>
        <v>0</v>
      </c>
      <c r="R48" s="3">
        <f ca="1">VLOOKUP($A48&amp;$B48,data!$A:$U,5,FALSE)</f>
        <v>45</v>
      </c>
      <c r="S48" s="3">
        <f ca="1">VLOOKUP($A48&amp;$B48,data!$A:$U,6,FALSE)</f>
        <v>37</v>
      </c>
      <c r="T48" s="3">
        <f ca="1">VLOOKUP($A48&amp;$B48,data!$A:$U,7,FALSE)</f>
        <v>8</v>
      </c>
    </row>
    <row r="49" spans="1:20" ht="15.75" customHeight="1" x14ac:dyDescent="0.15">
      <c r="A49" s="3" t="s">
        <v>4</v>
      </c>
      <c r="B49" s="3" t="s">
        <v>122</v>
      </c>
      <c r="C49" s="10">
        <f t="shared" ca="1" si="0"/>
        <v>0.47368421052631576</v>
      </c>
      <c r="D49" s="5">
        <f ca="1">VLOOKUP($A49&amp;$B49,data!$A:$U,20,FALSE)</f>
        <v>44305.487384259199</v>
      </c>
      <c r="E49" s="3" t="str">
        <f ca="1">VLOOKUP($A49&amp;$B49,data!$A:$U,21,FALSE)</f>
        <v>today 19/04/2021 report</v>
      </c>
      <c r="F49" s="3">
        <f ca="1">VLOOKUP($A49&amp;$B49,data!$A:$U,17,FALSE)</f>
        <v>0</v>
      </c>
      <c r="G49" s="3">
        <f ca="1">VLOOKUP($A49&amp;$B49,data!$A:$U,18,FALSE)</f>
        <v>0</v>
      </c>
      <c r="H49" s="3">
        <f ca="1">VLOOKUP($A49&amp;$B49,data!$A:$U,19,FALSE)</f>
        <v>0</v>
      </c>
      <c r="I49" s="3">
        <f ca="1">VLOOKUP($A49&amp;$B49,data!$A:$U,14,FALSE)</f>
        <v>0</v>
      </c>
      <c r="J49" s="3">
        <f ca="1">VLOOKUP($A49&amp;$B49,data!$A:$U,15,FALSE)</f>
        <v>0</v>
      </c>
      <c r="K49" s="3">
        <f ca="1">VLOOKUP($A49&amp;$B49,data!$A:$U,16,FALSE)</f>
        <v>0</v>
      </c>
      <c r="L49" s="3">
        <f ca="1">VLOOKUP($A49&amp;$B49,data!$A:$U,8,FALSE)</f>
        <v>5</v>
      </c>
      <c r="M49" s="3">
        <f ca="1">VLOOKUP($A49&amp;$B49,data!$A:$U,9,FALSE)</f>
        <v>1</v>
      </c>
      <c r="N49" s="3">
        <f ca="1">VLOOKUP($A49&amp;$B49,data!$A:$U,10,FALSE)</f>
        <v>4</v>
      </c>
      <c r="O49" s="3">
        <f ca="1">VLOOKUP($A49&amp;$B49,data!$A:$U,11,FALSE)</f>
        <v>4</v>
      </c>
      <c r="P49" s="3">
        <f ca="1">VLOOKUP($A49&amp;$B49,data!$A:$U,12,FALSE)</f>
        <v>0</v>
      </c>
      <c r="Q49" s="3">
        <f ca="1">VLOOKUP($A49&amp;$B49,data!$A:$U,13,FALSE)</f>
        <v>0</v>
      </c>
      <c r="R49" s="3">
        <f ca="1">VLOOKUP($A49&amp;$B49,data!$A:$U,5,FALSE)</f>
        <v>10</v>
      </c>
      <c r="S49" s="3">
        <f ca="1">VLOOKUP($A49&amp;$B49,data!$A:$U,6,FALSE)</f>
        <v>5</v>
      </c>
      <c r="T49" s="3">
        <f ca="1">VLOOKUP($A49&amp;$B49,data!$A:$U,7,FALSE)</f>
        <v>5</v>
      </c>
    </row>
    <row r="50" spans="1:20" ht="15.75" customHeight="1" x14ac:dyDescent="0.15">
      <c r="A50" s="3" t="s">
        <v>4</v>
      </c>
      <c r="B50" s="3" t="s">
        <v>148</v>
      </c>
      <c r="C50" s="10">
        <f t="shared" ca="1" si="0"/>
        <v>1</v>
      </c>
      <c r="D50" s="5">
        <f ca="1">VLOOKUP($A50&amp;$B50,data!$A:$U,20,FALSE)</f>
        <v>44305.438946759197</v>
      </c>
      <c r="E50" s="3" t="str">
        <f ca="1">VLOOKUP($A50&amp;$B50,data!$A:$U,21,FALSE)</f>
        <v>19-04-2021</v>
      </c>
      <c r="F50" s="3">
        <f ca="1">VLOOKUP($A50&amp;$B50,data!$A:$U,17,FALSE)</f>
        <v>0</v>
      </c>
      <c r="G50" s="3">
        <f ca="1">VLOOKUP($A50&amp;$B50,data!$A:$U,18,FALSE)</f>
        <v>0</v>
      </c>
      <c r="H50" s="3">
        <f ca="1">VLOOKUP($A50&amp;$B50,data!$A:$U,19,FALSE)</f>
        <v>0</v>
      </c>
      <c r="I50" s="3">
        <f ca="1">VLOOKUP($A50&amp;$B50,data!$A:$U,14,FALSE)</f>
        <v>4</v>
      </c>
      <c r="J50" s="3">
        <f ca="1">VLOOKUP($A50&amp;$B50,data!$A:$U,15,FALSE)</f>
        <v>0</v>
      </c>
      <c r="K50" s="3">
        <f ca="1">VLOOKUP($A50&amp;$B50,data!$A:$U,16,FALSE)</f>
        <v>4</v>
      </c>
      <c r="L50" s="3">
        <f ca="1">VLOOKUP($A50&amp;$B50,data!$A:$U,8,FALSE)</f>
        <v>4</v>
      </c>
      <c r="M50" s="3">
        <f ca="1">VLOOKUP($A50&amp;$B50,data!$A:$U,9,FALSE)</f>
        <v>0</v>
      </c>
      <c r="N50" s="3">
        <f ca="1">VLOOKUP($A50&amp;$B50,data!$A:$U,10,FALSE)</f>
        <v>4</v>
      </c>
      <c r="O50" s="3">
        <f ca="1">VLOOKUP($A50&amp;$B50,data!$A:$U,11,FALSE)</f>
        <v>2</v>
      </c>
      <c r="P50" s="3">
        <f ca="1">VLOOKUP($A50&amp;$B50,data!$A:$U,12,FALSE)</f>
        <v>0</v>
      </c>
      <c r="Q50" s="3">
        <f ca="1">VLOOKUP($A50&amp;$B50,data!$A:$U,13,FALSE)</f>
        <v>2</v>
      </c>
      <c r="R50" s="3">
        <f ca="1">VLOOKUP($A50&amp;$B50,data!$A:$U,5,FALSE)</f>
        <v>10</v>
      </c>
      <c r="S50" s="3">
        <f ca="1">VLOOKUP($A50&amp;$B50,data!$A:$U,6,FALSE)</f>
        <v>0</v>
      </c>
      <c r="T50" s="3">
        <f ca="1">VLOOKUP($A50&amp;$B50,data!$A:$U,7,FALSE)</f>
        <v>10</v>
      </c>
    </row>
    <row r="51" spans="1:20" ht="15.75" customHeight="1" x14ac:dyDescent="0.15">
      <c r="A51" s="3" t="s">
        <v>4</v>
      </c>
      <c r="B51" s="3" t="s">
        <v>238</v>
      </c>
      <c r="C51" s="10">
        <f t="shared" ca="1" si="0"/>
        <v>0.10666666666666667</v>
      </c>
      <c r="D51" s="5">
        <f ca="1">VLOOKUP($A51&amp;$B51,data!$A:$U,20,FALSE)</f>
        <v>44305.360937500001</v>
      </c>
      <c r="E51" s="3" t="str">
        <f ca="1">VLOOKUP($A51&amp;$B51,data!$A:$U,21,FALSE)</f>
        <v>1904.21 status</v>
      </c>
      <c r="F51" s="3">
        <f ca="1">VLOOKUP($A51&amp;$B51,data!$A:$U,17,FALSE)</f>
        <v>4</v>
      </c>
      <c r="G51" s="3">
        <f ca="1">VLOOKUP($A51&amp;$B51,data!$A:$U,18,FALSE)</f>
        <v>0</v>
      </c>
      <c r="H51" s="3">
        <f ca="1">VLOOKUP($A51&amp;$B51,data!$A:$U,19,FALSE)</f>
        <v>4</v>
      </c>
      <c r="I51" s="3">
        <f ca="1">VLOOKUP($A51&amp;$B51,data!$A:$U,14,FALSE)</f>
        <v>11</v>
      </c>
      <c r="J51" s="3">
        <f ca="1">VLOOKUP($A51&amp;$B51,data!$A:$U,15,FALSE)</f>
        <v>10</v>
      </c>
      <c r="K51" s="3">
        <f ca="1">VLOOKUP($A51&amp;$B51,data!$A:$U,16,FALSE)</f>
        <v>1</v>
      </c>
      <c r="L51" s="3">
        <f ca="1">VLOOKUP($A51&amp;$B51,data!$A:$U,8,FALSE)</f>
        <v>64</v>
      </c>
      <c r="M51" s="3">
        <f ca="1">VLOOKUP($A51&amp;$B51,data!$A:$U,9,FALSE)</f>
        <v>57</v>
      </c>
      <c r="N51" s="3">
        <f ca="1">VLOOKUP($A51&amp;$B51,data!$A:$U,10,FALSE)</f>
        <v>7</v>
      </c>
      <c r="O51" s="3">
        <f ca="1">VLOOKUP($A51&amp;$B51,data!$A:$U,11,FALSE)</f>
        <v>0</v>
      </c>
      <c r="P51" s="3">
        <f ca="1">VLOOKUP($A51&amp;$B51,data!$A:$U,12,FALSE)</f>
        <v>0</v>
      </c>
      <c r="Q51" s="3">
        <f ca="1">VLOOKUP($A51&amp;$B51,data!$A:$U,13,FALSE)</f>
        <v>0</v>
      </c>
      <c r="R51" s="3">
        <f ca="1">VLOOKUP($A51&amp;$B51,data!$A:$U,5,FALSE)</f>
        <v>75</v>
      </c>
      <c r="S51" s="3">
        <f ca="1">VLOOKUP($A51&amp;$B51,data!$A:$U,6,FALSE)</f>
        <v>67</v>
      </c>
      <c r="T51" s="3">
        <f ca="1">VLOOKUP($A51&amp;$B51,data!$A:$U,7,FALSE)</f>
        <v>8</v>
      </c>
    </row>
    <row r="52" spans="1:20" ht="15.75" customHeight="1" x14ac:dyDescent="0.15">
      <c r="A52" s="3" t="s">
        <v>4</v>
      </c>
      <c r="B52" s="3" t="s">
        <v>733</v>
      </c>
      <c r="C52" s="10">
        <f t="shared" ca="1" si="0"/>
        <v>1</v>
      </c>
      <c r="D52" s="5">
        <f ca="1">VLOOKUP($A52&amp;$B52,data!$A:$U,20,FALSE)</f>
        <v>44305.360289351796</v>
      </c>
      <c r="E52" s="3" t="str">
        <f ca="1">VLOOKUP($A52&amp;$B52,data!$A:$U,21,FALSE)</f>
        <v>19/04/2021</v>
      </c>
      <c r="F52" s="3">
        <f ca="1">VLOOKUP($A52&amp;$B52,data!$A:$U,17,FALSE)</f>
        <v>1</v>
      </c>
      <c r="G52" s="3">
        <f ca="1">VLOOKUP($A52&amp;$B52,data!$A:$U,18,FALSE)</f>
        <v>0</v>
      </c>
      <c r="H52" s="3">
        <f ca="1">VLOOKUP($A52&amp;$B52,data!$A:$U,19,FALSE)</f>
        <v>1</v>
      </c>
      <c r="I52" s="3">
        <f ca="1">VLOOKUP($A52&amp;$B52,data!$A:$U,14,FALSE)</f>
        <v>2</v>
      </c>
      <c r="J52" s="3">
        <f ca="1">VLOOKUP($A52&amp;$B52,data!$A:$U,15,FALSE)</f>
        <v>0</v>
      </c>
      <c r="K52" s="3">
        <f ca="1">VLOOKUP($A52&amp;$B52,data!$A:$U,16,FALSE)</f>
        <v>2</v>
      </c>
      <c r="L52" s="3">
        <f ca="1">VLOOKUP($A52&amp;$B52,data!$A:$U,8,FALSE)</f>
        <v>3</v>
      </c>
      <c r="M52" s="3">
        <f ca="1">VLOOKUP($A52&amp;$B52,data!$A:$U,9,FALSE)</f>
        <v>0</v>
      </c>
      <c r="N52" s="3">
        <f ca="1">VLOOKUP($A52&amp;$B52,data!$A:$U,10,FALSE)</f>
        <v>3</v>
      </c>
      <c r="O52" s="3">
        <f ca="1">VLOOKUP($A52&amp;$B52,data!$A:$U,11,FALSE)</f>
        <v>5</v>
      </c>
      <c r="P52" s="3">
        <f ca="1">VLOOKUP($A52&amp;$B52,data!$A:$U,12,FALSE)</f>
        <v>0</v>
      </c>
      <c r="Q52" s="3">
        <f ca="1">VLOOKUP($A52&amp;$B52,data!$A:$U,13,FALSE)</f>
        <v>5</v>
      </c>
      <c r="R52" s="3">
        <f ca="1">VLOOKUP($A52&amp;$B52,data!$A:$U,5,FALSE)</f>
        <v>10</v>
      </c>
      <c r="S52" s="3">
        <f ca="1">VLOOKUP($A52&amp;$B52,data!$A:$U,6,FALSE)</f>
        <v>0</v>
      </c>
      <c r="T52" s="3">
        <f ca="1">VLOOKUP($A52&amp;$B52,data!$A:$U,7,FALSE)</f>
        <v>10</v>
      </c>
    </row>
    <row r="53" spans="1:20" ht="15.75" customHeight="1" x14ac:dyDescent="0.15">
      <c r="A53" s="3" t="s">
        <v>4</v>
      </c>
      <c r="B53" s="3" t="s">
        <v>823</v>
      </c>
      <c r="C53" s="10">
        <f t="shared" ca="1" si="0"/>
        <v>0.4</v>
      </c>
      <c r="D53" s="5">
        <f ca="1">VLOOKUP($A53&amp;$B53,data!$A:$U,20,FALSE)</f>
        <v>44305.435937499999</v>
      </c>
      <c r="E53" s="3" t="str">
        <f ca="1">VLOOKUP($A53&amp;$B53,data!$A:$U,21,FALSE)</f>
        <v>19-04-2021</v>
      </c>
      <c r="F53" s="3">
        <f ca="1">VLOOKUP($A53&amp;$B53,data!$A:$U,17,FALSE)</f>
        <v>2</v>
      </c>
      <c r="G53" s="3">
        <f ca="1">VLOOKUP($A53&amp;$B53,data!$A:$U,18,FALSE)</f>
        <v>0</v>
      </c>
      <c r="H53" s="3">
        <f ca="1">VLOOKUP($A53&amp;$B53,data!$A:$U,19,FALSE)</f>
        <v>0</v>
      </c>
      <c r="I53" s="3">
        <f ca="1">VLOOKUP($A53&amp;$B53,data!$A:$U,14,FALSE)</f>
        <v>5</v>
      </c>
      <c r="J53" s="3">
        <f ca="1">VLOOKUP($A53&amp;$B53,data!$A:$U,15,FALSE)</f>
        <v>0</v>
      </c>
      <c r="K53" s="3">
        <f ca="1">VLOOKUP($A53&amp;$B53,data!$A:$U,16,FALSE)</f>
        <v>0</v>
      </c>
      <c r="L53" s="3">
        <f ca="1">VLOOKUP($A53&amp;$B53,data!$A:$U,8,FALSE)</f>
        <v>15</v>
      </c>
      <c r="M53" s="3">
        <f ca="1">VLOOKUP($A53&amp;$B53,data!$A:$U,9,FALSE)</f>
        <v>11</v>
      </c>
      <c r="N53" s="3">
        <f ca="1">VLOOKUP($A53&amp;$B53,data!$A:$U,10,FALSE)</f>
        <v>4</v>
      </c>
      <c r="O53" s="3">
        <f ca="1">VLOOKUP($A53&amp;$B53,data!$A:$U,11,FALSE)</f>
        <v>0</v>
      </c>
      <c r="P53" s="3">
        <f ca="1">VLOOKUP($A53&amp;$B53,data!$A:$U,12,FALSE)</f>
        <v>0</v>
      </c>
      <c r="Q53" s="3">
        <f ca="1">VLOOKUP($A53&amp;$B53,data!$A:$U,13,FALSE)</f>
        <v>0</v>
      </c>
      <c r="R53" s="3">
        <f ca="1">VLOOKUP($A53&amp;$B53,data!$A:$U,5,FALSE)</f>
        <v>25</v>
      </c>
      <c r="S53" s="3">
        <f ca="1">VLOOKUP($A53&amp;$B53,data!$A:$U,6,FALSE)</f>
        <v>11</v>
      </c>
      <c r="T53" s="3">
        <f ca="1">VLOOKUP($A53&amp;$B53,data!$A:$U,7,FALSE)</f>
        <v>14</v>
      </c>
    </row>
    <row r="54" spans="1:20" ht="15.75" customHeight="1" x14ac:dyDescent="0.15">
      <c r="A54" s="3" t="s">
        <v>4</v>
      </c>
      <c r="B54" s="3" t="s">
        <v>965</v>
      </c>
      <c r="C54" s="10">
        <f t="shared" ca="1" si="0"/>
        <v>0.48275862068965519</v>
      </c>
      <c r="D54" s="5">
        <f ca="1">VLOOKUP($A54&amp;$B54,data!$A:$U,20,FALSE)</f>
        <v>44305.360486111102</v>
      </c>
      <c r="E54" s="3" t="str">
        <f ca="1">VLOOKUP($A54&amp;$B54,data!$A:$U,21,FALSE)</f>
        <v>19/04/2021 Covid care helpline - 8778501016/9894686088</v>
      </c>
      <c r="F54" s="3">
        <f ca="1">VLOOKUP($A54&amp;$B54,data!$A:$U,17,FALSE)</f>
        <v>4</v>
      </c>
      <c r="G54" s="3">
        <f ca="1">VLOOKUP($A54&amp;$B54,data!$A:$U,18,FALSE)</f>
        <v>0</v>
      </c>
      <c r="H54" s="3">
        <f ca="1">VLOOKUP($A54&amp;$B54,data!$A:$U,19,FALSE)</f>
        <v>4</v>
      </c>
      <c r="I54" s="3">
        <f ca="1">VLOOKUP($A54&amp;$B54,data!$A:$U,14,FALSE)</f>
        <v>8</v>
      </c>
      <c r="J54" s="3">
        <f ca="1">VLOOKUP($A54&amp;$B54,data!$A:$U,15,FALSE)</f>
        <v>2</v>
      </c>
      <c r="K54" s="3">
        <f ca="1">VLOOKUP($A54&amp;$B54,data!$A:$U,16,FALSE)</f>
        <v>6</v>
      </c>
      <c r="L54" s="3">
        <f ca="1">VLOOKUP($A54&amp;$B54,data!$A:$U,8,FALSE)</f>
        <v>10</v>
      </c>
      <c r="M54" s="3">
        <f ca="1">VLOOKUP($A54&amp;$B54,data!$A:$U,9,FALSE)</f>
        <v>5</v>
      </c>
      <c r="N54" s="3">
        <f ca="1">VLOOKUP($A54&amp;$B54,data!$A:$U,10,FALSE)</f>
        <v>5</v>
      </c>
      <c r="O54" s="3">
        <f ca="1">VLOOKUP($A54&amp;$B54,data!$A:$U,11,FALSE)</f>
        <v>15</v>
      </c>
      <c r="P54" s="3">
        <f ca="1">VLOOKUP($A54&amp;$B54,data!$A:$U,12,FALSE)</f>
        <v>0</v>
      </c>
      <c r="Q54" s="3">
        <f ca="1">VLOOKUP($A54&amp;$B54,data!$A:$U,13,FALSE)</f>
        <v>7</v>
      </c>
      <c r="R54" s="3">
        <f ca="1">VLOOKUP($A54&amp;$B54,data!$A:$U,5,FALSE)</f>
        <v>25</v>
      </c>
      <c r="S54" s="3">
        <f ca="1">VLOOKUP($A54&amp;$B54,data!$A:$U,6,FALSE)</f>
        <v>15</v>
      </c>
      <c r="T54" s="3">
        <f ca="1">VLOOKUP($A54&amp;$B54,data!$A:$U,7,FALSE)</f>
        <v>10</v>
      </c>
    </row>
    <row r="55" spans="1:20" ht="15.75" customHeight="1" x14ac:dyDescent="0.15">
      <c r="A55" s="3" t="s">
        <v>4</v>
      </c>
      <c r="B55" s="3" t="s">
        <v>152</v>
      </c>
      <c r="C55" s="10">
        <f t="shared" ca="1" si="0"/>
        <v>0.9</v>
      </c>
      <c r="D55" s="5">
        <f ca="1">VLOOKUP($A55&amp;$B55,data!$A:$U,20,FALSE)</f>
        <v>44305.347627314797</v>
      </c>
      <c r="E55" s="3" t="str">
        <f ca="1">VLOOKUP($A55&amp;$B55,data!$A:$U,21,FALSE)</f>
        <v>19-04-2021</v>
      </c>
      <c r="F55" s="3">
        <f ca="1">VLOOKUP($A55&amp;$B55,data!$A:$U,17,FALSE)</f>
        <v>4</v>
      </c>
      <c r="G55" s="3">
        <f ca="1">VLOOKUP($A55&amp;$B55,data!$A:$U,18,FALSE)</f>
        <v>1</v>
      </c>
      <c r="H55" s="3">
        <f ca="1">VLOOKUP($A55&amp;$B55,data!$A:$U,19,FALSE)</f>
        <v>4</v>
      </c>
      <c r="I55" s="3">
        <f ca="1">VLOOKUP($A55&amp;$B55,data!$A:$U,14,FALSE)</f>
        <v>10</v>
      </c>
      <c r="J55" s="3">
        <f ca="1">VLOOKUP($A55&amp;$B55,data!$A:$U,15,FALSE)</f>
        <v>1</v>
      </c>
      <c r="K55" s="3">
        <f ca="1">VLOOKUP($A55&amp;$B55,data!$A:$U,16,FALSE)</f>
        <v>9</v>
      </c>
      <c r="L55" s="3">
        <f ca="1">VLOOKUP($A55&amp;$B55,data!$A:$U,8,FALSE)</f>
        <v>0</v>
      </c>
      <c r="M55" s="3">
        <f ca="1">VLOOKUP($A55&amp;$B55,data!$A:$U,9,FALSE)</f>
        <v>0</v>
      </c>
      <c r="N55" s="3">
        <f ca="1">VLOOKUP($A55&amp;$B55,data!$A:$U,10,FALSE)</f>
        <v>0</v>
      </c>
      <c r="O55" s="3">
        <f ca="1">VLOOKUP($A55&amp;$B55,data!$A:$U,11,FALSE)</f>
        <v>0</v>
      </c>
      <c r="P55" s="3">
        <f ca="1">VLOOKUP($A55&amp;$B55,data!$A:$U,12,FALSE)</f>
        <v>0</v>
      </c>
      <c r="Q55" s="3">
        <f ca="1">VLOOKUP($A55&amp;$B55,data!$A:$U,13,FALSE)</f>
        <v>0</v>
      </c>
      <c r="R55" s="3">
        <f ca="1">VLOOKUP($A55&amp;$B55,data!$A:$U,5,FALSE)</f>
        <v>10</v>
      </c>
      <c r="S55" s="3">
        <f ca="1">VLOOKUP($A55&amp;$B55,data!$A:$U,6,FALSE)</f>
        <v>1</v>
      </c>
      <c r="T55" s="3">
        <f ca="1">VLOOKUP($A55&amp;$B55,data!$A:$U,7,FALSE)</f>
        <v>9</v>
      </c>
    </row>
    <row r="56" spans="1:20" ht="15.75" customHeight="1" x14ac:dyDescent="0.15">
      <c r="A56" s="3" t="s">
        <v>4</v>
      </c>
      <c r="B56" s="3" t="s">
        <v>161</v>
      </c>
      <c r="C56" s="10">
        <f t="shared" ca="1" si="0"/>
        <v>0.66666666666666663</v>
      </c>
      <c r="D56" s="5">
        <f ca="1">VLOOKUP($A56&amp;$B56,data!$A:$U,20,FALSE)</f>
        <v>44305.416412036997</v>
      </c>
      <c r="E56" s="3" t="str">
        <f ca="1">VLOOKUP($A56&amp;$B56,data!$A:$U,21,FALSE)</f>
        <v>19/04/2021</v>
      </c>
      <c r="F56" s="3">
        <f ca="1">VLOOKUP($A56&amp;$B56,data!$A:$U,17,FALSE)</f>
        <v>2</v>
      </c>
      <c r="G56" s="3">
        <f ca="1">VLOOKUP($A56&amp;$B56,data!$A:$U,18,FALSE)</f>
        <v>1</v>
      </c>
      <c r="H56" s="3">
        <f ca="1">VLOOKUP($A56&amp;$B56,data!$A:$U,19,FALSE)</f>
        <v>1</v>
      </c>
      <c r="I56" s="3">
        <f ca="1">VLOOKUP($A56&amp;$B56,data!$A:$U,14,FALSE)</f>
        <v>2</v>
      </c>
      <c r="J56" s="3">
        <f ca="1">VLOOKUP($A56&amp;$B56,data!$A:$U,15,FALSE)</f>
        <v>2</v>
      </c>
      <c r="K56" s="3">
        <f ca="1">VLOOKUP($A56&amp;$B56,data!$A:$U,16,FALSE)</f>
        <v>0</v>
      </c>
      <c r="L56" s="3">
        <f ca="1">VLOOKUP($A56&amp;$B56,data!$A:$U,8,FALSE)</f>
        <v>10</v>
      </c>
      <c r="M56" s="3">
        <f ca="1">VLOOKUP($A56&amp;$B56,data!$A:$U,9,FALSE)</f>
        <v>2</v>
      </c>
      <c r="N56" s="3">
        <f ca="1">VLOOKUP($A56&amp;$B56,data!$A:$U,10,FALSE)</f>
        <v>8</v>
      </c>
      <c r="O56" s="3">
        <f ca="1">VLOOKUP($A56&amp;$B56,data!$A:$U,11,FALSE)</f>
        <v>0</v>
      </c>
      <c r="P56" s="3">
        <f ca="1">VLOOKUP($A56&amp;$B56,data!$A:$U,12,FALSE)</f>
        <v>0</v>
      </c>
      <c r="Q56" s="3">
        <f ca="1">VLOOKUP($A56&amp;$B56,data!$A:$U,13,FALSE)</f>
        <v>0</v>
      </c>
      <c r="R56" s="3">
        <f ca="1">VLOOKUP($A56&amp;$B56,data!$A:$U,5,FALSE)</f>
        <v>12</v>
      </c>
      <c r="S56" s="3">
        <f ca="1">VLOOKUP($A56&amp;$B56,data!$A:$U,6,FALSE)</f>
        <v>4</v>
      </c>
      <c r="T56" s="3">
        <f ca="1">VLOOKUP($A56&amp;$B56,data!$A:$U,7,FALSE)</f>
        <v>8</v>
      </c>
    </row>
    <row r="57" spans="1:20" ht="15.75" customHeight="1" x14ac:dyDescent="0.15">
      <c r="A57" s="3" t="s">
        <v>4</v>
      </c>
      <c r="B57" s="3" t="s">
        <v>243</v>
      </c>
      <c r="C57" s="10">
        <f t="shared" ca="1" si="0"/>
        <v>0.38095238095238093</v>
      </c>
      <c r="D57" s="5">
        <f ca="1">VLOOKUP($A57&amp;$B57,data!$A:$U,20,FALSE)</f>
        <v>44305.472395833298</v>
      </c>
      <c r="E57" s="3" t="str">
        <f ca="1">VLOOKUP($A57&amp;$B57,data!$A:$U,21,FALSE)</f>
        <v>19.04.2021</v>
      </c>
      <c r="F57" s="3">
        <f ca="1">VLOOKUP($A57&amp;$B57,data!$A:$U,17,FALSE)</f>
        <v>1</v>
      </c>
      <c r="G57" s="3">
        <f ca="1">VLOOKUP($A57&amp;$B57,data!$A:$U,18,FALSE)</f>
        <v>1</v>
      </c>
      <c r="H57" s="3">
        <f ca="1">VLOOKUP($A57&amp;$B57,data!$A:$U,19,FALSE)</f>
        <v>0</v>
      </c>
      <c r="I57" s="3">
        <f ca="1">VLOOKUP($A57&amp;$B57,data!$A:$U,14,FALSE)</f>
        <v>2</v>
      </c>
      <c r="J57" s="3">
        <f ca="1">VLOOKUP($A57&amp;$B57,data!$A:$U,15,FALSE)</f>
        <v>2</v>
      </c>
      <c r="K57" s="3">
        <f ca="1">VLOOKUP($A57&amp;$B57,data!$A:$U,16,FALSE)</f>
        <v>0</v>
      </c>
      <c r="L57" s="3">
        <f ca="1">VLOOKUP($A57&amp;$B57,data!$A:$U,8,FALSE)</f>
        <v>20</v>
      </c>
      <c r="M57" s="3">
        <f ca="1">VLOOKUP($A57&amp;$B57,data!$A:$U,9,FALSE)</f>
        <v>12</v>
      </c>
      <c r="N57" s="3">
        <f ca="1">VLOOKUP($A57&amp;$B57,data!$A:$U,10,FALSE)</f>
        <v>8</v>
      </c>
      <c r="O57" s="3">
        <f ca="1">VLOOKUP($A57&amp;$B57,data!$A:$U,11,FALSE)</f>
        <v>0</v>
      </c>
      <c r="P57" s="3">
        <f ca="1">VLOOKUP($A57&amp;$B57,data!$A:$U,12,FALSE)</f>
        <v>0</v>
      </c>
      <c r="Q57" s="3">
        <f ca="1">VLOOKUP($A57&amp;$B57,data!$A:$U,13,FALSE)</f>
        <v>0</v>
      </c>
      <c r="R57" s="3">
        <f ca="1">VLOOKUP($A57&amp;$B57,data!$A:$U,5,FALSE)</f>
        <v>20</v>
      </c>
      <c r="S57" s="3">
        <f ca="1">VLOOKUP($A57&amp;$B57,data!$A:$U,6,FALSE)</f>
        <v>12</v>
      </c>
      <c r="T57" s="3">
        <f ca="1">VLOOKUP($A57&amp;$B57,data!$A:$U,7,FALSE)</f>
        <v>8</v>
      </c>
    </row>
    <row r="58" spans="1:20" ht="15.75" customHeight="1" x14ac:dyDescent="0.15">
      <c r="A58" s="3" t="s">
        <v>4</v>
      </c>
      <c r="B58" s="3" t="s">
        <v>1124</v>
      </c>
      <c r="C58" s="10">
        <f t="shared" ca="1" si="0"/>
        <v>1</v>
      </c>
      <c r="D58" s="5">
        <f ca="1">VLOOKUP($A58&amp;$B58,data!$A:$U,20,FALSE)</f>
        <v>44305.221261573999</v>
      </c>
      <c r="E58" s="3">
        <f ca="1">VLOOKUP($A58&amp;$B58,data!$A:$U,21,FALSE)</f>
        <v>0.81783564814814802</v>
      </c>
      <c r="F58" s="3">
        <f ca="1">VLOOKUP($A58&amp;$B58,data!$A:$U,17,FALSE)</f>
        <v>0</v>
      </c>
      <c r="G58" s="3">
        <f ca="1">VLOOKUP($A58&amp;$B58,data!$A:$U,18,FALSE)</f>
        <v>0</v>
      </c>
      <c r="H58" s="3">
        <f ca="1">VLOOKUP($A58&amp;$B58,data!$A:$U,19,FALSE)</f>
        <v>0</v>
      </c>
      <c r="I58" s="3">
        <f ca="1">VLOOKUP($A58&amp;$B58,data!$A:$U,14,FALSE)</f>
        <v>0</v>
      </c>
      <c r="J58" s="3">
        <f ca="1">VLOOKUP($A58&amp;$B58,data!$A:$U,15,FALSE)</f>
        <v>0</v>
      </c>
      <c r="K58" s="3">
        <f ca="1">VLOOKUP($A58&amp;$B58,data!$A:$U,16,FALSE)</f>
        <v>0</v>
      </c>
      <c r="L58" s="3">
        <f ca="1">VLOOKUP($A58&amp;$B58,data!$A:$U,8,FALSE)</f>
        <v>4</v>
      </c>
      <c r="M58" s="3">
        <f ca="1">VLOOKUP($A58&amp;$B58,data!$A:$U,9,FALSE)</f>
        <v>0</v>
      </c>
      <c r="N58" s="3">
        <f ca="1">VLOOKUP($A58&amp;$B58,data!$A:$U,10,FALSE)</f>
        <v>4</v>
      </c>
      <c r="O58" s="3">
        <f ca="1">VLOOKUP($A58&amp;$B58,data!$A:$U,11,FALSE)</f>
        <v>4</v>
      </c>
      <c r="P58" s="3">
        <f ca="1">VLOOKUP($A58&amp;$B58,data!$A:$U,12,FALSE)</f>
        <v>0</v>
      </c>
      <c r="Q58" s="3">
        <f ca="1">VLOOKUP($A58&amp;$B58,data!$A:$U,13,FALSE)</f>
        <v>4</v>
      </c>
      <c r="R58" s="3">
        <f ca="1">VLOOKUP($A58&amp;$B58,data!$A:$U,5,FALSE)</f>
        <v>8</v>
      </c>
      <c r="S58" s="3">
        <f ca="1">VLOOKUP($A58&amp;$B58,data!$A:$U,6,FALSE)</f>
        <v>0</v>
      </c>
      <c r="T58" s="3">
        <f ca="1">VLOOKUP($A58&amp;$B58,data!$A:$U,7,FALSE)</f>
        <v>8</v>
      </c>
    </row>
    <row r="59" spans="1:20" ht="15.75" customHeight="1" x14ac:dyDescent="0.15">
      <c r="A59" s="3" t="s">
        <v>4</v>
      </c>
      <c r="B59" s="3" t="s">
        <v>118</v>
      </c>
      <c r="C59" s="10">
        <f t="shared" ca="1" si="0"/>
        <v>0</v>
      </c>
      <c r="D59" s="5">
        <f ca="1">VLOOKUP($A59&amp;$B59,data!$A:$U,20,FALSE)</f>
        <v>44305.477708333303</v>
      </c>
      <c r="E59" s="3">
        <f ca="1">VLOOKUP($A59&amp;$B59,data!$A:$U,21,FALSE)</f>
        <v>0</v>
      </c>
      <c r="F59" s="3">
        <f ca="1">VLOOKUP($A59&amp;$B59,data!$A:$U,17,FALSE)</f>
        <v>5</v>
      </c>
      <c r="G59" s="3">
        <f ca="1">VLOOKUP($A59&amp;$B59,data!$A:$U,18,FALSE)</f>
        <v>2</v>
      </c>
      <c r="H59" s="3">
        <f ca="1">VLOOKUP($A59&amp;$B59,data!$A:$U,19,FALSE)</f>
        <v>3</v>
      </c>
      <c r="I59" s="3">
        <f ca="1">VLOOKUP($A59&amp;$B59,data!$A:$U,14,FALSE)</f>
        <v>20</v>
      </c>
      <c r="J59" s="3">
        <f ca="1">VLOOKUP($A59&amp;$B59,data!$A:$U,15,FALSE)</f>
        <v>20</v>
      </c>
      <c r="K59" s="3">
        <f ca="1">VLOOKUP($A59&amp;$B59,data!$A:$U,16,FALSE)</f>
        <v>0</v>
      </c>
      <c r="L59" s="3">
        <f ca="1">VLOOKUP($A59&amp;$B59,data!$A:$U,8,FALSE)</f>
        <v>130</v>
      </c>
      <c r="M59" s="3">
        <f ca="1">VLOOKUP($A59&amp;$B59,data!$A:$U,9,FALSE)</f>
        <v>130</v>
      </c>
      <c r="N59" s="3">
        <f ca="1">VLOOKUP($A59&amp;$B59,data!$A:$U,10,FALSE)</f>
        <v>0</v>
      </c>
      <c r="O59" s="3">
        <f ca="1">VLOOKUP($A59&amp;$B59,data!$A:$U,11,FALSE)</f>
        <v>20</v>
      </c>
      <c r="P59" s="3">
        <f ca="1">VLOOKUP($A59&amp;$B59,data!$A:$U,12,FALSE)</f>
        <v>26</v>
      </c>
      <c r="Q59" s="3">
        <f ca="1">VLOOKUP($A59&amp;$B59,data!$A:$U,13,FALSE)</f>
        <v>0</v>
      </c>
      <c r="R59" s="3">
        <f ca="1">VLOOKUP($A59&amp;$B59,data!$A:$U,5,FALSE)</f>
        <v>176</v>
      </c>
      <c r="S59" s="3">
        <f ca="1">VLOOKUP($A59&amp;$B59,data!$A:$U,6,FALSE)</f>
        <v>176</v>
      </c>
      <c r="T59" s="3">
        <f ca="1">VLOOKUP($A59&amp;$B59,data!$A:$U,7,FALSE)</f>
        <v>0</v>
      </c>
    </row>
    <row r="60" spans="1:20" ht="13" x14ac:dyDescent="0.15">
      <c r="A60" s="3" t="s">
        <v>4</v>
      </c>
      <c r="B60" s="3" t="s">
        <v>225</v>
      </c>
      <c r="C60" s="10">
        <f t="shared" ca="1" si="0"/>
        <v>0.5</v>
      </c>
      <c r="D60" s="5">
        <f ca="1">VLOOKUP($A60&amp;$B60,data!$A:$U,20,FALSE)</f>
        <v>44305.531631944403</v>
      </c>
      <c r="E60" s="3" t="str">
        <f ca="1">VLOOKUP($A60&amp;$B60,data!$A:$U,21,FALSE)</f>
        <v>19.04.2021</v>
      </c>
      <c r="F60" s="3">
        <f ca="1">VLOOKUP($A60&amp;$B60,data!$A:$U,17,FALSE)</f>
        <v>3</v>
      </c>
      <c r="G60" s="3">
        <f ca="1">VLOOKUP($A60&amp;$B60,data!$A:$U,18,FALSE)</f>
        <v>0</v>
      </c>
      <c r="H60" s="3">
        <f ca="1">VLOOKUP($A60&amp;$B60,data!$A:$U,19,FALSE)</f>
        <v>3</v>
      </c>
      <c r="I60" s="3">
        <f ca="1">VLOOKUP($A60&amp;$B60,data!$A:$U,14,FALSE)</f>
        <v>4</v>
      </c>
      <c r="J60" s="3">
        <f ca="1">VLOOKUP($A60&amp;$B60,data!$A:$U,15,FALSE)</f>
        <v>0</v>
      </c>
      <c r="K60" s="3">
        <f ca="1">VLOOKUP($A60&amp;$B60,data!$A:$U,16,FALSE)</f>
        <v>4</v>
      </c>
      <c r="L60" s="3">
        <f ca="1">VLOOKUP($A60&amp;$B60,data!$A:$U,8,FALSE)</f>
        <v>10</v>
      </c>
      <c r="M60" s="3">
        <f ca="1">VLOOKUP($A60&amp;$B60,data!$A:$U,9,FALSE)</f>
        <v>1</v>
      </c>
      <c r="N60" s="3">
        <f ca="1">VLOOKUP($A60&amp;$B60,data!$A:$U,10,FALSE)</f>
        <v>9</v>
      </c>
      <c r="O60" s="3">
        <f ca="1">VLOOKUP($A60&amp;$B60,data!$A:$U,11,FALSE)</f>
        <v>2</v>
      </c>
      <c r="P60" s="3">
        <f ca="1">VLOOKUP($A60&amp;$B60,data!$A:$U,12,FALSE)</f>
        <v>0</v>
      </c>
      <c r="Q60" s="3">
        <f ca="1">VLOOKUP($A60&amp;$B60,data!$A:$U,13,FALSE)</f>
        <v>2</v>
      </c>
      <c r="R60" s="3">
        <f ca="1">VLOOKUP($A60&amp;$B60,data!$A:$U,5,FALSE)</f>
        <v>22</v>
      </c>
      <c r="S60" s="3">
        <f ca="1">VLOOKUP($A60&amp;$B60,data!$A:$U,6,FALSE)</f>
        <v>18</v>
      </c>
      <c r="T60" s="3">
        <f ca="1">VLOOKUP($A60&amp;$B60,data!$A:$U,7,FALSE)</f>
        <v>4</v>
      </c>
    </row>
    <row r="61" spans="1:20" ht="13" x14ac:dyDescent="0.15">
      <c r="A61" s="3" t="s">
        <v>4</v>
      </c>
      <c r="B61" s="3" t="s">
        <v>250</v>
      </c>
      <c r="C61" s="10">
        <f t="shared" ca="1" si="0"/>
        <v>0.26923076923076922</v>
      </c>
      <c r="D61" s="5">
        <f ca="1">VLOOKUP($A61&amp;$B61,data!$A:$U,20,FALSE)</f>
        <v>44304.336111111101</v>
      </c>
      <c r="E61" s="3" t="str">
        <f ca="1">VLOOKUP($A61&amp;$B61,data!$A:$U,21,FALSE)</f>
        <v>18-04-2021</v>
      </c>
      <c r="F61" s="3">
        <f ca="1">VLOOKUP($A61&amp;$B61,data!$A:$U,17,FALSE)</f>
        <v>1</v>
      </c>
      <c r="G61" s="3">
        <f ca="1">VLOOKUP($A61&amp;$B61,data!$A:$U,18,FALSE)</f>
        <v>0</v>
      </c>
      <c r="H61" s="3">
        <f ca="1">VLOOKUP($A61&amp;$B61,data!$A:$U,19,FALSE)</f>
        <v>1</v>
      </c>
      <c r="I61" s="3">
        <f ca="1">VLOOKUP($A61&amp;$B61,data!$A:$U,14,FALSE)</f>
        <v>4</v>
      </c>
      <c r="J61" s="3">
        <f ca="1">VLOOKUP($A61&amp;$B61,data!$A:$U,15,FALSE)</f>
        <v>0</v>
      </c>
      <c r="K61" s="3">
        <f ca="1">VLOOKUP($A61&amp;$B61,data!$A:$U,16,FALSE)</f>
        <v>4</v>
      </c>
      <c r="L61" s="3">
        <f ca="1">VLOOKUP($A61&amp;$B61,data!$A:$U,8,FALSE)</f>
        <v>22</v>
      </c>
      <c r="M61" s="3">
        <f ca="1">VLOOKUP($A61&amp;$B61,data!$A:$U,9,FALSE)</f>
        <v>19</v>
      </c>
      <c r="N61" s="3">
        <f ca="1">VLOOKUP($A61&amp;$B61,data!$A:$U,10,FALSE)</f>
        <v>3</v>
      </c>
      <c r="O61" s="3">
        <f ca="1">VLOOKUP($A61&amp;$B61,data!$A:$U,11,FALSE)</f>
        <v>0</v>
      </c>
      <c r="P61" s="3">
        <f ca="1">VLOOKUP($A61&amp;$B61,data!$A:$U,12,FALSE)</f>
        <v>0</v>
      </c>
      <c r="Q61" s="3">
        <f ca="1">VLOOKUP($A61&amp;$B61,data!$A:$U,13,FALSE)</f>
        <v>0</v>
      </c>
      <c r="R61" s="3">
        <f ca="1">VLOOKUP($A61&amp;$B61,data!$A:$U,5,FALSE)</f>
        <v>26</v>
      </c>
      <c r="S61" s="3">
        <f ca="1">VLOOKUP($A61&amp;$B61,data!$A:$U,6,FALSE)</f>
        <v>19</v>
      </c>
      <c r="T61" s="3">
        <f ca="1">VLOOKUP($A61&amp;$B61,data!$A:$U,7,FALSE)</f>
        <v>7</v>
      </c>
    </row>
    <row r="62" spans="1:20" ht="13" x14ac:dyDescent="0.15">
      <c r="A62" s="3" t="s">
        <v>4</v>
      </c>
      <c r="B62" s="3" t="s">
        <v>92</v>
      </c>
      <c r="C62" s="10">
        <f t="shared" ca="1" si="0"/>
        <v>0.11864406779661017</v>
      </c>
      <c r="D62" s="5">
        <f ca="1">VLOOKUP($A62&amp;$B62,data!$A:$U,20,FALSE)</f>
        <v>44305.483715277704</v>
      </c>
      <c r="E62" s="3" t="str">
        <f ca="1">VLOOKUP($A62&amp;$B62,data!$A:$U,21,FALSE)</f>
        <v>April 19th</v>
      </c>
      <c r="F62" s="3">
        <f ca="1">VLOOKUP($A62&amp;$B62,data!$A:$U,17,FALSE)</f>
        <v>4</v>
      </c>
      <c r="G62" s="3">
        <f ca="1">VLOOKUP($A62&amp;$B62,data!$A:$U,18,FALSE)</f>
        <v>4</v>
      </c>
      <c r="H62" s="3">
        <f ca="1">VLOOKUP($A62&amp;$B62,data!$A:$U,19,FALSE)</f>
        <v>0</v>
      </c>
      <c r="I62" s="3">
        <f ca="1">VLOOKUP($A62&amp;$B62,data!$A:$U,14,FALSE)</f>
        <v>5</v>
      </c>
      <c r="J62" s="3">
        <f ca="1">VLOOKUP($A62&amp;$B62,data!$A:$U,15,FALSE)</f>
        <v>5</v>
      </c>
      <c r="K62" s="3">
        <f ca="1">VLOOKUP($A62&amp;$B62,data!$A:$U,16,FALSE)</f>
        <v>0</v>
      </c>
      <c r="L62" s="3">
        <f ca="1">VLOOKUP($A62&amp;$B62,data!$A:$U,8,FALSE)</f>
        <v>55</v>
      </c>
      <c r="M62" s="3">
        <f ca="1">VLOOKUP($A62&amp;$B62,data!$A:$U,9,FALSE)</f>
        <v>61</v>
      </c>
      <c r="N62" s="3">
        <f ca="1">VLOOKUP($A62&amp;$B62,data!$A:$U,10,FALSE)</f>
        <v>7</v>
      </c>
      <c r="O62" s="3">
        <f ca="1">VLOOKUP($A62&amp;$B62,data!$A:$U,11,FALSE)</f>
        <v>0</v>
      </c>
      <c r="P62" s="3">
        <f ca="1">VLOOKUP($A62&amp;$B62,data!$A:$U,12,FALSE)</f>
        <v>0</v>
      </c>
      <c r="Q62" s="3">
        <f ca="1">VLOOKUP($A62&amp;$B62,data!$A:$U,13,FALSE)</f>
        <v>0</v>
      </c>
      <c r="R62" s="3">
        <f ca="1">VLOOKUP($A62&amp;$B62,data!$A:$U,5,FALSE)</f>
        <v>58</v>
      </c>
      <c r="S62" s="3">
        <f ca="1">VLOOKUP($A62&amp;$B62,data!$A:$U,6,FALSE)</f>
        <v>68</v>
      </c>
      <c r="T62" s="3">
        <f ca="1">VLOOKUP($A62&amp;$B62,data!$A:$U,7,FALSE)</f>
        <v>7</v>
      </c>
    </row>
    <row r="63" spans="1:20" ht="13" x14ac:dyDescent="0.15">
      <c r="A63" s="3" t="s">
        <v>4</v>
      </c>
      <c r="B63" s="3" t="s">
        <v>187</v>
      </c>
      <c r="C63" s="10">
        <f t="shared" ca="1" si="0"/>
        <v>7.8787878787878782E-2</v>
      </c>
      <c r="D63" s="5">
        <f ca="1">VLOOKUP($A63&amp;$B63,data!$A:$U,20,FALSE)</f>
        <v>44305.419675925899</v>
      </c>
      <c r="E63" s="3" t="str">
        <f ca="1">VLOOKUP($A63&amp;$B63,data!$A:$U,21,FALSE)</f>
        <v>19-04-2021</v>
      </c>
      <c r="F63" s="3">
        <f ca="1">VLOOKUP($A63&amp;$B63,data!$A:$U,17,FALSE)</f>
        <v>5</v>
      </c>
      <c r="G63" s="3">
        <f ca="1">VLOOKUP($A63&amp;$B63,data!$A:$U,18,FALSE)</f>
        <v>0</v>
      </c>
      <c r="H63" s="3">
        <f ca="1">VLOOKUP($A63&amp;$B63,data!$A:$U,19,FALSE)</f>
        <v>0</v>
      </c>
      <c r="I63" s="3">
        <f ca="1">VLOOKUP($A63&amp;$B63,data!$A:$U,14,FALSE)</f>
        <v>15</v>
      </c>
      <c r="J63" s="3">
        <f ca="1">VLOOKUP($A63&amp;$B63,data!$A:$U,15,FALSE)</f>
        <v>15</v>
      </c>
      <c r="K63" s="3">
        <f ca="1">VLOOKUP($A63&amp;$B63,data!$A:$U,16,FALSE)</f>
        <v>0</v>
      </c>
      <c r="L63" s="3">
        <f ca="1">VLOOKUP($A63&amp;$B63,data!$A:$U,8,FALSE)</f>
        <v>5</v>
      </c>
      <c r="M63" s="3">
        <f ca="1">VLOOKUP($A63&amp;$B63,data!$A:$U,9,FALSE)</f>
        <v>0</v>
      </c>
      <c r="N63" s="3">
        <f ca="1">VLOOKUP($A63&amp;$B63,data!$A:$U,10,FALSE)</f>
        <v>5</v>
      </c>
      <c r="O63" s="3">
        <f ca="1">VLOOKUP($A63&amp;$B63,data!$A:$U,11,FALSE)</f>
        <v>65</v>
      </c>
      <c r="P63" s="3">
        <f ca="1">VLOOKUP($A63&amp;$B63,data!$A:$U,12,FALSE)</f>
        <v>61</v>
      </c>
      <c r="Q63" s="3">
        <f ca="1">VLOOKUP($A63&amp;$B63,data!$A:$U,13,FALSE)</f>
        <v>4</v>
      </c>
      <c r="R63" s="3">
        <f ca="1">VLOOKUP($A63&amp;$B63,data!$A:$U,5,FALSE)</f>
        <v>80</v>
      </c>
      <c r="S63" s="3">
        <f ca="1">VLOOKUP($A63&amp;$B63,data!$A:$U,6,FALSE)</f>
        <v>76</v>
      </c>
      <c r="T63" s="3">
        <f ca="1">VLOOKUP($A63&amp;$B63,data!$A:$U,7,FALSE)</f>
        <v>4</v>
      </c>
    </row>
    <row r="64" spans="1:20" ht="13" x14ac:dyDescent="0.15">
      <c r="A64" s="3" t="s">
        <v>4</v>
      </c>
      <c r="B64" s="3" t="s">
        <v>254</v>
      </c>
      <c r="C64" s="10">
        <f t="shared" ca="1" si="0"/>
        <v>0.1951219512195122</v>
      </c>
      <c r="D64" s="5">
        <f ca="1">VLOOKUP($A64&amp;$B64,data!$A:$U,20,FALSE)</f>
        <v>44305.550844907397</v>
      </c>
      <c r="E64" s="3">
        <f ca="1">VLOOKUP($A64&amp;$B64,data!$A:$U,21,FALSE)</f>
        <v>0</v>
      </c>
      <c r="F64" s="3">
        <f ca="1">VLOOKUP($A64&amp;$B64,data!$A:$U,17,FALSE)</f>
        <v>11</v>
      </c>
      <c r="G64" s="3">
        <f ca="1">VLOOKUP($A64&amp;$B64,data!$A:$U,18,FALSE)</f>
        <v>11</v>
      </c>
      <c r="H64" s="3">
        <f ca="1">VLOOKUP($A64&amp;$B64,data!$A:$U,19,FALSE)</f>
        <v>0</v>
      </c>
      <c r="I64" s="3">
        <f ca="1">VLOOKUP($A64&amp;$B64,data!$A:$U,14,FALSE)</f>
        <v>24</v>
      </c>
      <c r="J64" s="3">
        <f ca="1">VLOOKUP($A64&amp;$B64,data!$A:$U,15,FALSE)</f>
        <v>20</v>
      </c>
      <c r="K64" s="3">
        <f ca="1">VLOOKUP($A64&amp;$B64,data!$A:$U,16,FALSE)</f>
        <v>4</v>
      </c>
      <c r="L64" s="3">
        <f ca="1">VLOOKUP($A64&amp;$B64,data!$A:$U,8,FALSE)</f>
        <v>70</v>
      </c>
      <c r="M64" s="3">
        <f ca="1">VLOOKUP($A64&amp;$B64,data!$A:$U,9,FALSE)</f>
        <v>56</v>
      </c>
      <c r="N64" s="3">
        <f ca="1">VLOOKUP($A64&amp;$B64,data!$A:$U,10,FALSE)</f>
        <v>14</v>
      </c>
      <c r="O64" s="3">
        <f ca="1">VLOOKUP($A64&amp;$B64,data!$A:$U,11,FALSE)</f>
        <v>0</v>
      </c>
      <c r="P64" s="3">
        <f ca="1">VLOOKUP($A64&amp;$B64,data!$A:$U,12,FALSE)</f>
        <v>0</v>
      </c>
      <c r="Q64" s="3">
        <f ca="1">VLOOKUP($A64&amp;$B64,data!$A:$U,13,FALSE)</f>
        <v>0</v>
      </c>
      <c r="R64" s="3">
        <f ca="1">VLOOKUP($A64&amp;$B64,data!$A:$U,5,FALSE)</f>
        <v>70</v>
      </c>
      <c r="S64" s="3">
        <f ca="1">VLOOKUP($A64&amp;$B64,data!$A:$U,6,FALSE)</f>
        <v>56</v>
      </c>
      <c r="T64" s="3">
        <f ca="1">VLOOKUP($A64&amp;$B64,data!$A:$U,7,FALSE)</f>
        <v>14</v>
      </c>
    </row>
    <row r="65" spans="1:20" ht="13" x14ac:dyDescent="0.15">
      <c r="A65" s="3" t="s">
        <v>4</v>
      </c>
      <c r="B65" s="3" t="s">
        <v>737</v>
      </c>
      <c r="C65" s="10">
        <f t="shared" ca="1" si="0"/>
        <v>1</v>
      </c>
      <c r="D65" s="5">
        <f ca="1">VLOOKUP($A65&amp;$B65,data!$A:$U,20,FALSE)</f>
        <v>44305.360497685098</v>
      </c>
      <c r="E65" s="3" t="str">
        <f ca="1">VLOOKUP($A65&amp;$B65,data!$A:$U,21,FALSE)</f>
        <v>19/04/2021</v>
      </c>
      <c r="F65" s="3">
        <f ca="1">VLOOKUP($A65&amp;$B65,data!$A:$U,17,FALSE)</f>
        <v>2</v>
      </c>
      <c r="G65" s="3">
        <f ca="1">VLOOKUP($A65&amp;$B65,data!$A:$U,18,FALSE)</f>
        <v>0</v>
      </c>
      <c r="H65" s="3">
        <f ca="1">VLOOKUP($A65&amp;$B65,data!$A:$U,19,FALSE)</f>
        <v>2</v>
      </c>
      <c r="I65" s="3">
        <f ca="1">VLOOKUP($A65&amp;$B65,data!$A:$U,14,FALSE)</f>
        <v>2</v>
      </c>
      <c r="J65" s="3">
        <f ca="1">VLOOKUP($A65&amp;$B65,data!$A:$U,15,FALSE)</f>
        <v>0</v>
      </c>
      <c r="K65" s="3">
        <f ca="1">VLOOKUP($A65&amp;$B65,data!$A:$U,16,FALSE)</f>
        <v>2</v>
      </c>
      <c r="L65" s="3">
        <f ca="1">VLOOKUP($A65&amp;$B65,data!$A:$U,8,FALSE)</f>
        <v>2</v>
      </c>
      <c r="M65" s="3">
        <f ca="1">VLOOKUP($A65&amp;$B65,data!$A:$U,9,FALSE)</f>
        <v>0</v>
      </c>
      <c r="N65" s="3">
        <f ca="1">VLOOKUP($A65&amp;$B65,data!$A:$U,10,FALSE)</f>
        <v>2</v>
      </c>
      <c r="O65" s="3">
        <f ca="1">VLOOKUP($A65&amp;$B65,data!$A:$U,11,FALSE)</f>
        <v>2</v>
      </c>
      <c r="P65" s="3">
        <f ca="1">VLOOKUP($A65&amp;$B65,data!$A:$U,12,FALSE)</f>
        <v>0</v>
      </c>
      <c r="Q65" s="3">
        <f ca="1">VLOOKUP($A65&amp;$B65,data!$A:$U,13,FALSE)</f>
        <v>2</v>
      </c>
      <c r="R65" s="3">
        <f ca="1">VLOOKUP($A65&amp;$B65,data!$A:$U,5,FALSE)</f>
        <v>5</v>
      </c>
      <c r="S65" s="3">
        <f ca="1">VLOOKUP($A65&amp;$B65,data!$A:$U,6,FALSE)</f>
        <v>0</v>
      </c>
      <c r="T65" s="3">
        <f ca="1">VLOOKUP($A65&amp;$B65,data!$A:$U,7,FALSE)</f>
        <v>5</v>
      </c>
    </row>
    <row r="66" spans="1:20" ht="13" x14ac:dyDescent="0.15">
      <c r="A66" s="3" t="s">
        <v>4</v>
      </c>
      <c r="B66" s="3" t="s">
        <v>814</v>
      </c>
      <c r="C66" s="10">
        <f t="shared" ca="1" si="0"/>
        <v>1</v>
      </c>
      <c r="D66" s="5">
        <f ca="1">VLOOKUP($A66&amp;$B66,data!$A:$U,20,FALSE)</f>
        <v>44305.3747337963</v>
      </c>
      <c r="E66" s="3" t="str">
        <f ca="1">VLOOKUP($A66&amp;$B66,data!$A:$U,21,FALSE)</f>
        <v>updated 19-04-2021</v>
      </c>
      <c r="F66" s="3">
        <f ca="1">VLOOKUP($A66&amp;$B66,data!$A:$U,17,FALSE)</f>
        <v>1</v>
      </c>
      <c r="G66" s="3">
        <f ca="1">VLOOKUP($A66&amp;$B66,data!$A:$U,18,FALSE)</f>
        <v>0</v>
      </c>
      <c r="H66" s="3">
        <f ca="1">VLOOKUP($A66&amp;$B66,data!$A:$U,19,FALSE)</f>
        <v>1</v>
      </c>
      <c r="I66" s="3">
        <f ca="1">VLOOKUP($A66&amp;$B66,data!$A:$U,14,FALSE)</f>
        <v>0</v>
      </c>
      <c r="J66" s="3">
        <f ca="1">VLOOKUP($A66&amp;$B66,data!$A:$U,15,FALSE)</f>
        <v>0</v>
      </c>
      <c r="K66" s="3">
        <f ca="1">VLOOKUP($A66&amp;$B66,data!$A:$U,16,FALSE)</f>
        <v>0</v>
      </c>
      <c r="L66" s="3">
        <f ca="1">VLOOKUP($A66&amp;$B66,data!$A:$U,8,FALSE)</f>
        <v>14</v>
      </c>
      <c r="M66" s="3">
        <f ca="1">VLOOKUP($A66&amp;$B66,data!$A:$U,9,FALSE)</f>
        <v>0</v>
      </c>
      <c r="N66" s="3">
        <f ca="1">VLOOKUP($A66&amp;$B66,data!$A:$U,10,FALSE)</f>
        <v>14</v>
      </c>
      <c r="O66" s="3">
        <f ca="1">VLOOKUP($A66&amp;$B66,data!$A:$U,11,FALSE)</f>
        <v>1</v>
      </c>
      <c r="P66" s="3">
        <f ca="1">VLOOKUP($A66&amp;$B66,data!$A:$U,12,FALSE)</f>
        <v>0</v>
      </c>
      <c r="Q66" s="3">
        <f ca="1">VLOOKUP($A66&amp;$B66,data!$A:$U,13,FALSE)</f>
        <v>1</v>
      </c>
      <c r="R66" s="3">
        <f ca="1">VLOOKUP($A66&amp;$B66,data!$A:$U,5,FALSE)</f>
        <v>5</v>
      </c>
      <c r="S66" s="3">
        <f ca="1">VLOOKUP($A66&amp;$B66,data!$A:$U,6,FALSE)</f>
        <v>0</v>
      </c>
      <c r="T66" s="3">
        <f ca="1">VLOOKUP($A66&amp;$B66,data!$A:$U,7,FALSE)</f>
        <v>5</v>
      </c>
    </row>
    <row r="67" spans="1:20" ht="13" x14ac:dyDescent="0.15">
      <c r="A67" s="3" t="s">
        <v>4</v>
      </c>
      <c r="B67" s="3" t="s">
        <v>1166</v>
      </c>
      <c r="C67" s="10">
        <f t="shared" ca="1" si="0"/>
        <v>0.24675324675324675</v>
      </c>
      <c r="D67" s="5">
        <f ca="1">VLOOKUP($A67&amp;$B67,data!$A:$U,20,FALSE)</f>
        <v>44305.674537036997</v>
      </c>
      <c r="E67" s="3" t="str">
        <f ca="1">VLOOKUP($A67&amp;$B67,data!$A:$U,21,FALSE)</f>
        <v>Positive cases- 20</v>
      </c>
      <c r="F67" s="3">
        <f ca="1">VLOOKUP($A67&amp;$B67,data!$A:$U,17,FALSE)</f>
        <v>2</v>
      </c>
      <c r="G67" s="3">
        <f ca="1">VLOOKUP($A67&amp;$B67,data!$A:$U,18,FALSE)</f>
        <v>2</v>
      </c>
      <c r="H67" s="3">
        <f ca="1">VLOOKUP($A67&amp;$B67,data!$A:$U,19,FALSE)</f>
        <v>0</v>
      </c>
      <c r="I67" s="3">
        <f ca="1">VLOOKUP($A67&amp;$B67,data!$A:$U,14,FALSE)</f>
        <v>8</v>
      </c>
      <c r="J67" s="3">
        <f ca="1">VLOOKUP($A67&amp;$B67,data!$A:$U,15,FALSE)</f>
        <v>6</v>
      </c>
      <c r="K67" s="3">
        <f ca="1">VLOOKUP($A67&amp;$B67,data!$A:$U,16,FALSE)</f>
        <v>2</v>
      </c>
      <c r="L67" s="3">
        <f ca="1">VLOOKUP($A67&amp;$B67,data!$A:$U,8,FALSE)</f>
        <v>23</v>
      </c>
      <c r="M67" s="3">
        <f ca="1">VLOOKUP($A67&amp;$B67,data!$A:$U,9,FALSE)</f>
        <v>9</v>
      </c>
      <c r="N67" s="3">
        <f ca="1">VLOOKUP($A67&amp;$B67,data!$A:$U,10,FALSE)</f>
        <v>14</v>
      </c>
      <c r="O67" s="3">
        <f ca="1">VLOOKUP($A67&amp;$B67,data!$A:$U,11,FALSE)</f>
        <v>23</v>
      </c>
      <c r="P67" s="3">
        <f ca="1">VLOOKUP($A67&amp;$B67,data!$A:$U,12,FALSE)</f>
        <v>0</v>
      </c>
      <c r="Q67" s="3">
        <f ca="1">VLOOKUP($A67&amp;$B67,data!$A:$U,13,FALSE)</f>
        <v>0</v>
      </c>
      <c r="R67" s="3">
        <f ca="1">VLOOKUP($A67&amp;$B67,data!$A:$U,5,FALSE)</f>
        <v>23</v>
      </c>
      <c r="S67" s="3">
        <f ca="1">VLOOKUP($A67&amp;$B67,data!$A:$U,6,FALSE)</f>
        <v>20</v>
      </c>
      <c r="T67" s="3">
        <f ca="1">VLOOKUP($A67&amp;$B67,data!$A:$U,7,FALSE)</f>
        <v>3</v>
      </c>
    </row>
    <row r="68" spans="1:20" ht="13" x14ac:dyDescent="0.15">
      <c r="A68" s="3" t="s">
        <v>4</v>
      </c>
      <c r="B68" s="3" t="s">
        <v>156</v>
      </c>
      <c r="C68" s="10">
        <f t="shared" ca="1" si="0"/>
        <v>1</v>
      </c>
      <c r="D68" s="5">
        <f ca="1">VLOOKUP($A68&amp;$B68,data!$A:$U,20,FALSE)</f>
        <v>44264.765300925901</v>
      </c>
      <c r="E68" s="3" t="str">
        <f ca="1">VLOOKUP($A68&amp;$B68,data!$A:$U,21,FALSE)</f>
        <v>09.03.2021</v>
      </c>
      <c r="F68" s="3">
        <f ca="1">VLOOKUP($A68&amp;$B68,data!$A:$U,17,FALSE)</f>
        <v>1</v>
      </c>
      <c r="G68" s="3">
        <f ca="1">VLOOKUP($A68&amp;$B68,data!$A:$U,18,FALSE)</f>
        <v>0</v>
      </c>
      <c r="H68" s="3">
        <f ca="1">VLOOKUP($A68&amp;$B68,data!$A:$U,19,FALSE)</f>
        <v>1</v>
      </c>
      <c r="I68" s="3">
        <f ca="1">VLOOKUP($A68&amp;$B68,data!$A:$U,14,FALSE)</f>
        <v>1</v>
      </c>
      <c r="J68" s="3">
        <f ca="1">VLOOKUP($A68&amp;$B68,data!$A:$U,15,FALSE)</f>
        <v>0</v>
      </c>
      <c r="K68" s="3">
        <f ca="1">VLOOKUP($A68&amp;$B68,data!$A:$U,16,FALSE)</f>
        <v>1</v>
      </c>
      <c r="L68" s="3">
        <f ca="1">VLOOKUP($A68&amp;$B68,data!$A:$U,8,FALSE)</f>
        <v>4</v>
      </c>
      <c r="M68" s="3">
        <f ca="1">VLOOKUP($A68&amp;$B68,data!$A:$U,9,FALSE)</f>
        <v>0</v>
      </c>
      <c r="N68" s="3">
        <f ca="1">VLOOKUP($A68&amp;$B68,data!$A:$U,10,FALSE)</f>
        <v>4</v>
      </c>
      <c r="O68" s="3">
        <f ca="1">VLOOKUP($A68&amp;$B68,data!$A:$U,11,FALSE)</f>
        <v>0</v>
      </c>
      <c r="P68" s="3">
        <f ca="1">VLOOKUP($A68&amp;$B68,data!$A:$U,12,FALSE)</f>
        <v>0</v>
      </c>
      <c r="Q68" s="3">
        <f ca="1">VLOOKUP($A68&amp;$B68,data!$A:$U,13,FALSE)</f>
        <v>0</v>
      </c>
      <c r="R68" s="3">
        <f ca="1">VLOOKUP($A68&amp;$B68,data!$A:$U,5,FALSE)</f>
        <v>4</v>
      </c>
      <c r="S68" s="3">
        <f ca="1">VLOOKUP($A68&amp;$B68,data!$A:$U,6,FALSE)</f>
        <v>0</v>
      </c>
      <c r="T68" s="3">
        <f ca="1">VLOOKUP($A68&amp;$B68,data!$A:$U,7,FALSE)</f>
        <v>4</v>
      </c>
    </row>
    <row r="69" spans="1:20" ht="13" x14ac:dyDescent="0.15">
      <c r="A69" s="3" t="s">
        <v>4</v>
      </c>
      <c r="B69" s="3" t="s">
        <v>160</v>
      </c>
      <c r="C69" s="10">
        <f t="shared" ca="1" si="0"/>
        <v>0.18181818181818182</v>
      </c>
      <c r="D69" s="5">
        <f ca="1">VLOOKUP($A69&amp;$B69,data!$A:$U,20,FALSE)</f>
        <v>44305.4110069444</v>
      </c>
      <c r="E69" s="3">
        <f ca="1">VLOOKUP($A69&amp;$B69,data!$A:$U,21,FALSE)</f>
        <v>0</v>
      </c>
      <c r="F69" s="3">
        <f ca="1">VLOOKUP($A69&amp;$B69,data!$A:$U,17,FALSE)</f>
        <v>1</v>
      </c>
      <c r="G69" s="3">
        <f ca="1">VLOOKUP($A69&amp;$B69,data!$A:$U,18,FALSE)</f>
        <v>0</v>
      </c>
      <c r="H69" s="3">
        <f ca="1">VLOOKUP($A69&amp;$B69,data!$A:$U,19,FALSE)</f>
        <v>0</v>
      </c>
      <c r="I69" s="3">
        <f ca="1">VLOOKUP($A69&amp;$B69,data!$A:$U,14,FALSE)</f>
        <v>2</v>
      </c>
      <c r="J69" s="3">
        <f ca="1">VLOOKUP($A69&amp;$B69,data!$A:$U,15,FALSE)</f>
        <v>0</v>
      </c>
      <c r="K69" s="3">
        <f ca="1">VLOOKUP($A69&amp;$B69,data!$A:$U,16,FALSE)</f>
        <v>0</v>
      </c>
      <c r="L69" s="3">
        <f ca="1">VLOOKUP($A69&amp;$B69,data!$A:$U,8,FALSE)</f>
        <v>10</v>
      </c>
      <c r="M69" s="3">
        <f ca="1">VLOOKUP($A69&amp;$B69,data!$A:$U,9,FALSE)</f>
        <v>8</v>
      </c>
      <c r="N69" s="3">
        <f ca="1">VLOOKUP($A69&amp;$B69,data!$A:$U,10,FALSE)</f>
        <v>2</v>
      </c>
      <c r="O69" s="3">
        <f ca="1">VLOOKUP($A69&amp;$B69,data!$A:$U,11,FALSE)</f>
        <v>0</v>
      </c>
      <c r="P69" s="3">
        <f ca="1">VLOOKUP($A69&amp;$B69,data!$A:$U,12,FALSE)</f>
        <v>0</v>
      </c>
      <c r="Q69" s="3">
        <f ca="1">VLOOKUP($A69&amp;$B69,data!$A:$U,13,FALSE)</f>
        <v>0</v>
      </c>
      <c r="R69" s="3">
        <f ca="1">VLOOKUP($A69&amp;$B69,data!$A:$U,5,FALSE)</f>
        <v>10</v>
      </c>
      <c r="S69" s="3">
        <f ca="1">VLOOKUP($A69&amp;$B69,data!$A:$U,6,FALSE)</f>
        <v>8</v>
      </c>
      <c r="T69" s="3">
        <f ca="1">VLOOKUP($A69&amp;$B69,data!$A:$U,7,FALSE)</f>
        <v>2</v>
      </c>
    </row>
    <row r="70" spans="1:20" ht="13" x14ac:dyDescent="0.15">
      <c r="A70" s="3" t="s">
        <v>4</v>
      </c>
      <c r="B70" s="3" t="s">
        <v>244</v>
      </c>
      <c r="C70" s="10">
        <f t="shared" ca="1" si="0"/>
        <v>0.15</v>
      </c>
      <c r="D70" s="5">
        <f ca="1">VLOOKUP($A70&amp;$B70,data!$A:$U,20,FALSE)</f>
        <v>44305.341446759201</v>
      </c>
      <c r="E70" s="3" t="str">
        <f ca="1">VLOOKUP($A70&amp;$B70,data!$A:$U,21,FALSE)</f>
        <v>19.04.2021</v>
      </c>
      <c r="F70" s="3">
        <f ca="1">VLOOKUP($A70&amp;$B70,data!$A:$U,17,FALSE)</f>
        <v>3</v>
      </c>
      <c r="G70" s="3">
        <f ca="1">VLOOKUP($A70&amp;$B70,data!$A:$U,18,FALSE)</f>
        <v>3</v>
      </c>
      <c r="H70" s="3">
        <f ca="1">VLOOKUP($A70&amp;$B70,data!$A:$U,19,FALSE)</f>
        <v>0</v>
      </c>
      <c r="I70" s="3">
        <f ca="1">VLOOKUP($A70&amp;$B70,data!$A:$U,14,FALSE)</f>
        <v>5</v>
      </c>
      <c r="J70" s="3">
        <f ca="1">VLOOKUP($A70&amp;$B70,data!$A:$U,15,FALSE)</f>
        <v>5</v>
      </c>
      <c r="K70" s="3">
        <f ca="1">VLOOKUP($A70&amp;$B70,data!$A:$U,16,FALSE)</f>
        <v>0</v>
      </c>
      <c r="L70" s="3">
        <f ca="1">VLOOKUP($A70&amp;$B70,data!$A:$U,8,FALSE)</f>
        <v>35</v>
      </c>
      <c r="M70" s="3">
        <f ca="1">VLOOKUP($A70&amp;$B70,data!$A:$U,9,FALSE)</f>
        <v>29</v>
      </c>
      <c r="N70" s="3">
        <f ca="1">VLOOKUP($A70&amp;$B70,data!$A:$U,10,FALSE)</f>
        <v>6</v>
      </c>
      <c r="O70" s="3">
        <f ca="1">VLOOKUP($A70&amp;$B70,data!$A:$U,11,FALSE)</f>
        <v>0</v>
      </c>
      <c r="P70" s="3">
        <f ca="1">VLOOKUP($A70&amp;$B70,data!$A:$U,12,FALSE)</f>
        <v>0</v>
      </c>
      <c r="Q70" s="3">
        <f ca="1">VLOOKUP($A70&amp;$B70,data!$A:$U,13,FALSE)</f>
        <v>0</v>
      </c>
      <c r="R70" s="3">
        <f ca="1">VLOOKUP($A70&amp;$B70,data!$A:$U,5,FALSE)</f>
        <v>40</v>
      </c>
      <c r="S70" s="3">
        <f ca="1">VLOOKUP($A70&amp;$B70,data!$A:$U,6,FALSE)</f>
        <v>34</v>
      </c>
      <c r="T70" s="3">
        <f ca="1">VLOOKUP($A70&amp;$B70,data!$A:$U,7,FALSE)</f>
        <v>6</v>
      </c>
    </row>
    <row r="71" spans="1:20" ht="13" x14ac:dyDescent="0.15">
      <c r="A71" s="3" t="s">
        <v>4</v>
      </c>
      <c r="B71" s="3" t="s">
        <v>809</v>
      </c>
      <c r="C71" s="10">
        <f t="shared" ca="1" si="0"/>
        <v>0.37777777777777777</v>
      </c>
      <c r="D71" s="5">
        <f ca="1">VLOOKUP($A71&amp;$B71,data!$A:$U,20,FALSE)</f>
        <v>44305.569016203699</v>
      </c>
      <c r="E71" s="3" t="str">
        <f ca="1">VLOOKUP($A71&amp;$B71,data!$A:$U,21,FALSE)</f>
        <v>Updated 19/04/2021</v>
      </c>
      <c r="F71" s="3">
        <f ca="1">VLOOKUP($A71&amp;$B71,data!$A:$U,17,FALSE)</f>
        <v>2</v>
      </c>
      <c r="G71" s="3">
        <f ca="1">VLOOKUP($A71&amp;$B71,data!$A:$U,18,FALSE)</f>
        <v>0</v>
      </c>
      <c r="H71" s="3">
        <f ca="1">VLOOKUP($A71&amp;$B71,data!$A:$U,19,FALSE)</f>
        <v>2</v>
      </c>
      <c r="I71" s="3">
        <f ca="1">VLOOKUP($A71&amp;$B71,data!$A:$U,14,FALSE)</f>
        <v>5</v>
      </c>
      <c r="J71" s="3">
        <f ca="1">VLOOKUP($A71&amp;$B71,data!$A:$U,15,FALSE)</f>
        <v>0</v>
      </c>
      <c r="K71" s="3">
        <f ca="1">VLOOKUP($A71&amp;$B71,data!$A:$U,16,FALSE)</f>
        <v>5</v>
      </c>
      <c r="L71" s="3">
        <f ca="1">VLOOKUP($A71&amp;$B71,data!$A:$U,8,FALSE)</f>
        <v>20</v>
      </c>
      <c r="M71" s="3">
        <f ca="1">VLOOKUP($A71&amp;$B71,data!$A:$U,9,FALSE)</f>
        <v>14</v>
      </c>
      <c r="N71" s="3">
        <f ca="1">VLOOKUP($A71&amp;$B71,data!$A:$U,10,FALSE)</f>
        <v>6</v>
      </c>
      <c r="O71" s="3">
        <f ca="1">VLOOKUP($A71&amp;$B71,data!$A:$U,11,FALSE)</f>
        <v>0</v>
      </c>
      <c r="P71" s="3">
        <f ca="1">VLOOKUP($A71&amp;$B71,data!$A:$U,12,FALSE)</f>
        <v>0</v>
      </c>
      <c r="Q71" s="3">
        <f ca="1">VLOOKUP($A71&amp;$B71,data!$A:$U,13,FALSE)</f>
        <v>0</v>
      </c>
      <c r="R71" s="3">
        <f ca="1">VLOOKUP($A71&amp;$B71,data!$A:$U,5,FALSE)</f>
        <v>20</v>
      </c>
      <c r="S71" s="3">
        <f ca="1">VLOOKUP($A71&amp;$B71,data!$A:$U,6,FALSE)</f>
        <v>14</v>
      </c>
      <c r="T71" s="3">
        <f ca="1">VLOOKUP($A71&amp;$B71,data!$A:$U,7,FALSE)</f>
        <v>6</v>
      </c>
    </row>
    <row r="72" spans="1:20" ht="13" x14ac:dyDescent="0.15">
      <c r="A72" s="3" t="s">
        <v>4</v>
      </c>
      <c r="B72" s="3" t="s">
        <v>257</v>
      </c>
      <c r="C72" s="10">
        <f t="shared" ca="1" si="0"/>
        <v>2.8571428571428571E-2</v>
      </c>
      <c r="D72" s="5">
        <f ca="1">VLOOKUP($A72&amp;$B72,data!$A:$U,20,FALSE)</f>
        <v>44305.3977199074</v>
      </c>
      <c r="E72" s="3">
        <f ca="1">VLOOKUP($A72&amp;$B72,data!$A:$U,21,FALSE)</f>
        <v>0</v>
      </c>
      <c r="F72" s="3">
        <f ca="1">VLOOKUP($A72&amp;$B72,data!$A:$U,17,FALSE)</f>
        <v>6</v>
      </c>
      <c r="G72" s="3">
        <f ca="1">VLOOKUP($A72&amp;$B72,data!$A:$U,18,FALSE)</f>
        <v>1</v>
      </c>
      <c r="H72" s="3">
        <f ca="1">VLOOKUP($A72&amp;$B72,data!$A:$U,19,FALSE)</f>
        <v>5</v>
      </c>
      <c r="I72" s="3">
        <f ca="1">VLOOKUP($A72&amp;$B72,data!$A:$U,14,FALSE)</f>
        <v>8</v>
      </c>
      <c r="J72" s="3">
        <f ca="1">VLOOKUP($A72&amp;$B72,data!$A:$U,15,FALSE)</f>
        <v>8</v>
      </c>
      <c r="K72" s="3">
        <f ca="1">VLOOKUP($A72&amp;$B72,data!$A:$U,16,FALSE)</f>
        <v>0</v>
      </c>
      <c r="L72" s="3">
        <f ca="1">VLOOKUP($A72&amp;$B72,data!$A:$U,8,FALSE)</f>
        <v>62</v>
      </c>
      <c r="M72" s="3">
        <f ca="1">VLOOKUP($A72&amp;$B72,data!$A:$U,9,FALSE)</f>
        <v>61</v>
      </c>
      <c r="N72" s="3">
        <f ca="1">VLOOKUP($A72&amp;$B72,data!$A:$U,10,FALSE)</f>
        <v>3</v>
      </c>
      <c r="O72" s="3">
        <f ca="1">VLOOKUP($A72&amp;$B72,data!$A:$U,11,FALSE)</f>
        <v>0</v>
      </c>
      <c r="P72" s="3">
        <f ca="1">VLOOKUP($A72&amp;$B72,data!$A:$U,12,FALSE)</f>
        <v>0</v>
      </c>
      <c r="Q72" s="3">
        <f ca="1">VLOOKUP($A72&amp;$B72,data!$A:$U,13,FALSE)</f>
        <v>0</v>
      </c>
      <c r="R72" s="3">
        <f ca="1">VLOOKUP($A72&amp;$B72,data!$A:$U,5,FALSE)</f>
        <v>70</v>
      </c>
      <c r="S72" s="3">
        <f ca="1">VLOOKUP($A72&amp;$B72,data!$A:$U,6,FALSE)</f>
        <v>69</v>
      </c>
      <c r="T72" s="3">
        <f ca="1">VLOOKUP($A72&amp;$B72,data!$A:$U,7,FALSE)</f>
        <v>1</v>
      </c>
    </row>
    <row r="73" spans="1:20" ht="13" x14ac:dyDescent="0.15">
      <c r="A73" s="3" t="s">
        <v>4</v>
      </c>
      <c r="B73" s="3" t="s">
        <v>743</v>
      </c>
      <c r="C73" s="10">
        <f t="shared" ca="1" si="0"/>
        <v>0.54545454545454541</v>
      </c>
      <c r="D73" s="5">
        <f ca="1">VLOOKUP($A73&amp;$B73,data!$A:$U,20,FALSE)</f>
        <v>44305.322326388799</v>
      </c>
      <c r="E73" s="3" t="str">
        <f ca="1">VLOOKUP($A73&amp;$B73,data!$A:$U,21,FALSE)</f>
        <v>19.04.2021</v>
      </c>
      <c r="F73" s="3">
        <f ca="1">VLOOKUP($A73&amp;$B73,data!$A:$U,17,FALSE)</f>
        <v>2</v>
      </c>
      <c r="G73" s="3">
        <f ca="1">VLOOKUP($A73&amp;$B73,data!$A:$U,18,FALSE)</f>
        <v>0</v>
      </c>
      <c r="H73" s="3">
        <f ca="1">VLOOKUP($A73&amp;$B73,data!$A:$U,19,FALSE)</f>
        <v>2</v>
      </c>
      <c r="I73" s="3">
        <f ca="1">VLOOKUP($A73&amp;$B73,data!$A:$U,14,FALSE)</f>
        <v>3</v>
      </c>
      <c r="J73" s="3">
        <f ca="1">VLOOKUP($A73&amp;$B73,data!$A:$U,15,FALSE)</f>
        <v>0</v>
      </c>
      <c r="K73" s="3">
        <f ca="1">VLOOKUP($A73&amp;$B73,data!$A:$U,16,FALSE)</f>
        <v>3</v>
      </c>
      <c r="L73" s="3">
        <f ca="1">VLOOKUP($A73&amp;$B73,data!$A:$U,8,FALSE)</f>
        <v>2</v>
      </c>
      <c r="M73" s="3">
        <f ca="1">VLOOKUP($A73&amp;$B73,data!$A:$U,9,FALSE)</f>
        <v>2</v>
      </c>
      <c r="N73" s="3">
        <f ca="1">VLOOKUP($A73&amp;$B73,data!$A:$U,10,FALSE)</f>
        <v>0</v>
      </c>
      <c r="O73" s="3">
        <f ca="1">VLOOKUP($A73&amp;$B73,data!$A:$U,11,FALSE)</f>
        <v>0</v>
      </c>
      <c r="P73" s="3">
        <f ca="1">VLOOKUP($A73&amp;$B73,data!$A:$U,12,FALSE)</f>
        <v>0</v>
      </c>
      <c r="Q73" s="3">
        <f ca="1">VLOOKUP($A73&amp;$B73,data!$A:$U,13,FALSE)</f>
        <v>0</v>
      </c>
      <c r="R73" s="3">
        <f ca="1">VLOOKUP($A73&amp;$B73,data!$A:$U,5,FALSE)</f>
        <v>6</v>
      </c>
      <c r="S73" s="3">
        <f ca="1">VLOOKUP($A73&amp;$B73,data!$A:$U,6,FALSE)</f>
        <v>3</v>
      </c>
      <c r="T73" s="3">
        <f ca="1">VLOOKUP($A73&amp;$B73,data!$A:$U,7,FALSE)</f>
        <v>3</v>
      </c>
    </row>
    <row r="74" spans="1:20" ht="13" x14ac:dyDescent="0.15">
      <c r="A74" s="3" t="s">
        <v>4</v>
      </c>
      <c r="B74" s="3" t="s">
        <v>1099</v>
      </c>
      <c r="C74" s="10">
        <f t="shared" ca="1" si="0"/>
        <v>0.1095890410958904</v>
      </c>
      <c r="D74" s="5">
        <f ca="1">VLOOKUP($A74&amp;$B74,data!$A:$U,20,FALSE)</f>
        <v>44305.447673611103</v>
      </c>
      <c r="E74" s="3" t="str">
        <f ca="1">VLOOKUP($A74&amp;$B74,data!$A:$U,21,FALSE)</f>
        <v>19-04-21</v>
      </c>
      <c r="F74" s="3">
        <f ca="1">VLOOKUP($A74&amp;$B74,data!$A:$U,17,FALSE)</f>
        <v>2</v>
      </c>
      <c r="G74" s="3">
        <f ca="1">VLOOKUP($A74&amp;$B74,data!$A:$U,18,FALSE)</f>
        <v>0</v>
      </c>
      <c r="H74" s="3">
        <f ca="1">VLOOKUP($A74&amp;$B74,data!$A:$U,19,FALSE)</f>
        <v>2</v>
      </c>
      <c r="I74" s="3">
        <f ca="1">VLOOKUP($A74&amp;$B74,data!$A:$U,14,FALSE)</f>
        <v>8</v>
      </c>
      <c r="J74" s="3">
        <f ca="1">VLOOKUP($A74&amp;$B74,data!$A:$U,15,FALSE)</f>
        <v>6</v>
      </c>
      <c r="K74" s="3">
        <f ca="1">VLOOKUP($A74&amp;$B74,data!$A:$U,16,FALSE)</f>
        <v>2</v>
      </c>
      <c r="L74" s="3">
        <f ca="1">VLOOKUP($A74&amp;$B74,data!$A:$U,8,FALSE)</f>
        <v>25</v>
      </c>
      <c r="M74" s="3">
        <f ca="1">VLOOKUP($A74&amp;$B74,data!$A:$U,9,FALSE)</f>
        <v>22</v>
      </c>
      <c r="N74" s="3">
        <f ca="1">VLOOKUP($A74&amp;$B74,data!$A:$U,10,FALSE)</f>
        <v>3</v>
      </c>
      <c r="O74" s="3">
        <f ca="1">VLOOKUP($A74&amp;$B74,data!$A:$U,11,FALSE)</f>
        <v>15</v>
      </c>
      <c r="P74" s="3">
        <f ca="1">VLOOKUP($A74&amp;$B74,data!$A:$U,12,FALSE)</f>
        <v>0</v>
      </c>
      <c r="Q74" s="3">
        <f ca="1">VLOOKUP($A74&amp;$B74,data!$A:$U,13,FALSE)</f>
        <v>0</v>
      </c>
      <c r="R74" s="3">
        <f ca="1">VLOOKUP($A74&amp;$B74,data!$A:$U,5,FALSE)</f>
        <v>25</v>
      </c>
      <c r="S74" s="3">
        <f ca="1">VLOOKUP($A74&amp;$B74,data!$A:$U,6,FALSE)</f>
        <v>22</v>
      </c>
      <c r="T74" s="3">
        <f ca="1">VLOOKUP($A74&amp;$B74,data!$A:$U,7,FALSE)</f>
        <v>3</v>
      </c>
    </row>
    <row r="75" spans="1:20" ht="13" x14ac:dyDescent="0.15">
      <c r="A75" s="3" t="s">
        <v>4</v>
      </c>
      <c r="B75" s="3" t="s">
        <v>146</v>
      </c>
      <c r="C75" s="10">
        <f t="shared" ca="1" si="0"/>
        <v>3.3333333333333333E-2</v>
      </c>
      <c r="D75" s="5">
        <f ca="1">VLOOKUP($A75&amp;$B75,data!$A:$U,20,FALSE)</f>
        <v>44303.522951388797</v>
      </c>
      <c r="E75" s="3" t="str">
        <f ca="1">VLOOKUP($A75&amp;$B75,data!$A:$U,21,FALSE)</f>
        <v>17-04-2021</v>
      </c>
      <c r="F75" s="3">
        <f ca="1">VLOOKUP($A75&amp;$B75,data!$A:$U,17,FALSE)</f>
        <v>8</v>
      </c>
      <c r="G75" s="3">
        <f ca="1">VLOOKUP($A75&amp;$B75,data!$A:$U,18,FALSE)</f>
        <v>8</v>
      </c>
      <c r="H75" s="3">
        <f ca="1">VLOOKUP($A75&amp;$B75,data!$A:$U,19,FALSE)</f>
        <v>0</v>
      </c>
      <c r="I75" s="3">
        <f ca="1">VLOOKUP($A75&amp;$B75,data!$A:$U,14,FALSE)</f>
        <v>8</v>
      </c>
      <c r="J75" s="3">
        <f ca="1">VLOOKUP($A75&amp;$B75,data!$A:$U,15,FALSE)</f>
        <v>8</v>
      </c>
      <c r="K75" s="3">
        <f ca="1">VLOOKUP($A75&amp;$B75,data!$A:$U,16,FALSE)</f>
        <v>0</v>
      </c>
      <c r="L75" s="3">
        <f ca="1">VLOOKUP($A75&amp;$B75,data!$A:$U,8,FALSE)</f>
        <v>22</v>
      </c>
      <c r="M75" s="3">
        <f ca="1">VLOOKUP($A75&amp;$B75,data!$A:$U,9,FALSE)</f>
        <v>22</v>
      </c>
      <c r="N75" s="3">
        <f ca="1">VLOOKUP($A75&amp;$B75,data!$A:$U,10,FALSE)</f>
        <v>0</v>
      </c>
      <c r="O75" s="3">
        <f ca="1">VLOOKUP($A75&amp;$B75,data!$A:$U,11,FALSE)</f>
        <v>0</v>
      </c>
      <c r="P75" s="3">
        <f ca="1">VLOOKUP($A75&amp;$B75,data!$A:$U,12,FALSE)</f>
        <v>0</v>
      </c>
      <c r="Q75" s="3">
        <f ca="1">VLOOKUP($A75&amp;$B75,data!$A:$U,13,FALSE)</f>
        <v>0</v>
      </c>
      <c r="R75" s="3">
        <f ca="1">VLOOKUP($A75&amp;$B75,data!$A:$U,5,FALSE)</f>
        <v>30</v>
      </c>
      <c r="S75" s="3">
        <f ca="1">VLOOKUP($A75&amp;$B75,data!$A:$U,6,FALSE)</f>
        <v>28</v>
      </c>
      <c r="T75" s="3">
        <f ca="1">VLOOKUP($A75&amp;$B75,data!$A:$U,7,FALSE)</f>
        <v>2</v>
      </c>
    </row>
    <row r="76" spans="1:20" ht="13" x14ac:dyDescent="0.15">
      <c r="A76" s="3" t="s">
        <v>4</v>
      </c>
      <c r="B76" s="3" t="s">
        <v>157</v>
      </c>
      <c r="C76" s="10">
        <f t="shared" ca="1" si="0"/>
        <v>4.4444444444444446E-2</v>
      </c>
      <c r="D76" s="5">
        <f ca="1">VLOOKUP($A76&amp;$B76,data!$A:$U,20,FALSE)</f>
        <v>44305.413460648102</v>
      </c>
      <c r="E76" s="3" t="str">
        <f ca="1">VLOOKUP($A76&amp;$B76,data!$A:$U,21,FALSE)</f>
        <v>19.04.21</v>
      </c>
      <c r="F76" s="3">
        <f ca="1">VLOOKUP($A76&amp;$B76,data!$A:$U,17,FALSE)</f>
        <v>5</v>
      </c>
      <c r="G76" s="3">
        <f ca="1">VLOOKUP($A76&amp;$B76,data!$A:$U,18,FALSE)</f>
        <v>3</v>
      </c>
      <c r="H76" s="3">
        <f ca="1">VLOOKUP($A76&amp;$B76,data!$A:$U,19,FALSE)</f>
        <v>0</v>
      </c>
      <c r="I76" s="3">
        <f ca="1">VLOOKUP($A76&amp;$B76,data!$A:$U,14,FALSE)</f>
        <v>10</v>
      </c>
      <c r="J76" s="3">
        <f ca="1">VLOOKUP($A76&amp;$B76,data!$A:$U,15,FALSE)</f>
        <v>9</v>
      </c>
      <c r="K76" s="3">
        <f ca="1">VLOOKUP($A76&amp;$B76,data!$A:$U,16,FALSE)</f>
        <v>1</v>
      </c>
      <c r="L76" s="3">
        <f ca="1">VLOOKUP($A76&amp;$B76,data!$A:$U,8,FALSE)</f>
        <v>25</v>
      </c>
      <c r="M76" s="3">
        <f ca="1">VLOOKUP($A76&amp;$B76,data!$A:$U,9,FALSE)</f>
        <v>25</v>
      </c>
      <c r="N76" s="3">
        <f ca="1">VLOOKUP($A76&amp;$B76,data!$A:$U,10,FALSE)</f>
        <v>0</v>
      </c>
      <c r="O76" s="3">
        <f ca="1">VLOOKUP($A76&amp;$B76,data!$A:$U,11,FALSE)</f>
        <v>10</v>
      </c>
      <c r="P76" s="3">
        <f ca="1">VLOOKUP($A76&amp;$B76,data!$A:$U,12,FALSE)</f>
        <v>9</v>
      </c>
      <c r="Q76" s="3">
        <f ca="1">VLOOKUP($A76&amp;$B76,data!$A:$U,13,FALSE)</f>
        <v>1</v>
      </c>
      <c r="R76" s="3">
        <f ca="1">VLOOKUP($A76&amp;$B76,data!$A:$U,5,FALSE)</f>
        <v>45</v>
      </c>
      <c r="S76" s="3">
        <f ca="1">VLOOKUP($A76&amp;$B76,data!$A:$U,6,FALSE)</f>
        <v>43</v>
      </c>
      <c r="T76" s="3">
        <f ca="1">VLOOKUP($A76&amp;$B76,data!$A:$U,7,FALSE)</f>
        <v>2</v>
      </c>
    </row>
    <row r="77" spans="1:20" ht="13" x14ac:dyDescent="0.15">
      <c r="A77" s="3" t="s">
        <v>4</v>
      </c>
      <c r="B77" s="3" t="s">
        <v>173</v>
      </c>
      <c r="C77" s="10">
        <f t="shared" ca="1" si="0"/>
        <v>3.0769230769230771E-2</v>
      </c>
      <c r="D77" s="5">
        <f ca="1">VLOOKUP($A77&amp;$B77,data!$A:$U,20,FALSE)</f>
        <v>44300.397974537002</v>
      </c>
      <c r="E77" s="3" t="str">
        <f ca="1">VLOOKUP($A77&amp;$B77,data!$A:$U,21,FALSE)</f>
        <v>14/04/2013</v>
      </c>
      <c r="F77" s="3">
        <f ca="1">VLOOKUP($A77&amp;$B77,data!$A:$U,17,FALSE)</f>
        <v>6</v>
      </c>
      <c r="G77" s="3">
        <f ca="1">VLOOKUP($A77&amp;$B77,data!$A:$U,18,FALSE)</f>
        <v>6</v>
      </c>
      <c r="H77" s="3">
        <f ca="1">VLOOKUP($A77&amp;$B77,data!$A:$U,19,FALSE)</f>
        <v>0</v>
      </c>
      <c r="I77" s="3">
        <f ca="1">VLOOKUP($A77&amp;$B77,data!$A:$U,14,FALSE)</f>
        <v>10</v>
      </c>
      <c r="J77" s="3">
        <f ca="1">VLOOKUP($A77&amp;$B77,data!$A:$U,15,FALSE)</f>
        <v>10</v>
      </c>
      <c r="K77" s="3">
        <f ca="1">VLOOKUP($A77&amp;$B77,data!$A:$U,16,FALSE)</f>
        <v>0</v>
      </c>
      <c r="L77" s="3">
        <f ca="1">VLOOKUP($A77&amp;$B77,data!$A:$U,8,FALSE)</f>
        <v>60</v>
      </c>
      <c r="M77" s="3">
        <f ca="1">VLOOKUP($A77&amp;$B77,data!$A:$U,9,FALSE)</f>
        <v>58</v>
      </c>
      <c r="N77" s="3">
        <f ca="1">VLOOKUP($A77&amp;$B77,data!$A:$U,10,FALSE)</f>
        <v>2</v>
      </c>
      <c r="O77" s="3">
        <f ca="1">VLOOKUP($A77&amp;$B77,data!$A:$U,11,FALSE)</f>
        <v>0</v>
      </c>
      <c r="P77" s="3">
        <f ca="1">VLOOKUP($A77&amp;$B77,data!$A:$U,12,FALSE)</f>
        <v>0</v>
      </c>
      <c r="Q77" s="3">
        <f ca="1">VLOOKUP($A77&amp;$B77,data!$A:$U,13,FALSE)</f>
        <v>0</v>
      </c>
      <c r="R77" s="3">
        <f ca="1">VLOOKUP($A77&amp;$B77,data!$A:$U,5,FALSE)</f>
        <v>60</v>
      </c>
      <c r="S77" s="3">
        <f ca="1">VLOOKUP($A77&amp;$B77,data!$A:$U,6,FALSE)</f>
        <v>58</v>
      </c>
      <c r="T77" s="3">
        <f ca="1">VLOOKUP($A77&amp;$B77,data!$A:$U,7,FALSE)</f>
        <v>2</v>
      </c>
    </row>
    <row r="78" spans="1:20" ht="13" x14ac:dyDescent="0.15">
      <c r="A78" s="3" t="s">
        <v>4</v>
      </c>
      <c r="B78" s="3" t="s">
        <v>177</v>
      </c>
      <c r="C78" s="10">
        <f t="shared" ca="1" si="0"/>
        <v>5.5555555555555552E-2</v>
      </c>
      <c r="D78" s="5">
        <f ca="1">VLOOKUP($A78&amp;$B78,data!$A:$U,20,FALSE)</f>
        <v>44305.428449074003</v>
      </c>
      <c r="E78" s="3" t="str">
        <f ca="1">VLOOKUP($A78&amp;$B78,data!$A:$U,21,FALSE)</f>
        <v>19.04.2021</v>
      </c>
      <c r="F78" s="3">
        <f ca="1">VLOOKUP($A78&amp;$B78,data!$A:$U,17,FALSE)</f>
        <v>1</v>
      </c>
      <c r="G78" s="3">
        <f ca="1">VLOOKUP($A78&amp;$B78,data!$A:$U,18,FALSE)</f>
        <v>1</v>
      </c>
      <c r="H78" s="3">
        <f ca="1">VLOOKUP($A78&amp;$B78,data!$A:$U,19,FALSE)</f>
        <v>0</v>
      </c>
      <c r="I78" s="3">
        <f ca="1">VLOOKUP($A78&amp;$B78,data!$A:$U,14,FALSE)</f>
        <v>8</v>
      </c>
      <c r="J78" s="3">
        <f ca="1">VLOOKUP($A78&amp;$B78,data!$A:$U,15,FALSE)</f>
        <v>7</v>
      </c>
      <c r="K78" s="3">
        <f ca="1">VLOOKUP($A78&amp;$B78,data!$A:$U,16,FALSE)</f>
        <v>1</v>
      </c>
      <c r="L78" s="3">
        <f ca="1">VLOOKUP($A78&amp;$B78,data!$A:$U,8,FALSE)</f>
        <v>0</v>
      </c>
      <c r="M78" s="3">
        <f ca="1">VLOOKUP($A78&amp;$B78,data!$A:$U,9,FALSE)</f>
        <v>0</v>
      </c>
      <c r="N78" s="3">
        <f ca="1">VLOOKUP($A78&amp;$B78,data!$A:$U,10,FALSE)</f>
        <v>0</v>
      </c>
      <c r="O78" s="3">
        <f ca="1">VLOOKUP($A78&amp;$B78,data!$A:$U,11,FALSE)</f>
        <v>19</v>
      </c>
      <c r="P78" s="3">
        <f ca="1">VLOOKUP($A78&amp;$B78,data!$A:$U,12,FALSE)</f>
        <v>19</v>
      </c>
      <c r="Q78" s="3">
        <f ca="1">VLOOKUP($A78&amp;$B78,data!$A:$U,13,FALSE)</f>
        <v>1</v>
      </c>
      <c r="R78" s="3">
        <f ca="1">VLOOKUP($A78&amp;$B78,data!$A:$U,5,FALSE)</f>
        <v>27</v>
      </c>
      <c r="S78" s="3">
        <f ca="1">VLOOKUP($A78&amp;$B78,data!$A:$U,6,FALSE)</f>
        <v>26</v>
      </c>
      <c r="T78" s="3">
        <f ca="1">VLOOKUP($A78&amp;$B78,data!$A:$U,7,FALSE)</f>
        <v>1</v>
      </c>
    </row>
    <row r="79" spans="1:20" ht="13" x14ac:dyDescent="0.15">
      <c r="A79" s="3" t="s">
        <v>4</v>
      </c>
      <c r="B79" s="3" t="s">
        <v>185</v>
      </c>
      <c r="C79" s="10">
        <f t="shared" ca="1" si="0"/>
        <v>0.11764705882352941</v>
      </c>
      <c r="D79" s="5">
        <f ca="1">VLOOKUP($A79&amp;$B79,data!$A:$U,20,FALSE)</f>
        <v>44305.486782407403</v>
      </c>
      <c r="E79" s="3" t="str">
        <f ca="1">VLOOKUP($A79&amp;$B79,data!$A:$U,21,FALSE)</f>
        <v>19.4.2021</v>
      </c>
      <c r="F79" s="3">
        <f ca="1">VLOOKUP($A79&amp;$B79,data!$A:$U,17,FALSE)</f>
        <v>2</v>
      </c>
      <c r="G79" s="3">
        <f ca="1">VLOOKUP($A79&amp;$B79,data!$A:$U,18,FALSE)</f>
        <v>0</v>
      </c>
      <c r="H79" s="3">
        <f ca="1">VLOOKUP($A79&amp;$B79,data!$A:$U,19,FALSE)</f>
        <v>2</v>
      </c>
      <c r="I79" s="3">
        <f ca="1">VLOOKUP($A79&amp;$B79,data!$A:$U,14,FALSE)</f>
        <v>3</v>
      </c>
      <c r="J79" s="3">
        <f ca="1">VLOOKUP($A79&amp;$B79,data!$A:$U,15,FALSE)</f>
        <v>3</v>
      </c>
      <c r="K79" s="3">
        <f ca="1">VLOOKUP($A79&amp;$B79,data!$A:$U,16,FALSE)</f>
        <v>0</v>
      </c>
      <c r="L79" s="3">
        <f ca="1">VLOOKUP($A79&amp;$B79,data!$A:$U,8,FALSE)</f>
        <v>10</v>
      </c>
      <c r="M79" s="3">
        <f ca="1">VLOOKUP($A79&amp;$B79,data!$A:$U,9,FALSE)</f>
        <v>10</v>
      </c>
      <c r="N79" s="3">
        <f ca="1">VLOOKUP($A79&amp;$B79,data!$A:$U,10,FALSE)</f>
        <v>0</v>
      </c>
      <c r="O79" s="3">
        <f ca="1">VLOOKUP($A79&amp;$B79,data!$A:$U,11,FALSE)</f>
        <v>4</v>
      </c>
      <c r="P79" s="3">
        <f ca="1">VLOOKUP($A79&amp;$B79,data!$A:$U,12,FALSE)</f>
        <v>2</v>
      </c>
      <c r="Q79" s="3">
        <f ca="1">VLOOKUP($A79&amp;$B79,data!$A:$U,13,FALSE)</f>
        <v>2</v>
      </c>
      <c r="R79" s="3">
        <f ca="1">VLOOKUP($A79&amp;$B79,data!$A:$U,5,FALSE)</f>
        <v>17</v>
      </c>
      <c r="S79" s="3">
        <f ca="1">VLOOKUP($A79&amp;$B79,data!$A:$U,6,FALSE)</f>
        <v>15</v>
      </c>
      <c r="T79" s="3">
        <f ca="1">VLOOKUP($A79&amp;$B79,data!$A:$U,7,FALSE)</f>
        <v>2</v>
      </c>
    </row>
    <row r="80" spans="1:20" ht="13" x14ac:dyDescent="0.15">
      <c r="A80" s="3" t="s">
        <v>4</v>
      </c>
      <c r="B80" s="3" t="s">
        <v>191</v>
      </c>
      <c r="C80" s="10">
        <f t="shared" ca="1" si="0"/>
        <v>0.14705882352941177</v>
      </c>
      <c r="D80" s="5">
        <f ca="1">VLOOKUP($A80&amp;$B80,data!$A:$U,20,FALSE)</f>
        <v>44305.308125000003</v>
      </c>
      <c r="E80" s="3" t="str">
        <f ca="1">VLOOKUP($A80&amp;$B80,data!$A:$U,21,FALSE)</f>
        <v>19.04.2021</v>
      </c>
      <c r="F80" s="3">
        <f ca="1">VLOOKUP($A80&amp;$B80,data!$A:$U,17,FALSE)</f>
        <v>2</v>
      </c>
      <c r="G80" s="3">
        <f ca="1">VLOOKUP($A80&amp;$B80,data!$A:$U,18,FALSE)</f>
        <v>0</v>
      </c>
      <c r="H80" s="3">
        <f ca="1">VLOOKUP($A80&amp;$B80,data!$A:$U,19,FALSE)</f>
        <v>2</v>
      </c>
      <c r="I80" s="3">
        <f ca="1">VLOOKUP($A80&amp;$B80,data!$A:$U,14,FALSE)</f>
        <v>4</v>
      </c>
      <c r="J80" s="3">
        <f ca="1">VLOOKUP($A80&amp;$B80,data!$A:$U,15,FALSE)</f>
        <v>3</v>
      </c>
      <c r="K80" s="3">
        <f ca="1">VLOOKUP($A80&amp;$B80,data!$A:$U,16,FALSE)</f>
        <v>1</v>
      </c>
      <c r="L80" s="3">
        <f ca="1">VLOOKUP($A80&amp;$B80,data!$A:$U,8,FALSE)</f>
        <v>15</v>
      </c>
      <c r="M80" s="3">
        <f ca="1">VLOOKUP($A80&amp;$B80,data!$A:$U,9,FALSE)</f>
        <v>13</v>
      </c>
      <c r="N80" s="3">
        <f ca="1">VLOOKUP($A80&amp;$B80,data!$A:$U,10,FALSE)</f>
        <v>2</v>
      </c>
      <c r="O80" s="3">
        <f ca="1">VLOOKUP($A80&amp;$B80,data!$A:$U,11,FALSE)</f>
        <v>0</v>
      </c>
      <c r="P80" s="3">
        <f ca="1">VLOOKUP($A80&amp;$B80,data!$A:$U,12,FALSE)</f>
        <v>0</v>
      </c>
      <c r="Q80" s="3">
        <f ca="1">VLOOKUP($A80&amp;$B80,data!$A:$U,13,FALSE)</f>
        <v>0</v>
      </c>
      <c r="R80" s="3">
        <f ca="1">VLOOKUP($A80&amp;$B80,data!$A:$U,5,FALSE)</f>
        <v>15</v>
      </c>
      <c r="S80" s="3">
        <f ca="1">VLOOKUP($A80&amp;$B80,data!$A:$U,6,FALSE)</f>
        <v>13</v>
      </c>
      <c r="T80" s="3">
        <f ca="1">VLOOKUP($A80&amp;$B80,data!$A:$U,7,FALSE)</f>
        <v>2</v>
      </c>
    </row>
    <row r="81" spans="1:20" ht="13" x14ac:dyDescent="0.15">
      <c r="A81" s="3" t="s">
        <v>4</v>
      </c>
      <c r="B81" s="3" t="s">
        <v>728</v>
      </c>
      <c r="C81" s="10">
        <f t="shared" ca="1" si="0"/>
        <v>1</v>
      </c>
      <c r="D81" s="5">
        <f ca="1">VLOOKUP($A81&amp;$B81,data!$A:$U,20,FALSE)</f>
        <v>44305.399641203701</v>
      </c>
      <c r="E81" s="3" t="str">
        <f ca="1">VLOOKUP($A81&amp;$B81,data!$A:$U,21,FALSE)</f>
        <v>Updated 25 19/04/2021</v>
      </c>
      <c r="F81" s="3">
        <f ca="1">VLOOKUP($A81&amp;$B81,data!$A:$U,17,FALSE)</f>
        <v>1</v>
      </c>
      <c r="G81" s="3">
        <f ca="1">VLOOKUP($A81&amp;$B81,data!$A:$U,18,FALSE)</f>
        <v>0</v>
      </c>
      <c r="H81" s="3">
        <f ca="1">VLOOKUP($A81&amp;$B81,data!$A:$U,19,FALSE)</f>
        <v>1</v>
      </c>
      <c r="I81" s="3">
        <f ca="1">VLOOKUP($A81&amp;$B81,data!$A:$U,14,FALSE)</f>
        <v>2</v>
      </c>
      <c r="J81" s="3">
        <f ca="1">VLOOKUP($A81&amp;$B81,data!$A:$U,15,FALSE)</f>
        <v>0</v>
      </c>
      <c r="K81" s="3">
        <f ca="1">VLOOKUP($A81&amp;$B81,data!$A:$U,16,FALSE)</f>
        <v>2</v>
      </c>
      <c r="L81" s="3">
        <f ca="1">VLOOKUP($A81&amp;$B81,data!$A:$U,8,FALSE)</f>
        <v>2</v>
      </c>
      <c r="M81" s="3">
        <f ca="1">VLOOKUP($A81&amp;$B81,data!$A:$U,9,FALSE)</f>
        <v>0</v>
      </c>
      <c r="N81" s="3">
        <f ca="1">VLOOKUP($A81&amp;$B81,data!$A:$U,10,FALSE)</f>
        <v>2</v>
      </c>
      <c r="O81" s="3">
        <f ca="1">VLOOKUP($A81&amp;$B81,data!$A:$U,11,FALSE)</f>
        <v>2</v>
      </c>
      <c r="P81" s="3">
        <f ca="1">VLOOKUP($A81&amp;$B81,data!$A:$U,12,FALSE)</f>
        <v>0</v>
      </c>
      <c r="Q81" s="3">
        <f ca="1">VLOOKUP($A81&amp;$B81,data!$A:$U,13,FALSE)</f>
        <v>2</v>
      </c>
      <c r="R81" s="3">
        <f ca="1">VLOOKUP($A81&amp;$B81,data!$A:$U,5,FALSE)</f>
        <v>2</v>
      </c>
      <c r="S81" s="3">
        <f ca="1">VLOOKUP($A81&amp;$B81,data!$A:$U,6,FALSE)</f>
        <v>0</v>
      </c>
      <c r="T81" s="3">
        <f ca="1">VLOOKUP($A81&amp;$B81,data!$A:$U,7,FALSE)</f>
        <v>2</v>
      </c>
    </row>
    <row r="82" spans="1:20" ht="13" x14ac:dyDescent="0.15">
      <c r="A82" s="3" t="s">
        <v>4</v>
      </c>
      <c r="B82" s="3" t="s">
        <v>1125</v>
      </c>
      <c r="C82" s="10">
        <f t="shared" ca="1" si="0"/>
        <v>0.46666666666666667</v>
      </c>
      <c r="D82" s="5">
        <f ca="1">VLOOKUP($A82&amp;$B82,data!$A:$U,20,FALSE)</f>
        <v>44305.431354166598</v>
      </c>
      <c r="E82" s="3" t="str">
        <f ca="1">VLOOKUP($A82&amp;$B82,data!$A:$U,21,FALSE)</f>
        <v>19.04.2021</v>
      </c>
      <c r="F82" s="3">
        <f ca="1">VLOOKUP($A82&amp;$B82,data!$A:$U,17,FALSE)</f>
        <v>2</v>
      </c>
      <c r="G82" s="3">
        <f ca="1">VLOOKUP($A82&amp;$B82,data!$A:$U,18,FALSE)</f>
        <v>0</v>
      </c>
      <c r="H82" s="3">
        <f ca="1">VLOOKUP($A82&amp;$B82,data!$A:$U,19,FALSE)</f>
        <v>2</v>
      </c>
      <c r="I82" s="3">
        <f ca="1">VLOOKUP($A82&amp;$B82,data!$A:$U,14,FALSE)</f>
        <v>15</v>
      </c>
      <c r="J82" s="3">
        <f ca="1">VLOOKUP($A82&amp;$B82,data!$A:$U,15,FALSE)</f>
        <v>3</v>
      </c>
      <c r="K82" s="3">
        <f ca="1">VLOOKUP($A82&amp;$B82,data!$A:$U,16,FALSE)</f>
        <v>12</v>
      </c>
      <c r="L82" s="3">
        <f ca="1">VLOOKUP($A82&amp;$B82,data!$A:$U,8,FALSE)</f>
        <v>15</v>
      </c>
      <c r="M82" s="3">
        <f ca="1">VLOOKUP($A82&amp;$B82,data!$A:$U,9,FALSE)</f>
        <v>5</v>
      </c>
      <c r="N82" s="3">
        <f ca="1">VLOOKUP($A82&amp;$B82,data!$A:$U,10,FALSE)</f>
        <v>10</v>
      </c>
      <c r="O82" s="3">
        <f ca="1">VLOOKUP($A82&amp;$B82,data!$A:$U,11,FALSE)</f>
        <v>0</v>
      </c>
      <c r="P82" s="3">
        <f ca="1">VLOOKUP($A82&amp;$B82,data!$A:$U,12,FALSE)</f>
        <v>0</v>
      </c>
      <c r="Q82" s="3">
        <f ca="1">VLOOKUP($A82&amp;$B82,data!$A:$U,13,FALSE)</f>
        <v>0</v>
      </c>
      <c r="R82" s="3">
        <f ca="1">VLOOKUP($A82&amp;$B82,data!$A:$U,5,FALSE)</f>
        <v>30</v>
      </c>
      <c r="S82" s="3">
        <f ca="1">VLOOKUP($A82&amp;$B82,data!$A:$U,6,FALSE)</f>
        <v>24</v>
      </c>
      <c r="T82" s="3">
        <f ca="1">VLOOKUP($A82&amp;$B82,data!$A:$U,7,FALSE)</f>
        <v>6</v>
      </c>
    </row>
    <row r="83" spans="1:20" ht="13" x14ac:dyDescent="0.15">
      <c r="A83" s="3" t="s">
        <v>4</v>
      </c>
      <c r="B83" s="3" t="s">
        <v>159</v>
      </c>
      <c r="C83" s="10">
        <f t="shared" ca="1" si="0"/>
        <v>7.0000000000000007E-2</v>
      </c>
      <c r="D83" s="5">
        <f ca="1">VLOOKUP($A83&amp;$B83,data!$A:$U,20,FALSE)</f>
        <v>44305.438310185098</v>
      </c>
      <c r="E83" s="3" t="str">
        <f ca="1">VLOOKUP($A83&amp;$B83,data!$A:$U,21,FALSE)</f>
        <v>19/04/2021</v>
      </c>
      <c r="F83" s="3">
        <f ca="1">VLOOKUP($A83&amp;$B83,data!$A:$U,17,FALSE)</f>
        <v>3</v>
      </c>
      <c r="G83" s="3">
        <f ca="1">VLOOKUP($A83&amp;$B83,data!$A:$U,18,FALSE)</f>
        <v>1</v>
      </c>
      <c r="H83" s="3">
        <f ca="1">VLOOKUP($A83&amp;$B83,data!$A:$U,19,FALSE)</f>
        <v>2</v>
      </c>
      <c r="I83" s="3">
        <f ca="1">VLOOKUP($A83&amp;$B83,data!$A:$U,14,FALSE)</f>
        <v>5</v>
      </c>
      <c r="J83" s="3">
        <f ca="1">VLOOKUP($A83&amp;$B83,data!$A:$U,15,FALSE)</f>
        <v>5</v>
      </c>
      <c r="K83" s="3">
        <f ca="1">VLOOKUP($A83&amp;$B83,data!$A:$U,16,FALSE)</f>
        <v>0</v>
      </c>
      <c r="L83" s="3">
        <f ca="1">VLOOKUP($A83&amp;$B83,data!$A:$U,8,FALSE)</f>
        <v>35</v>
      </c>
      <c r="M83" s="3">
        <f ca="1">VLOOKUP($A83&amp;$B83,data!$A:$U,9,FALSE)</f>
        <v>35</v>
      </c>
      <c r="N83" s="3">
        <f ca="1">VLOOKUP($A83&amp;$B83,data!$A:$U,10,FALSE)</f>
        <v>0</v>
      </c>
      <c r="O83" s="3">
        <f ca="1">VLOOKUP($A83&amp;$B83,data!$A:$U,11,FALSE)</f>
        <v>10</v>
      </c>
      <c r="P83" s="3">
        <f ca="1">VLOOKUP($A83&amp;$B83,data!$A:$U,12,FALSE)</f>
        <v>0</v>
      </c>
      <c r="Q83" s="3">
        <f ca="1">VLOOKUP($A83&amp;$B83,data!$A:$U,13,FALSE)</f>
        <v>0</v>
      </c>
      <c r="R83" s="3">
        <f ca="1">VLOOKUP($A83&amp;$B83,data!$A:$U,5,FALSE)</f>
        <v>50</v>
      </c>
      <c r="S83" s="3">
        <f ca="1">VLOOKUP($A83&amp;$B83,data!$A:$U,6,FALSE)</f>
        <v>43</v>
      </c>
      <c r="T83" s="3">
        <f ca="1">VLOOKUP($A83&amp;$B83,data!$A:$U,7,FALSE)</f>
        <v>7</v>
      </c>
    </row>
    <row r="84" spans="1:20" ht="13" x14ac:dyDescent="0.15">
      <c r="A84" s="3" t="s">
        <v>4</v>
      </c>
      <c r="B84" s="3" t="s">
        <v>181</v>
      </c>
      <c r="C84" s="10">
        <f t="shared" ca="1" si="0"/>
        <v>0.23</v>
      </c>
      <c r="D84" s="5">
        <f ca="1">VLOOKUP($A84&amp;$B84,data!$A:$U,20,FALSE)</f>
        <v>44299.603055555497</v>
      </c>
      <c r="E84" s="3" t="str">
        <f ca="1">VLOOKUP($A84&amp;$B84,data!$A:$U,21,FALSE)</f>
        <v>13.04.2021</v>
      </c>
      <c r="F84" s="3">
        <f ca="1">VLOOKUP($A84&amp;$B84,data!$A:$U,17,FALSE)</f>
        <v>2</v>
      </c>
      <c r="G84" s="3">
        <f ca="1">VLOOKUP($A84&amp;$B84,data!$A:$U,18,FALSE)</f>
        <v>0</v>
      </c>
      <c r="H84" s="3">
        <f ca="1">VLOOKUP($A84&amp;$B84,data!$A:$U,19,FALSE)</f>
        <v>2</v>
      </c>
      <c r="I84" s="3">
        <f ca="1">VLOOKUP($A84&amp;$B84,data!$A:$U,14,FALSE)</f>
        <v>10</v>
      </c>
      <c r="J84" s="3">
        <f ca="1">VLOOKUP($A84&amp;$B84,data!$A:$U,15,FALSE)</f>
        <v>7</v>
      </c>
      <c r="K84" s="3">
        <f ca="1">VLOOKUP($A84&amp;$B84,data!$A:$U,16,FALSE)</f>
        <v>3</v>
      </c>
      <c r="L84" s="3">
        <f ca="1">VLOOKUP($A84&amp;$B84,data!$A:$U,8,FALSE)</f>
        <v>30</v>
      </c>
      <c r="M84" s="3">
        <f ca="1">VLOOKUP($A84&amp;$B84,data!$A:$U,9,FALSE)</f>
        <v>11</v>
      </c>
      <c r="N84" s="3">
        <f ca="1">VLOOKUP($A84&amp;$B84,data!$A:$U,10,FALSE)</f>
        <v>19</v>
      </c>
      <c r="O84" s="3">
        <f ca="1">VLOOKUP($A84&amp;$B84,data!$A:$U,11,FALSE)</f>
        <v>30</v>
      </c>
      <c r="P84" s="3">
        <f ca="1">VLOOKUP($A84&amp;$B84,data!$A:$U,12,FALSE)</f>
        <v>0</v>
      </c>
      <c r="Q84" s="3">
        <f ca="1">VLOOKUP($A84&amp;$B84,data!$A:$U,13,FALSE)</f>
        <v>0</v>
      </c>
      <c r="R84" s="3">
        <f ca="1">VLOOKUP($A84&amp;$B84,data!$A:$U,5,FALSE)</f>
        <v>30</v>
      </c>
      <c r="S84" s="3">
        <f ca="1">VLOOKUP($A84&amp;$B84,data!$A:$U,6,FALSE)</f>
        <v>29</v>
      </c>
      <c r="T84" s="3">
        <f ca="1">VLOOKUP($A84&amp;$B84,data!$A:$U,7,FALSE)</f>
        <v>1</v>
      </c>
    </row>
    <row r="85" spans="1:20" ht="13" x14ac:dyDescent="0.15">
      <c r="A85" s="3" t="s">
        <v>4</v>
      </c>
      <c r="B85" s="3" t="s">
        <v>217</v>
      </c>
      <c r="C85" s="10">
        <f t="shared" ca="1" si="0"/>
        <v>0</v>
      </c>
      <c r="D85" s="5">
        <f ca="1">VLOOKUP($A85&amp;$B85,data!$A:$U,20,FALSE)</f>
        <v>44305.335509259203</v>
      </c>
      <c r="E85" s="3">
        <f ca="1">VLOOKUP($A85&amp;$B85,data!$A:$U,21,FALSE)</f>
        <v>0</v>
      </c>
      <c r="F85" s="3">
        <f ca="1">VLOOKUP($A85&amp;$B85,data!$A:$U,17,FALSE)</f>
        <v>3</v>
      </c>
      <c r="G85" s="3">
        <f ca="1">VLOOKUP($A85&amp;$B85,data!$A:$U,18,FALSE)</f>
        <v>3</v>
      </c>
      <c r="H85" s="3">
        <f ca="1">VLOOKUP($A85&amp;$B85,data!$A:$U,19,FALSE)</f>
        <v>0</v>
      </c>
      <c r="I85" s="3">
        <f ca="1">VLOOKUP($A85&amp;$B85,data!$A:$U,14,FALSE)</f>
        <v>10</v>
      </c>
      <c r="J85" s="3">
        <f ca="1">VLOOKUP($A85&amp;$B85,data!$A:$U,15,FALSE)</f>
        <v>10</v>
      </c>
      <c r="K85" s="3">
        <f ca="1">VLOOKUP($A85&amp;$B85,data!$A:$U,16,FALSE)</f>
        <v>0</v>
      </c>
      <c r="L85" s="3">
        <f ca="1">VLOOKUP($A85&amp;$B85,data!$A:$U,8,FALSE)</f>
        <v>45</v>
      </c>
      <c r="M85" s="3">
        <f ca="1">VLOOKUP($A85&amp;$B85,data!$A:$U,9,FALSE)</f>
        <v>45</v>
      </c>
      <c r="N85" s="3">
        <f ca="1">VLOOKUP($A85&amp;$B85,data!$A:$U,10,FALSE)</f>
        <v>0</v>
      </c>
      <c r="O85" s="3">
        <f ca="1">VLOOKUP($A85&amp;$B85,data!$A:$U,11,FALSE)</f>
        <v>0</v>
      </c>
      <c r="P85" s="3">
        <f ca="1">VLOOKUP($A85&amp;$B85,data!$A:$U,12,FALSE)</f>
        <v>0</v>
      </c>
      <c r="Q85" s="3">
        <f ca="1">VLOOKUP($A85&amp;$B85,data!$A:$U,13,FALSE)</f>
        <v>0</v>
      </c>
      <c r="R85" s="3">
        <f ca="1">VLOOKUP($A85&amp;$B85,data!$A:$U,5,FALSE)</f>
        <v>55</v>
      </c>
      <c r="S85" s="3">
        <f ca="1">VLOOKUP($A85&amp;$B85,data!$A:$U,6,FALSE)</f>
        <v>55</v>
      </c>
      <c r="T85" s="3">
        <f ca="1">VLOOKUP($A85&amp;$B85,data!$A:$U,7,FALSE)</f>
        <v>0</v>
      </c>
    </row>
    <row r="86" spans="1:20" ht="13" x14ac:dyDescent="0.15">
      <c r="A86" s="3" t="s">
        <v>4</v>
      </c>
      <c r="B86" s="3" t="s">
        <v>819</v>
      </c>
      <c r="C86" s="10">
        <f t="shared" ca="1" si="0"/>
        <v>1.3333333333333334E-2</v>
      </c>
      <c r="D86" s="5">
        <f ca="1">VLOOKUP($A86&amp;$B86,data!$A:$U,20,FALSE)</f>
        <v>44305.301006944399</v>
      </c>
      <c r="E86" s="3">
        <f ca="1">VLOOKUP($A86&amp;$B86,data!$A:$U,21,FALSE)</f>
        <v>0</v>
      </c>
      <c r="F86" s="3">
        <f ca="1">VLOOKUP($A86&amp;$B86,data!$A:$U,17,FALSE)</f>
        <v>6</v>
      </c>
      <c r="G86" s="3">
        <f ca="1">VLOOKUP($A86&amp;$B86,data!$A:$U,18,FALSE)</f>
        <v>5</v>
      </c>
      <c r="H86" s="3">
        <f ca="1">VLOOKUP($A86&amp;$B86,data!$A:$U,19,FALSE)</f>
        <v>1</v>
      </c>
      <c r="I86" s="3">
        <f ca="1">VLOOKUP($A86&amp;$B86,data!$A:$U,14,FALSE)</f>
        <v>30</v>
      </c>
      <c r="J86" s="3">
        <f ca="1">VLOOKUP($A86&amp;$B86,data!$A:$U,15,FALSE)</f>
        <v>30</v>
      </c>
      <c r="K86" s="3">
        <f ca="1">VLOOKUP($A86&amp;$B86,data!$A:$U,16,FALSE)</f>
        <v>0</v>
      </c>
      <c r="L86" s="3">
        <f ca="1">VLOOKUP($A86&amp;$B86,data!$A:$U,8,FALSE)</f>
        <v>20</v>
      </c>
      <c r="M86" s="3">
        <f ca="1">VLOOKUP($A86&amp;$B86,data!$A:$U,9,FALSE)</f>
        <v>20</v>
      </c>
      <c r="N86" s="3">
        <f ca="1">VLOOKUP($A86&amp;$B86,data!$A:$U,10,FALSE)</f>
        <v>0</v>
      </c>
      <c r="O86" s="3">
        <f ca="1">VLOOKUP($A86&amp;$B86,data!$A:$U,11,FALSE)</f>
        <v>25</v>
      </c>
      <c r="P86" s="3">
        <f ca="1">VLOOKUP($A86&amp;$B86,data!$A:$U,12,FALSE)</f>
        <v>24</v>
      </c>
      <c r="Q86" s="3">
        <f ca="1">VLOOKUP($A86&amp;$B86,data!$A:$U,13,FALSE)</f>
        <v>1</v>
      </c>
      <c r="R86" s="3">
        <f ca="1">VLOOKUP($A86&amp;$B86,data!$A:$U,5,FALSE)</f>
        <v>75</v>
      </c>
      <c r="S86" s="3">
        <f ca="1">VLOOKUP($A86&amp;$B86,data!$A:$U,6,FALSE)</f>
        <v>74</v>
      </c>
      <c r="T86" s="3">
        <f ca="1">VLOOKUP($A86&amp;$B86,data!$A:$U,7,FALSE)</f>
        <v>1</v>
      </c>
    </row>
    <row r="87" spans="1:20" ht="13" x14ac:dyDescent="0.15">
      <c r="A87" s="3" t="s">
        <v>4</v>
      </c>
      <c r="B87" s="3" t="s">
        <v>1136</v>
      </c>
      <c r="C87" s="10">
        <f t="shared" ca="1" si="0"/>
        <v>0.2</v>
      </c>
      <c r="D87" s="5">
        <f ca="1">VLOOKUP($A87&amp;$B87,data!$A:$U,20,FALSE)</f>
        <v>44305.324537036999</v>
      </c>
      <c r="E87" s="3" t="str">
        <f ca="1">VLOOKUP($A87&amp;$B87,data!$A:$U,21,FALSE)</f>
        <v>19.04.2021</v>
      </c>
      <c r="F87" s="3">
        <f ca="1">VLOOKUP($A87&amp;$B87,data!$A:$U,17,FALSE)</f>
        <v>0</v>
      </c>
      <c r="G87" s="3">
        <f ca="1">VLOOKUP($A87&amp;$B87,data!$A:$U,18,FALSE)</f>
        <v>0</v>
      </c>
      <c r="H87" s="3">
        <f ca="1">VLOOKUP($A87&amp;$B87,data!$A:$U,19,FALSE)</f>
        <v>0</v>
      </c>
      <c r="I87" s="3">
        <f ca="1">VLOOKUP($A87&amp;$B87,data!$A:$U,14,FALSE)</f>
        <v>0</v>
      </c>
      <c r="J87" s="3">
        <f ca="1">VLOOKUP($A87&amp;$B87,data!$A:$U,15,FALSE)</f>
        <v>0</v>
      </c>
      <c r="K87" s="3">
        <f ca="1">VLOOKUP($A87&amp;$B87,data!$A:$U,16,FALSE)</f>
        <v>0</v>
      </c>
      <c r="L87" s="3">
        <f ca="1">VLOOKUP($A87&amp;$B87,data!$A:$U,8,FALSE)</f>
        <v>15</v>
      </c>
      <c r="M87" s="3">
        <f ca="1">VLOOKUP($A87&amp;$B87,data!$A:$U,9,FALSE)</f>
        <v>11</v>
      </c>
      <c r="N87" s="3">
        <f ca="1">VLOOKUP($A87&amp;$B87,data!$A:$U,10,FALSE)</f>
        <v>4</v>
      </c>
      <c r="O87" s="3">
        <f ca="1">VLOOKUP($A87&amp;$B87,data!$A:$U,11,FALSE)</f>
        <v>5</v>
      </c>
      <c r="P87" s="3">
        <f ca="1">VLOOKUP($A87&amp;$B87,data!$A:$U,12,FALSE)</f>
        <v>2</v>
      </c>
      <c r="Q87" s="3">
        <f ca="1">VLOOKUP($A87&amp;$B87,data!$A:$U,13,FALSE)</f>
        <v>3</v>
      </c>
      <c r="R87" s="3">
        <f ca="1">VLOOKUP($A87&amp;$B87,data!$A:$U,5,FALSE)</f>
        <v>20</v>
      </c>
      <c r="S87" s="3">
        <f ca="1">VLOOKUP($A87&amp;$B87,data!$A:$U,6,FALSE)</f>
        <v>19</v>
      </c>
      <c r="T87" s="3">
        <f ca="1">VLOOKUP($A87&amp;$B87,data!$A:$U,7,FALSE)</f>
        <v>1</v>
      </c>
    </row>
    <row r="88" spans="1:20" ht="13" x14ac:dyDescent="0.15">
      <c r="A88" s="3" t="s">
        <v>4</v>
      </c>
      <c r="B88" s="3" t="s">
        <v>1164</v>
      </c>
      <c r="C88" s="10">
        <f t="shared" ca="1" si="0"/>
        <v>0.37142857142857144</v>
      </c>
      <c r="D88" s="5">
        <f ca="1">VLOOKUP($A88&amp;$B88,data!$A:$U,20,FALSE)</f>
        <v>44305.382997685098</v>
      </c>
      <c r="E88" s="3" t="str">
        <f ca="1">VLOOKUP($A88&amp;$B88,data!$A:$U,21,FALSE)</f>
        <v>19/04/2021</v>
      </c>
      <c r="F88" s="3">
        <f ca="1">VLOOKUP($A88&amp;$B88,data!$A:$U,17,FALSE)</f>
        <v>0</v>
      </c>
      <c r="G88" s="3">
        <f ca="1">VLOOKUP($A88&amp;$B88,data!$A:$U,18,FALSE)</f>
        <v>0</v>
      </c>
      <c r="H88" s="3">
        <f ca="1">VLOOKUP($A88&amp;$B88,data!$A:$U,19,FALSE)</f>
        <v>0</v>
      </c>
      <c r="I88" s="3">
        <f ca="1">VLOOKUP($A88&amp;$B88,data!$A:$U,14,FALSE)</f>
        <v>5</v>
      </c>
      <c r="J88" s="3">
        <f ca="1">VLOOKUP($A88&amp;$B88,data!$A:$U,15,FALSE)</f>
        <v>4</v>
      </c>
      <c r="K88" s="3">
        <f ca="1">VLOOKUP($A88&amp;$B88,data!$A:$U,16,FALSE)</f>
        <v>1</v>
      </c>
      <c r="L88" s="3">
        <f ca="1">VLOOKUP($A88&amp;$B88,data!$A:$U,8,FALSE)</f>
        <v>15</v>
      </c>
      <c r="M88" s="3">
        <f ca="1">VLOOKUP($A88&amp;$B88,data!$A:$U,9,FALSE)</f>
        <v>3</v>
      </c>
      <c r="N88" s="3">
        <f ca="1">VLOOKUP($A88&amp;$B88,data!$A:$U,10,FALSE)</f>
        <v>12</v>
      </c>
      <c r="O88" s="3">
        <f ca="1">VLOOKUP($A88&amp;$B88,data!$A:$U,11,FALSE)</f>
        <v>0</v>
      </c>
      <c r="P88" s="3">
        <f ca="1">VLOOKUP($A88&amp;$B88,data!$A:$U,12,FALSE)</f>
        <v>0</v>
      </c>
      <c r="Q88" s="3">
        <f ca="1">VLOOKUP($A88&amp;$B88,data!$A:$U,13,FALSE)</f>
        <v>0</v>
      </c>
      <c r="R88" s="3">
        <f ca="1">VLOOKUP($A88&amp;$B88,data!$A:$U,5,FALSE)</f>
        <v>15</v>
      </c>
      <c r="S88" s="3">
        <f ca="1">VLOOKUP($A88&amp;$B88,data!$A:$U,6,FALSE)</f>
        <v>15</v>
      </c>
      <c r="T88" s="3">
        <f ca="1">VLOOKUP($A88&amp;$B88,data!$A:$U,7,FALSE)</f>
        <v>0</v>
      </c>
    </row>
    <row r="89" spans="1:20" ht="13" x14ac:dyDescent="0.15">
      <c r="A89" s="3" t="s">
        <v>4</v>
      </c>
      <c r="B89" s="3" t="s">
        <v>1170</v>
      </c>
      <c r="C89" s="10">
        <f t="shared" ca="1" si="0"/>
        <v>0.1875</v>
      </c>
      <c r="D89" s="5">
        <f ca="1">VLOOKUP($A89&amp;$B89,data!$A:$U,20,FALSE)</f>
        <v>44299.631967592497</v>
      </c>
      <c r="E89" s="3" t="str">
        <f ca="1">VLOOKUP($A89&amp;$B89,data!$A:$U,21,FALSE)</f>
        <v>Daily Data Base</v>
      </c>
      <c r="F89" s="3">
        <f ca="1">VLOOKUP($A89&amp;$B89,data!$A:$U,17,FALSE)</f>
        <v>0</v>
      </c>
      <c r="G89" s="3">
        <f ca="1">VLOOKUP($A89&amp;$B89,data!$A:$U,18,FALSE)</f>
        <v>0</v>
      </c>
      <c r="H89" s="3">
        <f ca="1">VLOOKUP($A89&amp;$B89,data!$A:$U,19,FALSE)</f>
        <v>0</v>
      </c>
      <c r="I89" s="3">
        <f ca="1">VLOOKUP($A89&amp;$B89,data!$A:$U,14,FALSE)</f>
        <v>4</v>
      </c>
      <c r="J89" s="3">
        <f ca="1">VLOOKUP($A89&amp;$B89,data!$A:$U,15,FALSE)</f>
        <v>0</v>
      </c>
      <c r="K89" s="3">
        <f ca="1">VLOOKUP($A89&amp;$B89,data!$A:$U,16,FALSE)</f>
        <v>0</v>
      </c>
      <c r="L89" s="3">
        <f ca="1">VLOOKUP($A89&amp;$B89,data!$A:$U,8,FALSE)</f>
        <v>4</v>
      </c>
      <c r="M89" s="3">
        <f ca="1">VLOOKUP($A89&amp;$B89,data!$A:$U,9,FALSE)</f>
        <v>2</v>
      </c>
      <c r="N89" s="3">
        <f ca="1">VLOOKUP($A89&amp;$B89,data!$A:$U,10,FALSE)</f>
        <v>1</v>
      </c>
      <c r="O89" s="3">
        <f ca="1">VLOOKUP($A89&amp;$B89,data!$A:$U,11,FALSE)</f>
        <v>2</v>
      </c>
      <c r="P89" s="3">
        <f ca="1">VLOOKUP($A89&amp;$B89,data!$A:$U,12,FALSE)</f>
        <v>0</v>
      </c>
      <c r="Q89" s="3">
        <f ca="1">VLOOKUP($A89&amp;$B89,data!$A:$U,13,FALSE)</f>
        <v>1</v>
      </c>
      <c r="R89" s="3">
        <f ca="1">VLOOKUP($A89&amp;$B89,data!$A:$U,5,FALSE)</f>
        <v>6</v>
      </c>
      <c r="S89" s="3">
        <f ca="1">VLOOKUP($A89&amp;$B89,data!$A:$U,6,FALSE)</f>
        <v>5</v>
      </c>
      <c r="T89" s="3">
        <f ca="1">VLOOKUP($A89&amp;$B89,data!$A:$U,7,FALSE)</f>
        <v>1</v>
      </c>
    </row>
    <row r="90" spans="1:20" ht="13" x14ac:dyDescent="0.15">
      <c r="A90" s="3" t="s">
        <v>4</v>
      </c>
      <c r="B90" s="3" t="s">
        <v>1172</v>
      </c>
      <c r="C90" s="10">
        <f t="shared" ca="1" si="0"/>
        <v>0.3888888888888889</v>
      </c>
      <c r="D90" s="5">
        <f ca="1">VLOOKUP($A90&amp;$B90,data!$A:$U,20,FALSE)</f>
        <v>44305.713969907403</v>
      </c>
      <c r="E90" s="3">
        <f ca="1">VLOOKUP($A90&amp;$B90,data!$A:$U,21,FALSE)</f>
        <v>0</v>
      </c>
      <c r="F90" s="3">
        <f ca="1">VLOOKUP($A90&amp;$B90,data!$A:$U,17,FALSE)</f>
        <v>4</v>
      </c>
      <c r="G90" s="3">
        <f ca="1">VLOOKUP($A90&amp;$B90,data!$A:$U,18,FALSE)</f>
        <v>0</v>
      </c>
      <c r="H90" s="3">
        <f ca="1">VLOOKUP($A90&amp;$B90,data!$A:$U,19,FALSE)</f>
        <v>0</v>
      </c>
      <c r="I90" s="3">
        <f ca="1">VLOOKUP($A90&amp;$B90,data!$A:$U,14,FALSE)</f>
        <v>5</v>
      </c>
      <c r="J90" s="3">
        <f ca="1">VLOOKUP($A90&amp;$B90,data!$A:$U,15,FALSE)</f>
        <v>2</v>
      </c>
      <c r="K90" s="3">
        <f ca="1">VLOOKUP($A90&amp;$B90,data!$A:$U,16,FALSE)</f>
        <v>3</v>
      </c>
      <c r="L90" s="3">
        <f ca="1">VLOOKUP($A90&amp;$B90,data!$A:$U,8,FALSE)</f>
        <v>10</v>
      </c>
      <c r="M90" s="3">
        <f ca="1">VLOOKUP($A90&amp;$B90,data!$A:$U,9,FALSE)</f>
        <v>7</v>
      </c>
      <c r="N90" s="3">
        <f ca="1">VLOOKUP($A90&amp;$B90,data!$A:$U,10,FALSE)</f>
        <v>3</v>
      </c>
      <c r="O90" s="3">
        <f ca="1">VLOOKUP($A90&amp;$B90,data!$A:$U,11,FALSE)</f>
        <v>6</v>
      </c>
      <c r="P90" s="3">
        <f ca="1">VLOOKUP($A90&amp;$B90,data!$A:$U,12,FALSE)</f>
        <v>3</v>
      </c>
      <c r="Q90" s="3">
        <f ca="1">VLOOKUP($A90&amp;$B90,data!$A:$U,13,FALSE)</f>
        <v>3</v>
      </c>
      <c r="R90" s="3">
        <f ca="1">VLOOKUP($A90&amp;$B90,data!$A:$U,5,FALSE)</f>
        <v>15</v>
      </c>
      <c r="S90" s="3">
        <f ca="1">VLOOKUP($A90&amp;$B90,data!$A:$U,6,FALSE)</f>
        <v>10</v>
      </c>
      <c r="T90" s="3">
        <f ca="1">VLOOKUP($A90&amp;$B90,data!$A:$U,7,FALSE)</f>
        <v>5</v>
      </c>
    </row>
    <row r="91" spans="1:20" ht="13" x14ac:dyDescent="0.15">
      <c r="A91" s="3" t="s">
        <v>4</v>
      </c>
      <c r="B91" s="3" t="s">
        <v>85</v>
      </c>
      <c r="C91" s="10">
        <f t="shared" ca="1" si="0"/>
        <v>0</v>
      </c>
      <c r="D91" s="5">
        <f ca="1">VLOOKUP($A91&amp;$B91,data!$A:$U,20,FALSE)</f>
        <v>44305.328773148103</v>
      </c>
      <c r="E91" s="3" t="str">
        <f ca="1">VLOOKUP($A91&amp;$B91,data!$A:$U,21,FALSE)</f>
        <v>19.04.2021</v>
      </c>
      <c r="F91" s="3">
        <f ca="1">VLOOKUP($A91&amp;$B91,data!$A:$U,17,FALSE)</f>
        <v>20</v>
      </c>
      <c r="G91" s="3">
        <f ca="1">VLOOKUP($A91&amp;$B91,data!$A:$U,18,FALSE)</f>
        <v>20</v>
      </c>
      <c r="H91" s="3">
        <f ca="1">VLOOKUP($A91&amp;$B91,data!$A:$U,19,FALSE)</f>
        <v>0</v>
      </c>
      <c r="I91" s="3">
        <f ca="1">VLOOKUP($A91&amp;$B91,data!$A:$U,14,FALSE)</f>
        <v>20</v>
      </c>
      <c r="J91" s="3">
        <f ca="1">VLOOKUP($A91&amp;$B91,data!$A:$U,15,FALSE)</f>
        <v>20</v>
      </c>
      <c r="K91" s="3">
        <f ca="1">VLOOKUP($A91&amp;$B91,data!$A:$U,16,FALSE)</f>
        <v>0</v>
      </c>
      <c r="L91" s="3">
        <f ca="1">VLOOKUP($A91&amp;$B91,data!$A:$U,8,FALSE)</f>
        <v>40</v>
      </c>
      <c r="M91" s="3">
        <f ca="1">VLOOKUP($A91&amp;$B91,data!$A:$U,9,FALSE)</f>
        <v>40</v>
      </c>
      <c r="N91" s="3">
        <f ca="1">VLOOKUP($A91&amp;$B91,data!$A:$U,10,FALSE)</f>
        <v>0</v>
      </c>
      <c r="O91" s="3">
        <f ca="1">VLOOKUP($A91&amp;$B91,data!$A:$U,11,FALSE)</f>
        <v>40</v>
      </c>
      <c r="P91" s="3">
        <f ca="1">VLOOKUP($A91&amp;$B91,data!$A:$U,12,FALSE)</f>
        <v>40</v>
      </c>
      <c r="Q91" s="3">
        <f ca="1">VLOOKUP($A91&amp;$B91,data!$A:$U,13,FALSE)</f>
        <v>0</v>
      </c>
      <c r="R91" s="3">
        <f ca="1">VLOOKUP($A91&amp;$B91,data!$A:$U,5,FALSE)</f>
        <v>100</v>
      </c>
      <c r="S91" s="3">
        <f ca="1">VLOOKUP($A91&amp;$B91,data!$A:$U,6,FALSE)</f>
        <v>100</v>
      </c>
      <c r="T91" s="3">
        <f ca="1">VLOOKUP($A91&amp;$B91,data!$A:$U,7,FALSE)</f>
        <v>0</v>
      </c>
    </row>
    <row r="92" spans="1:20" ht="13" x14ac:dyDescent="0.15">
      <c r="A92" s="3" t="s">
        <v>4</v>
      </c>
      <c r="B92" s="3" t="s">
        <v>99</v>
      </c>
      <c r="C92" s="10">
        <f t="shared" ca="1" si="0"/>
        <v>0</v>
      </c>
      <c r="D92" s="5">
        <f ca="1">VLOOKUP($A92&amp;$B92,data!$A:$U,20,FALSE)</f>
        <v>44305.664270833302</v>
      </c>
      <c r="E92" s="3" t="str">
        <f ca="1">VLOOKUP($A92&amp;$B92,data!$A:$U,21,FALSE)</f>
        <v>19.04.2021</v>
      </c>
      <c r="F92" s="3">
        <f ca="1">VLOOKUP($A92&amp;$B92,data!$A:$U,17,FALSE)</f>
        <v>2</v>
      </c>
      <c r="G92" s="3">
        <f ca="1">VLOOKUP($A92&amp;$B92,data!$A:$U,18,FALSE)</f>
        <v>0</v>
      </c>
      <c r="H92" s="3">
        <f ca="1">VLOOKUP($A92&amp;$B92,data!$A:$U,19,FALSE)</f>
        <v>0</v>
      </c>
      <c r="I92" s="3">
        <f ca="1">VLOOKUP($A92&amp;$B92,data!$A:$U,14,FALSE)</f>
        <v>4</v>
      </c>
      <c r="J92" s="3">
        <f ca="1">VLOOKUP($A92&amp;$B92,data!$A:$U,15,FALSE)</f>
        <v>4</v>
      </c>
      <c r="K92" s="3">
        <f ca="1">VLOOKUP($A92&amp;$B92,data!$A:$U,16,FALSE)</f>
        <v>0</v>
      </c>
      <c r="L92" s="3">
        <f ca="1">VLOOKUP($A92&amp;$B92,data!$A:$U,8,FALSE)</f>
        <v>18</v>
      </c>
      <c r="M92" s="3">
        <f ca="1">VLOOKUP($A92&amp;$B92,data!$A:$U,9,FALSE)</f>
        <v>18</v>
      </c>
      <c r="N92" s="3">
        <f ca="1">VLOOKUP($A92&amp;$B92,data!$A:$U,10,FALSE)</f>
        <v>0</v>
      </c>
      <c r="O92" s="3">
        <f ca="1">VLOOKUP($A92&amp;$B92,data!$A:$U,11,FALSE)</f>
        <v>3</v>
      </c>
      <c r="P92" s="3">
        <f ca="1">VLOOKUP($A92&amp;$B92,data!$A:$U,12,FALSE)</f>
        <v>0</v>
      </c>
      <c r="Q92" s="3">
        <f ca="1">VLOOKUP($A92&amp;$B92,data!$A:$U,13,FALSE)</f>
        <v>0</v>
      </c>
      <c r="R92" s="3">
        <f ca="1">VLOOKUP($A92&amp;$B92,data!$A:$U,5,FALSE)</f>
        <v>20</v>
      </c>
      <c r="S92" s="3">
        <f ca="1">VLOOKUP($A92&amp;$B92,data!$A:$U,6,FALSE)</f>
        <v>20</v>
      </c>
      <c r="T92" s="3">
        <f ca="1">VLOOKUP($A92&amp;$B92,data!$A:$U,7,FALSE)</f>
        <v>0</v>
      </c>
    </row>
    <row r="93" spans="1:20" ht="13" x14ac:dyDescent="0.15">
      <c r="A93" s="3" t="s">
        <v>4</v>
      </c>
      <c r="B93" s="3" t="s">
        <v>103</v>
      </c>
      <c r="C93" s="10">
        <f t="shared" ca="1" si="0"/>
        <v>0.4</v>
      </c>
      <c r="D93" s="5">
        <f ca="1">VLOOKUP($A93&amp;$B93,data!$A:$U,20,FALSE)</f>
        <v>44304.574513888801</v>
      </c>
      <c r="E93" s="3" t="str">
        <f ca="1">VLOOKUP($A93&amp;$B93,data!$A:$U,21,FALSE)</f>
        <v>4 New case reported in Aysha Hospitals Chennai</v>
      </c>
      <c r="F93" s="3">
        <f ca="1">VLOOKUP($A93&amp;$B93,data!$A:$U,17,FALSE)</f>
        <v>5</v>
      </c>
      <c r="G93" s="3">
        <f ca="1">VLOOKUP($A93&amp;$B93,data!$A:$U,18,FALSE)</f>
        <v>0</v>
      </c>
      <c r="H93" s="3">
        <f ca="1">VLOOKUP($A93&amp;$B93,data!$A:$U,19,FALSE)</f>
        <v>5</v>
      </c>
      <c r="I93" s="3">
        <f ca="1">VLOOKUP($A93&amp;$B93,data!$A:$U,14,FALSE)</f>
        <v>3</v>
      </c>
      <c r="J93" s="3">
        <f ca="1">VLOOKUP($A93&amp;$B93,data!$A:$U,15,FALSE)</f>
        <v>0</v>
      </c>
      <c r="K93" s="3">
        <f ca="1">VLOOKUP($A93&amp;$B93,data!$A:$U,16,FALSE)</f>
        <v>3</v>
      </c>
      <c r="L93" s="3">
        <f ca="1">VLOOKUP($A93&amp;$B93,data!$A:$U,8,FALSE)</f>
        <v>2</v>
      </c>
      <c r="M93" s="3">
        <f ca="1">VLOOKUP($A93&amp;$B93,data!$A:$U,9,FALSE)</f>
        <v>1</v>
      </c>
      <c r="N93" s="3">
        <f ca="1">VLOOKUP($A93&amp;$B93,data!$A:$U,10,FALSE)</f>
        <v>1</v>
      </c>
      <c r="O93" s="3">
        <f ca="1">VLOOKUP($A93&amp;$B93,data!$A:$U,11,FALSE)</f>
        <v>2</v>
      </c>
      <c r="P93" s="3">
        <f ca="1">VLOOKUP($A93&amp;$B93,data!$A:$U,12,FALSE)</f>
        <v>0</v>
      </c>
      <c r="Q93" s="3">
        <f ca="1">VLOOKUP($A93&amp;$B93,data!$A:$U,13,FALSE)</f>
        <v>2</v>
      </c>
      <c r="R93" s="3">
        <f ca="1">VLOOKUP($A93&amp;$B93,data!$A:$U,5,FALSE)</f>
        <v>8</v>
      </c>
      <c r="S93" s="3">
        <f ca="1">VLOOKUP($A93&amp;$B93,data!$A:$U,6,FALSE)</f>
        <v>8</v>
      </c>
      <c r="T93" s="3">
        <f ca="1">VLOOKUP($A93&amp;$B93,data!$A:$U,7,FALSE)</f>
        <v>0</v>
      </c>
    </row>
    <row r="94" spans="1:20" ht="13" x14ac:dyDescent="0.15">
      <c r="A94" s="3" t="s">
        <v>4</v>
      </c>
      <c r="B94" s="3" t="s">
        <v>106</v>
      </c>
      <c r="C94" s="10">
        <f t="shared" ca="1" si="0"/>
        <v>8.5106382978723402E-2</v>
      </c>
      <c r="D94" s="5">
        <f ca="1">VLOOKUP($A94&amp;$B94,data!$A:$U,20,FALSE)</f>
        <v>44303.4498842592</v>
      </c>
      <c r="E94" s="3">
        <f ca="1">VLOOKUP($A94&amp;$B94,data!$A:$U,21,FALSE)</f>
        <v>18</v>
      </c>
      <c r="F94" s="3">
        <f ca="1">VLOOKUP($A94&amp;$B94,data!$A:$U,17,FALSE)</f>
        <v>2</v>
      </c>
      <c r="G94" s="3">
        <f ca="1">VLOOKUP($A94&amp;$B94,data!$A:$U,18,FALSE)</f>
        <v>0</v>
      </c>
      <c r="H94" s="3">
        <f ca="1">VLOOKUP($A94&amp;$B94,data!$A:$U,19,FALSE)</f>
        <v>2</v>
      </c>
      <c r="I94" s="3">
        <f ca="1">VLOOKUP($A94&amp;$B94,data!$A:$U,14,FALSE)</f>
        <v>3</v>
      </c>
      <c r="J94" s="3">
        <f ca="1">VLOOKUP($A94&amp;$B94,data!$A:$U,15,FALSE)</f>
        <v>3</v>
      </c>
      <c r="K94" s="3">
        <f ca="1">VLOOKUP($A94&amp;$B94,data!$A:$U,16,FALSE)</f>
        <v>0</v>
      </c>
      <c r="L94" s="3">
        <f ca="1">VLOOKUP($A94&amp;$B94,data!$A:$U,8,FALSE)</f>
        <v>18</v>
      </c>
      <c r="M94" s="3">
        <f ca="1">VLOOKUP($A94&amp;$B94,data!$A:$U,9,FALSE)</f>
        <v>6</v>
      </c>
      <c r="N94" s="3">
        <f ca="1">VLOOKUP($A94&amp;$B94,data!$A:$U,10,FALSE)</f>
        <v>4</v>
      </c>
      <c r="O94" s="3">
        <f ca="1">VLOOKUP($A94&amp;$B94,data!$A:$U,11,FALSE)</f>
        <v>8</v>
      </c>
      <c r="P94" s="3">
        <f ca="1">VLOOKUP($A94&amp;$B94,data!$A:$U,12,FALSE)</f>
        <v>0</v>
      </c>
      <c r="Q94" s="3">
        <f ca="1">VLOOKUP($A94&amp;$B94,data!$A:$U,13,FALSE)</f>
        <v>0</v>
      </c>
      <c r="R94" s="3">
        <f ca="1">VLOOKUP($A94&amp;$B94,data!$A:$U,5,FALSE)</f>
        <v>18</v>
      </c>
      <c r="S94" s="3">
        <f ca="1">VLOOKUP($A94&amp;$B94,data!$A:$U,6,FALSE)</f>
        <v>18</v>
      </c>
      <c r="T94" s="3">
        <f ca="1">VLOOKUP($A94&amp;$B94,data!$A:$U,7,FALSE)</f>
        <v>0</v>
      </c>
    </row>
    <row r="95" spans="1:20" ht="13" x14ac:dyDescent="0.15">
      <c r="A95" s="3" t="s">
        <v>4</v>
      </c>
      <c r="B95" s="3" t="s">
        <v>114</v>
      </c>
      <c r="C95" s="10">
        <f t="shared" ca="1" si="0"/>
        <v>0</v>
      </c>
      <c r="D95" s="5">
        <f ca="1">VLOOKUP($A95&amp;$B95,data!$A:$U,20,FALSE)</f>
        <v>44305.319525462903</v>
      </c>
      <c r="E95" s="3" t="str">
        <f ca="1">VLOOKUP($A95&amp;$B95,data!$A:$U,21,FALSE)</f>
        <v>19.04.2021</v>
      </c>
      <c r="F95" s="3">
        <f ca="1">VLOOKUP($A95&amp;$B95,data!$A:$U,17,FALSE)</f>
        <v>2</v>
      </c>
      <c r="G95" s="3">
        <f ca="1">VLOOKUP($A95&amp;$B95,data!$A:$U,18,FALSE)</f>
        <v>0</v>
      </c>
      <c r="H95" s="3">
        <f ca="1">VLOOKUP($A95&amp;$B95,data!$A:$U,19,FALSE)</f>
        <v>2</v>
      </c>
      <c r="I95" s="3">
        <f ca="1">VLOOKUP($A95&amp;$B95,data!$A:$U,14,FALSE)</f>
        <v>5</v>
      </c>
      <c r="J95" s="3">
        <f ca="1">VLOOKUP($A95&amp;$B95,data!$A:$U,15,FALSE)</f>
        <v>5</v>
      </c>
      <c r="K95" s="3">
        <f ca="1">VLOOKUP($A95&amp;$B95,data!$A:$U,16,FALSE)</f>
        <v>0</v>
      </c>
      <c r="L95" s="3">
        <f ca="1">VLOOKUP($A95&amp;$B95,data!$A:$U,8,FALSE)</f>
        <v>65</v>
      </c>
      <c r="M95" s="3">
        <f ca="1">VLOOKUP($A95&amp;$B95,data!$A:$U,9,FALSE)</f>
        <v>65</v>
      </c>
      <c r="N95" s="3">
        <f ca="1">VLOOKUP($A95&amp;$B95,data!$A:$U,10,FALSE)</f>
        <v>0</v>
      </c>
      <c r="O95" s="3">
        <f ca="1">VLOOKUP($A95&amp;$B95,data!$A:$U,11,FALSE)</f>
        <v>0</v>
      </c>
      <c r="P95" s="3">
        <f ca="1">VLOOKUP($A95&amp;$B95,data!$A:$U,12,FALSE)</f>
        <v>0</v>
      </c>
      <c r="Q95" s="3">
        <f ca="1">VLOOKUP($A95&amp;$B95,data!$A:$U,13,FALSE)</f>
        <v>0</v>
      </c>
      <c r="R95" s="3">
        <f ca="1">VLOOKUP($A95&amp;$B95,data!$A:$U,5,FALSE)</f>
        <v>70</v>
      </c>
      <c r="S95" s="3">
        <f ca="1">VLOOKUP($A95&amp;$B95,data!$A:$U,6,FALSE)</f>
        <v>70</v>
      </c>
      <c r="T95" s="3">
        <f ca="1">VLOOKUP($A95&amp;$B95,data!$A:$U,7,FALSE)</f>
        <v>0</v>
      </c>
    </row>
    <row r="96" spans="1:20" ht="13" x14ac:dyDescent="0.15">
      <c r="A96" s="3" t="s">
        <v>4</v>
      </c>
      <c r="B96" s="3" t="s">
        <v>130</v>
      </c>
      <c r="C96" s="10">
        <f t="shared" ca="1" si="0"/>
        <v>0.5</v>
      </c>
      <c r="D96" s="5">
        <f ca="1">VLOOKUP($A96&amp;$B96,data!$A:$U,20,FALSE)</f>
        <v>44305.331793981401</v>
      </c>
      <c r="E96" s="3" t="str">
        <f ca="1">VLOOKUP($A96&amp;$B96,data!$A:$U,21,FALSE)</f>
        <v>updated 01 19/04/2021</v>
      </c>
      <c r="F96" s="3">
        <f ca="1">VLOOKUP($A96&amp;$B96,data!$A:$U,17,FALSE)</f>
        <v>1</v>
      </c>
      <c r="G96" s="3">
        <f ca="1">VLOOKUP($A96&amp;$B96,data!$A:$U,18,FALSE)</f>
        <v>0</v>
      </c>
      <c r="H96" s="3">
        <f ca="1">VLOOKUP($A96&amp;$B96,data!$A:$U,19,FALSE)</f>
        <v>1</v>
      </c>
      <c r="I96" s="3">
        <f ca="1">VLOOKUP($A96&amp;$B96,data!$A:$U,14,FALSE)</f>
        <v>0</v>
      </c>
      <c r="J96" s="3">
        <f ca="1">VLOOKUP($A96&amp;$B96,data!$A:$U,15,FALSE)</f>
        <v>0</v>
      </c>
      <c r="K96" s="3">
        <f ca="1">VLOOKUP($A96&amp;$B96,data!$A:$U,16,FALSE)</f>
        <v>0</v>
      </c>
      <c r="L96" s="3">
        <f ca="1">VLOOKUP($A96&amp;$B96,data!$A:$U,8,FALSE)</f>
        <v>8</v>
      </c>
      <c r="M96" s="3">
        <f ca="1">VLOOKUP($A96&amp;$B96,data!$A:$U,9,FALSE)</f>
        <v>0</v>
      </c>
      <c r="N96" s="3">
        <f ca="1">VLOOKUP($A96&amp;$B96,data!$A:$U,10,FALSE)</f>
        <v>8</v>
      </c>
      <c r="O96" s="3">
        <f ca="1">VLOOKUP($A96&amp;$B96,data!$A:$U,11,FALSE)</f>
        <v>0</v>
      </c>
      <c r="P96" s="3">
        <f ca="1">VLOOKUP($A96&amp;$B96,data!$A:$U,12,FALSE)</f>
        <v>0</v>
      </c>
      <c r="Q96" s="3">
        <f ca="1">VLOOKUP($A96&amp;$B96,data!$A:$U,13,FALSE)</f>
        <v>0</v>
      </c>
      <c r="R96" s="3">
        <f ca="1">VLOOKUP($A96&amp;$B96,data!$A:$U,5,FALSE)</f>
        <v>8</v>
      </c>
      <c r="S96" s="3">
        <f ca="1">VLOOKUP($A96&amp;$B96,data!$A:$U,6,FALSE)</f>
        <v>8</v>
      </c>
      <c r="T96" s="3">
        <f ca="1">VLOOKUP($A96&amp;$B96,data!$A:$U,7,FALSE)</f>
        <v>0</v>
      </c>
    </row>
    <row r="97" spans="1:20" ht="13" x14ac:dyDescent="0.15">
      <c r="A97" s="3" t="s">
        <v>4</v>
      </c>
      <c r="B97" s="3" t="s">
        <v>138</v>
      </c>
      <c r="C97" s="10">
        <f t="shared" ca="1" si="0"/>
        <v>0.12307692307692308</v>
      </c>
      <c r="D97" s="5">
        <f ca="1">VLOOKUP($A97&amp;$B97,data!$A:$U,20,FALSE)</f>
        <v>44302.458483796298</v>
      </c>
      <c r="E97" s="3" t="str">
        <f ca="1">VLOOKUP($A97&amp;$B97,data!$A:$U,21,FALSE)</f>
        <v>16/04/2021</v>
      </c>
      <c r="F97" s="3">
        <f ca="1">VLOOKUP($A97&amp;$B97,data!$A:$U,17,FALSE)</f>
        <v>5</v>
      </c>
      <c r="G97" s="3">
        <f ca="1">VLOOKUP($A97&amp;$B97,data!$A:$U,18,FALSE)</f>
        <v>5</v>
      </c>
      <c r="H97" s="3">
        <f ca="1">VLOOKUP($A97&amp;$B97,data!$A:$U,19,FALSE)</f>
        <v>0</v>
      </c>
      <c r="I97" s="3">
        <f ca="1">VLOOKUP($A97&amp;$B97,data!$A:$U,14,FALSE)</f>
        <v>5</v>
      </c>
      <c r="J97" s="3">
        <f ca="1">VLOOKUP($A97&amp;$B97,data!$A:$U,15,FALSE)</f>
        <v>2</v>
      </c>
      <c r="K97" s="3">
        <f ca="1">VLOOKUP($A97&amp;$B97,data!$A:$U,16,FALSE)</f>
        <v>3</v>
      </c>
      <c r="L97" s="3">
        <f ca="1">VLOOKUP($A97&amp;$B97,data!$A:$U,8,FALSE)</f>
        <v>25</v>
      </c>
      <c r="M97" s="3">
        <f ca="1">VLOOKUP($A97&amp;$B97,data!$A:$U,9,FALSE)</f>
        <v>20</v>
      </c>
      <c r="N97" s="3">
        <f ca="1">VLOOKUP($A97&amp;$B97,data!$A:$U,10,FALSE)</f>
        <v>5</v>
      </c>
      <c r="O97" s="3">
        <f ca="1">VLOOKUP($A97&amp;$B97,data!$A:$U,11,FALSE)</f>
        <v>5</v>
      </c>
      <c r="P97" s="3">
        <f ca="1">VLOOKUP($A97&amp;$B97,data!$A:$U,12,FALSE)</f>
        <v>0</v>
      </c>
      <c r="Q97" s="3">
        <f ca="1">VLOOKUP($A97&amp;$B97,data!$A:$U,13,FALSE)</f>
        <v>0</v>
      </c>
      <c r="R97" s="3">
        <f ca="1">VLOOKUP($A97&amp;$B97,data!$A:$U,5,FALSE)</f>
        <v>30</v>
      </c>
      <c r="S97" s="3">
        <f ca="1">VLOOKUP($A97&amp;$B97,data!$A:$U,6,FALSE)</f>
        <v>30</v>
      </c>
      <c r="T97" s="3">
        <f ca="1">VLOOKUP($A97&amp;$B97,data!$A:$U,7,FALSE)</f>
        <v>0</v>
      </c>
    </row>
    <row r="98" spans="1:20" ht="13" x14ac:dyDescent="0.15">
      <c r="A98" s="3" t="s">
        <v>4</v>
      </c>
      <c r="B98" s="3" t="s">
        <v>142</v>
      </c>
      <c r="C98" s="10">
        <f t="shared" ca="1" si="0"/>
        <v>0</v>
      </c>
      <c r="D98" s="5">
        <f ca="1">VLOOKUP($A98&amp;$B98,data!$A:$U,20,FALSE)</f>
        <v>44305.337141203701</v>
      </c>
      <c r="E98" s="3" t="str">
        <f ca="1">VLOOKUP($A98&amp;$B98,data!$A:$U,21,FALSE)</f>
        <v>19/04/2021</v>
      </c>
      <c r="F98" s="3">
        <f ca="1">VLOOKUP($A98&amp;$B98,data!$A:$U,17,FALSE)</f>
        <v>5</v>
      </c>
      <c r="G98" s="3">
        <f ca="1">VLOOKUP($A98&amp;$B98,data!$A:$U,18,FALSE)</f>
        <v>5</v>
      </c>
      <c r="H98" s="3">
        <f ca="1">VLOOKUP($A98&amp;$B98,data!$A:$U,19,FALSE)</f>
        <v>0</v>
      </c>
      <c r="I98" s="3">
        <f ca="1">VLOOKUP($A98&amp;$B98,data!$A:$U,14,FALSE)</f>
        <v>15</v>
      </c>
      <c r="J98" s="3">
        <f ca="1">VLOOKUP($A98&amp;$B98,data!$A:$U,15,FALSE)</f>
        <v>15</v>
      </c>
      <c r="K98" s="3">
        <f ca="1">VLOOKUP($A98&amp;$B98,data!$A:$U,16,FALSE)</f>
        <v>0</v>
      </c>
      <c r="L98" s="3">
        <f ca="1">VLOOKUP($A98&amp;$B98,data!$A:$U,8,FALSE)</f>
        <v>165</v>
      </c>
      <c r="M98" s="3">
        <f ca="1">VLOOKUP($A98&amp;$B98,data!$A:$U,9,FALSE)</f>
        <v>165</v>
      </c>
      <c r="N98" s="3">
        <f ca="1">VLOOKUP($A98&amp;$B98,data!$A:$U,10,FALSE)</f>
        <v>0</v>
      </c>
      <c r="O98" s="3">
        <f ca="1">VLOOKUP($A98&amp;$B98,data!$A:$U,11,FALSE)</f>
        <v>0</v>
      </c>
      <c r="P98" s="3">
        <f ca="1">VLOOKUP($A98&amp;$B98,data!$A:$U,12,FALSE)</f>
        <v>0</v>
      </c>
      <c r="Q98" s="3">
        <f ca="1">VLOOKUP($A98&amp;$B98,data!$A:$U,13,FALSE)</f>
        <v>0</v>
      </c>
      <c r="R98" s="3">
        <f ca="1">VLOOKUP($A98&amp;$B98,data!$A:$U,5,FALSE)</f>
        <v>180</v>
      </c>
      <c r="S98" s="3">
        <f ca="1">VLOOKUP($A98&amp;$B98,data!$A:$U,6,FALSE)</f>
        <v>180</v>
      </c>
      <c r="T98" s="3">
        <f ca="1">VLOOKUP($A98&amp;$B98,data!$A:$U,7,FALSE)</f>
        <v>0</v>
      </c>
    </row>
    <row r="99" spans="1:20" ht="13" x14ac:dyDescent="0.15">
      <c r="A99" s="3" t="s">
        <v>4</v>
      </c>
      <c r="B99" s="3" t="s">
        <v>147</v>
      </c>
      <c r="C99" s="10">
        <f t="shared" ca="1" si="0"/>
        <v>0</v>
      </c>
      <c r="D99" s="5">
        <f ca="1">VLOOKUP($A99&amp;$B99,data!$A:$U,20,FALSE)</f>
        <v>44305.689004629603</v>
      </c>
      <c r="E99" s="3" t="str">
        <f ca="1">VLOOKUP($A99&amp;$B99,data!$A:$U,21,FALSE)</f>
        <v>C PAP - NIL CASES, BPAP - NIL CASES, Updated</v>
      </c>
      <c r="F99" s="3">
        <f ca="1">VLOOKUP($A99&amp;$B99,data!$A:$U,17,FALSE)</f>
        <v>2</v>
      </c>
      <c r="G99" s="3">
        <f ca="1">VLOOKUP($A99&amp;$B99,data!$A:$U,18,FALSE)</f>
        <v>2</v>
      </c>
      <c r="H99" s="3">
        <f ca="1">VLOOKUP($A99&amp;$B99,data!$A:$U,19,FALSE)</f>
        <v>0</v>
      </c>
      <c r="I99" s="3">
        <f ca="1">VLOOKUP($A99&amp;$B99,data!$A:$U,14,FALSE)</f>
        <v>10</v>
      </c>
      <c r="J99" s="3">
        <f ca="1">VLOOKUP($A99&amp;$B99,data!$A:$U,15,FALSE)</f>
        <v>10</v>
      </c>
      <c r="K99" s="3">
        <f ca="1">VLOOKUP($A99&amp;$B99,data!$A:$U,16,FALSE)</f>
        <v>0</v>
      </c>
      <c r="L99" s="3">
        <f ca="1">VLOOKUP($A99&amp;$B99,data!$A:$U,8,FALSE)</f>
        <v>4</v>
      </c>
      <c r="M99" s="3">
        <f ca="1">VLOOKUP($A99&amp;$B99,data!$A:$U,9,FALSE)</f>
        <v>4</v>
      </c>
      <c r="N99" s="3">
        <f ca="1">VLOOKUP($A99&amp;$B99,data!$A:$U,10,FALSE)</f>
        <v>0</v>
      </c>
      <c r="O99" s="3">
        <f ca="1">VLOOKUP($A99&amp;$B99,data!$A:$U,11,FALSE)</f>
        <v>0</v>
      </c>
      <c r="P99" s="3">
        <f ca="1">VLOOKUP($A99&amp;$B99,data!$A:$U,12,FALSE)</f>
        <v>0</v>
      </c>
      <c r="Q99" s="3">
        <f ca="1">VLOOKUP($A99&amp;$B99,data!$A:$U,13,FALSE)</f>
        <v>0</v>
      </c>
      <c r="R99" s="3">
        <f ca="1">VLOOKUP($A99&amp;$B99,data!$A:$U,5,FALSE)</f>
        <v>0</v>
      </c>
      <c r="S99" s="3">
        <f ca="1">VLOOKUP($A99&amp;$B99,data!$A:$U,6,FALSE)</f>
        <v>0</v>
      </c>
      <c r="T99" s="3">
        <f ca="1">VLOOKUP($A99&amp;$B99,data!$A:$U,7,FALSE)</f>
        <v>0</v>
      </c>
    </row>
    <row r="100" spans="1:20" ht="13" x14ac:dyDescent="0.15">
      <c r="A100" s="3" t="s">
        <v>4</v>
      </c>
      <c r="B100" s="3" t="s">
        <v>158</v>
      </c>
      <c r="C100" s="10">
        <f t="shared" ca="1" si="0"/>
        <v>0</v>
      </c>
      <c r="D100" s="5">
        <f ca="1">VLOOKUP($A100&amp;$B100,data!$A:$U,20,FALSE)</f>
        <v>44305.422453703701</v>
      </c>
      <c r="E100" s="3" t="str">
        <f ca="1">VLOOKUP($A100&amp;$B100,data!$A:$U,21,FALSE)</f>
        <v>19.04.2021</v>
      </c>
      <c r="F100" s="3">
        <f ca="1">VLOOKUP($A100&amp;$B100,data!$A:$U,17,FALSE)</f>
        <v>1</v>
      </c>
      <c r="G100" s="3">
        <f ca="1">VLOOKUP($A100&amp;$B100,data!$A:$U,18,FALSE)</f>
        <v>1</v>
      </c>
      <c r="H100" s="3">
        <f ca="1">VLOOKUP($A100&amp;$B100,data!$A:$U,19,FALSE)</f>
        <v>0</v>
      </c>
      <c r="I100" s="3">
        <f ca="1">VLOOKUP($A100&amp;$B100,data!$A:$U,14,FALSE)</f>
        <v>4</v>
      </c>
      <c r="J100" s="3">
        <f ca="1">VLOOKUP($A100&amp;$B100,data!$A:$U,15,FALSE)</f>
        <v>4</v>
      </c>
      <c r="K100" s="3">
        <f ca="1">VLOOKUP($A100&amp;$B100,data!$A:$U,16,FALSE)</f>
        <v>0</v>
      </c>
      <c r="L100" s="3">
        <f ca="1">VLOOKUP($A100&amp;$B100,data!$A:$U,8,FALSE)</f>
        <v>10</v>
      </c>
      <c r="M100" s="3">
        <f ca="1">VLOOKUP($A100&amp;$B100,data!$A:$U,9,FALSE)</f>
        <v>14</v>
      </c>
      <c r="N100" s="3">
        <f ca="1">VLOOKUP($A100&amp;$B100,data!$A:$U,10,FALSE)</f>
        <v>0</v>
      </c>
      <c r="O100" s="3">
        <f ca="1">VLOOKUP($A100&amp;$B100,data!$A:$U,11,FALSE)</f>
        <v>10</v>
      </c>
      <c r="P100" s="3">
        <f ca="1">VLOOKUP($A100&amp;$B100,data!$A:$U,12,FALSE)</f>
        <v>6</v>
      </c>
      <c r="Q100" s="3">
        <f ca="1">VLOOKUP($A100&amp;$B100,data!$A:$U,13,FALSE)</f>
        <v>0</v>
      </c>
      <c r="R100" s="3">
        <f ca="1">VLOOKUP($A100&amp;$B100,data!$A:$U,5,FALSE)</f>
        <v>14</v>
      </c>
      <c r="S100" s="3">
        <f ca="1">VLOOKUP($A100&amp;$B100,data!$A:$U,6,FALSE)</f>
        <v>14</v>
      </c>
      <c r="T100" s="3">
        <f ca="1">VLOOKUP($A100&amp;$B100,data!$A:$U,7,FALSE)</f>
        <v>0</v>
      </c>
    </row>
    <row r="101" spans="1:20" ht="13" x14ac:dyDescent="0.15">
      <c r="A101" s="3" t="s">
        <v>4</v>
      </c>
      <c r="B101" s="3" t="s">
        <v>169</v>
      </c>
      <c r="C101" s="10">
        <f t="shared" ca="1" si="0"/>
        <v>0</v>
      </c>
      <c r="D101" s="5">
        <f ca="1">VLOOKUP($A101&amp;$B101,data!$A:$U,20,FALSE)</f>
        <v>44305.611481481399</v>
      </c>
      <c r="E101" s="3">
        <f ca="1">VLOOKUP($A101&amp;$B101,data!$A:$U,21,FALSE)</f>
        <v>0</v>
      </c>
      <c r="F101" s="3">
        <f ca="1">VLOOKUP($A101&amp;$B101,data!$A:$U,17,FALSE)</f>
        <v>6</v>
      </c>
      <c r="G101" s="3">
        <f ca="1">VLOOKUP($A101&amp;$B101,data!$A:$U,18,FALSE)</f>
        <v>1</v>
      </c>
      <c r="H101" s="3">
        <f ca="1">VLOOKUP($A101&amp;$B101,data!$A:$U,19,FALSE)</f>
        <v>5</v>
      </c>
      <c r="I101" s="3">
        <f ca="1">VLOOKUP($A101&amp;$B101,data!$A:$U,14,FALSE)</f>
        <v>8</v>
      </c>
      <c r="J101" s="3">
        <f ca="1">VLOOKUP($A101&amp;$B101,data!$A:$U,15,FALSE)</f>
        <v>8</v>
      </c>
      <c r="K101" s="3">
        <f ca="1">VLOOKUP($A101&amp;$B101,data!$A:$U,16,FALSE)</f>
        <v>0</v>
      </c>
      <c r="L101" s="3">
        <f ca="1">VLOOKUP($A101&amp;$B101,data!$A:$U,8,FALSE)</f>
        <v>30</v>
      </c>
      <c r="M101" s="3">
        <f ca="1">VLOOKUP($A101&amp;$B101,data!$A:$U,9,FALSE)</f>
        <v>30</v>
      </c>
      <c r="N101" s="3">
        <f ca="1">VLOOKUP($A101&amp;$B101,data!$A:$U,10,FALSE)</f>
        <v>0</v>
      </c>
      <c r="O101" s="3">
        <f ca="1">VLOOKUP($A101&amp;$B101,data!$A:$U,11,FALSE)</f>
        <v>33</v>
      </c>
      <c r="P101" s="3">
        <f ca="1">VLOOKUP($A101&amp;$B101,data!$A:$U,12,FALSE)</f>
        <v>33</v>
      </c>
      <c r="Q101" s="3">
        <f ca="1">VLOOKUP($A101&amp;$B101,data!$A:$U,13,FALSE)</f>
        <v>0</v>
      </c>
      <c r="R101" s="3">
        <f ca="1">VLOOKUP($A101&amp;$B101,data!$A:$U,5,FALSE)</f>
        <v>63</v>
      </c>
      <c r="S101" s="3">
        <f ca="1">VLOOKUP($A101&amp;$B101,data!$A:$U,6,FALSE)</f>
        <v>63</v>
      </c>
      <c r="T101" s="3">
        <f ca="1">VLOOKUP($A101&amp;$B101,data!$A:$U,7,FALSE)</f>
        <v>0</v>
      </c>
    </row>
    <row r="102" spans="1:20" ht="13" x14ac:dyDescent="0.15">
      <c r="A102" s="3" t="s">
        <v>4</v>
      </c>
      <c r="B102" s="3" t="s">
        <v>186</v>
      </c>
      <c r="C102" s="10">
        <f t="shared" ca="1" si="0"/>
        <v>0</v>
      </c>
      <c r="D102" s="5">
        <f ca="1">VLOOKUP($A102&amp;$B102,data!$A:$U,20,FALSE)</f>
        <v>44305.357337962902</v>
      </c>
      <c r="E102" s="3" t="str">
        <f ca="1">VLOOKUP($A102&amp;$B102,data!$A:$U,21,FALSE)</f>
        <v>19.04.2021</v>
      </c>
      <c r="F102" s="3">
        <f ca="1">VLOOKUP($A102&amp;$B102,data!$A:$U,17,FALSE)</f>
        <v>1</v>
      </c>
      <c r="G102" s="3">
        <f ca="1">VLOOKUP($A102&amp;$B102,data!$A:$U,18,FALSE)</f>
        <v>0</v>
      </c>
      <c r="H102" s="3">
        <f ca="1">VLOOKUP($A102&amp;$B102,data!$A:$U,19,FALSE)</f>
        <v>1</v>
      </c>
      <c r="I102" s="3">
        <f ca="1">VLOOKUP($A102&amp;$B102,data!$A:$U,14,FALSE)</f>
        <v>0</v>
      </c>
      <c r="J102" s="3">
        <f ca="1">VLOOKUP($A102&amp;$B102,data!$A:$U,15,FALSE)</f>
        <v>0</v>
      </c>
      <c r="K102" s="3">
        <f ca="1">VLOOKUP($A102&amp;$B102,data!$A:$U,16,FALSE)</f>
        <v>0</v>
      </c>
      <c r="L102" s="3">
        <f ca="1">VLOOKUP($A102&amp;$B102,data!$A:$U,8,FALSE)</f>
        <v>10</v>
      </c>
      <c r="M102" s="3">
        <f ca="1">VLOOKUP($A102&amp;$B102,data!$A:$U,9,FALSE)</f>
        <v>10</v>
      </c>
      <c r="N102" s="3">
        <f ca="1">VLOOKUP($A102&amp;$B102,data!$A:$U,10,FALSE)</f>
        <v>0</v>
      </c>
      <c r="O102" s="3">
        <f ca="1">VLOOKUP($A102&amp;$B102,data!$A:$U,11,FALSE)</f>
        <v>20</v>
      </c>
      <c r="P102" s="3">
        <f ca="1">VLOOKUP($A102&amp;$B102,data!$A:$U,12,FALSE)</f>
        <v>20</v>
      </c>
      <c r="Q102" s="3">
        <f ca="1">VLOOKUP($A102&amp;$B102,data!$A:$U,13,FALSE)</f>
        <v>0</v>
      </c>
      <c r="R102" s="3">
        <f ca="1">VLOOKUP($A102&amp;$B102,data!$A:$U,5,FALSE)</f>
        <v>30</v>
      </c>
      <c r="S102" s="3">
        <f ca="1">VLOOKUP($A102&amp;$B102,data!$A:$U,6,FALSE)</f>
        <v>30</v>
      </c>
      <c r="T102" s="3">
        <f ca="1">VLOOKUP($A102&amp;$B102,data!$A:$U,7,FALSE)</f>
        <v>0</v>
      </c>
    </row>
    <row r="103" spans="1:20" ht="13" x14ac:dyDescent="0.15">
      <c r="A103" s="3" t="s">
        <v>4</v>
      </c>
      <c r="B103" s="3" t="s">
        <v>192</v>
      </c>
      <c r="C103" s="10">
        <f t="shared" ca="1" si="0"/>
        <v>6.25E-2</v>
      </c>
      <c r="D103" s="5">
        <f ca="1">VLOOKUP($A103&amp;$B103,data!$A:$U,20,FALSE)</f>
        <v>44300.374131944402</v>
      </c>
      <c r="E103" s="3" t="str">
        <f ca="1">VLOOKUP($A103&amp;$B103,data!$A:$U,21,FALSE)</f>
        <v>UPDATED</v>
      </c>
      <c r="F103" s="3">
        <f ca="1">VLOOKUP($A103&amp;$B103,data!$A:$U,17,FALSE)</f>
        <v>4</v>
      </c>
      <c r="G103" s="3">
        <f ca="1">VLOOKUP($A103&amp;$B103,data!$A:$U,18,FALSE)</f>
        <v>0</v>
      </c>
      <c r="H103" s="3">
        <f ca="1">VLOOKUP($A103&amp;$B103,data!$A:$U,19,FALSE)</f>
        <v>4</v>
      </c>
      <c r="I103" s="3">
        <f ca="1">VLOOKUP($A103&amp;$B103,data!$A:$U,14,FALSE)</f>
        <v>5</v>
      </c>
      <c r="J103" s="3">
        <f ca="1">VLOOKUP($A103&amp;$B103,data!$A:$U,15,FALSE)</f>
        <v>5</v>
      </c>
      <c r="K103" s="3">
        <f ca="1">VLOOKUP($A103&amp;$B103,data!$A:$U,16,FALSE)</f>
        <v>0</v>
      </c>
      <c r="L103" s="3">
        <f ca="1">VLOOKUP($A103&amp;$B103,data!$A:$U,8,FALSE)</f>
        <v>15</v>
      </c>
      <c r="M103" s="3">
        <f ca="1">VLOOKUP($A103&amp;$B103,data!$A:$U,9,FALSE)</f>
        <v>15</v>
      </c>
      <c r="N103" s="3">
        <f ca="1">VLOOKUP($A103&amp;$B103,data!$A:$U,10,FALSE)</f>
        <v>0</v>
      </c>
      <c r="O103" s="3">
        <f ca="1">VLOOKUP($A103&amp;$B103,data!$A:$U,11,FALSE)</f>
        <v>20</v>
      </c>
      <c r="P103" s="3">
        <f ca="1">VLOOKUP($A103&amp;$B103,data!$A:$U,12,FALSE)</f>
        <v>0</v>
      </c>
      <c r="Q103" s="3">
        <f ca="1">VLOOKUP($A103&amp;$B103,data!$A:$U,13,FALSE)</f>
        <v>5</v>
      </c>
      <c r="R103" s="3">
        <f ca="1">VLOOKUP($A103&amp;$B103,data!$A:$U,5,FALSE)</f>
        <v>40</v>
      </c>
      <c r="S103" s="3">
        <f ca="1">VLOOKUP($A103&amp;$B103,data!$A:$U,6,FALSE)</f>
        <v>40</v>
      </c>
      <c r="T103" s="3">
        <f ca="1">VLOOKUP($A103&amp;$B103,data!$A:$U,7,FALSE)</f>
        <v>0</v>
      </c>
    </row>
    <row r="104" spans="1:20" ht="13" x14ac:dyDescent="0.15">
      <c r="A104" s="3" t="s">
        <v>4</v>
      </c>
      <c r="B104" s="3" t="s">
        <v>202</v>
      </c>
      <c r="C104" s="10">
        <f t="shared" ca="1" si="0"/>
        <v>0</v>
      </c>
      <c r="D104" s="5">
        <f ca="1">VLOOKUP($A104&amp;$B104,data!$A:$U,20,FALSE)</f>
        <v>44302.342824074003</v>
      </c>
      <c r="E104" s="3" t="str">
        <f ca="1">VLOOKUP($A104&amp;$B104,data!$A:$U,21,FALSE)</f>
        <v>16.4.2021 06.30Am Updated</v>
      </c>
      <c r="F104" s="3">
        <f ca="1">VLOOKUP($A104&amp;$B104,data!$A:$U,17,FALSE)</f>
        <v>2</v>
      </c>
      <c r="G104" s="3">
        <f ca="1">VLOOKUP($A104&amp;$B104,data!$A:$U,18,FALSE)</f>
        <v>0</v>
      </c>
      <c r="H104" s="3">
        <f ca="1">VLOOKUP($A104&amp;$B104,data!$A:$U,19,FALSE)</f>
        <v>2</v>
      </c>
      <c r="I104" s="3">
        <f ca="1">VLOOKUP($A104&amp;$B104,data!$A:$U,14,FALSE)</f>
        <v>4</v>
      </c>
      <c r="J104" s="3">
        <f ca="1">VLOOKUP($A104&amp;$B104,data!$A:$U,15,FALSE)</f>
        <v>4</v>
      </c>
      <c r="K104" s="3">
        <f ca="1">VLOOKUP($A104&amp;$B104,data!$A:$U,16,FALSE)</f>
        <v>0</v>
      </c>
      <c r="L104" s="3">
        <f ca="1">VLOOKUP($A104&amp;$B104,data!$A:$U,8,FALSE)</f>
        <v>20</v>
      </c>
      <c r="M104" s="3">
        <f ca="1">VLOOKUP($A104&amp;$B104,data!$A:$U,9,FALSE)</f>
        <v>20</v>
      </c>
      <c r="N104" s="3">
        <f ca="1">VLOOKUP($A104&amp;$B104,data!$A:$U,10,FALSE)</f>
        <v>0</v>
      </c>
      <c r="O104" s="3">
        <f ca="1">VLOOKUP($A104&amp;$B104,data!$A:$U,11,FALSE)</f>
        <v>0</v>
      </c>
      <c r="P104" s="3">
        <f ca="1">VLOOKUP($A104&amp;$B104,data!$A:$U,12,FALSE)</f>
        <v>0</v>
      </c>
      <c r="Q104" s="3">
        <f ca="1">VLOOKUP($A104&amp;$B104,data!$A:$U,13,FALSE)</f>
        <v>0</v>
      </c>
      <c r="R104" s="3">
        <f ca="1">VLOOKUP($A104&amp;$B104,data!$A:$U,5,FALSE)</f>
        <v>24</v>
      </c>
      <c r="S104" s="3">
        <f ca="1">VLOOKUP($A104&amp;$B104,data!$A:$U,6,FALSE)</f>
        <v>24</v>
      </c>
      <c r="T104" s="3">
        <f ca="1">VLOOKUP($A104&amp;$B104,data!$A:$U,7,FALSE)</f>
        <v>0</v>
      </c>
    </row>
    <row r="105" spans="1:20" ht="13" x14ac:dyDescent="0.15">
      <c r="A105" s="3" t="s">
        <v>4</v>
      </c>
      <c r="B105" s="3" t="s">
        <v>207</v>
      </c>
      <c r="C105" s="10">
        <f t="shared" ca="1" si="0"/>
        <v>0</v>
      </c>
      <c r="D105" s="5">
        <f ca="1">VLOOKUP($A105&amp;$B105,data!$A:$U,20,FALSE)</f>
        <v>44305.308460648099</v>
      </c>
      <c r="E105" s="3" t="str">
        <f ca="1">VLOOKUP($A105&amp;$B105,data!$A:$U,21,FALSE)</f>
        <v>19/04/2021</v>
      </c>
      <c r="F105" s="3">
        <f ca="1">VLOOKUP($A105&amp;$B105,data!$A:$U,17,FALSE)</f>
        <v>4</v>
      </c>
      <c r="G105" s="3">
        <f ca="1">VLOOKUP($A105&amp;$B105,data!$A:$U,18,FALSE)</f>
        <v>4</v>
      </c>
      <c r="H105" s="3">
        <f ca="1">VLOOKUP($A105&amp;$B105,data!$A:$U,19,FALSE)</f>
        <v>0</v>
      </c>
      <c r="I105" s="3">
        <f ca="1">VLOOKUP($A105&amp;$B105,data!$A:$U,14,FALSE)</f>
        <v>30</v>
      </c>
      <c r="J105" s="3">
        <f ca="1">VLOOKUP($A105&amp;$B105,data!$A:$U,15,FALSE)</f>
        <v>30</v>
      </c>
      <c r="K105" s="3">
        <f ca="1">VLOOKUP($A105&amp;$B105,data!$A:$U,16,FALSE)</f>
        <v>0</v>
      </c>
      <c r="L105" s="3">
        <f ca="1">VLOOKUP($A105&amp;$B105,data!$A:$U,8,FALSE)</f>
        <v>20</v>
      </c>
      <c r="M105" s="3">
        <f ca="1">VLOOKUP($A105&amp;$B105,data!$A:$U,9,FALSE)</f>
        <v>20</v>
      </c>
      <c r="N105" s="3">
        <f ca="1">VLOOKUP($A105&amp;$B105,data!$A:$U,10,FALSE)</f>
        <v>0</v>
      </c>
      <c r="O105" s="3">
        <f ca="1">VLOOKUP($A105&amp;$B105,data!$A:$U,11,FALSE)</f>
        <v>0</v>
      </c>
      <c r="P105" s="3">
        <f ca="1">VLOOKUP($A105&amp;$B105,data!$A:$U,12,FALSE)</f>
        <v>0</v>
      </c>
      <c r="Q105" s="3">
        <f ca="1">VLOOKUP($A105&amp;$B105,data!$A:$U,13,FALSE)</f>
        <v>0</v>
      </c>
      <c r="R105" s="3">
        <f ca="1">VLOOKUP($A105&amp;$B105,data!$A:$U,5,FALSE)</f>
        <v>50</v>
      </c>
      <c r="S105" s="3">
        <f ca="1">VLOOKUP($A105&amp;$B105,data!$A:$U,6,FALSE)</f>
        <v>50</v>
      </c>
      <c r="T105" s="3">
        <f ca="1">VLOOKUP($A105&amp;$B105,data!$A:$U,7,FALSE)</f>
        <v>0</v>
      </c>
    </row>
    <row r="106" spans="1:20" ht="13" x14ac:dyDescent="0.15">
      <c r="A106" s="3" t="s">
        <v>4</v>
      </c>
      <c r="B106" s="3" t="s">
        <v>208</v>
      </c>
      <c r="C106" s="10">
        <f t="shared" ca="1" si="0"/>
        <v>0</v>
      </c>
      <c r="D106" s="5">
        <f ca="1">VLOOKUP($A106&amp;$B106,data!$A:$U,20,FALSE)</f>
        <v>44303.364849537</v>
      </c>
      <c r="E106" s="3" t="str">
        <f ca="1">VLOOKUP($A106&amp;$B106,data!$A:$U,21,FALSE)</f>
        <v>13-03-2021</v>
      </c>
      <c r="F106" s="3">
        <f ca="1">VLOOKUP($A106&amp;$B106,data!$A:$U,17,FALSE)</f>
        <v>2</v>
      </c>
      <c r="G106" s="3">
        <f ca="1">VLOOKUP($A106&amp;$B106,data!$A:$U,18,FALSE)</f>
        <v>0</v>
      </c>
      <c r="H106" s="3">
        <f ca="1">VLOOKUP($A106&amp;$B106,data!$A:$U,19,FALSE)</f>
        <v>2</v>
      </c>
      <c r="I106" s="3">
        <f ca="1">VLOOKUP($A106&amp;$B106,data!$A:$U,14,FALSE)</f>
        <v>3</v>
      </c>
      <c r="J106" s="3">
        <f ca="1">VLOOKUP($A106&amp;$B106,data!$A:$U,15,FALSE)</f>
        <v>3</v>
      </c>
      <c r="K106" s="3">
        <f ca="1">VLOOKUP($A106&amp;$B106,data!$A:$U,16,FALSE)</f>
        <v>0</v>
      </c>
      <c r="L106" s="3">
        <f ca="1">VLOOKUP($A106&amp;$B106,data!$A:$U,8,FALSE)</f>
        <v>10</v>
      </c>
      <c r="M106" s="3">
        <f ca="1">VLOOKUP($A106&amp;$B106,data!$A:$U,9,FALSE)</f>
        <v>10</v>
      </c>
      <c r="N106" s="3">
        <f ca="1">VLOOKUP($A106&amp;$B106,data!$A:$U,10,FALSE)</f>
        <v>0</v>
      </c>
      <c r="O106" s="3">
        <f ca="1">VLOOKUP($A106&amp;$B106,data!$A:$U,11,FALSE)</f>
        <v>10</v>
      </c>
      <c r="P106" s="3">
        <f ca="1">VLOOKUP($A106&amp;$B106,data!$A:$U,12,FALSE)</f>
        <v>10</v>
      </c>
      <c r="Q106" s="3">
        <f ca="1">VLOOKUP($A106&amp;$B106,data!$A:$U,13,FALSE)</f>
        <v>0</v>
      </c>
      <c r="R106" s="3">
        <f ca="1">VLOOKUP($A106&amp;$B106,data!$A:$U,5,FALSE)</f>
        <v>20</v>
      </c>
      <c r="S106" s="3">
        <f ca="1">VLOOKUP($A106&amp;$B106,data!$A:$U,6,FALSE)</f>
        <v>20</v>
      </c>
      <c r="T106" s="3">
        <f ca="1">VLOOKUP($A106&amp;$B106,data!$A:$U,7,FALSE)</f>
        <v>0</v>
      </c>
    </row>
    <row r="107" spans="1:20" ht="13" x14ac:dyDescent="0.15">
      <c r="A107" s="3" t="s">
        <v>4</v>
      </c>
      <c r="B107" s="3" t="s">
        <v>209</v>
      </c>
      <c r="C107" s="10">
        <f t="shared" ca="1" si="0"/>
        <v>0</v>
      </c>
      <c r="D107" s="5">
        <f ca="1">VLOOKUP($A107&amp;$B107,data!$A:$U,20,FALSE)</f>
        <v>44305.381203703699</v>
      </c>
      <c r="E107" s="3" t="str">
        <f ca="1">VLOOKUP($A107&amp;$B107,data!$A:$U,21,FALSE)</f>
        <v>19-04-2021</v>
      </c>
      <c r="F107" s="3">
        <f ca="1">VLOOKUP($A107&amp;$B107,data!$A:$U,17,FALSE)</f>
        <v>4</v>
      </c>
      <c r="G107" s="3">
        <f ca="1">VLOOKUP($A107&amp;$B107,data!$A:$U,18,FALSE)</f>
        <v>4</v>
      </c>
      <c r="H107" s="3">
        <f ca="1">VLOOKUP($A107&amp;$B107,data!$A:$U,19,FALSE)</f>
        <v>0</v>
      </c>
      <c r="I107" s="3">
        <f ca="1">VLOOKUP($A107&amp;$B107,data!$A:$U,14,FALSE)</f>
        <v>10</v>
      </c>
      <c r="J107" s="3">
        <f ca="1">VLOOKUP($A107&amp;$B107,data!$A:$U,15,FALSE)</f>
        <v>10</v>
      </c>
      <c r="K107" s="3">
        <f ca="1">VLOOKUP($A107&amp;$B107,data!$A:$U,16,FALSE)</f>
        <v>0</v>
      </c>
      <c r="L107" s="3">
        <f ca="1">VLOOKUP($A107&amp;$B107,data!$A:$U,8,FALSE)</f>
        <v>100</v>
      </c>
      <c r="M107" s="3">
        <f ca="1">VLOOKUP($A107&amp;$B107,data!$A:$U,9,FALSE)</f>
        <v>100</v>
      </c>
      <c r="N107" s="3">
        <f ca="1">VLOOKUP($A107&amp;$B107,data!$A:$U,10,FALSE)</f>
        <v>0</v>
      </c>
      <c r="O107" s="3">
        <f ca="1">VLOOKUP($A107&amp;$B107,data!$A:$U,11,FALSE)</f>
        <v>0</v>
      </c>
      <c r="P107" s="3">
        <f ca="1">VLOOKUP($A107&amp;$B107,data!$A:$U,12,FALSE)</f>
        <v>0</v>
      </c>
      <c r="Q107" s="3">
        <f ca="1">VLOOKUP($A107&amp;$B107,data!$A:$U,13,FALSE)</f>
        <v>0</v>
      </c>
      <c r="R107" s="3">
        <f ca="1">VLOOKUP($A107&amp;$B107,data!$A:$U,5,FALSE)</f>
        <v>100</v>
      </c>
      <c r="S107" s="3">
        <f ca="1">VLOOKUP($A107&amp;$B107,data!$A:$U,6,FALSE)</f>
        <v>100</v>
      </c>
      <c r="T107" s="3">
        <f ca="1">VLOOKUP($A107&amp;$B107,data!$A:$U,7,FALSE)</f>
        <v>0</v>
      </c>
    </row>
    <row r="108" spans="1:20" ht="13" x14ac:dyDescent="0.15">
      <c r="A108" s="3" t="s">
        <v>4</v>
      </c>
      <c r="B108" s="3" t="s">
        <v>215</v>
      </c>
      <c r="C108" s="10">
        <f t="shared" ca="1" si="0"/>
        <v>2.3255813953488372E-2</v>
      </c>
      <c r="D108" s="5">
        <f ca="1">VLOOKUP($A108&amp;$B108,data!$A:$U,20,FALSE)</f>
        <v>44305.373611111099</v>
      </c>
      <c r="E108" s="3" t="str">
        <f ca="1">VLOOKUP($A108&amp;$B108,data!$A:$U,21,FALSE)</f>
        <v>NIL</v>
      </c>
      <c r="F108" s="3">
        <f ca="1">VLOOKUP($A108&amp;$B108,data!$A:$U,17,FALSE)</f>
        <v>1</v>
      </c>
      <c r="G108" s="3">
        <f ca="1">VLOOKUP($A108&amp;$B108,data!$A:$U,18,FALSE)</f>
        <v>0</v>
      </c>
      <c r="H108" s="3">
        <f ca="1">VLOOKUP($A108&amp;$B108,data!$A:$U,19,FALSE)</f>
        <v>1</v>
      </c>
      <c r="I108" s="3">
        <f ca="1">VLOOKUP($A108&amp;$B108,data!$A:$U,14,FALSE)</f>
        <v>4</v>
      </c>
      <c r="J108" s="3">
        <f ca="1">VLOOKUP($A108&amp;$B108,data!$A:$U,15,FALSE)</f>
        <v>4</v>
      </c>
      <c r="K108" s="3">
        <f ca="1">VLOOKUP($A108&amp;$B108,data!$A:$U,16,FALSE)</f>
        <v>0</v>
      </c>
      <c r="L108" s="3">
        <f ca="1">VLOOKUP($A108&amp;$B108,data!$A:$U,8,FALSE)</f>
        <v>13</v>
      </c>
      <c r="M108" s="3">
        <f ca="1">VLOOKUP($A108&amp;$B108,data!$A:$U,9,FALSE)</f>
        <v>13</v>
      </c>
      <c r="N108" s="3">
        <f ca="1">VLOOKUP($A108&amp;$B108,data!$A:$U,10,FALSE)</f>
        <v>0</v>
      </c>
      <c r="O108" s="3">
        <f ca="1">VLOOKUP($A108&amp;$B108,data!$A:$U,11,FALSE)</f>
        <v>26</v>
      </c>
      <c r="P108" s="3">
        <f ca="1">VLOOKUP($A108&amp;$B108,data!$A:$U,12,FALSE)</f>
        <v>26</v>
      </c>
      <c r="Q108" s="3">
        <f ca="1">VLOOKUP($A108&amp;$B108,data!$A:$U,13,FALSE)</f>
        <v>0</v>
      </c>
      <c r="R108" s="3">
        <f ca="1">VLOOKUP($A108&amp;$B108,data!$A:$U,5,FALSE)</f>
        <v>43</v>
      </c>
      <c r="S108" s="3">
        <f ca="1">VLOOKUP($A108&amp;$B108,data!$A:$U,6,FALSE)</f>
        <v>43</v>
      </c>
      <c r="T108" s="3">
        <f ca="1">VLOOKUP($A108&amp;$B108,data!$A:$U,7,FALSE)</f>
        <v>2</v>
      </c>
    </row>
    <row r="109" spans="1:20" ht="13" x14ac:dyDescent="0.15">
      <c r="A109" s="3" t="s">
        <v>4</v>
      </c>
      <c r="B109" s="3" t="s">
        <v>216</v>
      </c>
      <c r="C109" s="10">
        <f t="shared" ca="1" si="0"/>
        <v>0</v>
      </c>
      <c r="D109" s="5">
        <f ca="1">VLOOKUP($A109&amp;$B109,data!$A:$U,20,FALSE)</f>
        <v>44302.392789351798</v>
      </c>
      <c r="E109" s="3" t="str">
        <f ca="1">VLOOKUP($A109&amp;$B109,data!$A:$U,21,FALSE)</f>
        <v>..Nill</v>
      </c>
      <c r="F109" s="3">
        <f ca="1">VLOOKUP($A109&amp;$B109,data!$A:$U,17,FALSE)</f>
        <v>2</v>
      </c>
      <c r="G109" s="3">
        <f ca="1">VLOOKUP($A109&amp;$B109,data!$A:$U,18,FALSE)</f>
        <v>0</v>
      </c>
      <c r="H109" s="3">
        <f ca="1">VLOOKUP($A109&amp;$B109,data!$A:$U,19,FALSE)</f>
        <v>0</v>
      </c>
      <c r="I109" s="3">
        <f ca="1">VLOOKUP($A109&amp;$B109,data!$A:$U,14,FALSE)</f>
        <v>4</v>
      </c>
      <c r="J109" s="3">
        <f ca="1">VLOOKUP($A109&amp;$B109,data!$A:$U,15,FALSE)</f>
        <v>4</v>
      </c>
      <c r="K109" s="3">
        <f ca="1">VLOOKUP($A109&amp;$B109,data!$A:$U,16,FALSE)</f>
        <v>0</v>
      </c>
      <c r="L109" s="3">
        <f ca="1">VLOOKUP($A109&amp;$B109,data!$A:$U,8,FALSE)</f>
        <v>60</v>
      </c>
      <c r="M109" s="3">
        <f ca="1">VLOOKUP($A109&amp;$B109,data!$A:$U,9,FALSE)</f>
        <v>60</v>
      </c>
      <c r="N109" s="3">
        <f ca="1">VLOOKUP($A109&amp;$B109,data!$A:$U,10,FALSE)</f>
        <v>0</v>
      </c>
      <c r="O109" s="3">
        <f ca="1">VLOOKUP($A109&amp;$B109,data!$A:$U,11,FALSE)</f>
        <v>4</v>
      </c>
      <c r="P109" s="3">
        <f ca="1">VLOOKUP($A109&amp;$B109,data!$A:$U,12,FALSE)</f>
        <v>4</v>
      </c>
      <c r="Q109" s="3">
        <f ca="1">VLOOKUP($A109&amp;$B109,data!$A:$U,13,FALSE)</f>
        <v>0</v>
      </c>
      <c r="R109" s="3">
        <f ca="1">VLOOKUP($A109&amp;$B109,data!$A:$U,5,FALSE)</f>
        <v>60</v>
      </c>
      <c r="S109" s="3">
        <f ca="1">VLOOKUP($A109&amp;$B109,data!$A:$U,6,FALSE)</f>
        <v>60</v>
      </c>
      <c r="T109" s="3">
        <f ca="1">VLOOKUP($A109&amp;$B109,data!$A:$U,7,FALSE)</f>
        <v>0</v>
      </c>
    </row>
    <row r="110" spans="1:20" ht="13" x14ac:dyDescent="0.15">
      <c r="A110" s="3" t="s">
        <v>4</v>
      </c>
      <c r="B110" s="3" t="s">
        <v>218</v>
      </c>
      <c r="C110" s="10">
        <f t="shared" ca="1" si="0"/>
        <v>0</v>
      </c>
      <c r="D110" s="5">
        <f ca="1">VLOOKUP($A110&amp;$B110,data!$A:$U,20,FALSE)</f>
        <v>44305.297083333302</v>
      </c>
      <c r="E110" s="3" t="str">
        <f ca="1">VLOOKUP($A110&amp;$B110,data!$A:$U,21,FALSE)</f>
        <v>Update</v>
      </c>
      <c r="F110" s="3">
        <f ca="1">VLOOKUP($A110&amp;$B110,data!$A:$U,17,FALSE)</f>
        <v>1</v>
      </c>
      <c r="G110" s="3">
        <f ca="1">VLOOKUP($A110&amp;$B110,data!$A:$U,18,FALSE)</f>
        <v>1</v>
      </c>
      <c r="H110" s="3">
        <f ca="1">VLOOKUP($A110&amp;$B110,data!$A:$U,19,FALSE)</f>
        <v>0</v>
      </c>
      <c r="I110" s="3">
        <f ca="1">VLOOKUP($A110&amp;$B110,data!$A:$U,14,FALSE)</f>
        <v>5</v>
      </c>
      <c r="J110" s="3">
        <f ca="1">VLOOKUP($A110&amp;$B110,data!$A:$U,15,FALSE)</f>
        <v>5</v>
      </c>
      <c r="K110" s="3">
        <f ca="1">VLOOKUP($A110&amp;$B110,data!$A:$U,16,FALSE)</f>
        <v>0</v>
      </c>
      <c r="L110" s="3">
        <f ca="1">VLOOKUP($A110&amp;$B110,data!$A:$U,8,FALSE)</f>
        <v>35</v>
      </c>
      <c r="M110" s="3">
        <f ca="1">VLOOKUP($A110&amp;$B110,data!$A:$U,9,FALSE)</f>
        <v>25</v>
      </c>
      <c r="N110" s="3">
        <f ca="1">VLOOKUP($A110&amp;$B110,data!$A:$U,10,FALSE)</f>
        <v>0</v>
      </c>
      <c r="O110" s="3">
        <f ca="1">VLOOKUP($A110&amp;$B110,data!$A:$U,11,FALSE)</f>
        <v>0</v>
      </c>
      <c r="P110" s="3">
        <f ca="1">VLOOKUP($A110&amp;$B110,data!$A:$U,12,FALSE)</f>
        <v>0</v>
      </c>
      <c r="Q110" s="3">
        <f ca="1">VLOOKUP($A110&amp;$B110,data!$A:$U,13,FALSE)</f>
        <v>0</v>
      </c>
      <c r="R110" s="3">
        <f ca="1">VLOOKUP($A110&amp;$B110,data!$A:$U,5,FALSE)</f>
        <v>32</v>
      </c>
      <c r="S110" s="3">
        <f ca="1">VLOOKUP($A110&amp;$B110,data!$A:$U,6,FALSE)</f>
        <v>35</v>
      </c>
      <c r="T110" s="3">
        <f ca="1">VLOOKUP($A110&amp;$B110,data!$A:$U,7,FALSE)</f>
        <v>0</v>
      </c>
    </row>
    <row r="111" spans="1:20" ht="13" x14ac:dyDescent="0.15">
      <c r="A111" s="3" t="s">
        <v>4</v>
      </c>
      <c r="B111" s="3" t="s">
        <v>223</v>
      </c>
      <c r="C111" s="10">
        <f t="shared" ca="1" si="0"/>
        <v>0</v>
      </c>
      <c r="D111" s="5">
        <f ca="1">VLOOKUP($A111&amp;$B111,data!$A:$U,20,FALSE)</f>
        <v>44305.3899537037</v>
      </c>
      <c r="E111" s="3" t="str">
        <f ca="1">VLOOKUP($A111&amp;$B111,data!$A:$U,21,FALSE)</f>
        <v>19/04/2021</v>
      </c>
      <c r="F111" s="3">
        <f ca="1">VLOOKUP($A111&amp;$B111,data!$A:$U,17,FALSE)</f>
        <v>4</v>
      </c>
      <c r="G111" s="3">
        <f ca="1">VLOOKUP($A111&amp;$B111,data!$A:$U,18,FALSE)</f>
        <v>4</v>
      </c>
      <c r="H111" s="3">
        <f ca="1">VLOOKUP($A111&amp;$B111,data!$A:$U,19,FALSE)</f>
        <v>0</v>
      </c>
      <c r="I111" s="3">
        <f ca="1">VLOOKUP($A111&amp;$B111,data!$A:$U,14,FALSE)</f>
        <v>8</v>
      </c>
      <c r="J111" s="3">
        <f ca="1">VLOOKUP($A111&amp;$B111,data!$A:$U,15,FALSE)</f>
        <v>8</v>
      </c>
      <c r="K111" s="3">
        <f ca="1">VLOOKUP($A111&amp;$B111,data!$A:$U,16,FALSE)</f>
        <v>0</v>
      </c>
      <c r="L111" s="3">
        <f ca="1">VLOOKUP($A111&amp;$B111,data!$A:$U,8,FALSE)</f>
        <v>42</v>
      </c>
      <c r="M111" s="3">
        <f ca="1">VLOOKUP($A111&amp;$B111,data!$A:$U,9,FALSE)</f>
        <v>42</v>
      </c>
      <c r="N111" s="3">
        <f ca="1">VLOOKUP($A111&amp;$B111,data!$A:$U,10,FALSE)</f>
        <v>0</v>
      </c>
      <c r="O111" s="3">
        <f ca="1">VLOOKUP($A111&amp;$B111,data!$A:$U,11,FALSE)</f>
        <v>0</v>
      </c>
      <c r="P111" s="3">
        <f ca="1">VLOOKUP($A111&amp;$B111,data!$A:$U,12,FALSE)</f>
        <v>0</v>
      </c>
      <c r="Q111" s="3">
        <f ca="1">VLOOKUP($A111&amp;$B111,data!$A:$U,13,FALSE)</f>
        <v>0</v>
      </c>
      <c r="R111" s="3">
        <f ca="1">VLOOKUP($A111&amp;$B111,data!$A:$U,5,FALSE)</f>
        <v>50</v>
      </c>
      <c r="S111" s="3">
        <f ca="1">VLOOKUP($A111&amp;$B111,data!$A:$U,6,FALSE)</f>
        <v>50</v>
      </c>
      <c r="T111" s="3">
        <f ca="1">VLOOKUP($A111&amp;$B111,data!$A:$U,7,FALSE)</f>
        <v>0</v>
      </c>
    </row>
    <row r="112" spans="1:20" ht="13" x14ac:dyDescent="0.15">
      <c r="A112" s="3" t="s">
        <v>4</v>
      </c>
      <c r="B112" s="3" t="s">
        <v>226</v>
      </c>
      <c r="C112" s="10">
        <f t="shared" ca="1" si="0"/>
        <v>1.9230769230769232E-2</v>
      </c>
      <c r="D112" s="5">
        <f ca="1">VLOOKUP($A112&amp;$B112,data!$A:$U,20,FALSE)</f>
        <v>44303.466805555501</v>
      </c>
      <c r="E112" s="3" t="str">
        <f ca="1">VLOOKUP($A112&amp;$B112,data!$A:$U,21,FALSE)</f>
        <v>17/04/21</v>
      </c>
      <c r="F112" s="3">
        <f ca="1">VLOOKUP($A112&amp;$B112,data!$A:$U,17,FALSE)</f>
        <v>1</v>
      </c>
      <c r="G112" s="3">
        <f ca="1">VLOOKUP($A112&amp;$B112,data!$A:$U,18,FALSE)</f>
        <v>1</v>
      </c>
      <c r="H112" s="3">
        <f ca="1">VLOOKUP($A112&amp;$B112,data!$A:$U,19,FALSE)</f>
        <v>0</v>
      </c>
      <c r="I112" s="3">
        <f ca="1">VLOOKUP($A112&amp;$B112,data!$A:$U,14,FALSE)</f>
        <v>2</v>
      </c>
      <c r="J112" s="3">
        <f ca="1">VLOOKUP($A112&amp;$B112,data!$A:$U,15,FALSE)</f>
        <v>1</v>
      </c>
      <c r="K112" s="3">
        <f ca="1">VLOOKUP($A112&amp;$B112,data!$A:$U,16,FALSE)</f>
        <v>1</v>
      </c>
      <c r="L112" s="3">
        <f ca="1">VLOOKUP($A112&amp;$B112,data!$A:$U,8,FALSE)</f>
        <v>15</v>
      </c>
      <c r="M112" s="3">
        <f ca="1">VLOOKUP($A112&amp;$B112,data!$A:$U,9,FALSE)</f>
        <v>15</v>
      </c>
      <c r="N112" s="3">
        <f ca="1">VLOOKUP($A112&amp;$B112,data!$A:$U,10,FALSE)</f>
        <v>0</v>
      </c>
      <c r="O112" s="3">
        <f ca="1">VLOOKUP($A112&amp;$B112,data!$A:$U,11,FALSE)</f>
        <v>10</v>
      </c>
      <c r="P112" s="3">
        <f ca="1">VLOOKUP($A112&amp;$B112,data!$A:$U,12,FALSE)</f>
        <v>10</v>
      </c>
      <c r="Q112" s="3">
        <f ca="1">VLOOKUP($A112&amp;$B112,data!$A:$U,13,FALSE)</f>
        <v>0</v>
      </c>
      <c r="R112" s="3">
        <f ca="1">VLOOKUP($A112&amp;$B112,data!$A:$U,5,FALSE)</f>
        <v>25</v>
      </c>
      <c r="S112" s="3">
        <f ca="1">VLOOKUP($A112&amp;$B112,data!$A:$U,6,FALSE)</f>
        <v>25</v>
      </c>
      <c r="T112" s="3">
        <f ca="1">VLOOKUP($A112&amp;$B112,data!$A:$U,7,FALSE)</f>
        <v>0</v>
      </c>
    </row>
    <row r="113" spans="1:20" ht="13" x14ac:dyDescent="0.15">
      <c r="A113" s="3" t="s">
        <v>4</v>
      </c>
      <c r="B113" s="3" t="s">
        <v>227</v>
      </c>
      <c r="C113" s="10">
        <f t="shared" ca="1" si="0"/>
        <v>5.7142857142857141E-2</v>
      </c>
      <c r="D113" s="5">
        <f ca="1">VLOOKUP($A113&amp;$B113,data!$A:$U,20,FALSE)</f>
        <v>44305.451874999999</v>
      </c>
      <c r="E113" s="3" t="str">
        <f ca="1">VLOOKUP($A113&amp;$B113,data!$A:$U,21,FALSE)</f>
        <v>Updated as on 19/04/2021</v>
      </c>
      <c r="F113" s="3">
        <f ca="1">VLOOKUP($A113&amp;$B113,data!$A:$U,17,FALSE)</f>
        <v>2</v>
      </c>
      <c r="G113" s="3">
        <f ca="1">VLOOKUP($A113&amp;$B113,data!$A:$U,18,FALSE)</f>
        <v>0</v>
      </c>
      <c r="H113" s="3">
        <f ca="1">VLOOKUP($A113&amp;$B113,data!$A:$U,19,FALSE)</f>
        <v>2</v>
      </c>
      <c r="I113" s="3">
        <f ca="1">VLOOKUP($A113&amp;$B113,data!$A:$U,14,FALSE)</f>
        <v>2</v>
      </c>
      <c r="J113" s="3">
        <f ca="1">VLOOKUP($A113&amp;$B113,data!$A:$U,15,FALSE)</f>
        <v>0</v>
      </c>
      <c r="K113" s="3">
        <f ca="1">VLOOKUP($A113&amp;$B113,data!$A:$U,16,FALSE)</f>
        <v>2</v>
      </c>
      <c r="L113" s="3">
        <f ca="1">VLOOKUP($A113&amp;$B113,data!$A:$U,8,FALSE)</f>
        <v>11</v>
      </c>
      <c r="M113" s="3">
        <f ca="1">VLOOKUP($A113&amp;$B113,data!$A:$U,9,FALSE)</f>
        <v>5</v>
      </c>
      <c r="N113" s="3">
        <f ca="1">VLOOKUP($A113&amp;$B113,data!$A:$U,10,FALSE)</f>
        <v>0</v>
      </c>
      <c r="O113" s="3">
        <f ca="1">VLOOKUP($A113&amp;$B113,data!$A:$U,11,FALSE)</f>
        <v>11</v>
      </c>
      <c r="P113" s="3">
        <f ca="1">VLOOKUP($A113&amp;$B113,data!$A:$U,12,FALSE)</f>
        <v>6</v>
      </c>
      <c r="Q113" s="3">
        <f ca="1">VLOOKUP($A113&amp;$B113,data!$A:$U,13,FALSE)</f>
        <v>0</v>
      </c>
      <c r="R113" s="3">
        <f ca="1">VLOOKUP($A113&amp;$B113,data!$A:$U,5,FALSE)</f>
        <v>11</v>
      </c>
      <c r="S113" s="3">
        <f ca="1">VLOOKUP($A113&amp;$B113,data!$A:$U,6,FALSE)</f>
        <v>11</v>
      </c>
      <c r="T113" s="3">
        <f ca="1">VLOOKUP($A113&amp;$B113,data!$A:$U,7,FALSE)</f>
        <v>0</v>
      </c>
    </row>
    <row r="114" spans="1:20" ht="13" x14ac:dyDescent="0.15">
      <c r="A114" s="3" t="s">
        <v>4</v>
      </c>
      <c r="B114" s="3" t="s">
        <v>231</v>
      </c>
      <c r="C114" s="10">
        <f t="shared" ca="1" si="0"/>
        <v>0</v>
      </c>
      <c r="D114" s="5">
        <f ca="1">VLOOKUP($A114&amp;$B114,data!$A:$U,20,FALSE)</f>
        <v>44305.703368055503</v>
      </c>
      <c r="E114" s="3" t="str">
        <f ca="1">VLOOKUP($A114&amp;$B114,data!$A:$U,21,FALSE)</f>
        <v>19.04.2021</v>
      </c>
      <c r="F114" s="3">
        <f ca="1">VLOOKUP($A114&amp;$B114,data!$A:$U,17,FALSE)</f>
        <v>0</v>
      </c>
      <c r="G114" s="3">
        <f ca="1">VLOOKUP($A114&amp;$B114,data!$A:$U,18,FALSE)</f>
        <v>0</v>
      </c>
      <c r="H114" s="3">
        <f ca="1">VLOOKUP($A114&amp;$B114,data!$A:$U,19,FALSE)</f>
        <v>0</v>
      </c>
      <c r="I114" s="3">
        <f ca="1">VLOOKUP($A114&amp;$B114,data!$A:$U,14,FALSE)</f>
        <v>6</v>
      </c>
      <c r="J114" s="3">
        <f ca="1">VLOOKUP($A114&amp;$B114,data!$A:$U,15,FALSE)</f>
        <v>6</v>
      </c>
      <c r="K114" s="3">
        <f ca="1">VLOOKUP($A114&amp;$B114,data!$A:$U,16,FALSE)</f>
        <v>0</v>
      </c>
      <c r="L114" s="3">
        <f ca="1">VLOOKUP($A114&amp;$B114,data!$A:$U,8,FALSE)</f>
        <v>15</v>
      </c>
      <c r="M114" s="3">
        <f ca="1">VLOOKUP($A114&amp;$B114,data!$A:$U,9,FALSE)</f>
        <v>17</v>
      </c>
      <c r="N114" s="3">
        <f ca="1">VLOOKUP($A114&amp;$B114,data!$A:$U,10,FALSE)</f>
        <v>0</v>
      </c>
      <c r="O114" s="3">
        <f ca="1">VLOOKUP($A114&amp;$B114,data!$A:$U,11,FALSE)</f>
        <v>30</v>
      </c>
      <c r="P114" s="3">
        <f ca="1">VLOOKUP($A114&amp;$B114,data!$A:$U,12,FALSE)</f>
        <v>30</v>
      </c>
      <c r="Q114" s="3">
        <f ca="1">VLOOKUP($A114&amp;$B114,data!$A:$U,13,FALSE)</f>
        <v>0</v>
      </c>
      <c r="R114" s="3">
        <f ca="1">VLOOKUP($A114&amp;$B114,data!$A:$U,5,FALSE)</f>
        <v>53</v>
      </c>
      <c r="S114" s="3">
        <f ca="1">VLOOKUP($A114&amp;$B114,data!$A:$U,6,FALSE)</f>
        <v>53</v>
      </c>
      <c r="T114" s="3">
        <f ca="1">VLOOKUP($A114&amp;$B114,data!$A:$U,7,FALSE)</f>
        <v>0</v>
      </c>
    </row>
    <row r="115" spans="1:20" ht="13" x14ac:dyDescent="0.15">
      <c r="A115" s="3" t="s">
        <v>4</v>
      </c>
      <c r="B115" s="3" t="s">
        <v>246</v>
      </c>
      <c r="C115" s="10">
        <f t="shared" ca="1" si="0"/>
        <v>0</v>
      </c>
      <c r="D115" s="5">
        <f ca="1">VLOOKUP($A115&amp;$B115,data!$A:$U,20,FALSE)</f>
        <v>44305.356666666601</v>
      </c>
      <c r="E115" s="3" t="str">
        <f ca="1">VLOOKUP($A115&amp;$B115,data!$A:$U,21,FALSE)</f>
        <v>19.04.2021</v>
      </c>
      <c r="F115" s="3">
        <f ca="1">VLOOKUP($A115&amp;$B115,data!$A:$U,17,FALSE)</f>
        <v>0</v>
      </c>
      <c r="G115" s="3">
        <f ca="1">VLOOKUP($A115&amp;$B115,data!$A:$U,18,FALSE)</f>
        <v>0</v>
      </c>
      <c r="H115" s="3">
        <f ca="1">VLOOKUP($A115&amp;$B115,data!$A:$U,19,FALSE)</f>
        <v>0</v>
      </c>
      <c r="I115" s="3">
        <f ca="1">VLOOKUP($A115&amp;$B115,data!$A:$U,14,FALSE)</f>
        <v>0</v>
      </c>
      <c r="J115" s="3">
        <f ca="1">VLOOKUP($A115&amp;$B115,data!$A:$U,15,FALSE)</f>
        <v>0</v>
      </c>
      <c r="K115" s="3">
        <f ca="1">VLOOKUP($A115&amp;$B115,data!$A:$U,16,FALSE)</f>
        <v>0</v>
      </c>
      <c r="L115" s="3">
        <f ca="1">VLOOKUP($A115&amp;$B115,data!$A:$U,8,FALSE)</f>
        <v>10</v>
      </c>
      <c r="M115" s="3">
        <f ca="1">VLOOKUP($A115&amp;$B115,data!$A:$U,9,FALSE)</f>
        <v>10</v>
      </c>
      <c r="N115" s="3">
        <f ca="1">VLOOKUP($A115&amp;$B115,data!$A:$U,10,FALSE)</f>
        <v>0</v>
      </c>
      <c r="O115" s="3">
        <f ca="1">VLOOKUP($A115&amp;$B115,data!$A:$U,11,FALSE)</f>
        <v>37</v>
      </c>
      <c r="P115" s="3">
        <f ca="1">VLOOKUP($A115&amp;$B115,data!$A:$U,12,FALSE)</f>
        <v>37</v>
      </c>
      <c r="Q115" s="3">
        <f ca="1">VLOOKUP($A115&amp;$B115,data!$A:$U,13,FALSE)</f>
        <v>0</v>
      </c>
      <c r="R115" s="3">
        <f ca="1">VLOOKUP($A115&amp;$B115,data!$A:$U,5,FALSE)</f>
        <v>47</v>
      </c>
      <c r="S115" s="3">
        <f ca="1">VLOOKUP($A115&amp;$B115,data!$A:$U,6,FALSE)</f>
        <v>47</v>
      </c>
      <c r="T115" s="3">
        <f ca="1">VLOOKUP($A115&amp;$B115,data!$A:$U,7,FALSE)</f>
        <v>0</v>
      </c>
    </row>
    <row r="116" spans="1:20" ht="13" x14ac:dyDescent="0.15">
      <c r="A116" s="3" t="s">
        <v>4</v>
      </c>
      <c r="B116" s="3" t="s">
        <v>247</v>
      </c>
      <c r="C116" s="10">
        <f t="shared" ca="1" si="0"/>
        <v>0.15</v>
      </c>
      <c r="D116" s="5">
        <f ca="1">VLOOKUP($A116&amp;$B116,data!$A:$U,20,FALSE)</f>
        <v>44305.374884259203</v>
      </c>
      <c r="E116" s="3" t="str">
        <f ca="1">VLOOKUP($A116&amp;$B116,data!$A:$U,21,FALSE)</f>
        <v>-</v>
      </c>
      <c r="F116" s="3">
        <f ca="1">VLOOKUP($A116&amp;$B116,data!$A:$U,17,FALSE)</f>
        <v>5</v>
      </c>
      <c r="G116" s="3">
        <f ca="1">VLOOKUP($A116&amp;$B116,data!$A:$U,18,FALSE)</f>
        <v>5</v>
      </c>
      <c r="H116" s="3">
        <f ca="1">VLOOKUP($A116&amp;$B116,data!$A:$U,19,FALSE)</f>
        <v>0</v>
      </c>
      <c r="I116" s="3">
        <f ca="1">VLOOKUP($A116&amp;$B116,data!$A:$U,14,FALSE)</f>
        <v>6</v>
      </c>
      <c r="J116" s="3">
        <f ca="1">VLOOKUP($A116&amp;$B116,data!$A:$U,15,FALSE)</f>
        <v>6</v>
      </c>
      <c r="K116" s="3">
        <f ca="1">VLOOKUP($A116&amp;$B116,data!$A:$U,16,FALSE)</f>
        <v>0</v>
      </c>
      <c r="L116" s="3">
        <f ca="1">VLOOKUP($A116&amp;$B116,data!$A:$U,8,FALSE)</f>
        <v>14</v>
      </c>
      <c r="M116" s="3">
        <f ca="1">VLOOKUP($A116&amp;$B116,data!$A:$U,9,FALSE)</f>
        <v>11</v>
      </c>
      <c r="N116" s="3">
        <f ca="1">VLOOKUP($A116&amp;$B116,data!$A:$U,10,FALSE)</f>
        <v>3</v>
      </c>
      <c r="O116" s="3">
        <f ca="1">VLOOKUP($A116&amp;$B116,data!$A:$U,11,FALSE)</f>
        <v>0</v>
      </c>
      <c r="P116" s="3">
        <f ca="1">VLOOKUP($A116&amp;$B116,data!$A:$U,12,FALSE)</f>
        <v>0</v>
      </c>
      <c r="Q116" s="3">
        <f ca="1">VLOOKUP($A116&amp;$B116,data!$A:$U,13,FALSE)</f>
        <v>0</v>
      </c>
      <c r="R116" s="3">
        <f ca="1">VLOOKUP($A116&amp;$B116,data!$A:$U,5,FALSE)</f>
        <v>20</v>
      </c>
      <c r="S116" s="3">
        <f ca="1">VLOOKUP($A116&amp;$B116,data!$A:$U,6,FALSE)</f>
        <v>17</v>
      </c>
      <c r="T116" s="3">
        <f ca="1">VLOOKUP($A116&amp;$B116,data!$A:$U,7,FALSE)</f>
        <v>3</v>
      </c>
    </row>
    <row r="117" spans="1:20" ht="13" x14ac:dyDescent="0.15">
      <c r="A117" s="3" t="s">
        <v>4</v>
      </c>
      <c r="B117" s="3" t="s">
        <v>249</v>
      </c>
      <c r="C117" s="10">
        <f t="shared" ca="1" si="0"/>
        <v>4.1666666666666664E-2</v>
      </c>
      <c r="D117" s="5">
        <f ca="1">VLOOKUP($A117&amp;$B117,data!$A:$U,20,FALSE)</f>
        <v>44305.353252314802</v>
      </c>
      <c r="E117" s="3" t="str">
        <f ca="1">VLOOKUP($A117&amp;$B117,data!$A:$U,21,FALSE)</f>
        <v>19/04/2021</v>
      </c>
      <c r="F117" s="3">
        <f ca="1">VLOOKUP($A117&amp;$B117,data!$A:$U,17,FALSE)</f>
        <v>0</v>
      </c>
      <c r="G117" s="3">
        <f ca="1">VLOOKUP($A117&amp;$B117,data!$A:$U,18,FALSE)</f>
        <v>0</v>
      </c>
      <c r="H117" s="3">
        <f ca="1">VLOOKUP($A117&amp;$B117,data!$A:$U,19,FALSE)</f>
        <v>0</v>
      </c>
      <c r="I117" s="3">
        <f ca="1">VLOOKUP($A117&amp;$B117,data!$A:$U,14,FALSE)</f>
        <v>2</v>
      </c>
      <c r="J117" s="3">
        <f ca="1">VLOOKUP($A117&amp;$B117,data!$A:$U,15,FALSE)</f>
        <v>2</v>
      </c>
      <c r="K117" s="3">
        <f ca="1">VLOOKUP($A117&amp;$B117,data!$A:$U,16,FALSE)</f>
        <v>0</v>
      </c>
      <c r="L117" s="3">
        <f ca="1">VLOOKUP($A117&amp;$B117,data!$A:$U,8,FALSE)</f>
        <v>23</v>
      </c>
      <c r="M117" s="3">
        <f ca="1">VLOOKUP($A117&amp;$B117,data!$A:$U,9,FALSE)</f>
        <v>22</v>
      </c>
      <c r="N117" s="3">
        <f ca="1">VLOOKUP($A117&amp;$B117,data!$A:$U,10,FALSE)</f>
        <v>1</v>
      </c>
      <c r="O117" s="3">
        <f ca="1">VLOOKUP($A117&amp;$B117,data!$A:$U,11,FALSE)</f>
        <v>0</v>
      </c>
      <c r="P117" s="3">
        <f ca="1">VLOOKUP($A117&amp;$B117,data!$A:$U,12,FALSE)</f>
        <v>0</v>
      </c>
      <c r="Q117" s="3">
        <f ca="1">VLOOKUP($A117&amp;$B117,data!$A:$U,13,FALSE)</f>
        <v>0</v>
      </c>
      <c r="R117" s="3">
        <f ca="1">VLOOKUP($A117&amp;$B117,data!$A:$U,5,FALSE)</f>
        <v>23</v>
      </c>
      <c r="S117" s="3">
        <f ca="1">VLOOKUP($A117&amp;$B117,data!$A:$U,6,FALSE)</f>
        <v>22</v>
      </c>
      <c r="T117" s="3">
        <f ca="1">VLOOKUP($A117&amp;$B117,data!$A:$U,7,FALSE)</f>
        <v>1</v>
      </c>
    </row>
    <row r="118" spans="1:20" ht="13" x14ac:dyDescent="0.15">
      <c r="A118" s="3" t="s">
        <v>4</v>
      </c>
      <c r="B118" s="3" t="s">
        <v>251</v>
      </c>
      <c r="C118" s="10">
        <f t="shared" ca="1" si="0"/>
        <v>0</v>
      </c>
      <c r="D118" s="5">
        <f ca="1">VLOOKUP($A118&amp;$B118,data!$A:$U,20,FALSE)</f>
        <v>44305.386284722197</v>
      </c>
      <c r="E118" s="3" t="str">
        <f ca="1">VLOOKUP($A118&amp;$B118,data!$A:$U,21,FALSE)</f>
        <v>19/04/2021</v>
      </c>
      <c r="F118" s="3">
        <f ca="1">VLOOKUP($A118&amp;$B118,data!$A:$U,17,FALSE)</f>
        <v>4</v>
      </c>
      <c r="G118" s="3">
        <f ca="1">VLOOKUP($A118&amp;$B118,data!$A:$U,18,FALSE)</f>
        <v>0</v>
      </c>
      <c r="H118" s="3">
        <f ca="1">VLOOKUP($A118&amp;$B118,data!$A:$U,19,FALSE)</f>
        <v>4</v>
      </c>
      <c r="I118" s="3">
        <f ca="1">VLOOKUP($A118&amp;$B118,data!$A:$U,14,FALSE)</f>
        <v>4</v>
      </c>
      <c r="J118" s="3">
        <f ca="1">VLOOKUP($A118&amp;$B118,data!$A:$U,15,FALSE)</f>
        <v>4</v>
      </c>
      <c r="K118" s="3">
        <f ca="1">VLOOKUP($A118&amp;$B118,data!$A:$U,16,FALSE)</f>
        <v>0</v>
      </c>
      <c r="L118" s="3">
        <f ca="1">VLOOKUP($A118&amp;$B118,data!$A:$U,8,FALSE)</f>
        <v>20</v>
      </c>
      <c r="M118" s="3">
        <f ca="1">VLOOKUP($A118&amp;$B118,data!$A:$U,9,FALSE)</f>
        <v>20</v>
      </c>
      <c r="N118" s="3">
        <f ca="1">VLOOKUP($A118&amp;$B118,data!$A:$U,10,FALSE)</f>
        <v>0</v>
      </c>
      <c r="O118" s="3">
        <f ca="1">VLOOKUP($A118&amp;$B118,data!$A:$U,11,FALSE)</f>
        <v>0</v>
      </c>
      <c r="P118" s="3">
        <f ca="1">VLOOKUP($A118&amp;$B118,data!$A:$U,12,FALSE)</f>
        <v>0</v>
      </c>
      <c r="Q118" s="3">
        <f ca="1">VLOOKUP($A118&amp;$B118,data!$A:$U,13,FALSE)</f>
        <v>0</v>
      </c>
      <c r="R118" s="3">
        <f ca="1">VLOOKUP($A118&amp;$B118,data!$A:$U,5,FALSE)</f>
        <v>24</v>
      </c>
      <c r="S118" s="3">
        <f ca="1">VLOOKUP($A118&amp;$B118,data!$A:$U,6,FALSE)</f>
        <v>20</v>
      </c>
      <c r="T118" s="3">
        <f ca="1">VLOOKUP($A118&amp;$B118,data!$A:$U,7,FALSE)</f>
        <v>0</v>
      </c>
    </row>
    <row r="119" spans="1:20" ht="13" x14ac:dyDescent="0.15">
      <c r="A119" s="3" t="s">
        <v>4</v>
      </c>
      <c r="B119" s="3" t="s">
        <v>252</v>
      </c>
      <c r="C119" s="10">
        <f t="shared" ca="1" si="0"/>
        <v>0</v>
      </c>
      <c r="D119" s="5">
        <f ca="1">VLOOKUP($A119&amp;$B119,data!$A:$U,20,FALSE)</f>
        <v>44305.404421296298</v>
      </c>
      <c r="E119" s="3" t="str">
        <f ca="1">VLOOKUP($A119&amp;$B119,data!$A:$U,21,FALSE)</f>
        <v>19/04/2021</v>
      </c>
      <c r="F119" s="3">
        <f ca="1">VLOOKUP($A119&amp;$B119,data!$A:$U,17,FALSE)</f>
        <v>6</v>
      </c>
      <c r="G119" s="3">
        <f ca="1">VLOOKUP($A119&amp;$B119,data!$A:$U,18,FALSE)</f>
        <v>2</v>
      </c>
      <c r="H119" s="3">
        <f ca="1">VLOOKUP($A119&amp;$B119,data!$A:$U,19,FALSE)</f>
        <v>4</v>
      </c>
      <c r="I119" s="3">
        <f ca="1">VLOOKUP($A119&amp;$B119,data!$A:$U,14,FALSE)</f>
        <v>6</v>
      </c>
      <c r="J119" s="3">
        <f ca="1">VLOOKUP($A119&amp;$B119,data!$A:$U,15,FALSE)</f>
        <v>6</v>
      </c>
      <c r="K119" s="3">
        <f ca="1">VLOOKUP($A119&amp;$B119,data!$A:$U,16,FALSE)</f>
        <v>0</v>
      </c>
      <c r="L119" s="3">
        <f ca="1">VLOOKUP($A119&amp;$B119,data!$A:$U,8,FALSE)</f>
        <v>43</v>
      </c>
      <c r="M119" s="3">
        <f ca="1">VLOOKUP($A119&amp;$B119,data!$A:$U,9,FALSE)</f>
        <v>43</v>
      </c>
      <c r="N119" s="3">
        <f ca="1">VLOOKUP($A119&amp;$B119,data!$A:$U,10,FALSE)</f>
        <v>0</v>
      </c>
      <c r="O119" s="3">
        <f ca="1">VLOOKUP($A119&amp;$B119,data!$A:$U,11,FALSE)</f>
        <v>0</v>
      </c>
      <c r="P119" s="3">
        <f ca="1">VLOOKUP($A119&amp;$B119,data!$A:$U,12,FALSE)</f>
        <v>0</v>
      </c>
      <c r="Q119" s="3">
        <f ca="1">VLOOKUP($A119&amp;$B119,data!$A:$U,13,FALSE)</f>
        <v>0</v>
      </c>
      <c r="R119" s="3">
        <f ca="1">VLOOKUP($A119&amp;$B119,data!$A:$U,5,FALSE)</f>
        <v>49</v>
      </c>
      <c r="S119" s="3">
        <f ca="1">VLOOKUP($A119&amp;$B119,data!$A:$U,6,FALSE)</f>
        <v>49</v>
      </c>
      <c r="T119" s="3">
        <f ca="1">VLOOKUP($A119&amp;$B119,data!$A:$U,7,FALSE)</f>
        <v>0</v>
      </c>
    </row>
    <row r="120" spans="1:20" ht="13" x14ac:dyDescent="0.15">
      <c r="A120" s="3" t="s">
        <v>4</v>
      </c>
      <c r="B120" s="3" t="s">
        <v>255</v>
      </c>
      <c r="C120" s="10">
        <f t="shared" ca="1" si="0"/>
        <v>0</v>
      </c>
      <c r="D120" s="5">
        <f ca="1">VLOOKUP($A120&amp;$B120,data!$A:$U,20,FALSE)</f>
        <v>44305.336747685098</v>
      </c>
      <c r="E120" s="3" t="str">
        <f ca="1">VLOOKUP($A120&amp;$B120,data!$A:$U,21,FALSE)</f>
        <v>19/04/2021</v>
      </c>
      <c r="F120" s="3">
        <f ca="1">VLOOKUP($A120&amp;$B120,data!$A:$U,17,FALSE)</f>
        <v>2</v>
      </c>
      <c r="G120" s="3">
        <f ca="1">VLOOKUP($A120&amp;$B120,data!$A:$U,18,FALSE)</f>
        <v>0</v>
      </c>
      <c r="H120" s="3">
        <f ca="1">VLOOKUP($A120&amp;$B120,data!$A:$U,19,FALSE)</f>
        <v>2</v>
      </c>
      <c r="I120" s="3">
        <f ca="1">VLOOKUP($A120&amp;$B120,data!$A:$U,14,FALSE)</f>
        <v>0</v>
      </c>
      <c r="J120" s="3">
        <f ca="1">VLOOKUP($A120&amp;$B120,data!$A:$U,15,FALSE)</f>
        <v>0</v>
      </c>
      <c r="K120" s="3">
        <f ca="1">VLOOKUP($A120&amp;$B120,data!$A:$U,16,FALSE)</f>
        <v>0</v>
      </c>
      <c r="L120" s="3">
        <f ca="1">VLOOKUP($A120&amp;$B120,data!$A:$U,8,FALSE)</f>
        <v>30</v>
      </c>
      <c r="M120" s="3">
        <f ca="1">VLOOKUP($A120&amp;$B120,data!$A:$U,9,FALSE)</f>
        <v>28</v>
      </c>
      <c r="N120" s="3">
        <f ca="1">VLOOKUP($A120&amp;$B120,data!$A:$U,10,FALSE)</f>
        <v>0</v>
      </c>
      <c r="O120" s="3">
        <f ca="1">VLOOKUP($A120&amp;$B120,data!$A:$U,11,FALSE)</f>
        <v>0</v>
      </c>
      <c r="P120" s="3">
        <f ca="1">VLOOKUP($A120&amp;$B120,data!$A:$U,12,FALSE)</f>
        <v>0</v>
      </c>
      <c r="Q120" s="3">
        <f ca="1">VLOOKUP($A120&amp;$B120,data!$A:$U,13,FALSE)</f>
        <v>0</v>
      </c>
      <c r="R120" s="3">
        <f ca="1">VLOOKUP($A120&amp;$B120,data!$A:$U,5,FALSE)</f>
        <v>30</v>
      </c>
      <c r="S120" s="3">
        <f ca="1">VLOOKUP($A120&amp;$B120,data!$A:$U,6,FALSE)</f>
        <v>28</v>
      </c>
      <c r="T120" s="3">
        <f ca="1">VLOOKUP($A120&amp;$B120,data!$A:$U,7,FALSE)</f>
        <v>0</v>
      </c>
    </row>
    <row r="121" spans="1:20" ht="13" x14ac:dyDescent="0.15">
      <c r="A121" s="3" t="s">
        <v>4</v>
      </c>
      <c r="B121" s="3" t="s">
        <v>747</v>
      </c>
      <c r="C121" s="10">
        <f t="shared" ca="1" si="0"/>
        <v>0</v>
      </c>
      <c r="D121" s="5">
        <f ca="1">VLOOKUP($A121&amp;$B121,data!$A:$U,20,FALSE)</f>
        <v>44298.314131944397</v>
      </c>
      <c r="E121" s="3" t="str">
        <f ca="1">VLOOKUP($A121&amp;$B121,data!$A:$U,21,FALSE)</f>
        <v>12.04.2021</v>
      </c>
      <c r="F121" s="3">
        <f ca="1">VLOOKUP($A121&amp;$B121,data!$A:$U,17,FALSE)</f>
        <v>1</v>
      </c>
      <c r="G121" s="3">
        <f ca="1">VLOOKUP($A121&amp;$B121,data!$A:$U,18,FALSE)</f>
        <v>1</v>
      </c>
      <c r="H121" s="3">
        <f ca="1">VLOOKUP($A121&amp;$B121,data!$A:$U,19,FALSE)</f>
        <v>0</v>
      </c>
      <c r="I121" s="3">
        <f ca="1">VLOOKUP($A121&amp;$B121,data!$A:$U,14,FALSE)</f>
        <v>3</v>
      </c>
      <c r="J121" s="3">
        <f ca="1">VLOOKUP($A121&amp;$B121,data!$A:$U,15,FALSE)</f>
        <v>0</v>
      </c>
      <c r="K121" s="3">
        <f ca="1">VLOOKUP($A121&amp;$B121,data!$A:$U,16,FALSE)</f>
        <v>0</v>
      </c>
      <c r="L121" s="3">
        <f ca="1">VLOOKUP($A121&amp;$B121,data!$A:$U,8,FALSE)</f>
        <v>9</v>
      </c>
      <c r="M121" s="3">
        <f ca="1">VLOOKUP($A121&amp;$B121,data!$A:$U,9,FALSE)</f>
        <v>9</v>
      </c>
      <c r="N121" s="3">
        <f ca="1">VLOOKUP($A121&amp;$B121,data!$A:$U,10,FALSE)</f>
        <v>0</v>
      </c>
      <c r="O121" s="3">
        <f ca="1">VLOOKUP($A121&amp;$B121,data!$A:$U,11,FALSE)</f>
        <v>1</v>
      </c>
      <c r="P121" s="3">
        <f ca="1">VLOOKUP($A121&amp;$B121,data!$A:$U,12,FALSE)</f>
        <v>0</v>
      </c>
      <c r="Q121" s="3">
        <f ca="1">VLOOKUP($A121&amp;$B121,data!$A:$U,13,FALSE)</f>
        <v>0</v>
      </c>
      <c r="R121" s="3">
        <f ca="1">VLOOKUP($A121&amp;$B121,data!$A:$U,5,FALSE)</f>
        <v>10</v>
      </c>
      <c r="S121" s="3">
        <f ca="1">VLOOKUP($A121&amp;$B121,data!$A:$U,6,FALSE)</f>
        <v>10</v>
      </c>
      <c r="T121" s="3">
        <f ca="1">VLOOKUP($A121&amp;$B121,data!$A:$U,7,FALSE)</f>
        <v>0</v>
      </c>
    </row>
    <row r="122" spans="1:20" ht="13" x14ac:dyDescent="0.15">
      <c r="A122" s="3" t="s">
        <v>4</v>
      </c>
      <c r="B122" s="3" t="s">
        <v>789</v>
      </c>
      <c r="C122" s="10">
        <f t="shared" ca="1" si="0"/>
        <v>0</v>
      </c>
      <c r="D122" s="5">
        <f ca="1">VLOOKUP($A122&amp;$B122,data!$A:$U,20,FALSE)</f>
        <v>44305.278090277701</v>
      </c>
      <c r="E122" s="3" t="str">
        <f ca="1">VLOOKUP($A122&amp;$B122,data!$A:$U,21,FALSE)</f>
        <v>19-04-2021</v>
      </c>
      <c r="F122" s="3">
        <f ca="1">VLOOKUP($A122&amp;$B122,data!$A:$U,17,FALSE)</f>
        <v>4</v>
      </c>
      <c r="G122" s="3">
        <f ca="1">VLOOKUP($A122&amp;$B122,data!$A:$U,18,FALSE)</f>
        <v>4</v>
      </c>
      <c r="H122" s="3">
        <f ca="1">VLOOKUP($A122&amp;$B122,data!$A:$U,19,FALSE)</f>
        <v>0</v>
      </c>
      <c r="I122" s="3">
        <f ca="1">VLOOKUP($A122&amp;$B122,data!$A:$U,14,FALSE)</f>
        <v>4</v>
      </c>
      <c r="J122" s="3">
        <f ca="1">VLOOKUP($A122&amp;$B122,data!$A:$U,15,FALSE)</f>
        <v>4</v>
      </c>
      <c r="K122" s="3">
        <f ca="1">VLOOKUP($A122&amp;$B122,data!$A:$U,16,FALSE)</f>
        <v>0</v>
      </c>
      <c r="L122" s="3">
        <f ca="1">VLOOKUP($A122&amp;$B122,data!$A:$U,8,FALSE)</f>
        <v>26</v>
      </c>
      <c r="M122" s="3">
        <f ca="1">VLOOKUP($A122&amp;$B122,data!$A:$U,9,FALSE)</f>
        <v>26</v>
      </c>
      <c r="N122" s="3">
        <f ca="1">VLOOKUP($A122&amp;$B122,data!$A:$U,10,FALSE)</f>
        <v>0</v>
      </c>
      <c r="O122" s="3">
        <f ca="1">VLOOKUP($A122&amp;$B122,data!$A:$U,11,FALSE)</f>
        <v>0</v>
      </c>
      <c r="P122" s="3">
        <f ca="1">VLOOKUP($A122&amp;$B122,data!$A:$U,12,FALSE)</f>
        <v>0</v>
      </c>
      <c r="Q122" s="3">
        <f ca="1">VLOOKUP($A122&amp;$B122,data!$A:$U,13,FALSE)</f>
        <v>0</v>
      </c>
      <c r="R122" s="3">
        <f ca="1">VLOOKUP($A122&amp;$B122,data!$A:$U,5,FALSE)</f>
        <v>30</v>
      </c>
      <c r="S122" s="3">
        <f ca="1">VLOOKUP($A122&amp;$B122,data!$A:$U,6,FALSE)</f>
        <v>30</v>
      </c>
      <c r="T122" s="3">
        <f ca="1">VLOOKUP($A122&amp;$B122,data!$A:$U,7,FALSE)</f>
        <v>0</v>
      </c>
    </row>
    <row r="123" spans="1:20" ht="13" x14ac:dyDescent="0.15">
      <c r="A123" s="3" t="s">
        <v>4</v>
      </c>
      <c r="B123" s="3" t="s">
        <v>804</v>
      </c>
      <c r="C123" s="10">
        <f t="shared" ca="1" si="0"/>
        <v>2.5000000000000001E-2</v>
      </c>
      <c r="D123" s="5">
        <f ca="1">VLOOKUP($A123&amp;$B123,data!$A:$U,20,FALSE)</f>
        <v>44304.5611921296</v>
      </c>
      <c r="E123" s="3" t="str">
        <f ca="1">VLOOKUP($A123&amp;$B123,data!$A:$U,21,FALSE)</f>
        <v>Updated 16/4/2020</v>
      </c>
      <c r="F123" s="3">
        <f ca="1">VLOOKUP($A123&amp;$B123,data!$A:$U,17,FALSE)</f>
        <v>4</v>
      </c>
      <c r="G123" s="3">
        <f ca="1">VLOOKUP($A123&amp;$B123,data!$A:$U,18,FALSE)</f>
        <v>2</v>
      </c>
      <c r="H123" s="3">
        <f ca="1">VLOOKUP($A123&amp;$B123,data!$A:$U,19,FALSE)</f>
        <v>2</v>
      </c>
      <c r="I123" s="3">
        <f ca="1">VLOOKUP($A123&amp;$B123,data!$A:$U,14,FALSE)</f>
        <v>10</v>
      </c>
      <c r="J123" s="3">
        <f ca="1">VLOOKUP($A123&amp;$B123,data!$A:$U,15,FALSE)</f>
        <v>9</v>
      </c>
      <c r="K123" s="3">
        <f ca="1">VLOOKUP($A123&amp;$B123,data!$A:$U,16,FALSE)</f>
        <v>1</v>
      </c>
      <c r="L123" s="3">
        <f ca="1">VLOOKUP($A123&amp;$B123,data!$A:$U,8,FALSE)</f>
        <v>10</v>
      </c>
      <c r="M123" s="3">
        <f ca="1">VLOOKUP($A123&amp;$B123,data!$A:$U,9,FALSE)</f>
        <v>10</v>
      </c>
      <c r="N123" s="3">
        <f ca="1">VLOOKUP($A123&amp;$B123,data!$A:$U,10,FALSE)</f>
        <v>0</v>
      </c>
      <c r="O123" s="3">
        <f ca="1">VLOOKUP($A123&amp;$B123,data!$A:$U,11,FALSE)</f>
        <v>0</v>
      </c>
      <c r="P123" s="3">
        <f ca="1">VLOOKUP($A123&amp;$B123,data!$A:$U,12,FALSE)</f>
        <v>0</v>
      </c>
      <c r="Q123" s="3">
        <f ca="1">VLOOKUP($A123&amp;$B123,data!$A:$U,13,FALSE)</f>
        <v>0</v>
      </c>
      <c r="R123" s="3">
        <f ca="1">VLOOKUP($A123&amp;$B123,data!$A:$U,5,FALSE)</f>
        <v>20</v>
      </c>
      <c r="S123" s="3">
        <f ca="1">VLOOKUP($A123&amp;$B123,data!$A:$U,6,FALSE)</f>
        <v>19</v>
      </c>
      <c r="T123" s="3">
        <f ca="1">VLOOKUP($A123&amp;$B123,data!$A:$U,7,FALSE)</f>
        <v>0</v>
      </c>
    </row>
    <row r="124" spans="1:20" ht="13" x14ac:dyDescent="0.15">
      <c r="A124" s="3" t="s">
        <v>4</v>
      </c>
      <c r="B124" s="3" t="s">
        <v>818</v>
      </c>
      <c r="C124" s="10">
        <f t="shared" ca="1" si="0"/>
        <v>0</v>
      </c>
      <c r="D124" s="5">
        <f ca="1">VLOOKUP($A124&amp;$B124,data!$A:$U,20,FALSE)</f>
        <v>44305.6756828703</v>
      </c>
      <c r="E124" s="3" t="str">
        <f ca="1">VLOOKUP($A124&amp;$B124,data!$A:$U,21,FALSE)</f>
        <v>19/04/2021</v>
      </c>
      <c r="F124" s="3">
        <f ca="1">VLOOKUP($A124&amp;$B124,data!$A:$U,17,FALSE)</f>
        <v>0</v>
      </c>
      <c r="G124" s="3">
        <f ca="1">VLOOKUP($A124&amp;$B124,data!$A:$U,18,FALSE)</f>
        <v>0</v>
      </c>
      <c r="H124" s="3">
        <f ca="1">VLOOKUP($A124&amp;$B124,data!$A:$U,19,FALSE)</f>
        <v>0</v>
      </c>
      <c r="I124" s="3">
        <f ca="1">VLOOKUP($A124&amp;$B124,data!$A:$U,14,FALSE)</f>
        <v>5</v>
      </c>
      <c r="J124" s="3">
        <f ca="1">VLOOKUP($A124&amp;$B124,data!$A:$U,15,FALSE)</f>
        <v>0</v>
      </c>
      <c r="K124" s="3">
        <f ca="1">VLOOKUP($A124&amp;$B124,data!$A:$U,16,FALSE)</f>
        <v>0</v>
      </c>
      <c r="L124" s="3">
        <f ca="1">VLOOKUP($A124&amp;$B124,data!$A:$U,8,FALSE)</f>
        <v>0</v>
      </c>
      <c r="M124" s="3">
        <f ca="1">VLOOKUP($A124&amp;$B124,data!$A:$U,9,FALSE)</f>
        <v>0</v>
      </c>
      <c r="N124" s="3">
        <f ca="1">VLOOKUP($A124&amp;$B124,data!$A:$U,10,FALSE)</f>
        <v>0</v>
      </c>
      <c r="O124" s="3">
        <f ca="1">VLOOKUP($A124&amp;$B124,data!$A:$U,11,FALSE)</f>
        <v>0</v>
      </c>
      <c r="P124" s="3">
        <f ca="1">VLOOKUP($A124&amp;$B124,data!$A:$U,12,FALSE)</f>
        <v>0</v>
      </c>
      <c r="Q124" s="3">
        <f ca="1">VLOOKUP($A124&amp;$B124,data!$A:$U,13,FALSE)</f>
        <v>0</v>
      </c>
      <c r="R124" s="3">
        <f ca="1">VLOOKUP($A124&amp;$B124,data!$A:$U,5,FALSE)</f>
        <v>10</v>
      </c>
      <c r="S124" s="3">
        <f ca="1">VLOOKUP($A124&amp;$B124,data!$A:$U,6,FALSE)</f>
        <v>10</v>
      </c>
      <c r="T124" s="3">
        <f ca="1">VLOOKUP($A124&amp;$B124,data!$A:$U,7,FALSE)</f>
        <v>0</v>
      </c>
    </row>
    <row r="125" spans="1:20" ht="13" x14ac:dyDescent="0.15">
      <c r="A125" s="3" t="s">
        <v>4</v>
      </c>
      <c r="B125" s="3" t="s">
        <v>1114</v>
      </c>
      <c r="C125" s="10">
        <f t="shared" ca="1" si="0"/>
        <v>0</v>
      </c>
      <c r="D125" s="5">
        <f ca="1">VLOOKUP($A125&amp;$B125,data!$A:$U,20,FALSE)</f>
        <v>44305.6484375</v>
      </c>
      <c r="E125" s="3" t="str">
        <f ca="1">VLOOKUP($A125&amp;$B125,data!$A:$U,21,FALSE)</f>
        <v>(19/4/2021)</v>
      </c>
      <c r="F125" s="3">
        <f ca="1">VLOOKUP($A125&amp;$B125,data!$A:$U,17,FALSE)</f>
        <v>0</v>
      </c>
      <c r="G125" s="3">
        <f ca="1">VLOOKUP($A125&amp;$B125,data!$A:$U,18,FALSE)</f>
        <v>0</v>
      </c>
      <c r="H125" s="3">
        <f ca="1">VLOOKUP($A125&amp;$B125,data!$A:$U,19,FALSE)</f>
        <v>0</v>
      </c>
      <c r="I125" s="3">
        <f ca="1">VLOOKUP($A125&amp;$B125,data!$A:$U,14,FALSE)</f>
        <v>0</v>
      </c>
      <c r="J125" s="3">
        <f ca="1">VLOOKUP($A125&amp;$B125,data!$A:$U,15,FALSE)</f>
        <v>0</v>
      </c>
      <c r="K125" s="3">
        <f ca="1">VLOOKUP($A125&amp;$B125,data!$A:$U,16,FALSE)</f>
        <v>0</v>
      </c>
      <c r="L125" s="3">
        <f ca="1">VLOOKUP($A125&amp;$B125,data!$A:$U,8,FALSE)</f>
        <v>15</v>
      </c>
      <c r="M125" s="3">
        <f ca="1">VLOOKUP($A125&amp;$B125,data!$A:$U,9,FALSE)</f>
        <v>16</v>
      </c>
      <c r="N125" s="3">
        <f ca="1">VLOOKUP($A125&amp;$B125,data!$A:$U,10,FALSE)</f>
        <v>0</v>
      </c>
      <c r="O125" s="3">
        <f ca="1">VLOOKUP($A125&amp;$B125,data!$A:$U,11,FALSE)</f>
        <v>11</v>
      </c>
      <c r="P125" s="3">
        <f ca="1">VLOOKUP($A125&amp;$B125,data!$A:$U,12,FALSE)</f>
        <v>9</v>
      </c>
      <c r="Q125" s="3">
        <f ca="1">VLOOKUP($A125&amp;$B125,data!$A:$U,13,FALSE)</f>
        <v>0</v>
      </c>
      <c r="R125" s="3">
        <f ca="1">VLOOKUP($A125&amp;$B125,data!$A:$U,5,FALSE)</f>
        <v>15</v>
      </c>
      <c r="S125" s="3">
        <f ca="1">VLOOKUP($A125&amp;$B125,data!$A:$U,6,FALSE)</f>
        <v>23</v>
      </c>
      <c r="T125" s="3">
        <f ca="1">VLOOKUP($A125&amp;$B125,data!$A:$U,7,FALSE)</f>
        <v>0</v>
      </c>
    </row>
    <row r="126" spans="1:20" ht="13" x14ac:dyDescent="0.15">
      <c r="A126" s="3" t="s">
        <v>4</v>
      </c>
      <c r="B126" s="3" t="s">
        <v>1155</v>
      </c>
      <c r="C126" s="10">
        <f t="shared" ca="1" si="0"/>
        <v>0</v>
      </c>
      <c r="D126" s="5">
        <f ca="1">VLOOKUP($A126&amp;$B126,data!$A:$U,20,FALSE)</f>
        <v>44305.431851851798</v>
      </c>
      <c r="E126" s="3" t="str">
        <f ca="1">VLOOKUP($A126&amp;$B126,data!$A:$U,21,FALSE)</f>
        <v>19/04/2021</v>
      </c>
      <c r="F126" s="3">
        <f ca="1">VLOOKUP($A126&amp;$B126,data!$A:$U,17,FALSE)</f>
        <v>1</v>
      </c>
      <c r="G126" s="3">
        <f ca="1">VLOOKUP($A126&amp;$B126,data!$A:$U,18,FALSE)</f>
        <v>0</v>
      </c>
      <c r="H126" s="3">
        <f ca="1">VLOOKUP($A126&amp;$B126,data!$A:$U,19,FALSE)</f>
        <v>1</v>
      </c>
      <c r="I126" s="3">
        <f ca="1">VLOOKUP($A126&amp;$B126,data!$A:$U,14,FALSE)</f>
        <v>2</v>
      </c>
      <c r="J126" s="3">
        <f ca="1">VLOOKUP($A126&amp;$B126,data!$A:$U,15,FALSE)</f>
        <v>2</v>
      </c>
      <c r="K126" s="3">
        <f ca="1">VLOOKUP($A126&amp;$B126,data!$A:$U,16,FALSE)</f>
        <v>0</v>
      </c>
      <c r="L126" s="3">
        <f ca="1">VLOOKUP($A126&amp;$B126,data!$A:$U,8,FALSE)</f>
        <v>4</v>
      </c>
      <c r="M126" s="3">
        <f ca="1">VLOOKUP($A126&amp;$B126,data!$A:$U,9,FALSE)</f>
        <v>4</v>
      </c>
      <c r="N126" s="3">
        <f ca="1">VLOOKUP($A126&amp;$B126,data!$A:$U,10,FALSE)</f>
        <v>0</v>
      </c>
      <c r="O126" s="3">
        <f ca="1">VLOOKUP($A126&amp;$B126,data!$A:$U,11,FALSE)</f>
        <v>2</v>
      </c>
      <c r="P126" s="3">
        <f ca="1">VLOOKUP($A126&amp;$B126,data!$A:$U,12,FALSE)</f>
        <v>2</v>
      </c>
      <c r="Q126" s="3">
        <f ca="1">VLOOKUP($A126&amp;$B126,data!$A:$U,13,FALSE)</f>
        <v>0</v>
      </c>
      <c r="R126" s="3">
        <f ca="1">VLOOKUP($A126&amp;$B126,data!$A:$U,5,FALSE)</f>
        <v>8</v>
      </c>
      <c r="S126" s="3">
        <f ca="1">VLOOKUP($A126&amp;$B126,data!$A:$U,6,FALSE)</f>
        <v>8</v>
      </c>
      <c r="T126" s="3">
        <f ca="1">VLOOKUP($A126&amp;$B126,data!$A:$U,7,FALSE)</f>
        <v>0</v>
      </c>
    </row>
    <row r="127" spans="1:20" ht="13" x14ac:dyDescent="0.15">
      <c r="A127" s="3" t="s">
        <v>4</v>
      </c>
      <c r="B127" s="3" t="s">
        <v>1171</v>
      </c>
      <c r="C127" s="10">
        <f t="shared" ca="1" si="0"/>
        <v>0</v>
      </c>
      <c r="D127" s="5">
        <f ca="1">VLOOKUP($A127&amp;$B127,data!$A:$U,20,FALSE)</f>
        <v>44302.525069444397</v>
      </c>
      <c r="E127" s="3">
        <f ca="1">VLOOKUP($A127&amp;$B127,data!$A:$U,21,FALSE)</f>
        <v>0</v>
      </c>
      <c r="F127" s="3">
        <f ca="1">VLOOKUP($A127&amp;$B127,data!$A:$U,17,FALSE)</f>
        <v>0</v>
      </c>
      <c r="G127" s="3">
        <f ca="1">VLOOKUP($A127&amp;$B127,data!$A:$U,18,FALSE)</f>
        <v>0</v>
      </c>
      <c r="H127" s="3">
        <f ca="1">VLOOKUP($A127&amp;$B127,data!$A:$U,19,FALSE)</f>
        <v>0</v>
      </c>
      <c r="I127" s="3">
        <f ca="1">VLOOKUP($A127&amp;$B127,data!$A:$U,14,FALSE)</f>
        <v>0</v>
      </c>
      <c r="J127" s="3">
        <f ca="1">VLOOKUP($A127&amp;$B127,data!$A:$U,15,FALSE)</f>
        <v>0</v>
      </c>
      <c r="K127" s="3">
        <f ca="1">VLOOKUP($A127&amp;$B127,data!$A:$U,16,FALSE)</f>
        <v>0</v>
      </c>
      <c r="L127" s="3">
        <f ca="1">VLOOKUP($A127&amp;$B127,data!$A:$U,8,FALSE)</f>
        <v>12</v>
      </c>
      <c r="M127" s="3">
        <f ca="1">VLOOKUP($A127&amp;$B127,data!$A:$U,9,FALSE)</f>
        <v>0</v>
      </c>
      <c r="N127" s="3">
        <f ca="1">VLOOKUP($A127&amp;$B127,data!$A:$U,10,FALSE)</f>
        <v>0</v>
      </c>
      <c r="O127" s="3">
        <f ca="1">VLOOKUP($A127&amp;$B127,data!$A:$U,11,FALSE)</f>
        <v>0</v>
      </c>
      <c r="P127" s="3">
        <f ca="1">VLOOKUP($A127&amp;$B127,data!$A:$U,12,FALSE)</f>
        <v>12</v>
      </c>
      <c r="Q127" s="3">
        <f ca="1">VLOOKUP($A127&amp;$B127,data!$A:$U,13,FALSE)</f>
        <v>0</v>
      </c>
      <c r="R127" s="3">
        <f ca="1">VLOOKUP($A127&amp;$B127,data!$A:$U,5,FALSE)</f>
        <v>12</v>
      </c>
      <c r="S127" s="3">
        <f ca="1">VLOOKUP($A127&amp;$B127,data!$A:$U,6,FALSE)</f>
        <v>12</v>
      </c>
      <c r="T127" s="3">
        <f ca="1">VLOOKUP($A127&amp;$B127,data!$A:$U,7,FALSE)</f>
        <v>0</v>
      </c>
    </row>
    <row r="128" spans="1:20" ht="13" x14ac:dyDescent="0.15">
      <c r="A128" s="3" t="s">
        <v>4</v>
      </c>
      <c r="B128" s="3" t="s">
        <v>1210</v>
      </c>
      <c r="C128" s="10">
        <f t="shared" ca="1" si="0"/>
        <v>0</v>
      </c>
      <c r="D128" s="5">
        <f ca="1">VLOOKUP($A128&amp;$B128,data!$A:$U,20,FALSE)</f>
        <v>44305.378101851798</v>
      </c>
      <c r="E128" s="3">
        <f ca="1">VLOOKUP($A128&amp;$B128,data!$A:$U,21,FALSE)</f>
        <v>0</v>
      </c>
      <c r="F128" s="3">
        <f ca="1">VLOOKUP($A128&amp;$B128,data!$A:$U,17,FALSE)</f>
        <v>0</v>
      </c>
      <c r="G128" s="3">
        <f ca="1">VLOOKUP($A128&amp;$B128,data!$A:$U,18,FALSE)</f>
        <v>0</v>
      </c>
      <c r="H128" s="3">
        <f ca="1">VLOOKUP($A128&amp;$B128,data!$A:$U,19,FALSE)</f>
        <v>0</v>
      </c>
      <c r="I128" s="3">
        <f ca="1">VLOOKUP($A128&amp;$B128,data!$A:$U,14,FALSE)</f>
        <v>0</v>
      </c>
      <c r="J128" s="3">
        <f ca="1">VLOOKUP($A128&amp;$B128,data!$A:$U,15,FALSE)</f>
        <v>0</v>
      </c>
      <c r="K128" s="3">
        <f ca="1">VLOOKUP($A128&amp;$B128,data!$A:$U,16,FALSE)</f>
        <v>0</v>
      </c>
      <c r="L128" s="3">
        <f ca="1">VLOOKUP($A128&amp;$B128,data!$A:$U,8,FALSE)</f>
        <v>18</v>
      </c>
      <c r="M128" s="3">
        <f ca="1">VLOOKUP($A128&amp;$B128,data!$A:$U,9,FALSE)</f>
        <v>18</v>
      </c>
      <c r="N128" s="3">
        <f ca="1">VLOOKUP($A128&amp;$B128,data!$A:$U,10,FALSE)</f>
        <v>0</v>
      </c>
      <c r="O128" s="3">
        <f ca="1">VLOOKUP($A128&amp;$B128,data!$A:$U,11,FALSE)</f>
        <v>18</v>
      </c>
      <c r="P128" s="3">
        <f ca="1">VLOOKUP($A128&amp;$B128,data!$A:$U,12,FALSE)</f>
        <v>0</v>
      </c>
      <c r="Q128" s="3">
        <f ca="1">VLOOKUP($A128&amp;$B128,data!$A:$U,13,FALSE)</f>
        <v>0</v>
      </c>
      <c r="R128" s="3">
        <f ca="1">VLOOKUP($A128&amp;$B128,data!$A:$U,5,FALSE)</f>
        <v>18</v>
      </c>
      <c r="S128" s="3">
        <f ca="1">VLOOKUP($A128&amp;$B128,data!$A:$U,6,FALSE)</f>
        <v>18</v>
      </c>
      <c r="T128" s="3">
        <f ca="1">VLOOKUP($A128&amp;$B128,data!$A:$U,7,FALSE)</f>
        <v>0</v>
      </c>
    </row>
    <row r="129" spans="1:20" ht="13" x14ac:dyDescent="0.15">
      <c r="A129" s="3" t="s">
        <v>4</v>
      </c>
      <c r="B129" s="3" t="s">
        <v>1211</v>
      </c>
      <c r="C129" s="10">
        <f t="shared" ca="1" si="0"/>
        <v>0.35</v>
      </c>
      <c r="D129" s="5">
        <f ca="1">VLOOKUP($A129&amp;$B129,data!$A:$U,20,FALSE)</f>
        <v>44305.640601851803</v>
      </c>
      <c r="E129" s="3">
        <f ca="1">VLOOKUP($A129&amp;$B129,data!$A:$U,21,FALSE)</f>
        <v>0</v>
      </c>
      <c r="F129" s="3">
        <f ca="1">VLOOKUP($A129&amp;$B129,data!$A:$U,17,FALSE)</f>
        <v>0</v>
      </c>
      <c r="G129" s="3">
        <f ca="1">VLOOKUP($A129&amp;$B129,data!$A:$U,18,FALSE)</f>
        <v>0</v>
      </c>
      <c r="H129" s="3">
        <f ca="1">VLOOKUP($A129&amp;$B129,data!$A:$U,19,FALSE)</f>
        <v>0</v>
      </c>
      <c r="I129" s="3">
        <f ca="1">VLOOKUP($A129&amp;$B129,data!$A:$U,14,FALSE)</f>
        <v>5</v>
      </c>
      <c r="J129" s="3">
        <f ca="1">VLOOKUP($A129&amp;$B129,data!$A:$U,15,FALSE)</f>
        <v>3</v>
      </c>
      <c r="K129" s="3">
        <f ca="1">VLOOKUP($A129&amp;$B129,data!$A:$U,16,FALSE)</f>
        <v>2</v>
      </c>
      <c r="L129" s="3">
        <f ca="1">VLOOKUP($A129&amp;$B129,data!$A:$U,8,FALSE)</f>
        <v>25</v>
      </c>
      <c r="M129" s="3">
        <f ca="1">VLOOKUP($A129&amp;$B129,data!$A:$U,9,FALSE)</f>
        <v>12</v>
      </c>
      <c r="N129" s="3">
        <f ca="1">VLOOKUP($A129&amp;$B129,data!$A:$U,10,FALSE)</f>
        <v>13</v>
      </c>
      <c r="O129" s="3">
        <f ca="1">VLOOKUP($A129&amp;$B129,data!$A:$U,11,FALSE)</f>
        <v>25</v>
      </c>
      <c r="P129" s="3">
        <f ca="1">VLOOKUP($A129&amp;$B129,data!$A:$U,12,FALSE)</f>
        <v>0</v>
      </c>
      <c r="Q129" s="3">
        <f ca="1">VLOOKUP($A129&amp;$B129,data!$A:$U,13,FALSE)</f>
        <v>0</v>
      </c>
      <c r="R129" s="3">
        <f ca="1">VLOOKUP($A129&amp;$B129,data!$A:$U,5,FALSE)</f>
        <v>25</v>
      </c>
      <c r="S129" s="3">
        <f ca="1">VLOOKUP($A129&amp;$B129,data!$A:$U,6,FALSE)</f>
        <v>12</v>
      </c>
      <c r="T129" s="3">
        <f ca="1">VLOOKUP($A129&amp;$B129,data!$A:$U,7,FALSE)</f>
        <v>13</v>
      </c>
    </row>
    <row r="130" spans="1:20" ht="13" x14ac:dyDescent="0.15">
      <c r="A130" s="3" t="s">
        <v>4</v>
      </c>
      <c r="B130" s="3" t="s">
        <v>1212</v>
      </c>
      <c r="C130" s="10" t="e">
        <f t="shared" ca="1" si="0"/>
        <v>#DIV/0!</v>
      </c>
      <c r="D130" s="5">
        <f ca="1">VLOOKUP($A130&amp;$B130,data!$A:$U,20,FALSE)</f>
        <v>44303.9841087963</v>
      </c>
      <c r="E130" s="3">
        <f ca="1">VLOOKUP($A130&amp;$B130,data!$A:$U,21,FALSE)</f>
        <v>0</v>
      </c>
      <c r="F130" s="3">
        <f ca="1">VLOOKUP($A130&amp;$B130,data!$A:$U,17,FALSE)</f>
        <v>0</v>
      </c>
      <c r="G130" s="3">
        <f ca="1">VLOOKUP($A130&amp;$B130,data!$A:$U,18,FALSE)</f>
        <v>0</v>
      </c>
      <c r="H130" s="3">
        <f ca="1">VLOOKUP($A130&amp;$B130,data!$A:$U,19,FALSE)</f>
        <v>0</v>
      </c>
      <c r="I130" s="3">
        <f ca="1">VLOOKUP($A130&amp;$B130,data!$A:$U,14,FALSE)</f>
        <v>0</v>
      </c>
      <c r="J130" s="3">
        <f ca="1">VLOOKUP($A130&amp;$B130,data!$A:$U,15,FALSE)</f>
        <v>0</v>
      </c>
      <c r="K130" s="3">
        <f ca="1">VLOOKUP($A130&amp;$B130,data!$A:$U,16,FALSE)</f>
        <v>0</v>
      </c>
      <c r="L130" s="3">
        <f ca="1">VLOOKUP($A130&amp;$B130,data!$A:$U,8,FALSE)</f>
        <v>0</v>
      </c>
      <c r="M130" s="3">
        <f ca="1">VLOOKUP($A130&amp;$B130,data!$A:$U,9,FALSE)</f>
        <v>0</v>
      </c>
      <c r="N130" s="3">
        <f ca="1">VLOOKUP($A130&amp;$B130,data!$A:$U,10,FALSE)</f>
        <v>0</v>
      </c>
      <c r="O130" s="3">
        <f ca="1">VLOOKUP($A130&amp;$B130,data!$A:$U,11,FALSE)</f>
        <v>0</v>
      </c>
      <c r="P130" s="3">
        <f ca="1">VLOOKUP($A130&amp;$B130,data!$A:$U,12,FALSE)</f>
        <v>0</v>
      </c>
      <c r="Q130" s="3">
        <f ca="1">VLOOKUP($A130&amp;$B130,data!$A:$U,13,FALSE)</f>
        <v>0</v>
      </c>
      <c r="R130" s="3">
        <f ca="1">VLOOKUP($A130&amp;$B130,data!$A:$U,5,FALSE)</f>
        <v>0</v>
      </c>
      <c r="S130" s="3">
        <f ca="1">VLOOKUP($A130&amp;$B130,data!$A:$U,6,FALSE)</f>
        <v>0</v>
      </c>
      <c r="T130" s="3">
        <f ca="1">VLOOKUP($A130&amp;$B130,data!$A:$U,7,FALSE)</f>
        <v>0</v>
      </c>
    </row>
    <row r="131" spans="1:20" ht="13" x14ac:dyDescent="0.15">
      <c r="A131" s="3" t="s">
        <v>5</v>
      </c>
      <c r="B131" s="3" t="s">
        <v>271</v>
      </c>
      <c r="C131" s="10">
        <f t="shared" ca="1" si="0"/>
        <v>0.88</v>
      </c>
      <c r="D131" s="5">
        <f ca="1">VLOOKUP($A131&amp;$B131,data!$A:$U,20,FALSE)</f>
        <v>44305.416203703702</v>
      </c>
      <c r="E131" s="3" t="str">
        <f ca="1">VLOOKUP($A131&amp;$B131,data!$A:$U,21,FALSE)</f>
        <v>30 POSITIVE + 6 SUSPECTS</v>
      </c>
      <c r="F131" s="3">
        <f ca="1">VLOOKUP($A131&amp;$B131,data!$A:$U,17,FALSE)</f>
        <v>2</v>
      </c>
      <c r="G131" s="3">
        <f ca="1">VLOOKUP($A131&amp;$B131,data!$A:$U,18,FALSE)</f>
        <v>0</v>
      </c>
      <c r="H131" s="3">
        <f ca="1">VLOOKUP($A131&amp;$B131,data!$A:$U,19,FALSE)</f>
        <v>2</v>
      </c>
      <c r="I131" s="3">
        <f ca="1">VLOOKUP($A131&amp;$B131,data!$A:$U,14,FALSE)</f>
        <v>3</v>
      </c>
      <c r="J131" s="3">
        <f ca="1">VLOOKUP($A131&amp;$B131,data!$A:$U,15,FALSE)</f>
        <v>0</v>
      </c>
      <c r="K131" s="3">
        <f ca="1">VLOOKUP($A131&amp;$B131,data!$A:$U,16,FALSE)</f>
        <v>3</v>
      </c>
      <c r="L131" s="3">
        <f ca="1">VLOOKUP($A131&amp;$B131,data!$A:$U,8,FALSE)</f>
        <v>30</v>
      </c>
      <c r="M131" s="3">
        <f ca="1">VLOOKUP($A131&amp;$B131,data!$A:$U,9,FALSE)</f>
        <v>5</v>
      </c>
      <c r="N131" s="3">
        <f ca="1">VLOOKUP($A131&amp;$B131,data!$A:$U,10,FALSE)</f>
        <v>25</v>
      </c>
      <c r="O131" s="3">
        <f ca="1">VLOOKUP($A131&amp;$B131,data!$A:$U,11,FALSE)</f>
        <v>217</v>
      </c>
      <c r="P131" s="3">
        <f ca="1">VLOOKUP($A131&amp;$B131,data!$A:$U,12,FALSE)</f>
        <v>25</v>
      </c>
      <c r="Q131" s="3">
        <f ca="1">VLOOKUP($A131&amp;$B131,data!$A:$U,13,FALSE)</f>
        <v>192</v>
      </c>
      <c r="R131" s="3">
        <f ca="1">VLOOKUP($A131&amp;$B131,data!$A:$U,5,FALSE)</f>
        <v>250</v>
      </c>
      <c r="S131" s="3">
        <f ca="1">VLOOKUP($A131&amp;$B131,data!$A:$U,6,FALSE)</f>
        <v>30</v>
      </c>
      <c r="T131" s="3">
        <f ca="1">VLOOKUP($A131&amp;$B131,data!$A:$U,7,FALSE)</f>
        <v>220</v>
      </c>
    </row>
    <row r="132" spans="1:20" ht="13" x14ac:dyDescent="0.15">
      <c r="A132" s="3" t="s">
        <v>5</v>
      </c>
      <c r="B132" s="3" t="s">
        <v>296</v>
      </c>
      <c r="C132" s="10">
        <f t="shared" ca="1" si="0"/>
        <v>0.25</v>
      </c>
      <c r="D132" s="5">
        <f ca="1">VLOOKUP($A132&amp;$B132,data!$A:$U,20,FALSE)</f>
        <v>44305.449560185101</v>
      </c>
      <c r="E132" s="3" t="str">
        <f ca="1">VLOOKUP($A132&amp;$B132,data!$A:$U,21,FALSE)</f>
        <v>19th APRIL</v>
      </c>
      <c r="F132" s="3">
        <f ca="1">VLOOKUP($A132&amp;$B132,data!$A:$U,17,FALSE)</f>
        <v>15</v>
      </c>
      <c r="G132" s="3">
        <f ca="1">VLOOKUP($A132&amp;$B132,data!$A:$U,18,FALSE)</f>
        <v>10</v>
      </c>
      <c r="H132" s="3">
        <f ca="1">VLOOKUP($A132&amp;$B132,data!$A:$U,19,FALSE)</f>
        <v>5</v>
      </c>
      <c r="I132" s="3">
        <f ca="1">VLOOKUP($A132&amp;$B132,data!$A:$U,14,FALSE)</f>
        <v>30</v>
      </c>
      <c r="J132" s="3">
        <f ca="1">VLOOKUP($A132&amp;$B132,data!$A:$U,15,FALSE)</f>
        <v>27</v>
      </c>
      <c r="K132" s="3">
        <f ca="1">VLOOKUP($A132&amp;$B132,data!$A:$U,16,FALSE)</f>
        <v>3</v>
      </c>
      <c r="L132" s="3">
        <f ca="1">VLOOKUP($A132&amp;$B132,data!$A:$U,8,FALSE)</f>
        <v>145</v>
      </c>
      <c r="M132" s="3">
        <f ca="1">VLOOKUP($A132&amp;$B132,data!$A:$U,9,FALSE)</f>
        <v>139</v>
      </c>
      <c r="N132" s="3">
        <f ca="1">VLOOKUP($A132&amp;$B132,data!$A:$U,10,FALSE)</f>
        <v>6</v>
      </c>
      <c r="O132" s="3">
        <f ca="1">VLOOKUP($A132&amp;$B132,data!$A:$U,11,FALSE)</f>
        <v>265</v>
      </c>
      <c r="P132" s="3">
        <f ca="1">VLOOKUP($A132&amp;$B132,data!$A:$U,12,FALSE)</f>
        <v>164</v>
      </c>
      <c r="Q132" s="3">
        <f ca="1">VLOOKUP($A132&amp;$B132,data!$A:$U,13,FALSE)</f>
        <v>101</v>
      </c>
      <c r="R132" s="3">
        <f ca="1">VLOOKUP($A132&amp;$B132,data!$A:$U,5,FALSE)</f>
        <v>440</v>
      </c>
      <c r="S132" s="3">
        <f ca="1">VLOOKUP($A132&amp;$B132,data!$A:$U,6,FALSE)</f>
        <v>330</v>
      </c>
      <c r="T132" s="3">
        <f ca="1">VLOOKUP($A132&amp;$B132,data!$A:$U,7,FALSE)</f>
        <v>110</v>
      </c>
    </row>
    <row r="133" spans="1:20" ht="13" x14ac:dyDescent="0.15">
      <c r="A133" s="3" t="s">
        <v>5</v>
      </c>
      <c r="B133" s="3" t="s">
        <v>261</v>
      </c>
      <c r="C133" s="10">
        <f t="shared" ca="1" si="0"/>
        <v>0.45454545454545453</v>
      </c>
      <c r="D133" s="5">
        <f ca="1">VLOOKUP($A133&amp;$B133,data!$A:$U,20,FALSE)</f>
        <v>44305.425057870299</v>
      </c>
      <c r="E133" s="3" t="str">
        <f ca="1">VLOOKUP($A133&amp;$B133,data!$A:$U,21,FALSE)</f>
        <v>GKNM Cbe</v>
      </c>
      <c r="F133" s="3">
        <f ca="1">VLOOKUP($A133&amp;$B133,data!$A:$U,17,FALSE)</f>
        <v>0</v>
      </c>
      <c r="G133" s="3">
        <f ca="1">VLOOKUP($A133&amp;$B133,data!$A:$U,18,FALSE)</f>
        <v>0</v>
      </c>
      <c r="H133" s="3">
        <f ca="1">VLOOKUP($A133&amp;$B133,data!$A:$U,19,FALSE)</f>
        <v>0</v>
      </c>
      <c r="I133" s="3">
        <f ca="1">VLOOKUP($A133&amp;$B133,data!$A:$U,14,FALSE)</f>
        <v>10</v>
      </c>
      <c r="J133" s="3">
        <f ca="1">VLOOKUP($A133&amp;$B133,data!$A:$U,15,FALSE)</f>
        <v>10</v>
      </c>
      <c r="K133" s="3">
        <f ca="1">VLOOKUP($A133&amp;$B133,data!$A:$U,16,FALSE)</f>
        <v>0</v>
      </c>
      <c r="L133" s="3">
        <f ca="1">VLOOKUP($A133&amp;$B133,data!$A:$U,8,FALSE)</f>
        <v>120</v>
      </c>
      <c r="M133" s="3">
        <f ca="1">VLOOKUP($A133&amp;$B133,data!$A:$U,9,FALSE)</f>
        <v>73</v>
      </c>
      <c r="N133" s="3">
        <f ca="1">VLOOKUP($A133&amp;$B133,data!$A:$U,10,FALSE)</f>
        <v>47</v>
      </c>
      <c r="O133" s="3">
        <f ca="1">VLOOKUP($A133&amp;$B133,data!$A:$U,11,FALSE)</f>
        <v>24</v>
      </c>
      <c r="P133" s="3">
        <f ca="1">VLOOKUP($A133&amp;$B133,data!$A:$U,12,FALSE)</f>
        <v>1</v>
      </c>
      <c r="Q133" s="3">
        <f ca="1">VLOOKUP($A133&amp;$B133,data!$A:$U,13,FALSE)</f>
        <v>23</v>
      </c>
      <c r="R133" s="3">
        <f ca="1">VLOOKUP($A133&amp;$B133,data!$A:$U,5,FALSE)</f>
        <v>154</v>
      </c>
      <c r="S133" s="3">
        <f ca="1">VLOOKUP($A133&amp;$B133,data!$A:$U,6,FALSE)</f>
        <v>84</v>
      </c>
      <c r="T133" s="3">
        <f ca="1">VLOOKUP($A133&amp;$B133,data!$A:$U,7,FALSE)</f>
        <v>70</v>
      </c>
    </row>
    <row r="134" spans="1:20" ht="13" x14ac:dyDescent="0.15">
      <c r="A134" s="3" t="s">
        <v>5</v>
      </c>
      <c r="B134" s="3" t="s">
        <v>1027</v>
      </c>
      <c r="C134" s="10">
        <f t="shared" ca="1" si="0"/>
        <v>0.39545454545454545</v>
      </c>
      <c r="D134" s="5">
        <f ca="1">VLOOKUP($A134&amp;$B134,data!$A:$U,20,FALSE)</f>
        <v>44305.400636573999</v>
      </c>
      <c r="E134" s="3" t="str">
        <f ca="1">VLOOKUP($A134&amp;$B134,data!$A:$U,21,FALSE)</f>
        <v>19.04.2021</v>
      </c>
      <c r="F134" s="3">
        <f ca="1">VLOOKUP($A134&amp;$B134,data!$A:$U,17,FALSE)</f>
        <v>15</v>
      </c>
      <c r="G134" s="3">
        <f ca="1">VLOOKUP($A134&amp;$B134,data!$A:$U,18,FALSE)</f>
        <v>5</v>
      </c>
      <c r="H134" s="3">
        <f ca="1">VLOOKUP($A134&amp;$B134,data!$A:$U,19,FALSE)</f>
        <v>10</v>
      </c>
      <c r="I134" s="3">
        <f ca="1">VLOOKUP($A134&amp;$B134,data!$A:$U,14,FALSE)</f>
        <v>20</v>
      </c>
      <c r="J134" s="3">
        <f ca="1">VLOOKUP($A134&amp;$B134,data!$A:$U,15,FALSE)</f>
        <v>11</v>
      </c>
      <c r="K134" s="3">
        <f ca="1">VLOOKUP($A134&amp;$B134,data!$A:$U,16,FALSE)</f>
        <v>9</v>
      </c>
      <c r="L134" s="3">
        <f ca="1">VLOOKUP($A134&amp;$B134,data!$A:$U,8,FALSE)</f>
        <v>20</v>
      </c>
      <c r="M134" s="3">
        <f ca="1">VLOOKUP($A134&amp;$B134,data!$A:$U,9,FALSE)</f>
        <v>0</v>
      </c>
      <c r="N134" s="3">
        <f ca="1">VLOOKUP($A134&amp;$B134,data!$A:$U,10,FALSE)</f>
        <v>20</v>
      </c>
      <c r="O134" s="3">
        <f ca="1">VLOOKUP($A134&amp;$B134,data!$A:$U,11,FALSE)</f>
        <v>80</v>
      </c>
      <c r="P134" s="3">
        <f ca="1">VLOOKUP($A134&amp;$B134,data!$A:$U,12,FALSE)</f>
        <v>61</v>
      </c>
      <c r="Q134" s="3">
        <f ca="1">VLOOKUP($A134&amp;$B134,data!$A:$U,13,FALSE)</f>
        <v>19</v>
      </c>
      <c r="R134" s="3">
        <f ca="1">VLOOKUP($A134&amp;$B134,data!$A:$U,5,FALSE)</f>
        <v>100</v>
      </c>
      <c r="S134" s="3">
        <f ca="1">VLOOKUP($A134&amp;$B134,data!$A:$U,6,FALSE)</f>
        <v>61</v>
      </c>
      <c r="T134" s="3">
        <f ca="1">VLOOKUP($A134&amp;$B134,data!$A:$U,7,FALSE)</f>
        <v>39</v>
      </c>
    </row>
    <row r="135" spans="1:20" ht="13" x14ac:dyDescent="0.15">
      <c r="A135" s="3" t="s">
        <v>5</v>
      </c>
      <c r="B135" s="3" t="s">
        <v>748</v>
      </c>
      <c r="C135" s="10">
        <f t="shared" ca="1" si="0"/>
        <v>1</v>
      </c>
      <c r="D135" s="5">
        <f ca="1">VLOOKUP($A135&amp;$B135,data!$A:$U,20,FALSE)</f>
        <v>44305.456273148098</v>
      </c>
      <c r="E135" s="3" t="str">
        <f ca="1">VLOOKUP($A135&amp;$B135,data!$A:$U,21,FALSE)</f>
        <v>19.4.2021</v>
      </c>
      <c r="F135" s="3">
        <f ca="1">VLOOKUP($A135&amp;$B135,data!$A:$U,17,FALSE)</f>
        <v>0</v>
      </c>
      <c r="G135" s="3">
        <f ca="1">VLOOKUP($A135&amp;$B135,data!$A:$U,18,FALSE)</f>
        <v>0</v>
      </c>
      <c r="H135" s="3">
        <f ca="1">VLOOKUP($A135&amp;$B135,data!$A:$U,19,FALSE)</f>
        <v>0</v>
      </c>
      <c r="I135" s="3">
        <f ca="1">VLOOKUP($A135&amp;$B135,data!$A:$U,14,FALSE)</f>
        <v>0</v>
      </c>
      <c r="J135" s="3">
        <f ca="1">VLOOKUP($A135&amp;$B135,data!$A:$U,15,FALSE)</f>
        <v>0</v>
      </c>
      <c r="K135" s="3">
        <f ca="1">VLOOKUP($A135&amp;$B135,data!$A:$U,16,FALSE)</f>
        <v>0</v>
      </c>
      <c r="L135" s="3">
        <f ca="1">VLOOKUP($A135&amp;$B135,data!$A:$U,8,FALSE)</f>
        <v>0</v>
      </c>
      <c r="M135" s="3">
        <f ca="1">VLOOKUP($A135&amp;$B135,data!$A:$U,9,FALSE)</f>
        <v>0</v>
      </c>
      <c r="N135" s="3">
        <f ca="1">VLOOKUP($A135&amp;$B135,data!$A:$U,10,FALSE)</f>
        <v>0</v>
      </c>
      <c r="O135" s="3">
        <f ca="1">VLOOKUP($A135&amp;$B135,data!$A:$U,11,FALSE)</f>
        <v>40</v>
      </c>
      <c r="P135" s="3">
        <f ca="1">VLOOKUP($A135&amp;$B135,data!$A:$U,12,FALSE)</f>
        <v>0</v>
      </c>
      <c r="Q135" s="3">
        <f ca="1">VLOOKUP($A135&amp;$B135,data!$A:$U,13,FALSE)</f>
        <v>40</v>
      </c>
      <c r="R135" s="3">
        <f ca="1">VLOOKUP($A135&amp;$B135,data!$A:$U,5,FALSE)</f>
        <v>40</v>
      </c>
      <c r="S135" s="3">
        <f ca="1">VLOOKUP($A135&amp;$B135,data!$A:$U,6,FALSE)</f>
        <v>0</v>
      </c>
      <c r="T135" s="3">
        <f ca="1">VLOOKUP($A135&amp;$B135,data!$A:$U,7,FALSE)</f>
        <v>40</v>
      </c>
    </row>
    <row r="136" spans="1:20" ht="13" x14ac:dyDescent="0.15">
      <c r="A136" s="3" t="s">
        <v>5</v>
      </c>
      <c r="B136" s="3" t="s">
        <v>1022</v>
      </c>
      <c r="C136" s="10">
        <f t="shared" ca="1" si="0"/>
        <v>1</v>
      </c>
      <c r="D136" s="5">
        <f ca="1">VLOOKUP($A136&amp;$B136,data!$A:$U,20,FALSE)</f>
        <v>44175.381087962902</v>
      </c>
      <c r="E136" s="3" t="str">
        <f ca="1">VLOOKUP($A136&amp;$B136,data!$A:$U,21,FALSE)</f>
        <v>Report Submitted 10.12.2020</v>
      </c>
      <c r="F136" s="3">
        <f ca="1">VLOOKUP($A136&amp;$B136,data!$A:$U,17,FALSE)</f>
        <v>0</v>
      </c>
      <c r="G136" s="3">
        <f ca="1">VLOOKUP($A136&amp;$B136,data!$A:$U,18,FALSE)</f>
        <v>0</v>
      </c>
      <c r="H136" s="3">
        <f ca="1">VLOOKUP($A136&amp;$B136,data!$A:$U,19,FALSE)</f>
        <v>0</v>
      </c>
      <c r="I136" s="3">
        <f ca="1">VLOOKUP($A136&amp;$B136,data!$A:$U,14,FALSE)</f>
        <v>7</v>
      </c>
      <c r="J136" s="3">
        <f ca="1">VLOOKUP($A136&amp;$B136,data!$A:$U,15,FALSE)</f>
        <v>0</v>
      </c>
      <c r="K136" s="3">
        <f ca="1">VLOOKUP($A136&amp;$B136,data!$A:$U,16,FALSE)</f>
        <v>7</v>
      </c>
      <c r="L136" s="3">
        <f ca="1">VLOOKUP($A136&amp;$B136,data!$A:$U,8,FALSE)</f>
        <v>37</v>
      </c>
      <c r="M136" s="3">
        <f ca="1">VLOOKUP($A136&amp;$B136,data!$A:$U,9,FALSE)</f>
        <v>0</v>
      </c>
      <c r="N136" s="3">
        <f ca="1">VLOOKUP($A136&amp;$B136,data!$A:$U,10,FALSE)</f>
        <v>37</v>
      </c>
      <c r="O136" s="3">
        <f ca="1">VLOOKUP($A136&amp;$B136,data!$A:$U,11,FALSE)</f>
        <v>0</v>
      </c>
      <c r="P136" s="3">
        <f ca="1">VLOOKUP($A136&amp;$B136,data!$A:$U,12,FALSE)</f>
        <v>0</v>
      </c>
      <c r="Q136" s="3">
        <f ca="1">VLOOKUP($A136&amp;$B136,data!$A:$U,13,FALSE)</f>
        <v>0</v>
      </c>
      <c r="R136" s="3">
        <f ca="1">VLOOKUP($A136&amp;$B136,data!$A:$U,5,FALSE)</f>
        <v>37</v>
      </c>
      <c r="S136" s="3">
        <f ca="1">VLOOKUP($A136&amp;$B136,data!$A:$U,6,FALSE)</f>
        <v>0</v>
      </c>
      <c r="T136" s="3">
        <f ca="1">VLOOKUP($A136&amp;$B136,data!$A:$U,7,FALSE)</f>
        <v>37</v>
      </c>
    </row>
    <row r="137" spans="1:20" ht="13" x14ac:dyDescent="0.15">
      <c r="A137" s="3" t="s">
        <v>5</v>
      </c>
      <c r="B137" s="3" t="s">
        <v>996</v>
      </c>
      <c r="C137" s="10">
        <f t="shared" ca="1" si="0"/>
        <v>1</v>
      </c>
      <c r="D137" s="5">
        <f ca="1">VLOOKUP($A137&amp;$B137,data!$A:$U,20,FALSE)</f>
        <v>44305.443611111099</v>
      </c>
      <c r="E137" s="3" t="str">
        <f ca="1">VLOOKUP($A137&amp;$B137,data!$A:$U,21,FALSE)</f>
        <v>19.04.2021</v>
      </c>
      <c r="F137" s="3">
        <f ca="1">VLOOKUP($A137&amp;$B137,data!$A:$U,17,FALSE)</f>
        <v>1</v>
      </c>
      <c r="G137" s="3">
        <f ca="1">VLOOKUP($A137&amp;$B137,data!$A:$U,18,FALSE)</f>
        <v>0</v>
      </c>
      <c r="H137" s="3">
        <f ca="1">VLOOKUP($A137&amp;$B137,data!$A:$U,19,FALSE)</f>
        <v>1</v>
      </c>
      <c r="I137" s="3">
        <f ca="1">VLOOKUP($A137&amp;$B137,data!$A:$U,14,FALSE)</f>
        <v>3</v>
      </c>
      <c r="J137" s="3">
        <f ca="1">VLOOKUP($A137&amp;$B137,data!$A:$U,15,FALSE)</f>
        <v>0</v>
      </c>
      <c r="K137" s="3">
        <f ca="1">VLOOKUP($A137&amp;$B137,data!$A:$U,16,FALSE)</f>
        <v>3</v>
      </c>
      <c r="L137" s="3">
        <f ca="1">VLOOKUP($A137&amp;$B137,data!$A:$U,8,FALSE)</f>
        <v>27</v>
      </c>
      <c r="M137" s="3">
        <f ca="1">VLOOKUP($A137&amp;$B137,data!$A:$U,9,FALSE)</f>
        <v>0</v>
      </c>
      <c r="N137" s="3">
        <f ca="1">VLOOKUP($A137&amp;$B137,data!$A:$U,10,FALSE)</f>
        <v>27</v>
      </c>
      <c r="O137" s="3">
        <f ca="1">VLOOKUP($A137&amp;$B137,data!$A:$U,11,FALSE)</f>
        <v>0</v>
      </c>
      <c r="P137" s="3">
        <f ca="1">VLOOKUP($A137&amp;$B137,data!$A:$U,12,FALSE)</f>
        <v>0</v>
      </c>
      <c r="Q137" s="3">
        <f ca="1">VLOOKUP($A137&amp;$B137,data!$A:$U,13,FALSE)</f>
        <v>0</v>
      </c>
      <c r="R137" s="3">
        <f ca="1">VLOOKUP($A137&amp;$B137,data!$A:$U,5,FALSE)</f>
        <v>30</v>
      </c>
      <c r="S137" s="3">
        <f ca="1">VLOOKUP($A137&amp;$B137,data!$A:$U,6,FALSE)</f>
        <v>0</v>
      </c>
      <c r="T137" s="3">
        <f ca="1">VLOOKUP($A137&amp;$B137,data!$A:$U,7,FALSE)</f>
        <v>30</v>
      </c>
    </row>
    <row r="138" spans="1:20" ht="13" x14ac:dyDescent="0.15">
      <c r="A138" s="3" t="s">
        <v>5</v>
      </c>
      <c r="B138" s="3" t="s">
        <v>1054</v>
      </c>
      <c r="C138" s="10">
        <f t="shared" ca="1" si="0"/>
        <v>0.76470588235294112</v>
      </c>
      <c r="D138" s="5">
        <f ca="1">VLOOKUP($A138&amp;$B138,data!$A:$U,20,FALSE)</f>
        <v>44305.399131944403</v>
      </c>
      <c r="E138" s="3" t="str">
        <f ca="1">VLOOKUP($A138&amp;$B138,data!$A:$U,21,FALSE)</f>
        <v>19.04.2021</v>
      </c>
      <c r="F138" s="3">
        <f ca="1">VLOOKUP($A138&amp;$B138,data!$A:$U,17,FALSE)</f>
        <v>4</v>
      </c>
      <c r="G138" s="3">
        <f ca="1">VLOOKUP($A138&amp;$B138,data!$A:$U,18,FALSE)</f>
        <v>0</v>
      </c>
      <c r="H138" s="3">
        <f ca="1">VLOOKUP($A138&amp;$B138,data!$A:$U,19,FALSE)</f>
        <v>4</v>
      </c>
      <c r="I138" s="3">
        <f ca="1">VLOOKUP($A138&amp;$B138,data!$A:$U,14,FALSE)</f>
        <v>5</v>
      </c>
      <c r="J138" s="3">
        <f ca="1">VLOOKUP($A138&amp;$B138,data!$A:$U,15,FALSE)</f>
        <v>0</v>
      </c>
      <c r="K138" s="3">
        <f ca="1">VLOOKUP($A138&amp;$B138,data!$A:$U,16,FALSE)</f>
        <v>5</v>
      </c>
      <c r="L138" s="3">
        <f ca="1">VLOOKUP($A138&amp;$B138,data!$A:$U,8,FALSE)</f>
        <v>20</v>
      </c>
      <c r="M138" s="3">
        <f ca="1">VLOOKUP($A138&amp;$B138,data!$A:$U,9,FALSE)</f>
        <v>5</v>
      </c>
      <c r="N138" s="3">
        <f ca="1">VLOOKUP($A138&amp;$B138,data!$A:$U,10,FALSE)</f>
        <v>15</v>
      </c>
      <c r="O138" s="3">
        <f ca="1">VLOOKUP($A138&amp;$B138,data!$A:$U,11,FALSE)</f>
        <v>20</v>
      </c>
      <c r="P138" s="3">
        <f ca="1">VLOOKUP($A138&amp;$B138,data!$A:$U,12,FALSE)</f>
        <v>5</v>
      </c>
      <c r="Q138" s="3">
        <f ca="1">VLOOKUP($A138&amp;$B138,data!$A:$U,13,FALSE)</f>
        <v>15</v>
      </c>
      <c r="R138" s="3">
        <f ca="1">VLOOKUP($A138&amp;$B138,data!$A:$U,5,FALSE)</f>
        <v>40</v>
      </c>
      <c r="S138" s="3">
        <f ca="1">VLOOKUP($A138&amp;$B138,data!$A:$U,6,FALSE)</f>
        <v>10</v>
      </c>
      <c r="T138" s="3">
        <f ca="1">VLOOKUP($A138&amp;$B138,data!$A:$U,7,FALSE)</f>
        <v>30</v>
      </c>
    </row>
    <row r="139" spans="1:20" ht="13" x14ac:dyDescent="0.15">
      <c r="A139" s="3" t="s">
        <v>5</v>
      </c>
      <c r="B139" s="3" t="s">
        <v>829</v>
      </c>
      <c r="C139" s="10">
        <f t="shared" ca="1" si="0"/>
        <v>0.29090909090909089</v>
      </c>
      <c r="D139" s="5">
        <f ca="1">VLOOKUP($A139&amp;$B139,data!$A:$U,20,FALSE)</f>
        <v>44305.4195833333</v>
      </c>
      <c r="E139" s="3" t="str">
        <f ca="1">VLOOKUP($A139&amp;$B139,data!$A:$U,21,FALSE)</f>
        <v>on 19.04.2021</v>
      </c>
      <c r="F139" s="3">
        <f ca="1">VLOOKUP($A139&amp;$B139,data!$A:$U,17,FALSE)</f>
        <v>5</v>
      </c>
      <c r="G139" s="3">
        <f ca="1">VLOOKUP($A139&amp;$B139,data!$A:$U,18,FALSE)</f>
        <v>0</v>
      </c>
      <c r="H139" s="3">
        <f ca="1">VLOOKUP($A139&amp;$B139,data!$A:$U,19,FALSE)</f>
        <v>5</v>
      </c>
      <c r="I139" s="3">
        <f ca="1">VLOOKUP($A139&amp;$B139,data!$A:$U,14,FALSE)</f>
        <v>5</v>
      </c>
      <c r="J139" s="3">
        <f ca="1">VLOOKUP($A139&amp;$B139,data!$A:$U,15,FALSE)</f>
        <v>3</v>
      </c>
      <c r="K139" s="3">
        <f ca="1">VLOOKUP($A139&amp;$B139,data!$A:$U,16,FALSE)</f>
        <v>2</v>
      </c>
      <c r="L139" s="3">
        <f ca="1">VLOOKUP($A139&amp;$B139,data!$A:$U,8,FALSE)</f>
        <v>20</v>
      </c>
      <c r="M139" s="3">
        <f ca="1">VLOOKUP($A139&amp;$B139,data!$A:$U,9,FALSE)</f>
        <v>20</v>
      </c>
      <c r="N139" s="3">
        <f ca="1">VLOOKUP($A139&amp;$B139,data!$A:$U,10,FALSE)</f>
        <v>0</v>
      </c>
      <c r="O139" s="3">
        <f ca="1">VLOOKUP($A139&amp;$B139,data!$A:$U,11,FALSE)</f>
        <v>30</v>
      </c>
      <c r="P139" s="3">
        <f ca="1">VLOOKUP($A139&amp;$B139,data!$A:$U,12,FALSE)</f>
        <v>16</v>
      </c>
      <c r="Q139" s="3">
        <f ca="1">VLOOKUP($A139&amp;$B139,data!$A:$U,13,FALSE)</f>
        <v>14</v>
      </c>
      <c r="R139" s="3">
        <f ca="1">VLOOKUP($A139&amp;$B139,data!$A:$U,5,FALSE)</f>
        <v>55</v>
      </c>
      <c r="S139" s="3">
        <f ca="1">VLOOKUP($A139&amp;$B139,data!$A:$U,6,FALSE)</f>
        <v>39</v>
      </c>
      <c r="T139" s="3">
        <f ca="1">VLOOKUP($A139&amp;$B139,data!$A:$U,7,FALSE)</f>
        <v>16</v>
      </c>
    </row>
    <row r="140" spans="1:20" ht="13" x14ac:dyDescent="0.15">
      <c r="A140" s="3" t="s">
        <v>5</v>
      </c>
      <c r="B140" s="3" t="s">
        <v>1040</v>
      </c>
      <c r="C140" s="10">
        <f t="shared" ca="1" si="0"/>
        <v>0.51219512195121952</v>
      </c>
      <c r="D140" s="5">
        <f ca="1">VLOOKUP($A140&amp;$B140,data!$A:$U,20,FALSE)</f>
        <v>44305.327106481403</v>
      </c>
      <c r="E140" s="3" t="str">
        <f ca="1">VLOOKUP($A140&amp;$B140,data!$A:$U,21,FALSE)</f>
        <v>19. 04. 2021 Updated</v>
      </c>
      <c r="F140" s="3">
        <f ca="1">VLOOKUP($A140&amp;$B140,data!$A:$U,17,FALSE)</f>
        <v>2</v>
      </c>
      <c r="G140" s="3">
        <f ca="1">VLOOKUP($A140&amp;$B140,data!$A:$U,18,FALSE)</f>
        <v>0</v>
      </c>
      <c r="H140" s="3">
        <f ca="1">VLOOKUP($A140&amp;$B140,data!$A:$U,19,FALSE)</f>
        <v>2</v>
      </c>
      <c r="I140" s="3">
        <f ca="1">VLOOKUP($A140&amp;$B140,data!$A:$U,14,FALSE)</f>
        <v>2</v>
      </c>
      <c r="J140" s="3">
        <f ca="1">VLOOKUP($A140&amp;$B140,data!$A:$U,15,FALSE)</f>
        <v>0</v>
      </c>
      <c r="K140" s="3">
        <f ca="1">VLOOKUP($A140&amp;$B140,data!$A:$U,16,FALSE)</f>
        <v>2</v>
      </c>
      <c r="L140" s="3">
        <f ca="1">VLOOKUP($A140&amp;$B140,data!$A:$U,8,FALSE)</f>
        <v>40</v>
      </c>
      <c r="M140" s="3">
        <f ca="1">VLOOKUP($A140&amp;$B140,data!$A:$U,9,FALSE)</f>
        <v>20</v>
      </c>
      <c r="N140" s="3">
        <f ca="1">VLOOKUP($A140&amp;$B140,data!$A:$U,10,FALSE)</f>
        <v>20</v>
      </c>
      <c r="O140" s="3">
        <f ca="1">VLOOKUP($A140&amp;$B140,data!$A:$U,11,FALSE)</f>
        <v>0</v>
      </c>
      <c r="P140" s="3">
        <f ca="1">VLOOKUP($A140&amp;$B140,data!$A:$U,12,FALSE)</f>
        <v>0</v>
      </c>
      <c r="Q140" s="3">
        <f ca="1">VLOOKUP($A140&amp;$B140,data!$A:$U,13,FALSE)</f>
        <v>0</v>
      </c>
      <c r="R140" s="3">
        <f ca="1">VLOOKUP($A140&amp;$B140,data!$A:$U,5,FALSE)</f>
        <v>40</v>
      </c>
      <c r="S140" s="3">
        <f ca="1">VLOOKUP($A140&amp;$B140,data!$A:$U,6,FALSE)</f>
        <v>20</v>
      </c>
      <c r="T140" s="3">
        <f ca="1">VLOOKUP($A140&amp;$B140,data!$A:$U,7,FALSE)</f>
        <v>20</v>
      </c>
    </row>
    <row r="141" spans="1:20" ht="13" x14ac:dyDescent="0.15">
      <c r="A141" s="3" t="s">
        <v>5</v>
      </c>
      <c r="B141" s="3" t="s">
        <v>1036</v>
      </c>
      <c r="C141" s="10">
        <f t="shared" ca="1" si="0"/>
        <v>0.13901345291479822</v>
      </c>
      <c r="D141" s="5">
        <f ca="1">VLOOKUP($A141&amp;$B141,data!$A:$U,20,FALSE)</f>
        <v>44305.475995370303</v>
      </c>
      <c r="E141" s="3" t="str">
        <f ca="1">VLOOKUP($A141&amp;$B141,data!$A:$U,21,FALSE)</f>
        <v>KG Hospital Saravanampatti</v>
      </c>
      <c r="F141" s="3">
        <f ca="1">VLOOKUP($A141&amp;$B141,data!$A:$U,17,FALSE)</f>
        <v>3</v>
      </c>
      <c r="G141" s="3">
        <f ca="1">VLOOKUP($A141&amp;$B141,data!$A:$U,18,FALSE)</f>
        <v>0</v>
      </c>
      <c r="H141" s="3">
        <f ca="1">VLOOKUP($A141&amp;$B141,data!$A:$U,19,FALSE)</f>
        <v>3</v>
      </c>
      <c r="I141" s="3">
        <f ca="1">VLOOKUP($A141&amp;$B141,data!$A:$U,14,FALSE)</f>
        <v>3</v>
      </c>
      <c r="J141" s="3">
        <f ca="1">VLOOKUP($A141&amp;$B141,data!$A:$U,15,FALSE)</f>
        <v>0</v>
      </c>
      <c r="K141" s="3">
        <f ca="1">VLOOKUP($A141&amp;$B141,data!$A:$U,16,FALSE)</f>
        <v>3</v>
      </c>
      <c r="L141" s="3">
        <f ca="1">VLOOKUP($A141&amp;$B141,data!$A:$U,8,FALSE)</f>
        <v>110</v>
      </c>
      <c r="M141" s="3">
        <f ca="1">VLOOKUP($A141&amp;$B141,data!$A:$U,9,FALSE)</f>
        <v>106</v>
      </c>
      <c r="N141" s="3">
        <f ca="1">VLOOKUP($A141&amp;$B141,data!$A:$U,10,FALSE)</f>
        <v>14</v>
      </c>
      <c r="O141" s="3">
        <f ca="1">VLOOKUP($A141&amp;$B141,data!$A:$U,11,FALSE)</f>
        <v>0</v>
      </c>
      <c r="P141" s="3">
        <f ca="1">VLOOKUP($A141&amp;$B141,data!$A:$U,12,FALSE)</f>
        <v>0</v>
      </c>
      <c r="Q141" s="3">
        <f ca="1">VLOOKUP($A141&amp;$B141,data!$A:$U,13,FALSE)</f>
        <v>0</v>
      </c>
      <c r="R141" s="3">
        <f ca="1">VLOOKUP($A141&amp;$B141,data!$A:$U,5,FALSE)</f>
        <v>110</v>
      </c>
      <c r="S141" s="3">
        <f ca="1">VLOOKUP($A141&amp;$B141,data!$A:$U,6,FALSE)</f>
        <v>106</v>
      </c>
      <c r="T141" s="3">
        <f ca="1">VLOOKUP($A141&amp;$B141,data!$A:$U,7,FALSE)</f>
        <v>14</v>
      </c>
    </row>
    <row r="142" spans="1:20" ht="13" x14ac:dyDescent="0.15">
      <c r="A142" s="3" t="s">
        <v>5</v>
      </c>
      <c r="B142" s="3" t="s">
        <v>286</v>
      </c>
      <c r="C142" s="10">
        <f t="shared" ca="1" si="0"/>
        <v>1.8404907975460124E-2</v>
      </c>
      <c r="D142" s="5">
        <f ca="1">VLOOKUP($A142&amp;$B142,data!$A:$U,20,FALSE)</f>
        <v>44305.402638888801</v>
      </c>
      <c r="E142" s="3">
        <f ca="1">VLOOKUP($A142&amp;$B142,data!$A:$U,21,FALSE)</f>
        <v>0</v>
      </c>
      <c r="F142" s="3">
        <f ca="1">VLOOKUP($A142&amp;$B142,data!$A:$U,17,FALSE)</f>
        <v>8</v>
      </c>
      <c r="G142" s="3">
        <f ca="1">VLOOKUP($A142&amp;$B142,data!$A:$U,18,FALSE)</f>
        <v>8</v>
      </c>
      <c r="H142" s="3">
        <f ca="1">VLOOKUP($A142&amp;$B142,data!$A:$U,19,FALSE)</f>
        <v>0</v>
      </c>
      <c r="I142" s="3">
        <f ca="1">VLOOKUP($A142&amp;$B142,data!$A:$U,14,FALSE)</f>
        <v>16</v>
      </c>
      <c r="J142" s="3">
        <f ca="1">VLOOKUP($A142&amp;$B142,data!$A:$U,15,FALSE)</f>
        <v>16</v>
      </c>
      <c r="K142" s="3">
        <f ca="1">VLOOKUP($A142&amp;$B142,data!$A:$U,16,FALSE)</f>
        <v>0</v>
      </c>
      <c r="L142" s="3">
        <f ca="1">VLOOKUP($A142&amp;$B142,data!$A:$U,8,FALSE)</f>
        <v>40</v>
      </c>
      <c r="M142" s="3">
        <f ca="1">VLOOKUP($A142&amp;$B142,data!$A:$U,9,FALSE)</f>
        <v>40</v>
      </c>
      <c r="N142" s="3">
        <f ca="1">VLOOKUP($A142&amp;$B142,data!$A:$U,10,FALSE)</f>
        <v>0</v>
      </c>
      <c r="O142" s="3">
        <f ca="1">VLOOKUP($A142&amp;$B142,data!$A:$U,11,FALSE)</f>
        <v>107</v>
      </c>
      <c r="P142" s="3">
        <f ca="1">VLOOKUP($A142&amp;$B142,data!$A:$U,12,FALSE)</f>
        <v>104</v>
      </c>
      <c r="Q142" s="3">
        <f ca="1">VLOOKUP($A142&amp;$B142,data!$A:$U,13,FALSE)</f>
        <v>3</v>
      </c>
      <c r="R142" s="3">
        <f ca="1">VLOOKUP($A142&amp;$B142,data!$A:$U,5,FALSE)</f>
        <v>163</v>
      </c>
      <c r="S142" s="3">
        <f ca="1">VLOOKUP($A142&amp;$B142,data!$A:$U,6,FALSE)</f>
        <v>160</v>
      </c>
      <c r="T142" s="3">
        <f ca="1">VLOOKUP($A142&amp;$B142,data!$A:$U,7,FALSE)</f>
        <v>3</v>
      </c>
    </row>
    <row r="143" spans="1:20" ht="13" x14ac:dyDescent="0.15">
      <c r="A143" s="3" t="s">
        <v>5</v>
      </c>
      <c r="B143" s="3" t="s">
        <v>1215</v>
      </c>
      <c r="C143" s="10">
        <f t="shared" ca="1" si="0"/>
        <v>0.5</v>
      </c>
      <c r="D143" s="5">
        <f ca="1">VLOOKUP($A143&amp;$B143,data!$A:$U,20,FALSE)</f>
        <v>44305.313333333303</v>
      </c>
      <c r="E143" s="3">
        <f ca="1">VLOOKUP($A143&amp;$B143,data!$A:$U,21,FALSE)</f>
        <v>0</v>
      </c>
      <c r="F143" s="3">
        <f ca="1">VLOOKUP($A143&amp;$B143,data!$A:$U,17,FALSE)</f>
        <v>2</v>
      </c>
      <c r="G143" s="3">
        <f ca="1">VLOOKUP($A143&amp;$B143,data!$A:$U,18,FALSE)</f>
        <v>0</v>
      </c>
      <c r="H143" s="3">
        <f ca="1">VLOOKUP($A143&amp;$B143,data!$A:$U,19,FALSE)</f>
        <v>2</v>
      </c>
      <c r="I143" s="3">
        <f ca="1">VLOOKUP($A143&amp;$B143,data!$A:$U,14,FALSE)</f>
        <v>6</v>
      </c>
      <c r="J143" s="3">
        <f ca="1">VLOOKUP($A143&amp;$B143,data!$A:$U,15,FALSE)</f>
        <v>0</v>
      </c>
      <c r="K143" s="3">
        <f ca="1">VLOOKUP($A143&amp;$B143,data!$A:$U,16,FALSE)</f>
        <v>6</v>
      </c>
      <c r="L143" s="3">
        <f ca="1">VLOOKUP($A143&amp;$B143,data!$A:$U,8,FALSE)</f>
        <v>20</v>
      </c>
      <c r="M143" s="3">
        <f ca="1">VLOOKUP($A143&amp;$B143,data!$A:$U,9,FALSE)</f>
        <v>13</v>
      </c>
      <c r="N143" s="3">
        <f ca="1">VLOOKUP($A143&amp;$B143,data!$A:$U,10,FALSE)</f>
        <v>7</v>
      </c>
      <c r="O143" s="3">
        <f ca="1">VLOOKUP($A143&amp;$B143,data!$A:$U,11,FALSE)</f>
        <v>0</v>
      </c>
      <c r="P143" s="3">
        <f ca="1">VLOOKUP($A143&amp;$B143,data!$A:$U,12,FALSE)</f>
        <v>0</v>
      </c>
      <c r="Q143" s="3">
        <f ca="1">VLOOKUP($A143&amp;$B143,data!$A:$U,13,FALSE)</f>
        <v>0</v>
      </c>
      <c r="R143" s="3">
        <f ca="1">VLOOKUP($A143&amp;$B143,data!$A:$U,5,FALSE)</f>
        <v>26</v>
      </c>
      <c r="S143" s="3">
        <f ca="1">VLOOKUP($A143&amp;$B143,data!$A:$U,6,FALSE)</f>
        <v>13</v>
      </c>
      <c r="T143" s="3">
        <f ca="1">VLOOKUP($A143&amp;$B143,data!$A:$U,7,FALSE)</f>
        <v>13</v>
      </c>
    </row>
    <row r="144" spans="1:20" ht="13" x14ac:dyDescent="0.15">
      <c r="A144" s="3" t="s">
        <v>5</v>
      </c>
      <c r="B144" s="3" t="s">
        <v>266</v>
      </c>
      <c r="C144" s="10">
        <f t="shared" ca="1" si="0"/>
        <v>0.17985611510791366</v>
      </c>
      <c r="D144" s="5">
        <f ca="1">VLOOKUP($A144&amp;$B144,data!$A:$U,20,FALSE)</f>
        <v>44305.419918981403</v>
      </c>
      <c r="E144" s="3" t="str">
        <f ca="1">VLOOKUP($A144&amp;$B144,data!$A:$U,21,FALSE)</f>
        <v>Hindusthan 19.04.2021</v>
      </c>
      <c r="F144" s="3">
        <f ca="1">VLOOKUP($A144&amp;$B144,data!$A:$U,17,FALSE)</f>
        <v>4</v>
      </c>
      <c r="G144" s="3">
        <f ca="1">VLOOKUP($A144&amp;$B144,data!$A:$U,18,FALSE)</f>
        <v>2</v>
      </c>
      <c r="H144" s="3">
        <f ca="1">VLOOKUP($A144&amp;$B144,data!$A:$U,19,FALSE)</f>
        <v>2</v>
      </c>
      <c r="I144" s="3">
        <f ca="1">VLOOKUP($A144&amp;$B144,data!$A:$U,14,FALSE)</f>
        <v>4</v>
      </c>
      <c r="J144" s="3">
        <f ca="1">VLOOKUP($A144&amp;$B144,data!$A:$U,15,FALSE)</f>
        <v>2</v>
      </c>
      <c r="K144" s="3">
        <f ca="1">VLOOKUP($A144&amp;$B144,data!$A:$U,16,FALSE)</f>
        <v>2</v>
      </c>
      <c r="L144" s="3">
        <f ca="1">VLOOKUP($A144&amp;$B144,data!$A:$U,8,FALSE)</f>
        <v>45</v>
      </c>
      <c r="M144" s="3">
        <f ca="1">VLOOKUP($A144&amp;$B144,data!$A:$U,9,FALSE)</f>
        <v>45</v>
      </c>
      <c r="N144" s="3">
        <f ca="1">VLOOKUP($A144&amp;$B144,data!$A:$U,10,FALSE)</f>
        <v>0</v>
      </c>
      <c r="O144" s="3">
        <f ca="1">VLOOKUP($A144&amp;$B144,data!$A:$U,11,FALSE)</f>
        <v>20</v>
      </c>
      <c r="P144" s="3">
        <f ca="1">VLOOKUP($A144&amp;$B144,data!$A:$U,12,FALSE)</f>
        <v>6</v>
      </c>
      <c r="Q144" s="3">
        <f ca="1">VLOOKUP($A144&amp;$B144,data!$A:$U,13,FALSE)</f>
        <v>14</v>
      </c>
      <c r="R144" s="3">
        <f ca="1">VLOOKUP($A144&amp;$B144,data!$A:$U,5,FALSE)</f>
        <v>70</v>
      </c>
      <c r="S144" s="3">
        <f ca="1">VLOOKUP($A144&amp;$B144,data!$A:$U,6,FALSE)</f>
        <v>61</v>
      </c>
      <c r="T144" s="3">
        <f ca="1">VLOOKUP($A144&amp;$B144,data!$A:$U,7,FALSE)</f>
        <v>9</v>
      </c>
    </row>
    <row r="145" spans="1:20" ht="13" x14ac:dyDescent="0.15">
      <c r="A145" s="3" t="s">
        <v>5</v>
      </c>
      <c r="B145" s="3" t="s">
        <v>1049</v>
      </c>
      <c r="C145" s="10">
        <f t="shared" ca="1" si="0"/>
        <v>0.21100917431192662</v>
      </c>
      <c r="D145" s="5">
        <f ca="1">VLOOKUP($A145&amp;$B145,data!$A:$U,20,FALSE)</f>
        <v>44305.3772800925</v>
      </c>
      <c r="E145" s="3">
        <f ca="1">VLOOKUP($A145&amp;$B145,data!$A:$U,21,FALSE)</f>
        <v>0</v>
      </c>
      <c r="F145" s="3">
        <f ca="1">VLOOKUP($A145&amp;$B145,data!$A:$U,17,FALSE)</f>
        <v>2</v>
      </c>
      <c r="G145" s="3">
        <f ca="1">VLOOKUP($A145&amp;$B145,data!$A:$U,18,FALSE)</f>
        <v>0</v>
      </c>
      <c r="H145" s="3">
        <f ca="1">VLOOKUP($A145&amp;$B145,data!$A:$U,19,FALSE)</f>
        <v>2</v>
      </c>
      <c r="I145" s="3">
        <f ca="1">VLOOKUP($A145&amp;$B145,data!$A:$U,14,FALSE)</f>
        <v>3</v>
      </c>
      <c r="J145" s="3">
        <f ca="1">VLOOKUP($A145&amp;$B145,data!$A:$U,15,FALSE)</f>
        <v>0</v>
      </c>
      <c r="K145" s="3">
        <f ca="1">VLOOKUP($A145&amp;$B145,data!$A:$U,16,FALSE)</f>
        <v>3</v>
      </c>
      <c r="L145" s="3">
        <f ca="1">VLOOKUP($A145&amp;$B145,data!$A:$U,8,FALSE)</f>
        <v>53</v>
      </c>
      <c r="M145" s="3">
        <f ca="1">VLOOKUP($A145&amp;$B145,data!$A:$U,9,FALSE)</f>
        <v>43</v>
      </c>
      <c r="N145" s="3">
        <f ca="1">VLOOKUP($A145&amp;$B145,data!$A:$U,10,FALSE)</f>
        <v>10</v>
      </c>
      <c r="O145" s="3">
        <f ca="1">VLOOKUP($A145&amp;$B145,data!$A:$U,11,FALSE)</f>
        <v>0</v>
      </c>
      <c r="P145" s="3">
        <f ca="1">VLOOKUP($A145&amp;$B145,data!$A:$U,12,FALSE)</f>
        <v>0</v>
      </c>
      <c r="Q145" s="3">
        <f ca="1">VLOOKUP($A145&amp;$B145,data!$A:$U,13,FALSE)</f>
        <v>0</v>
      </c>
      <c r="R145" s="3">
        <f ca="1">VLOOKUP($A145&amp;$B145,data!$A:$U,5,FALSE)</f>
        <v>53</v>
      </c>
      <c r="S145" s="3">
        <f ca="1">VLOOKUP($A145&amp;$B145,data!$A:$U,6,FALSE)</f>
        <v>43</v>
      </c>
      <c r="T145" s="3">
        <f ca="1">VLOOKUP($A145&amp;$B145,data!$A:$U,7,FALSE)</f>
        <v>10</v>
      </c>
    </row>
    <row r="146" spans="1:20" ht="13" x14ac:dyDescent="0.15">
      <c r="A146" s="3" t="s">
        <v>5</v>
      </c>
      <c r="B146" s="3" t="s">
        <v>291</v>
      </c>
      <c r="C146" s="10">
        <f t="shared" ca="1" si="0"/>
        <v>0.14634146341463414</v>
      </c>
      <c r="D146" s="5">
        <f ca="1">VLOOKUP($A146&amp;$B146,data!$A:$U,20,FALSE)</f>
        <v>44305.360266203701</v>
      </c>
      <c r="E146" s="3" t="str">
        <f ca="1">VLOOKUP($A146&amp;$B146,data!$A:$U,21,FALSE)</f>
        <v>19/04/2021</v>
      </c>
      <c r="F146" s="3">
        <f ca="1">VLOOKUP($A146&amp;$B146,data!$A:$U,17,FALSE)</f>
        <v>3</v>
      </c>
      <c r="G146" s="3">
        <f ca="1">VLOOKUP($A146&amp;$B146,data!$A:$U,18,FALSE)</f>
        <v>3</v>
      </c>
      <c r="H146" s="3">
        <f ca="1">VLOOKUP($A146&amp;$B146,data!$A:$U,19,FALSE)</f>
        <v>0</v>
      </c>
      <c r="I146" s="3">
        <f ca="1">VLOOKUP($A146&amp;$B146,data!$A:$U,14,FALSE)</f>
        <v>6</v>
      </c>
      <c r="J146" s="3">
        <f ca="1">VLOOKUP($A146&amp;$B146,data!$A:$U,15,FALSE)</f>
        <v>6</v>
      </c>
      <c r="K146" s="3">
        <f ca="1">VLOOKUP($A146&amp;$B146,data!$A:$U,16,FALSE)</f>
        <v>0</v>
      </c>
      <c r="L146" s="3">
        <f ca="1">VLOOKUP($A146&amp;$B146,data!$A:$U,8,FALSE)</f>
        <v>38</v>
      </c>
      <c r="M146" s="3">
        <f ca="1">VLOOKUP($A146&amp;$B146,data!$A:$U,9,FALSE)</f>
        <v>32</v>
      </c>
      <c r="N146" s="3">
        <f ca="1">VLOOKUP($A146&amp;$B146,data!$A:$U,10,FALSE)</f>
        <v>6</v>
      </c>
      <c r="O146" s="3">
        <f ca="1">VLOOKUP($A146&amp;$B146,data!$A:$U,11,FALSE)</f>
        <v>0</v>
      </c>
      <c r="P146" s="3">
        <f ca="1">VLOOKUP($A146&amp;$B146,data!$A:$U,12,FALSE)</f>
        <v>0</v>
      </c>
      <c r="Q146" s="3">
        <f ca="1">VLOOKUP($A146&amp;$B146,data!$A:$U,13,FALSE)</f>
        <v>0</v>
      </c>
      <c r="R146" s="3">
        <f ca="1">VLOOKUP($A146&amp;$B146,data!$A:$U,5,FALSE)</f>
        <v>38</v>
      </c>
      <c r="S146" s="3">
        <f ca="1">VLOOKUP($A146&amp;$B146,data!$A:$U,6,FALSE)</f>
        <v>32</v>
      </c>
      <c r="T146" s="3">
        <f ca="1">VLOOKUP($A146&amp;$B146,data!$A:$U,7,FALSE)</f>
        <v>6</v>
      </c>
    </row>
    <row r="147" spans="1:20" ht="13" x14ac:dyDescent="0.15">
      <c r="A147" s="3" t="s">
        <v>5</v>
      </c>
      <c r="B147" s="3" t="s">
        <v>281</v>
      </c>
      <c r="C147" s="10">
        <f t="shared" ca="1" si="0"/>
        <v>2.5000000000000001E-2</v>
      </c>
      <c r="D147" s="5">
        <f ca="1">VLOOKUP($A147&amp;$B147,data!$A:$U,20,FALSE)</f>
        <v>44305.421967592498</v>
      </c>
      <c r="E147" s="3" t="str">
        <f ca="1">VLOOKUP($A147&amp;$B147,data!$A:$U,21,FALSE)</f>
        <v>Kongunad Hospitals Pvt ltd</v>
      </c>
      <c r="F147" s="3">
        <f ca="1">VLOOKUP($A147&amp;$B147,data!$A:$U,17,FALSE)</f>
        <v>5</v>
      </c>
      <c r="G147" s="3">
        <f ca="1">VLOOKUP($A147&amp;$B147,data!$A:$U,18,FALSE)</f>
        <v>5</v>
      </c>
      <c r="H147" s="3">
        <f ca="1">VLOOKUP($A147&amp;$B147,data!$A:$U,19,FALSE)</f>
        <v>0</v>
      </c>
      <c r="I147" s="3">
        <f ca="1">VLOOKUP($A147&amp;$B147,data!$A:$U,14,FALSE)</f>
        <v>15</v>
      </c>
      <c r="J147" s="3">
        <f ca="1">VLOOKUP($A147&amp;$B147,data!$A:$U,15,FALSE)</f>
        <v>15</v>
      </c>
      <c r="K147" s="3">
        <f ca="1">VLOOKUP($A147&amp;$B147,data!$A:$U,16,FALSE)</f>
        <v>0</v>
      </c>
      <c r="L147" s="3">
        <f ca="1">VLOOKUP($A147&amp;$B147,data!$A:$U,8,FALSE)</f>
        <v>165</v>
      </c>
      <c r="M147" s="3">
        <f ca="1">VLOOKUP($A147&amp;$B147,data!$A:$U,9,FALSE)</f>
        <v>165</v>
      </c>
      <c r="N147" s="3">
        <f ca="1">VLOOKUP($A147&amp;$B147,data!$A:$U,10,FALSE)</f>
        <v>0</v>
      </c>
      <c r="O147" s="3">
        <f ca="1">VLOOKUP($A147&amp;$B147,data!$A:$U,11,FALSE)</f>
        <v>20</v>
      </c>
      <c r="P147" s="3">
        <f ca="1">VLOOKUP($A147&amp;$B147,data!$A:$U,12,FALSE)</f>
        <v>15</v>
      </c>
      <c r="Q147" s="3">
        <f ca="1">VLOOKUP($A147&amp;$B147,data!$A:$U,13,FALSE)</f>
        <v>5</v>
      </c>
      <c r="R147" s="3">
        <f ca="1">VLOOKUP($A147&amp;$B147,data!$A:$U,5,FALSE)</f>
        <v>200</v>
      </c>
      <c r="S147" s="3">
        <f ca="1">VLOOKUP($A147&amp;$B147,data!$A:$U,6,FALSE)</f>
        <v>195</v>
      </c>
      <c r="T147" s="3">
        <f ca="1">VLOOKUP($A147&amp;$B147,data!$A:$U,7,FALSE)</f>
        <v>5</v>
      </c>
    </row>
    <row r="148" spans="1:20" ht="13" x14ac:dyDescent="0.15">
      <c r="A148" s="3" t="s">
        <v>5</v>
      </c>
      <c r="B148" s="3" t="s">
        <v>833</v>
      </c>
      <c r="C148" s="10">
        <f t="shared" ca="1" si="0"/>
        <v>8.3333333333333329E-2</v>
      </c>
      <c r="D148" s="5">
        <f ca="1">VLOOKUP($A148&amp;$B148,data!$A:$U,20,FALSE)</f>
        <v>44305.484143518501</v>
      </c>
      <c r="E148" s="3" t="str">
        <f ca="1">VLOOKUP($A148&amp;$B148,data!$A:$U,21,FALSE)</f>
        <v>19/4</v>
      </c>
      <c r="F148" s="3">
        <f ca="1">VLOOKUP($A148&amp;$B148,data!$A:$U,17,FALSE)</f>
        <v>3</v>
      </c>
      <c r="G148" s="3">
        <f ca="1">VLOOKUP($A148&amp;$B148,data!$A:$U,18,FALSE)</f>
        <v>3</v>
      </c>
      <c r="H148" s="3">
        <f ca="1">VLOOKUP($A148&amp;$B148,data!$A:$U,19,FALSE)</f>
        <v>0</v>
      </c>
      <c r="I148" s="3">
        <f ca="1">VLOOKUP($A148&amp;$B148,data!$A:$U,14,FALSE)</f>
        <v>10</v>
      </c>
      <c r="J148" s="3">
        <f ca="1">VLOOKUP($A148&amp;$B148,data!$A:$U,15,FALSE)</f>
        <v>10</v>
      </c>
      <c r="K148" s="3">
        <f ca="1">VLOOKUP($A148&amp;$B148,data!$A:$U,16,FALSE)</f>
        <v>0</v>
      </c>
      <c r="L148" s="3">
        <f ca="1">VLOOKUP($A148&amp;$B148,data!$A:$U,8,FALSE)</f>
        <v>40</v>
      </c>
      <c r="M148" s="3">
        <f ca="1">VLOOKUP($A148&amp;$B148,data!$A:$U,9,FALSE)</f>
        <v>40</v>
      </c>
      <c r="N148" s="3">
        <f ca="1">VLOOKUP($A148&amp;$B148,data!$A:$U,10,FALSE)</f>
        <v>0</v>
      </c>
      <c r="O148" s="3">
        <f ca="1">VLOOKUP($A148&amp;$B148,data!$A:$U,11,FALSE)</f>
        <v>10</v>
      </c>
      <c r="P148" s="3">
        <f ca="1">VLOOKUP($A148&amp;$B148,data!$A:$U,12,FALSE)</f>
        <v>6</v>
      </c>
      <c r="Q148" s="3">
        <f ca="1">VLOOKUP($A148&amp;$B148,data!$A:$U,13,FALSE)</f>
        <v>4</v>
      </c>
      <c r="R148" s="3">
        <f ca="1">VLOOKUP($A148&amp;$B148,data!$A:$U,5,FALSE)</f>
        <v>60</v>
      </c>
      <c r="S148" s="3">
        <f ca="1">VLOOKUP($A148&amp;$B148,data!$A:$U,6,FALSE)</f>
        <v>54</v>
      </c>
      <c r="T148" s="3">
        <f ca="1">VLOOKUP($A148&amp;$B148,data!$A:$U,7,FALSE)</f>
        <v>6</v>
      </c>
    </row>
    <row r="149" spans="1:20" ht="13" x14ac:dyDescent="0.15">
      <c r="A149" s="3" t="s">
        <v>5</v>
      </c>
      <c r="B149" s="3" t="s">
        <v>1023</v>
      </c>
      <c r="C149" s="10">
        <f t="shared" ca="1" si="0"/>
        <v>5.2631578947368418E-2</v>
      </c>
      <c r="D149" s="5">
        <f ca="1">VLOOKUP($A149&amp;$B149,data!$A:$U,20,FALSE)</f>
        <v>44305.432141203702</v>
      </c>
      <c r="E149" s="3" t="str">
        <f ca="1">VLOOKUP($A149&amp;$B149,data!$A:$U,21,FALSE)</f>
        <v>CSR COVID CARE CENTER</v>
      </c>
      <c r="F149" s="3">
        <f ca="1">VLOOKUP($A149&amp;$B149,data!$A:$U,17,FALSE)</f>
        <v>1</v>
      </c>
      <c r="G149" s="3">
        <f ca="1">VLOOKUP($A149&amp;$B149,data!$A:$U,18,FALSE)</f>
        <v>0</v>
      </c>
      <c r="H149" s="3">
        <f ca="1">VLOOKUP($A149&amp;$B149,data!$A:$U,19,FALSE)</f>
        <v>1</v>
      </c>
      <c r="I149" s="3">
        <f ca="1">VLOOKUP($A149&amp;$B149,data!$A:$U,14,FALSE)</f>
        <v>1</v>
      </c>
      <c r="J149" s="3">
        <f ca="1">VLOOKUP($A149&amp;$B149,data!$A:$U,15,FALSE)</f>
        <v>0</v>
      </c>
      <c r="K149" s="3">
        <f ca="1">VLOOKUP($A149&amp;$B149,data!$A:$U,16,FALSE)</f>
        <v>1</v>
      </c>
      <c r="L149" s="3">
        <f ca="1">VLOOKUP($A149&amp;$B149,data!$A:$U,8,FALSE)</f>
        <v>14</v>
      </c>
      <c r="M149" s="3">
        <f ca="1">VLOOKUP($A149&amp;$B149,data!$A:$U,9,FALSE)</f>
        <v>13</v>
      </c>
      <c r="N149" s="3">
        <f ca="1">VLOOKUP($A149&amp;$B149,data!$A:$U,10,FALSE)</f>
        <v>1</v>
      </c>
      <c r="O149" s="3">
        <f ca="1">VLOOKUP($A149&amp;$B149,data!$A:$U,11,FALSE)</f>
        <v>14</v>
      </c>
      <c r="P149" s="3">
        <f ca="1">VLOOKUP($A149&amp;$B149,data!$A:$U,12,FALSE)</f>
        <v>14</v>
      </c>
      <c r="Q149" s="3">
        <f ca="1">VLOOKUP($A149&amp;$B149,data!$A:$U,13,FALSE)</f>
        <v>0</v>
      </c>
      <c r="R149" s="3">
        <f ca="1">VLOOKUP($A149&amp;$B149,data!$A:$U,5,FALSE)</f>
        <v>28</v>
      </c>
      <c r="S149" s="3">
        <f ca="1">VLOOKUP($A149&amp;$B149,data!$A:$U,6,FALSE)</f>
        <v>27</v>
      </c>
      <c r="T149" s="3">
        <f ca="1">VLOOKUP($A149&amp;$B149,data!$A:$U,7,FALSE)</f>
        <v>1</v>
      </c>
    </row>
    <row r="150" spans="1:20" ht="13" x14ac:dyDescent="0.15">
      <c r="A150" s="3" t="s">
        <v>5</v>
      </c>
      <c r="B150" s="3" t="s">
        <v>1032</v>
      </c>
      <c r="C150" s="10">
        <f t="shared" ca="1" si="0"/>
        <v>7.8125E-2</v>
      </c>
      <c r="D150" s="5">
        <f ca="1">VLOOKUP($A150&amp;$B150,data!$A:$U,20,FALSE)</f>
        <v>44305.393807870299</v>
      </c>
      <c r="E150" s="3" t="str">
        <f ca="1">VLOOKUP($A150&amp;$B150,data!$A:$U,21,FALSE)</f>
        <v>25 with O2 3 in ICU</v>
      </c>
      <c r="F150" s="3">
        <f ca="1">VLOOKUP($A150&amp;$B150,data!$A:$U,17,FALSE)</f>
        <v>3</v>
      </c>
      <c r="G150" s="3">
        <f ca="1">VLOOKUP($A150&amp;$B150,data!$A:$U,18,FALSE)</f>
        <v>0</v>
      </c>
      <c r="H150" s="3">
        <f ca="1">VLOOKUP($A150&amp;$B150,data!$A:$U,19,FALSE)</f>
        <v>3</v>
      </c>
      <c r="I150" s="3">
        <f ca="1">VLOOKUP($A150&amp;$B150,data!$A:$U,14,FALSE)</f>
        <v>4</v>
      </c>
      <c r="J150" s="3">
        <f ca="1">VLOOKUP($A150&amp;$B150,data!$A:$U,15,FALSE)</f>
        <v>3</v>
      </c>
      <c r="K150" s="3">
        <f ca="1">VLOOKUP($A150&amp;$B150,data!$A:$U,16,FALSE)</f>
        <v>1</v>
      </c>
      <c r="L150" s="3">
        <f ca="1">VLOOKUP($A150&amp;$B150,data!$A:$U,8,FALSE)</f>
        <v>30</v>
      </c>
      <c r="M150" s="3">
        <f ca="1">VLOOKUP($A150&amp;$B150,data!$A:$U,9,FALSE)</f>
        <v>28</v>
      </c>
      <c r="N150" s="3">
        <f ca="1">VLOOKUP($A150&amp;$B150,data!$A:$U,10,FALSE)</f>
        <v>2</v>
      </c>
      <c r="O150" s="3">
        <f ca="1">VLOOKUP($A150&amp;$B150,data!$A:$U,11,FALSE)</f>
        <v>0</v>
      </c>
      <c r="P150" s="3">
        <f ca="1">VLOOKUP($A150&amp;$B150,data!$A:$U,12,FALSE)</f>
        <v>0</v>
      </c>
      <c r="Q150" s="3">
        <f ca="1">VLOOKUP($A150&amp;$B150,data!$A:$U,13,FALSE)</f>
        <v>0</v>
      </c>
      <c r="R150" s="3">
        <f ca="1">VLOOKUP($A150&amp;$B150,data!$A:$U,5,FALSE)</f>
        <v>30</v>
      </c>
      <c r="S150" s="3">
        <f ca="1">VLOOKUP($A150&amp;$B150,data!$A:$U,6,FALSE)</f>
        <v>28</v>
      </c>
      <c r="T150" s="3">
        <f ca="1">VLOOKUP($A150&amp;$B150,data!$A:$U,7,FALSE)</f>
        <v>2</v>
      </c>
    </row>
    <row r="151" spans="1:20" ht="13" x14ac:dyDescent="0.15">
      <c r="A151" s="3" t="s">
        <v>5</v>
      </c>
      <c r="B151" s="3" t="s">
        <v>276</v>
      </c>
      <c r="C151" s="10">
        <f t="shared" ca="1" si="0"/>
        <v>0</v>
      </c>
      <c r="D151" s="5">
        <f ca="1">VLOOKUP($A151&amp;$B151,data!$A:$U,20,FALSE)</f>
        <v>44305.473622685102</v>
      </c>
      <c r="E151" s="3" t="str">
        <f ca="1">VLOOKUP($A151&amp;$B151,data!$A:$U,21,FALSE)</f>
        <v>KG HOSPITAL RACE COURSE Coimbatore</v>
      </c>
      <c r="F151" s="3">
        <f ca="1">VLOOKUP($A151&amp;$B151,data!$A:$U,17,FALSE)</f>
        <v>24</v>
      </c>
      <c r="G151" s="3">
        <f ca="1">VLOOKUP($A151&amp;$B151,data!$A:$U,18,FALSE)</f>
        <v>24</v>
      </c>
      <c r="H151" s="3">
        <f ca="1">VLOOKUP($A151&amp;$B151,data!$A:$U,19,FALSE)</f>
        <v>0</v>
      </c>
      <c r="I151" s="3">
        <f ca="1">VLOOKUP($A151&amp;$B151,data!$A:$U,14,FALSE)</f>
        <v>24</v>
      </c>
      <c r="J151" s="3">
        <f ca="1">VLOOKUP($A151&amp;$B151,data!$A:$U,15,FALSE)</f>
        <v>24</v>
      </c>
      <c r="K151" s="3">
        <f ca="1">VLOOKUP($A151&amp;$B151,data!$A:$U,16,FALSE)</f>
        <v>0</v>
      </c>
      <c r="L151" s="3">
        <f ca="1">VLOOKUP($A151&amp;$B151,data!$A:$U,8,FALSE)</f>
        <v>71</v>
      </c>
      <c r="M151" s="3">
        <f ca="1">VLOOKUP($A151&amp;$B151,data!$A:$U,9,FALSE)</f>
        <v>71</v>
      </c>
      <c r="N151" s="3">
        <f ca="1">VLOOKUP($A151&amp;$B151,data!$A:$U,10,FALSE)</f>
        <v>0</v>
      </c>
      <c r="O151" s="3">
        <f ca="1">VLOOKUP($A151&amp;$B151,data!$A:$U,11,FALSE)</f>
        <v>0</v>
      </c>
      <c r="P151" s="3">
        <f ca="1">VLOOKUP($A151&amp;$B151,data!$A:$U,12,FALSE)</f>
        <v>0</v>
      </c>
      <c r="Q151" s="3">
        <f ca="1">VLOOKUP($A151&amp;$B151,data!$A:$U,13,FALSE)</f>
        <v>0</v>
      </c>
      <c r="R151" s="3">
        <f ca="1">VLOOKUP($A151&amp;$B151,data!$A:$U,5,FALSE)</f>
        <v>71</v>
      </c>
      <c r="S151" s="3">
        <f ca="1">VLOOKUP($A151&amp;$B151,data!$A:$U,6,FALSE)</f>
        <v>71</v>
      </c>
      <c r="T151" s="3">
        <f ca="1">VLOOKUP($A151&amp;$B151,data!$A:$U,7,FALSE)</f>
        <v>0</v>
      </c>
    </row>
    <row r="152" spans="1:20" ht="13" x14ac:dyDescent="0.15">
      <c r="A152" s="3" t="s">
        <v>5</v>
      </c>
      <c r="B152" s="3" t="s">
        <v>301</v>
      </c>
      <c r="C152" s="10">
        <f t="shared" ca="1" si="0"/>
        <v>0</v>
      </c>
      <c r="D152" s="5">
        <f ca="1">VLOOKUP($A152&amp;$B152,data!$A:$U,20,FALSE)</f>
        <v>44305.286689814799</v>
      </c>
      <c r="E152" s="3" t="str">
        <f ca="1">VLOOKUP($A152&amp;$B152,data!$A:$U,21,FALSE)</f>
        <v>Neelambur unit 19.04.2021</v>
      </c>
      <c r="F152" s="3">
        <f ca="1">VLOOKUP($A152&amp;$B152,data!$A:$U,17,FALSE)</f>
        <v>3</v>
      </c>
      <c r="G152" s="3">
        <f ca="1">VLOOKUP($A152&amp;$B152,data!$A:$U,18,FALSE)</f>
        <v>3</v>
      </c>
      <c r="H152" s="3">
        <f ca="1">VLOOKUP($A152&amp;$B152,data!$A:$U,19,FALSE)</f>
        <v>0</v>
      </c>
      <c r="I152" s="3">
        <f ca="1">VLOOKUP($A152&amp;$B152,data!$A:$U,14,FALSE)</f>
        <v>6</v>
      </c>
      <c r="J152" s="3">
        <f ca="1">VLOOKUP($A152&amp;$B152,data!$A:$U,15,FALSE)</f>
        <v>6</v>
      </c>
      <c r="K152" s="3">
        <f ca="1">VLOOKUP($A152&amp;$B152,data!$A:$U,16,FALSE)</f>
        <v>0</v>
      </c>
      <c r="L152" s="3">
        <f ca="1">VLOOKUP($A152&amp;$B152,data!$A:$U,8,FALSE)</f>
        <v>44</v>
      </c>
      <c r="M152" s="3">
        <f ca="1">VLOOKUP($A152&amp;$B152,data!$A:$U,9,FALSE)</f>
        <v>44</v>
      </c>
      <c r="N152" s="3">
        <f ca="1">VLOOKUP($A152&amp;$B152,data!$A:$U,10,FALSE)</f>
        <v>0</v>
      </c>
      <c r="O152" s="3">
        <f ca="1">VLOOKUP($A152&amp;$B152,data!$A:$U,11,FALSE)</f>
        <v>0</v>
      </c>
      <c r="P152" s="3">
        <f ca="1">VLOOKUP($A152&amp;$B152,data!$A:$U,12,FALSE)</f>
        <v>0</v>
      </c>
      <c r="Q152" s="3">
        <f ca="1">VLOOKUP($A152&amp;$B152,data!$A:$U,13,FALSE)</f>
        <v>0</v>
      </c>
      <c r="R152" s="3">
        <f ca="1">VLOOKUP($A152&amp;$B152,data!$A:$U,5,FALSE)</f>
        <v>50</v>
      </c>
      <c r="S152" s="3">
        <f ca="1">VLOOKUP($A152&amp;$B152,data!$A:$U,6,FALSE)</f>
        <v>50</v>
      </c>
      <c r="T152" s="3">
        <f ca="1">VLOOKUP($A152&amp;$B152,data!$A:$U,7,FALSE)</f>
        <v>0</v>
      </c>
    </row>
    <row r="153" spans="1:20" ht="13" x14ac:dyDescent="0.15">
      <c r="A153" s="3" t="s">
        <v>5</v>
      </c>
      <c r="B153" s="3" t="s">
        <v>306</v>
      </c>
      <c r="C153" s="10" t="e">
        <f t="shared" ca="1" si="0"/>
        <v>#DIV/0!</v>
      </c>
      <c r="D153" s="5">
        <f ca="1">VLOOKUP($A153&amp;$B153,data!$A:$U,20,FALSE)</f>
        <v>44305.287164351801</v>
      </c>
      <c r="E153" s="3" t="str">
        <f ca="1">VLOOKUP($A153&amp;$B153,data!$A:$U,21,FALSE)</f>
        <v>Gandhipuram unit - 19.04.2021</v>
      </c>
      <c r="F153" s="3">
        <f ca="1">VLOOKUP($A153&amp;$B153,data!$A:$U,17,FALSE)</f>
        <v>0</v>
      </c>
      <c r="G153" s="3">
        <f ca="1">VLOOKUP($A153&amp;$B153,data!$A:$U,18,FALSE)</f>
        <v>0</v>
      </c>
      <c r="H153" s="3">
        <f ca="1">VLOOKUP($A153&amp;$B153,data!$A:$U,19,FALSE)</f>
        <v>0</v>
      </c>
      <c r="I153" s="3">
        <f ca="1">VLOOKUP($A153&amp;$B153,data!$A:$U,14,FALSE)</f>
        <v>0</v>
      </c>
      <c r="J153" s="3">
        <f ca="1">VLOOKUP($A153&amp;$B153,data!$A:$U,15,FALSE)</f>
        <v>0</v>
      </c>
      <c r="K153" s="3">
        <f ca="1">VLOOKUP($A153&amp;$B153,data!$A:$U,16,FALSE)</f>
        <v>0</v>
      </c>
      <c r="L153" s="3">
        <f ca="1">VLOOKUP($A153&amp;$B153,data!$A:$U,8,FALSE)</f>
        <v>0</v>
      </c>
      <c r="M153" s="3">
        <f ca="1">VLOOKUP($A153&amp;$B153,data!$A:$U,9,FALSE)</f>
        <v>0</v>
      </c>
      <c r="N153" s="3">
        <f ca="1">VLOOKUP($A153&amp;$B153,data!$A:$U,10,FALSE)</f>
        <v>0</v>
      </c>
      <c r="O153" s="3">
        <f ca="1">VLOOKUP($A153&amp;$B153,data!$A:$U,11,FALSE)</f>
        <v>0</v>
      </c>
      <c r="P153" s="3">
        <f ca="1">VLOOKUP($A153&amp;$B153,data!$A:$U,12,FALSE)</f>
        <v>0</v>
      </c>
      <c r="Q153" s="3">
        <f ca="1">VLOOKUP($A153&amp;$B153,data!$A:$U,13,FALSE)</f>
        <v>0</v>
      </c>
      <c r="R153" s="3">
        <f ca="1">VLOOKUP($A153&amp;$B153,data!$A:$U,5,FALSE)</f>
        <v>0</v>
      </c>
      <c r="S153" s="3">
        <f ca="1">VLOOKUP($A153&amp;$B153,data!$A:$U,6,FALSE)</f>
        <v>0</v>
      </c>
      <c r="T153" s="3">
        <f ca="1">VLOOKUP($A153&amp;$B153,data!$A:$U,7,FALSE)</f>
        <v>0</v>
      </c>
    </row>
    <row r="154" spans="1:20" ht="13" x14ac:dyDescent="0.15">
      <c r="A154" s="3" t="s">
        <v>5</v>
      </c>
      <c r="B154" s="3" t="s">
        <v>311</v>
      </c>
      <c r="C154" s="10">
        <f t="shared" ca="1" si="0"/>
        <v>0</v>
      </c>
      <c r="D154" s="5">
        <f ca="1">VLOOKUP($A154&amp;$B154,data!$A:$U,20,FALSE)</f>
        <v>44305.3903125</v>
      </c>
      <c r="E154" s="3" t="str">
        <f ca="1">VLOOKUP($A154&amp;$B154,data!$A:$U,21,FALSE)</f>
        <v>19.04.2021</v>
      </c>
      <c r="F154" s="3">
        <f ca="1">VLOOKUP($A154&amp;$B154,data!$A:$U,17,FALSE)</f>
        <v>5</v>
      </c>
      <c r="G154" s="3">
        <f ca="1">VLOOKUP($A154&amp;$B154,data!$A:$U,18,FALSE)</f>
        <v>2</v>
      </c>
      <c r="H154" s="3">
        <f ca="1">VLOOKUP($A154&amp;$B154,data!$A:$U,19,FALSE)</f>
        <v>3</v>
      </c>
      <c r="I154" s="3">
        <f ca="1">VLOOKUP($A154&amp;$B154,data!$A:$U,14,FALSE)</f>
        <v>5</v>
      </c>
      <c r="J154" s="3">
        <f ca="1">VLOOKUP($A154&amp;$B154,data!$A:$U,15,FALSE)</f>
        <v>5</v>
      </c>
      <c r="K154" s="3">
        <f ca="1">VLOOKUP($A154&amp;$B154,data!$A:$U,16,FALSE)</f>
        <v>0</v>
      </c>
      <c r="L154" s="3">
        <f ca="1">VLOOKUP($A154&amp;$B154,data!$A:$U,8,FALSE)</f>
        <v>64</v>
      </c>
      <c r="M154" s="3">
        <f ca="1">VLOOKUP($A154&amp;$B154,data!$A:$U,9,FALSE)</f>
        <v>64</v>
      </c>
      <c r="N154" s="3">
        <f ca="1">VLOOKUP($A154&amp;$B154,data!$A:$U,10,FALSE)</f>
        <v>0</v>
      </c>
      <c r="O154" s="3">
        <f ca="1">VLOOKUP($A154&amp;$B154,data!$A:$U,11,FALSE)</f>
        <v>11</v>
      </c>
      <c r="P154" s="3">
        <f ca="1">VLOOKUP($A154&amp;$B154,data!$A:$U,12,FALSE)</f>
        <v>11</v>
      </c>
      <c r="Q154" s="3">
        <f ca="1">VLOOKUP($A154&amp;$B154,data!$A:$U,13,FALSE)</f>
        <v>0</v>
      </c>
      <c r="R154" s="3">
        <f ca="1">VLOOKUP($A154&amp;$B154,data!$A:$U,5,FALSE)</f>
        <v>80</v>
      </c>
      <c r="S154" s="3">
        <f ca="1">VLOOKUP($A154&amp;$B154,data!$A:$U,6,FALSE)</f>
        <v>80</v>
      </c>
      <c r="T154" s="3">
        <f ca="1">VLOOKUP($A154&amp;$B154,data!$A:$U,7,FALSE)</f>
        <v>0</v>
      </c>
    </row>
    <row r="155" spans="1:20" ht="13" x14ac:dyDescent="0.15">
      <c r="A155" s="3" t="s">
        <v>5</v>
      </c>
      <c r="B155" s="3" t="s">
        <v>316</v>
      </c>
      <c r="C155" s="10">
        <f t="shared" ca="1" si="0"/>
        <v>0</v>
      </c>
      <c r="D155" s="5">
        <f ca="1">VLOOKUP($A155&amp;$B155,data!$A:$U,20,FALSE)</f>
        <v>44305.468888888798</v>
      </c>
      <c r="E155" s="3" t="str">
        <f ca="1">VLOOKUP($A155&amp;$B155,data!$A:$U,21,FALSE)</f>
        <v>19.04.2021</v>
      </c>
      <c r="F155" s="3">
        <f ca="1">VLOOKUP($A155&amp;$B155,data!$A:$U,17,FALSE)</f>
        <v>10</v>
      </c>
      <c r="G155" s="3">
        <f ca="1">VLOOKUP($A155&amp;$B155,data!$A:$U,18,FALSE)</f>
        <v>0</v>
      </c>
      <c r="H155" s="3">
        <f ca="1">VLOOKUP($A155&amp;$B155,data!$A:$U,19,FALSE)</f>
        <v>10</v>
      </c>
      <c r="I155" s="3">
        <f ca="1">VLOOKUP($A155&amp;$B155,data!$A:$U,14,FALSE)</f>
        <v>0</v>
      </c>
      <c r="J155" s="3">
        <f ca="1">VLOOKUP($A155&amp;$B155,data!$A:$U,15,FALSE)</f>
        <v>0</v>
      </c>
      <c r="K155" s="3">
        <f ca="1">VLOOKUP($A155&amp;$B155,data!$A:$U,16,FALSE)</f>
        <v>0</v>
      </c>
      <c r="L155" s="3">
        <f ca="1">VLOOKUP($A155&amp;$B155,data!$A:$U,8,FALSE)</f>
        <v>50</v>
      </c>
      <c r="M155" s="3">
        <f ca="1">VLOOKUP($A155&amp;$B155,data!$A:$U,9,FALSE)</f>
        <v>50</v>
      </c>
      <c r="N155" s="3">
        <f ca="1">VLOOKUP($A155&amp;$B155,data!$A:$U,10,FALSE)</f>
        <v>0</v>
      </c>
      <c r="O155" s="3">
        <f ca="1">VLOOKUP($A155&amp;$B155,data!$A:$U,11,FALSE)</f>
        <v>0</v>
      </c>
      <c r="P155" s="3">
        <f ca="1">VLOOKUP($A155&amp;$B155,data!$A:$U,12,FALSE)</f>
        <v>0</v>
      </c>
      <c r="Q155" s="3">
        <f ca="1">VLOOKUP($A155&amp;$B155,data!$A:$U,13,FALSE)</f>
        <v>0</v>
      </c>
      <c r="R155" s="3">
        <f ca="1">VLOOKUP($A155&amp;$B155,data!$A:$U,5,FALSE)</f>
        <v>50</v>
      </c>
      <c r="S155" s="3">
        <f ca="1">VLOOKUP($A155&amp;$B155,data!$A:$U,6,FALSE)</f>
        <v>50</v>
      </c>
      <c r="T155" s="3">
        <f ca="1">VLOOKUP($A155&amp;$B155,data!$A:$U,7,FALSE)</f>
        <v>0</v>
      </c>
    </row>
    <row r="156" spans="1:20" ht="13" x14ac:dyDescent="0.15">
      <c r="A156" s="3" t="s">
        <v>5</v>
      </c>
      <c r="B156" s="3" t="s">
        <v>1044</v>
      </c>
      <c r="C156" s="10">
        <f t="shared" ca="1" si="0"/>
        <v>0</v>
      </c>
      <c r="D156" s="5">
        <f ca="1">VLOOKUP($A156&amp;$B156,data!$A:$U,20,FALSE)</f>
        <v>44305.413229166603</v>
      </c>
      <c r="E156" s="3" t="str">
        <f ca="1">VLOOKUP($A156&amp;$B156,data!$A:$U,21,FALSE)</f>
        <v>19.4.2021</v>
      </c>
      <c r="F156" s="3">
        <f ca="1">VLOOKUP($A156&amp;$B156,data!$A:$U,17,FALSE)</f>
        <v>4</v>
      </c>
      <c r="G156" s="3">
        <f ca="1">VLOOKUP($A156&amp;$B156,data!$A:$U,18,FALSE)</f>
        <v>3</v>
      </c>
      <c r="H156" s="3">
        <f ca="1">VLOOKUP($A156&amp;$B156,data!$A:$U,19,FALSE)</f>
        <v>1</v>
      </c>
      <c r="I156" s="3">
        <f ca="1">VLOOKUP($A156&amp;$B156,data!$A:$U,14,FALSE)</f>
        <v>5</v>
      </c>
      <c r="J156" s="3">
        <f ca="1">VLOOKUP($A156&amp;$B156,data!$A:$U,15,FALSE)</f>
        <v>5</v>
      </c>
      <c r="K156" s="3">
        <f ca="1">VLOOKUP($A156&amp;$B156,data!$A:$U,16,FALSE)</f>
        <v>0</v>
      </c>
      <c r="L156" s="3">
        <f ca="1">VLOOKUP($A156&amp;$B156,data!$A:$U,8,FALSE)</f>
        <v>15</v>
      </c>
      <c r="M156" s="3">
        <f ca="1">VLOOKUP($A156&amp;$B156,data!$A:$U,9,FALSE)</f>
        <v>15</v>
      </c>
      <c r="N156" s="3">
        <f ca="1">VLOOKUP($A156&amp;$B156,data!$A:$U,10,FALSE)</f>
        <v>0</v>
      </c>
      <c r="O156" s="3">
        <f ca="1">VLOOKUP($A156&amp;$B156,data!$A:$U,11,FALSE)</f>
        <v>20</v>
      </c>
      <c r="P156" s="3">
        <f ca="1">VLOOKUP($A156&amp;$B156,data!$A:$U,12,FALSE)</f>
        <v>20</v>
      </c>
      <c r="Q156" s="3">
        <f ca="1">VLOOKUP($A156&amp;$B156,data!$A:$U,13,FALSE)</f>
        <v>0</v>
      </c>
      <c r="R156" s="3">
        <f ca="1">VLOOKUP($A156&amp;$B156,data!$A:$U,5,FALSE)</f>
        <v>40</v>
      </c>
      <c r="S156" s="3">
        <f ca="1">VLOOKUP($A156&amp;$B156,data!$A:$U,6,FALSE)</f>
        <v>40</v>
      </c>
      <c r="T156" s="3">
        <f ca="1">VLOOKUP($A156&amp;$B156,data!$A:$U,7,FALSE)</f>
        <v>0</v>
      </c>
    </row>
    <row r="157" spans="1:20" ht="13" x14ac:dyDescent="0.15">
      <c r="A157" s="3" t="s">
        <v>5</v>
      </c>
      <c r="B157" s="3" t="s">
        <v>1214</v>
      </c>
      <c r="C157" s="10" t="e">
        <f t="shared" ca="1" si="0"/>
        <v>#DIV/0!</v>
      </c>
      <c r="D157" s="5">
        <f ca="1">VLOOKUP($A157&amp;$B157,data!$A:$U,20,FALSE)</f>
        <v>44303.985555555497</v>
      </c>
      <c r="E157" s="3">
        <f ca="1">VLOOKUP($A157&amp;$B157,data!$A:$U,21,FALSE)</f>
        <v>0</v>
      </c>
      <c r="F157" s="3">
        <f ca="1">VLOOKUP($A157&amp;$B157,data!$A:$U,17,FALSE)</f>
        <v>0</v>
      </c>
      <c r="G157" s="3">
        <f ca="1">VLOOKUP($A157&amp;$B157,data!$A:$U,18,FALSE)</f>
        <v>0</v>
      </c>
      <c r="H157" s="3">
        <f ca="1">VLOOKUP($A157&amp;$B157,data!$A:$U,19,FALSE)</f>
        <v>0</v>
      </c>
      <c r="I157" s="3">
        <f ca="1">VLOOKUP($A157&amp;$B157,data!$A:$U,14,FALSE)</f>
        <v>0</v>
      </c>
      <c r="J157" s="3">
        <f ca="1">VLOOKUP($A157&amp;$B157,data!$A:$U,15,FALSE)</f>
        <v>0</v>
      </c>
      <c r="K157" s="3">
        <f ca="1">VLOOKUP($A157&amp;$B157,data!$A:$U,16,FALSE)</f>
        <v>0</v>
      </c>
      <c r="L157" s="3">
        <f ca="1">VLOOKUP($A157&amp;$B157,data!$A:$U,8,FALSE)</f>
        <v>0</v>
      </c>
      <c r="M157" s="3">
        <f ca="1">VLOOKUP($A157&amp;$B157,data!$A:$U,9,FALSE)</f>
        <v>0</v>
      </c>
      <c r="N157" s="3">
        <f ca="1">VLOOKUP($A157&amp;$B157,data!$A:$U,10,FALSE)</f>
        <v>0</v>
      </c>
      <c r="O157" s="3">
        <f ca="1">VLOOKUP($A157&amp;$B157,data!$A:$U,11,FALSE)</f>
        <v>0</v>
      </c>
      <c r="P157" s="3">
        <f ca="1">VLOOKUP($A157&amp;$B157,data!$A:$U,12,FALSE)</f>
        <v>0</v>
      </c>
      <c r="Q157" s="3">
        <f ca="1">VLOOKUP($A157&amp;$B157,data!$A:$U,13,FALSE)</f>
        <v>0</v>
      </c>
      <c r="R157" s="3">
        <f ca="1">VLOOKUP($A157&amp;$B157,data!$A:$U,5,FALSE)</f>
        <v>0</v>
      </c>
      <c r="S157" s="3">
        <f ca="1">VLOOKUP($A157&amp;$B157,data!$A:$U,6,FALSE)</f>
        <v>0</v>
      </c>
      <c r="T157" s="3">
        <f ca="1">VLOOKUP($A157&amp;$B157,data!$A:$U,7,FALSE)</f>
        <v>0</v>
      </c>
    </row>
    <row r="158" spans="1:20" ht="13" x14ac:dyDescent="0.15">
      <c r="A158" s="3" t="s">
        <v>6</v>
      </c>
      <c r="B158" s="3" t="s">
        <v>321</v>
      </c>
      <c r="C158" s="10">
        <f t="shared" ca="1" si="0"/>
        <v>0.16304347826086957</v>
      </c>
      <c r="D158" s="5">
        <f ca="1">VLOOKUP($A158&amp;$B158,data!$A:$U,20,FALSE)</f>
        <v>44305.306932870299</v>
      </c>
      <c r="E158" s="3" t="str">
        <f ca="1">VLOOKUP($A158&amp;$B158,data!$A:$U,21,FALSE)</f>
        <v>As on 19-04-2021 Ventilator beds are in ICU for Emergency sick patients,)</v>
      </c>
      <c r="F158" s="3">
        <f ca="1">VLOOKUP($A158&amp;$B158,data!$A:$U,17,FALSE)</f>
        <v>2</v>
      </c>
      <c r="G158" s="3">
        <f ca="1">VLOOKUP($A158&amp;$B158,data!$A:$U,18,FALSE)</f>
        <v>0</v>
      </c>
      <c r="H158" s="3">
        <f ca="1">VLOOKUP($A158&amp;$B158,data!$A:$U,19,FALSE)</f>
        <v>2</v>
      </c>
      <c r="I158" s="3">
        <f ca="1">VLOOKUP($A158&amp;$B158,data!$A:$U,14,FALSE)</f>
        <v>2</v>
      </c>
      <c r="J158" s="3">
        <f ca="1">VLOOKUP($A158&amp;$B158,data!$A:$U,15,FALSE)</f>
        <v>0</v>
      </c>
      <c r="K158" s="3">
        <f ca="1">VLOOKUP($A158&amp;$B158,data!$A:$U,16,FALSE)</f>
        <v>2</v>
      </c>
      <c r="L158" s="3">
        <f ca="1">VLOOKUP($A158&amp;$B158,data!$A:$U,8,FALSE)</f>
        <v>10</v>
      </c>
      <c r="M158" s="3">
        <f ca="1">VLOOKUP($A158&amp;$B158,data!$A:$U,9,FALSE)</f>
        <v>2</v>
      </c>
      <c r="N158" s="3">
        <f ca="1">VLOOKUP($A158&amp;$B158,data!$A:$U,10,FALSE)</f>
        <v>8</v>
      </c>
      <c r="O158" s="3">
        <f ca="1">VLOOKUP($A158&amp;$B158,data!$A:$U,11,FALSE)</f>
        <v>80</v>
      </c>
      <c r="P158" s="3">
        <f ca="1">VLOOKUP($A158&amp;$B158,data!$A:$U,12,FALSE)</f>
        <v>75</v>
      </c>
      <c r="Q158" s="3">
        <f ca="1">VLOOKUP($A158&amp;$B158,data!$A:$U,13,FALSE)</f>
        <v>5</v>
      </c>
      <c r="R158" s="3">
        <f ca="1">VLOOKUP($A158&amp;$B158,data!$A:$U,5,FALSE)</f>
        <v>92</v>
      </c>
      <c r="S158" s="3">
        <f ca="1">VLOOKUP($A158&amp;$B158,data!$A:$U,6,FALSE)</f>
        <v>77</v>
      </c>
      <c r="T158" s="3">
        <f ca="1">VLOOKUP($A158&amp;$B158,data!$A:$U,7,FALSE)</f>
        <v>15</v>
      </c>
    </row>
    <row r="159" spans="1:20" ht="13" x14ac:dyDescent="0.15">
      <c r="A159" s="3" t="s">
        <v>7</v>
      </c>
      <c r="B159" s="3" t="s">
        <v>325</v>
      </c>
      <c r="C159" s="10">
        <f t="shared" ca="1" si="0"/>
        <v>1</v>
      </c>
      <c r="D159" s="5">
        <f ca="1">VLOOKUP($A159&amp;$B159,data!$A:$U,20,FALSE)</f>
        <v>44305.303090277703</v>
      </c>
      <c r="E159" s="3" t="str">
        <f ca="1">VLOOKUP($A159&amp;$B159,data!$A:$U,21,FALSE)</f>
        <v>19/04/2021</v>
      </c>
      <c r="F159" s="3">
        <f ca="1">VLOOKUP($A159&amp;$B159,data!$A:$U,17,FALSE)</f>
        <v>0</v>
      </c>
      <c r="G159" s="3">
        <f ca="1">VLOOKUP($A159&amp;$B159,data!$A:$U,18,FALSE)</f>
        <v>0</v>
      </c>
      <c r="H159" s="3">
        <f ca="1">VLOOKUP($A159&amp;$B159,data!$A:$U,19,FALSE)</f>
        <v>0</v>
      </c>
      <c r="I159" s="3">
        <f ca="1">VLOOKUP($A159&amp;$B159,data!$A:$U,14,FALSE)</f>
        <v>0</v>
      </c>
      <c r="J159" s="3">
        <f ca="1">VLOOKUP($A159&amp;$B159,data!$A:$U,15,FALSE)</f>
        <v>0</v>
      </c>
      <c r="K159" s="3">
        <f ca="1">VLOOKUP($A159&amp;$B159,data!$A:$U,16,FALSE)</f>
        <v>0</v>
      </c>
      <c r="L159" s="3">
        <f ca="1">VLOOKUP($A159&amp;$B159,data!$A:$U,8,FALSE)</f>
        <v>3</v>
      </c>
      <c r="M159" s="3">
        <f ca="1">VLOOKUP($A159&amp;$B159,data!$A:$U,9,FALSE)</f>
        <v>0</v>
      </c>
      <c r="N159" s="3">
        <f ca="1">VLOOKUP($A159&amp;$B159,data!$A:$U,10,FALSE)</f>
        <v>3</v>
      </c>
      <c r="O159" s="3">
        <f ca="1">VLOOKUP($A159&amp;$B159,data!$A:$U,11,FALSE)</f>
        <v>47</v>
      </c>
      <c r="P159" s="3">
        <f ca="1">VLOOKUP($A159&amp;$B159,data!$A:$U,12,FALSE)</f>
        <v>0</v>
      </c>
      <c r="Q159" s="3">
        <f ca="1">VLOOKUP($A159&amp;$B159,data!$A:$U,13,FALSE)</f>
        <v>47</v>
      </c>
      <c r="R159" s="3">
        <f ca="1">VLOOKUP($A159&amp;$B159,data!$A:$U,5,FALSE)</f>
        <v>50</v>
      </c>
      <c r="S159" s="3">
        <f ca="1">VLOOKUP($A159&amp;$B159,data!$A:$U,6,FALSE)</f>
        <v>0</v>
      </c>
      <c r="T159" s="3">
        <f ca="1">VLOOKUP($A159&amp;$B159,data!$A:$U,7,FALSE)</f>
        <v>50</v>
      </c>
    </row>
    <row r="160" spans="1:20" ht="13" x14ac:dyDescent="0.15">
      <c r="A160" s="3" t="s">
        <v>7</v>
      </c>
      <c r="B160" s="3" t="s">
        <v>331</v>
      </c>
      <c r="C160" s="10">
        <f t="shared" ca="1" si="0"/>
        <v>0.98</v>
      </c>
      <c r="D160" s="5">
        <f ca="1">VLOOKUP($A160&amp;$B160,data!$A:$U,20,FALSE)</f>
        <v>44305.330706018503</v>
      </c>
      <c r="E160" s="3" t="str">
        <f ca="1">VLOOKUP($A160&amp;$B160,data!$A:$U,21,FALSE)</f>
        <v>19.04.2021</v>
      </c>
      <c r="F160" s="3">
        <f ca="1">VLOOKUP($A160&amp;$B160,data!$A:$U,17,FALSE)</f>
        <v>0</v>
      </c>
      <c r="G160" s="3">
        <f ca="1">VLOOKUP($A160&amp;$B160,data!$A:$U,18,FALSE)</f>
        <v>0</v>
      </c>
      <c r="H160" s="3">
        <f ca="1">VLOOKUP($A160&amp;$B160,data!$A:$U,19,FALSE)</f>
        <v>0</v>
      </c>
      <c r="I160" s="3">
        <f ca="1">VLOOKUP($A160&amp;$B160,data!$A:$U,14,FALSE)</f>
        <v>0</v>
      </c>
      <c r="J160" s="3">
        <f ca="1">VLOOKUP($A160&amp;$B160,data!$A:$U,15,FALSE)</f>
        <v>0</v>
      </c>
      <c r="K160" s="3">
        <f ca="1">VLOOKUP($A160&amp;$B160,data!$A:$U,16,FALSE)</f>
        <v>0</v>
      </c>
      <c r="L160" s="3">
        <f ca="1">VLOOKUP($A160&amp;$B160,data!$A:$U,8,FALSE)</f>
        <v>10</v>
      </c>
      <c r="M160" s="3">
        <f ca="1">VLOOKUP($A160&amp;$B160,data!$A:$U,9,FALSE)</f>
        <v>0</v>
      </c>
      <c r="N160" s="3">
        <f ca="1">VLOOKUP($A160&amp;$B160,data!$A:$U,10,FALSE)</f>
        <v>10</v>
      </c>
      <c r="O160" s="3">
        <f ca="1">VLOOKUP($A160&amp;$B160,data!$A:$U,11,FALSE)</f>
        <v>40</v>
      </c>
      <c r="P160" s="3">
        <f ca="1">VLOOKUP($A160&amp;$B160,data!$A:$U,12,FALSE)</f>
        <v>0</v>
      </c>
      <c r="Q160" s="3">
        <f ca="1">VLOOKUP($A160&amp;$B160,data!$A:$U,13,FALSE)</f>
        <v>39</v>
      </c>
      <c r="R160" s="3">
        <f ca="1">VLOOKUP($A160&amp;$B160,data!$A:$U,5,FALSE)</f>
        <v>50</v>
      </c>
      <c r="S160" s="3">
        <f ca="1">VLOOKUP($A160&amp;$B160,data!$A:$U,6,FALSE)</f>
        <v>1</v>
      </c>
      <c r="T160" s="3">
        <f ca="1">VLOOKUP($A160&amp;$B160,data!$A:$U,7,FALSE)</f>
        <v>49</v>
      </c>
    </row>
    <row r="161" spans="1:20" ht="13" x14ac:dyDescent="0.15">
      <c r="A161" s="3" t="s">
        <v>7</v>
      </c>
      <c r="B161" s="3" t="s">
        <v>1205</v>
      </c>
      <c r="C161" s="10">
        <f t="shared" ca="1" si="0"/>
        <v>0.80701754385964908</v>
      </c>
      <c r="D161" s="5">
        <f ca="1">VLOOKUP($A161&amp;$B161,data!$A:$U,20,FALSE)</f>
        <v>44305.347488425898</v>
      </c>
      <c r="E161" s="3" t="str">
        <f ca="1">VLOOKUP($A161&amp;$B161,data!$A:$U,21,FALSE)</f>
        <v>19.04.2021</v>
      </c>
      <c r="F161" s="3">
        <f ca="1">VLOOKUP($A161&amp;$B161,data!$A:$U,17,FALSE)</f>
        <v>5</v>
      </c>
      <c r="G161" s="3">
        <f ca="1">VLOOKUP($A161&amp;$B161,data!$A:$U,18,FALSE)</f>
        <v>2</v>
      </c>
      <c r="H161" s="3">
        <f ca="1">VLOOKUP($A161&amp;$B161,data!$A:$U,19,FALSE)</f>
        <v>3</v>
      </c>
      <c r="I161" s="3">
        <f ca="1">VLOOKUP($A161&amp;$B161,data!$A:$U,14,FALSE)</f>
        <v>10</v>
      </c>
      <c r="J161" s="3">
        <f ca="1">VLOOKUP($A161&amp;$B161,data!$A:$U,15,FALSE)</f>
        <v>2</v>
      </c>
      <c r="K161" s="3">
        <f ca="1">VLOOKUP($A161&amp;$B161,data!$A:$U,16,FALSE)</f>
        <v>8</v>
      </c>
      <c r="L161" s="3">
        <f ca="1">VLOOKUP($A161&amp;$B161,data!$A:$U,8,FALSE)</f>
        <v>14</v>
      </c>
      <c r="M161" s="3">
        <f ca="1">VLOOKUP($A161&amp;$B161,data!$A:$U,9,FALSE)</f>
        <v>2</v>
      </c>
      <c r="N161" s="3">
        <f ca="1">VLOOKUP($A161&amp;$B161,data!$A:$U,10,FALSE)</f>
        <v>12</v>
      </c>
      <c r="O161" s="3">
        <f ca="1">VLOOKUP($A161&amp;$B161,data!$A:$U,11,FALSE)</f>
        <v>5</v>
      </c>
      <c r="P161" s="3">
        <f ca="1">VLOOKUP($A161&amp;$B161,data!$A:$U,12,FALSE)</f>
        <v>2</v>
      </c>
      <c r="Q161" s="3">
        <f ca="1">VLOOKUP($A161&amp;$B161,data!$A:$U,13,FALSE)</f>
        <v>2</v>
      </c>
      <c r="R161" s="3">
        <f ca="1">VLOOKUP($A161&amp;$B161,data!$A:$U,5,FALSE)</f>
        <v>28</v>
      </c>
      <c r="S161" s="3">
        <f ca="1">VLOOKUP($A161&amp;$B161,data!$A:$U,6,FALSE)</f>
        <v>4</v>
      </c>
      <c r="T161" s="3">
        <f ca="1">VLOOKUP($A161&amp;$B161,data!$A:$U,7,FALSE)</f>
        <v>24</v>
      </c>
    </row>
    <row r="162" spans="1:20" ht="13" x14ac:dyDescent="0.15">
      <c r="A162" s="3" t="s">
        <v>7</v>
      </c>
      <c r="B162" s="3" t="s">
        <v>674</v>
      </c>
      <c r="C162" s="10">
        <f t="shared" ca="1" si="0"/>
        <v>0.8571428571428571</v>
      </c>
      <c r="D162" s="5">
        <f ca="1">VLOOKUP($A162&amp;$B162,data!$A:$U,20,FALSE)</f>
        <v>44305.304560185097</v>
      </c>
      <c r="E162" s="3" t="str">
        <f ca="1">VLOOKUP($A162&amp;$B162,data!$A:$U,21,FALSE)</f>
        <v>19/04/2021.</v>
      </c>
      <c r="F162" s="3">
        <f ca="1">VLOOKUP($A162&amp;$B162,data!$A:$U,17,FALSE)</f>
        <v>1</v>
      </c>
      <c r="G162" s="3">
        <f ca="1">VLOOKUP($A162&amp;$B162,data!$A:$U,18,FALSE)</f>
        <v>0</v>
      </c>
      <c r="H162" s="3">
        <f ca="1">VLOOKUP($A162&amp;$B162,data!$A:$U,19,FALSE)</f>
        <v>1</v>
      </c>
      <c r="I162" s="3">
        <f ca="1">VLOOKUP($A162&amp;$B162,data!$A:$U,14,FALSE)</f>
        <v>2</v>
      </c>
      <c r="J162" s="3">
        <f ca="1">VLOOKUP($A162&amp;$B162,data!$A:$U,15,FALSE)</f>
        <v>0</v>
      </c>
      <c r="K162" s="3">
        <f ca="1">VLOOKUP($A162&amp;$B162,data!$A:$U,16,FALSE)</f>
        <v>1</v>
      </c>
      <c r="L162" s="3">
        <f ca="1">VLOOKUP($A162&amp;$B162,data!$A:$U,8,FALSE)</f>
        <v>20</v>
      </c>
      <c r="M162" s="3">
        <f ca="1">VLOOKUP($A162&amp;$B162,data!$A:$U,9,FALSE)</f>
        <v>0</v>
      </c>
      <c r="N162" s="3">
        <f ca="1">VLOOKUP($A162&amp;$B162,data!$A:$U,10,FALSE)</f>
        <v>15</v>
      </c>
      <c r="O162" s="3">
        <f ca="1">VLOOKUP($A162&amp;$B162,data!$A:$U,11,FALSE)</f>
        <v>0</v>
      </c>
      <c r="P162" s="3">
        <f ca="1">VLOOKUP($A162&amp;$B162,data!$A:$U,12,FALSE)</f>
        <v>0</v>
      </c>
      <c r="Q162" s="3">
        <f ca="1">VLOOKUP($A162&amp;$B162,data!$A:$U,13,FALSE)</f>
        <v>0</v>
      </c>
      <c r="R162" s="3">
        <f ca="1">VLOOKUP($A162&amp;$B162,data!$A:$U,5,FALSE)</f>
        <v>20</v>
      </c>
      <c r="S162" s="3">
        <f ca="1">VLOOKUP($A162&amp;$B162,data!$A:$U,6,FALSE)</f>
        <v>0</v>
      </c>
      <c r="T162" s="3">
        <f ca="1">VLOOKUP($A162&amp;$B162,data!$A:$U,7,FALSE)</f>
        <v>20</v>
      </c>
    </row>
    <row r="163" spans="1:20" ht="13" x14ac:dyDescent="0.15">
      <c r="A163" s="3" t="s">
        <v>7</v>
      </c>
      <c r="B163" s="3" t="s">
        <v>408</v>
      </c>
      <c r="C163" s="10">
        <f t="shared" ca="1" si="0"/>
        <v>0.45945945945945948</v>
      </c>
      <c r="D163" s="5">
        <f ca="1">VLOOKUP($A163&amp;$B163,data!$A:$U,20,FALSE)</f>
        <v>44305.299305555498</v>
      </c>
      <c r="E163" s="3" t="str">
        <f ca="1">VLOOKUP($A163&amp;$B163,data!$A:$U,21,FALSE)</f>
        <v>updated 19-04-2021</v>
      </c>
      <c r="F163" s="3">
        <f ca="1">VLOOKUP($A163&amp;$B163,data!$A:$U,17,FALSE)</f>
        <v>5</v>
      </c>
      <c r="G163" s="3">
        <f ca="1">VLOOKUP($A163&amp;$B163,data!$A:$U,18,FALSE)</f>
        <v>0</v>
      </c>
      <c r="H163" s="3">
        <f ca="1">VLOOKUP($A163&amp;$B163,data!$A:$U,19,FALSE)</f>
        <v>5</v>
      </c>
      <c r="I163" s="3">
        <f ca="1">VLOOKUP($A163&amp;$B163,data!$A:$U,14,FALSE)</f>
        <v>5</v>
      </c>
      <c r="J163" s="3">
        <f ca="1">VLOOKUP($A163&amp;$B163,data!$A:$U,15,FALSE)</f>
        <v>2</v>
      </c>
      <c r="K163" s="3">
        <f ca="1">VLOOKUP($A163&amp;$B163,data!$A:$U,16,FALSE)</f>
        <v>3</v>
      </c>
      <c r="L163" s="3">
        <f ca="1">VLOOKUP($A163&amp;$B163,data!$A:$U,8,FALSE)</f>
        <v>32</v>
      </c>
      <c r="M163" s="3">
        <f ca="1">VLOOKUP($A163&amp;$B163,data!$A:$U,9,FALSE)</f>
        <v>18</v>
      </c>
      <c r="N163" s="3">
        <f ca="1">VLOOKUP($A163&amp;$B163,data!$A:$U,10,FALSE)</f>
        <v>14</v>
      </c>
      <c r="O163" s="3">
        <f ca="1">VLOOKUP($A163&amp;$B163,data!$A:$U,11,FALSE)</f>
        <v>0</v>
      </c>
      <c r="P163" s="3">
        <f ca="1">VLOOKUP($A163&amp;$B163,data!$A:$U,12,FALSE)</f>
        <v>0</v>
      </c>
      <c r="Q163" s="3">
        <f ca="1">VLOOKUP($A163&amp;$B163,data!$A:$U,13,FALSE)</f>
        <v>0</v>
      </c>
      <c r="R163" s="3">
        <f ca="1">VLOOKUP($A163&amp;$B163,data!$A:$U,5,FALSE)</f>
        <v>37</v>
      </c>
      <c r="S163" s="3">
        <f ca="1">VLOOKUP($A163&amp;$B163,data!$A:$U,6,FALSE)</f>
        <v>20</v>
      </c>
      <c r="T163" s="3">
        <f ca="1">VLOOKUP($A163&amp;$B163,data!$A:$U,7,FALSE)</f>
        <v>17</v>
      </c>
    </row>
    <row r="164" spans="1:20" ht="13" x14ac:dyDescent="0.15">
      <c r="A164" s="3" t="s">
        <v>7</v>
      </c>
      <c r="B164" s="3" t="s">
        <v>333</v>
      </c>
      <c r="C164" s="10">
        <f t="shared" ca="1" si="0"/>
        <v>0.18</v>
      </c>
      <c r="D164" s="5">
        <f ca="1">VLOOKUP($A164&amp;$B164,data!$A:$U,20,FALSE)</f>
        <v>44305.607638888803</v>
      </c>
      <c r="E164" s="3">
        <f ca="1">VLOOKUP($A164&amp;$B164,data!$A:$U,21,FALSE)</f>
        <v>0</v>
      </c>
      <c r="F164" s="3">
        <f ca="1">VLOOKUP($A164&amp;$B164,data!$A:$U,17,FALSE)</f>
        <v>1</v>
      </c>
      <c r="G164" s="3">
        <f ca="1">VLOOKUP($A164&amp;$B164,data!$A:$U,18,FALSE)</f>
        <v>1</v>
      </c>
      <c r="H164" s="3">
        <f ca="1">VLOOKUP($A164&amp;$B164,data!$A:$U,19,FALSE)</f>
        <v>0</v>
      </c>
      <c r="I164" s="3">
        <f ca="1">VLOOKUP($A164&amp;$B164,data!$A:$U,14,FALSE)</f>
        <v>2</v>
      </c>
      <c r="J164" s="3">
        <f ca="1">VLOOKUP($A164&amp;$B164,data!$A:$U,15,FALSE)</f>
        <v>2</v>
      </c>
      <c r="K164" s="3">
        <f ca="1">VLOOKUP($A164&amp;$B164,data!$A:$U,16,FALSE)</f>
        <v>0</v>
      </c>
      <c r="L164" s="3">
        <f ca="1">VLOOKUP($A164&amp;$B164,data!$A:$U,8,FALSE)</f>
        <v>23</v>
      </c>
      <c r="M164" s="3">
        <f ca="1">VLOOKUP($A164&amp;$B164,data!$A:$U,9,FALSE)</f>
        <v>14</v>
      </c>
      <c r="N164" s="3">
        <f ca="1">VLOOKUP($A164&amp;$B164,data!$A:$U,10,FALSE)</f>
        <v>9</v>
      </c>
      <c r="O164" s="3">
        <f ca="1">VLOOKUP($A164&amp;$B164,data!$A:$U,11,FALSE)</f>
        <v>25</v>
      </c>
      <c r="P164" s="3">
        <f ca="1">VLOOKUP($A164&amp;$B164,data!$A:$U,12,FALSE)</f>
        <v>25</v>
      </c>
      <c r="Q164" s="3">
        <f ca="1">VLOOKUP($A164&amp;$B164,data!$A:$U,13,FALSE)</f>
        <v>0</v>
      </c>
      <c r="R164" s="3">
        <f ca="1">VLOOKUP($A164&amp;$B164,data!$A:$U,5,FALSE)</f>
        <v>50</v>
      </c>
      <c r="S164" s="3">
        <f ca="1">VLOOKUP($A164&amp;$B164,data!$A:$U,6,FALSE)</f>
        <v>41</v>
      </c>
      <c r="T164" s="3">
        <f ca="1">VLOOKUP($A164&amp;$B164,data!$A:$U,7,FALSE)</f>
        <v>9</v>
      </c>
    </row>
    <row r="165" spans="1:20" ht="13" x14ac:dyDescent="0.15">
      <c r="A165" s="3" t="s">
        <v>7</v>
      </c>
      <c r="B165" s="3" t="s">
        <v>749</v>
      </c>
      <c r="C165" s="10">
        <f t="shared" ca="1" si="0"/>
        <v>0.65217391304347827</v>
      </c>
      <c r="D165" s="5">
        <f ca="1">VLOOKUP($A165&amp;$B165,data!$A:$U,20,FALSE)</f>
        <v>44305.308657407397</v>
      </c>
      <c r="E165" s="3" t="str">
        <f ca="1">VLOOKUP($A165&amp;$B165,data!$A:$U,21,FALSE)</f>
        <v>19.04.2021</v>
      </c>
      <c r="F165" s="3">
        <f ca="1">VLOOKUP($A165&amp;$B165,data!$A:$U,17,FALSE)</f>
        <v>2</v>
      </c>
      <c r="G165" s="3">
        <f ca="1">VLOOKUP($A165&amp;$B165,data!$A:$U,18,FALSE)</f>
        <v>0</v>
      </c>
      <c r="H165" s="3">
        <f ca="1">VLOOKUP($A165&amp;$B165,data!$A:$U,19,FALSE)</f>
        <v>2</v>
      </c>
      <c r="I165" s="3">
        <f ca="1">VLOOKUP($A165&amp;$B165,data!$A:$U,14,FALSE)</f>
        <v>2</v>
      </c>
      <c r="J165" s="3">
        <f ca="1">VLOOKUP($A165&amp;$B165,data!$A:$U,15,FALSE)</f>
        <v>0</v>
      </c>
      <c r="K165" s="3">
        <f ca="1">VLOOKUP($A165&amp;$B165,data!$A:$U,16,FALSE)</f>
        <v>2</v>
      </c>
      <c r="L165" s="3">
        <f ca="1">VLOOKUP($A165&amp;$B165,data!$A:$U,8,FALSE)</f>
        <v>22</v>
      </c>
      <c r="M165" s="3">
        <f ca="1">VLOOKUP($A165&amp;$B165,data!$A:$U,9,FALSE)</f>
        <v>8</v>
      </c>
      <c r="N165" s="3">
        <f ca="1">VLOOKUP($A165&amp;$B165,data!$A:$U,10,FALSE)</f>
        <v>14</v>
      </c>
      <c r="O165" s="3">
        <f ca="1">VLOOKUP($A165&amp;$B165,data!$A:$U,11,FALSE)</f>
        <v>0</v>
      </c>
      <c r="P165" s="3">
        <f ca="1">VLOOKUP($A165&amp;$B165,data!$A:$U,12,FALSE)</f>
        <v>0</v>
      </c>
      <c r="Q165" s="3">
        <f ca="1">VLOOKUP($A165&amp;$B165,data!$A:$U,13,FALSE)</f>
        <v>0</v>
      </c>
      <c r="R165" s="3">
        <f ca="1">VLOOKUP($A165&amp;$B165,data!$A:$U,5,FALSE)</f>
        <v>22</v>
      </c>
      <c r="S165" s="3">
        <f ca="1">VLOOKUP($A165&amp;$B165,data!$A:$U,6,FALSE)</f>
        <v>8</v>
      </c>
      <c r="T165" s="3">
        <f ca="1">VLOOKUP($A165&amp;$B165,data!$A:$U,7,FALSE)</f>
        <v>14</v>
      </c>
    </row>
    <row r="166" spans="1:20" ht="13" x14ac:dyDescent="0.15">
      <c r="A166" s="3" t="s">
        <v>7</v>
      </c>
      <c r="B166" s="3" t="s">
        <v>326</v>
      </c>
      <c r="C166" s="10">
        <f t="shared" ca="1" si="0"/>
        <v>1</v>
      </c>
      <c r="D166" s="5">
        <f ca="1">VLOOKUP($A166&amp;$B166,data!$A:$U,20,FALSE)</f>
        <v>44305.321018518502</v>
      </c>
      <c r="E166" s="3" t="str">
        <f ca="1">VLOOKUP($A166&amp;$B166,data!$A:$U,21,FALSE)</f>
        <v>19.04.2021</v>
      </c>
      <c r="F166" s="3">
        <f ca="1">VLOOKUP($A166&amp;$B166,data!$A:$U,17,FALSE)</f>
        <v>0</v>
      </c>
      <c r="G166" s="3">
        <f ca="1">VLOOKUP($A166&amp;$B166,data!$A:$U,18,FALSE)</f>
        <v>0</v>
      </c>
      <c r="H166" s="3">
        <f ca="1">VLOOKUP($A166&amp;$B166,data!$A:$U,19,FALSE)</f>
        <v>0</v>
      </c>
      <c r="I166" s="3">
        <f ca="1">VLOOKUP($A166&amp;$B166,data!$A:$U,14,FALSE)</f>
        <v>0</v>
      </c>
      <c r="J166" s="3">
        <f ca="1">VLOOKUP($A166&amp;$B166,data!$A:$U,15,FALSE)</f>
        <v>0</v>
      </c>
      <c r="K166" s="3">
        <f ca="1">VLOOKUP($A166&amp;$B166,data!$A:$U,16,FALSE)</f>
        <v>0</v>
      </c>
      <c r="L166" s="3">
        <f ca="1">VLOOKUP($A166&amp;$B166,data!$A:$U,8,FALSE)</f>
        <v>4</v>
      </c>
      <c r="M166" s="3">
        <f ca="1">VLOOKUP($A166&amp;$B166,data!$A:$U,9,FALSE)</f>
        <v>0</v>
      </c>
      <c r="N166" s="3">
        <f ca="1">VLOOKUP($A166&amp;$B166,data!$A:$U,10,FALSE)</f>
        <v>4</v>
      </c>
      <c r="O166" s="3">
        <f ca="1">VLOOKUP($A166&amp;$B166,data!$A:$U,11,FALSE)</f>
        <v>12</v>
      </c>
      <c r="P166" s="3">
        <f ca="1">VLOOKUP($A166&amp;$B166,data!$A:$U,12,FALSE)</f>
        <v>0</v>
      </c>
      <c r="Q166" s="3">
        <f ca="1">VLOOKUP($A166&amp;$B166,data!$A:$U,13,FALSE)</f>
        <v>12</v>
      </c>
      <c r="R166" s="3">
        <f ca="1">VLOOKUP($A166&amp;$B166,data!$A:$U,5,FALSE)</f>
        <v>16</v>
      </c>
      <c r="S166" s="3">
        <f ca="1">VLOOKUP($A166&amp;$B166,data!$A:$U,6,FALSE)</f>
        <v>0</v>
      </c>
      <c r="T166" s="3">
        <f ca="1">VLOOKUP($A166&amp;$B166,data!$A:$U,7,FALSE)</f>
        <v>16</v>
      </c>
    </row>
    <row r="167" spans="1:20" ht="13" x14ac:dyDescent="0.15">
      <c r="A167" s="3" t="s">
        <v>7</v>
      </c>
      <c r="B167" s="3" t="s">
        <v>790</v>
      </c>
      <c r="C167" s="10">
        <f t="shared" ca="1" si="0"/>
        <v>0.44</v>
      </c>
      <c r="D167" s="5">
        <f ca="1">VLOOKUP($A167&amp;$B167,data!$A:$U,20,FALSE)</f>
        <v>44305.350763888797</v>
      </c>
      <c r="E167" s="3" t="str">
        <f ca="1">VLOOKUP($A167&amp;$B167,data!$A:$U,21,FALSE)</f>
        <v>19.04.2021</v>
      </c>
      <c r="F167" s="3">
        <f ca="1">VLOOKUP($A167&amp;$B167,data!$A:$U,17,FALSE)</f>
        <v>1</v>
      </c>
      <c r="G167" s="3">
        <f ca="1">VLOOKUP($A167&amp;$B167,data!$A:$U,18,FALSE)</f>
        <v>0</v>
      </c>
      <c r="H167" s="3">
        <f ca="1">VLOOKUP($A167&amp;$B167,data!$A:$U,19,FALSE)</f>
        <v>1</v>
      </c>
      <c r="I167" s="3">
        <f ca="1">VLOOKUP($A167&amp;$B167,data!$A:$U,14,FALSE)</f>
        <v>5</v>
      </c>
      <c r="J167" s="3">
        <f ca="1">VLOOKUP($A167&amp;$B167,data!$A:$U,15,FALSE)</f>
        <v>0</v>
      </c>
      <c r="K167" s="3">
        <f ca="1">VLOOKUP($A167&amp;$B167,data!$A:$U,16,FALSE)</f>
        <v>5</v>
      </c>
      <c r="L167" s="3">
        <f ca="1">VLOOKUP($A167&amp;$B167,data!$A:$U,8,FALSE)</f>
        <v>10</v>
      </c>
      <c r="M167" s="3">
        <f ca="1">VLOOKUP($A167&amp;$B167,data!$A:$U,9,FALSE)</f>
        <v>4</v>
      </c>
      <c r="N167" s="3">
        <f ca="1">VLOOKUP($A167&amp;$B167,data!$A:$U,10,FALSE)</f>
        <v>6</v>
      </c>
      <c r="O167" s="3">
        <f ca="1">VLOOKUP($A167&amp;$B167,data!$A:$U,11,FALSE)</f>
        <v>10</v>
      </c>
      <c r="P167" s="3">
        <f ca="1">VLOOKUP($A167&amp;$B167,data!$A:$U,12,FALSE)</f>
        <v>10</v>
      </c>
      <c r="Q167" s="3">
        <f ca="1">VLOOKUP($A167&amp;$B167,data!$A:$U,13,FALSE)</f>
        <v>0</v>
      </c>
      <c r="R167" s="3">
        <f ca="1">VLOOKUP($A167&amp;$B167,data!$A:$U,5,FALSE)</f>
        <v>25</v>
      </c>
      <c r="S167" s="3">
        <f ca="1">VLOOKUP($A167&amp;$B167,data!$A:$U,6,FALSE)</f>
        <v>14</v>
      </c>
      <c r="T167" s="3">
        <f ca="1">VLOOKUP($A167&amp;$B167,data!$A:$U,7,FALSE)</f>
        <v>11</v>
      </c>
    </row>
    <row r="168" spans="1:20" ht="13" x14ac:dyDescent="0.15">
      <c r="A168" s="3" t="s">
        <v>7</v>
      </c>
      <c r="B168" s="3" t="s">
        <v>332</v>
      </c>
      <c r="C168" s="10">
        <f t="shared" ca="1" si="0"/>
        <v>0.12</v>
      </c>
      <c r="D168" s="5">
        <f ca="1">VLOOKUP($A168&amp;$B168,data!$A:$U,20,FALSE)</f>
        <v>44305.301874999997</v>
      </c>
      <c r="E168" s="3" t="str">
        <f ca="1">VLOOKUP($A168&amp;$B168,data!$A:$U,21,FALSE)</f>
        <v>19.04.2021</v>
      </c>
      <c r="F168" s="3">
        <f ca="1">VLOOKUP($A168&amp;$B168,data!$A:$U,17,FALSE)</f>
        <v>0</v>
      </c>
      <c r="G168" s="3">
        <f ca="1">VLOOKUP($A168&amp;$B168,data!$A:$U,18,FALSE)</f>
        <v>0</v>
      </c>
      <c r="H168" s="3">
        <f ca="1">VLOOKUP($A168&amp;$B168,data!$A:$U,19,FALSE)</f>
        <v>0</v>
      </c>
      <c r="I168" s="3">
        <f ca="1">VLOOKUP($A168&amp;$B168,data!$A:$U,14,FALSE)</f>
        <v>0</v>
      </c>
      <c r="J168" s="3">
        <f ca="1">VLOOKUP($A168&amp;$B168,data!$A:$U,15,FALSE)</f>
        <v>0</v>
      </c>
      <c r="K168" s="3">
        <f ca="1">VLOOKUP($A168&amp;$B168,data!$A:$U,16,FALSE)</f>
        <v>0</v>
      </c>
      <c r="L168" s="3">
        <f ca="1">VLOOKUP($A168&amp;$B168,data!$A:$U,8,FALSE)</f>
        <v>50</v>
      </c>
      <c r="M168" s="3">
        <f ca="1">VLOOKUP($A168&amp;$B168,data!$A:$U,9,FALSE)</f>
        <v>44</v>
      </c>
      <c r="N168" s="3">
        <f ca="1">VLOOKUP($A168&amp;$B168,data!$A:$U,10,FALSE)</f>
        <v>6</v>
      </c>
      <c r="O168" s="3">
        <f ca="1">VLOOKUP($A168&amp;$B168,data!$A:$U,11,FALSE)</f>
        <v>0</v>
      </c>
      <c r="P168" s="3">
        <f ca="1">VLOOKUP($A168&amp;$B168,data!$A:$U,12,FALSE)</f>
        <v>0</v>
      </c>
      <c r="Q168" s="3">
        <f ca="1">VLOOKUP($A168&amp;$B168,data!$A:$U,13,FALSE)</f>
        <v>0</v>
      </c>
      <c r="R168" s="3">
        <f ca="1">VLOOKUP($A168&amp;$B168,data!$A:$U,5,FALSE)</f>
        <v>50</v>
      </c>
      <c r="S168" s="3">
        <f ca="1">VLOOKUP($A168&amp;$B168,data!$A:$U,6,FALSE)</f>
        <v>44</v>
      </c>
      <c r="T168" s="3">
        <f ca="1">VLOOKUP($A168&amp;$B168,data!$A:$U,7,FALSE)</f>
        <v>6</v>
      </c>
    </row>
    <row r="169" spans="1:20" ht="13" x14ac:dyDescent="0.15">
      <c r="A169" s="3" t="s">
        <v>7</v>
      </c>
      <c r="B169" s="3" t="s">
        <v>589</v>
      </c>
      <c r="C169" s="10">
        <f t="shared" ca="1" si="0"/>
        <v>0.8</v>
      </c>
      <c r="D169" s="5">
        <f ca="1">VLOOKUP($A169&amp;$B169,data!$A:$U,20,FALSE)</f>
        <v>44305.329618055497</v>
      </c>
      <c r="E169" s="3" t="str">
        <f ca="1">VLOOKUP($A169&amp;$B169,data!$A:$U,21,FALSE)</f>
        <v>19.04.2021</v>
      </c>
      <c r="F169" s="3">
        <f ca="1">VLOOKUP($A169&amp;$B169,data!$A:$U,17,FALSE)</f>
        <v>0</v>
      </c>
      <c r="G169" s="3">
        <f ca="1">VLOOKUP($A169&amp;$B169,data!$A:$U,18,FALSE)</f>
        <v>0</v>
      </c>
      <c r="H169" s="3">
        <f ca="1">VLOOKUP($A169&amp;$B169,data!$A:$U,19,FALSE)</f>
        <v>0</v>
      </c>
      <c r="I169" s="3">
        <f ca="1">VLOOKUP($A169&amp;$B169,data!$A:$U,14,FALSE)</f>
        <v>6</v>
      </c>
      <c r="J169" s="3">
        <f ca="1">VLOOKUP($A169&amp;$B169,data!$A:$U,15,FALSE)</f>
        <v>0</v>
      </c>
      <c r="K169" s="3">
        <f ca="1">VLOOKUP($A169&amp;$B169,data!$A:$U,16,FALSE)</f>
        <v>6</v>
      </c>
      <c r="L169" s="3">
        <f ca="1">VLOOKUP($A169&amp;$B169,data!$A:$U,8,FALSE)</f>
        <v>4</v>
      </c>
      <c r="M169" s="3">
        <f ca="1">VLOOKUP($A169&amp;$B169,data!$A:$U,9,FALSE)</f>
        <v>0</v>
      </c>
      <c r="N169" s="3">
        <f ca="1">VLOOKUP($A169&amp;$B169,data!$A:$U,10,FALSE)</f>
        <v>4</v>
      </c>
      <c r="O169" s="3">
        <f ca="1">VLOOKUP($A169&amp;$B169,data!$A:$U,11,FALSE)</f>
        <v>0</v>
      </c>
      <c r="P169" s="3">
        <f ca="1">VLOOKUP($A169&amp;$B169,data!$A:$U,12,FALSE)</f>
        <v>0</v>
      </c>
      <c r="Q169" s="3">
        <f ca="1">VLOOKUP($A169&amp;$B169,data!$A:$U,13,FALSE)</f>
        <v>0</v>
      </c>
      <c r="R169" s="3">
        <f ca="1">VLOOKUP($A169&amp;$B169,data!$A:$U,5,FALSE)</f>
        <v>10</v>
      </c>
      <c r="S169" s="3">
        <f ca="1">VLOOKUP($A169&amp;$B169,data!$A:$U,6,FALSE)</f>
        <v>4</v>
      </c>
      <c r="T169" s="3">
        <f ca="1">VLOOKUP($A169&amp;$B169,data!$A:$U,7,FALSE)</f>
        <v>6</v>
      </c>
    </row>
    <row r="170" spans="1:20" ht="13" x14ac:dyDescent="0.15">
      <c r="A170" s="3" t="s">
        <v>7</v>
      </c>
      <c r="B170" s="3" t="s">
        <v>678</v>
      </c>
      <c r="C170" s="10">
        <f t="shared" ca="1" si="0"/>
        <v>0.22857142857142856</v>
      </c>
      <c r="D170" s="5">
        <f ca="1">VLOOKUP($A170&amp;$B170,data!$A:$U,20,FALSE)</f>
        <v>44305.245393518497</v>
      </c>
      <c r="E170" s="3" t="str">
        <f ca="1">VLOOKUP($A170&amp;$B170,data!$A:$U,21,FALSE)</f>
        <v>19/04/2021</v>
      </c>
      <c r="F170" s="3">
        <f ca="1">VLOOKUP($A170&amp;$B170,data!$A:$U,17,FALSE)</f>
        <v>1</v>
      </c>
      <c r="G170" s="3">
        <f ca="1">VLOOKUP($A170&amp;$B170,data!$A:$U,18,FALSE)</f>
        <v>0</v>
      </c>
      <c r="H170" s="3">
        <f ca="1">VLOOKUP($A170&amp;$B170,data!$A:$U,19,FALSE)</f>
        <v>1</v>
      </c>
      <c r="I170" s="3">
        <f ca="1">VLOOKUP($A170&amp;$B170,data!$A:$U,14,FALSE)</f>
        <v>0</v>
      </c>
      <c r="J170" s="3">
        <f ca="1">VLOOKUP($A170&amp;$B170,data!$A:$U,15,FALSE)</f>
        <v>0</v>
      </c>
      <c r="K170" s="3">
        <f ca="1">VLOOKUP($A170&amp;$B170,data!$A:$U,16,FALSE)</f>
        <v>0</v>
      </c>
      <c r="L170" s="3">
        <f ca="1">VLOOKUP($A170&amp;$B170,data!$A:$U,8,FALSE)</f>
        <v>16</v>
      </c>
      <c r="M170" s="3">
        <f ca="1">VLOOKUP($A170&amp;$B170,data!$A:$U,9,FALSE)</f>
        <v>12</v>
      </c>
      <c r="N170" s="3">
        <f ca="1">VLOOKUP($A170&amp;$B170,data!$A:$U,10,FALSE)</f>
        <v>4</v>
      </c>
      <c r="O170" s="3">
        <f ca="1">VLOOKUP($A170&amp;$B170,data!$A:$U,11,FALSE)</f>
        <v>3</v>
      </c>
      <c r="P170" s="3">
        <f ca="1">VLOOKUP($A170&amp;$B170,data!$A:$U,12,FALSE)</f>
        <v>0</v>
      </c>
      <c r="Q170" s="3">
        <f ca="1">VLOOKUP($A170&amp;$B170,data!$A:$U,13,FALSE)</f>
        <v>0</v>
      </c>
      <c r="R170" s="3">
        <f ca="1">VLOOKUP($A170&amp;$B170,data!$A:$U,5,FALSE)</f>
        <v>16</v>
      </c>
      <c r="S170" s="3">
        <f ca="1">VLOOKUP($A170&amp;$B170,data!$A:$U,6,FALSE)</f>
        <v>12</v>
      </c>
      <c r="T170" s="3">
        <f ca="1">VLOOKUP($A170&amp;$B170,data!$A:$U,7,FALSE)</f>
        <v>4</v>
      </c>
    </row>
    <row r="171" spans="1:20" ht="13" x14ac:dyDescent="0.15">
      <c r="A171" s="3" t="s">
        <v>7</v>
      </c>
      <c r="B171" s="3" t="s">
        <v>758</v>
      </c>
      <c r="C171" s="10">
        <f t="shared" ca="1" si="0"/>
        <v>0.42105263157894735</v>
      </c>
      <c r="D171" s="5">
        <f ca="1">VLOOKUP($A171&amp;$B171,data!$A:$U,20,FALSE)</f>
        <v>44305.362129629597</v>
      </c>
      <c r="E171" s="3" t="str">
        <f ca="1">VLOOKUP($A171&amp;$B171,data!$A:$U,21,FALSE)</f>
        <v>19/04/2021</v>
      </c>
      <c r="F171" s="3">
        <f ca="1">VLOOKUP($A171&amp;$B171,data!$A:$U,17,FALSE)</f>
        <v>1</v>
      </c>
      <c r="G171" s="3">
        <f ca="1">VLOOKUP($A171&amp;$B171,data!$A:$U,18,FALSE)</f>
        <v>0</v>
      </c>
      <c r="H171" s="3">
        <f ca="1">VLOOKUP($A171&amp;$B171,data!$A:$U,19,FALSE)</f>
        <v>1</v>
      </c>
      <c r="I171" s="3">
        <f ca="1">VLOOKUP($A171&amp;$B171,data!$A:$U,14,FALSE)</f>
        <v>1</v>
      </c>
      <c r="J171" s="3">
        <f ca="1">VLOOKUP($A171&amp;$B171,data!$A:$U,15,FALSE)</f>
        <v>0</v>
      </c>
      <c r="K171" s="3">
        <f ca="1">VLOOKUP($A171&amp;$B171,data!$A:$U,16,FALSE)</f>
        <v>1</v>
      </c>
      <c r="L171" s="3">
        <f ca="1">VLOOKUP($A171&amp;$B171,data!$A:$U,8,FALSE)</f>
        <v>7</v>
      </c>
      <c r="M171" s="3">
        <f ca="1">VLOOKUP($A171&amp;$B171,data!$A:$U,9,FALSE)</f>
        <v>3</v>
      </c>
      <c r="N171" s="3">
        <f ca="1">VLOOKUP($A171&amp;$B171,data!$A:$U,10,FALSE)</f>
        <v>3</v>
      </c>
      <c r="O171" s="3">
        <f ca="1">VLOOKUP($A171&amp;$B171,data!$A:$U,11,FALSE)</f>
        <v>3</v>
      </c>
      <c r="P171" s="3">
        <f ca="1">VLOOKUP($A171&amp;$B171,data!$A:$U,12,FALSE)</f>
        <v>1</v>
      </c>
      <c r="Q171" s="3">
        <f ca="1">VLOOKUP($A171&amp;$B171,data!$A:$U,13,FALSE)</f>
        <v>0</v>
      </c>
      <c r="R171" s="3">
        <f ca="1">VLOOKUP($A171&amp;$B171,data!$A:$U,5,FALSE)</f>
        <v>8</v>
      </c>
      <c r="S171" s="3">
        <f ca="1">VLOOKUP($A171&amp;$B171,data!$A:$U,6,FALSE)</f>
        <v>4</v>
      </c>
      <c r="T171" s="3">
        <f ca="1">VLOOKUP($A171&amp;$B171,data!$A:$U,7,FALSE)</f>
        <v>4</v>
      </c>
    </row>
    <row r="172" spans="1:20" ht="13" x14ac:dyDescent="0.15">
      <c r="A172" s="3" t="s">
        <v>7</v>
      </c>
      <c r="B172" s="3" t="s">
        <v>754</v>
      </c>
      <c r="C172" s="10">
        <f t="shared" ca="1" si="0"/>
        <v>0.10638297872340426</v>
      </c>
      <c r="D172" s="5">
        <f ca="1">VLOOKUP($A172&amp;$B172,data!$A:$U,20,FALSE)</f>
        <v>44305.308472222197</v>
      </c>
      <c r="E172" s="3" t="str">
        <f ca="1">VLOOKUP($A172&amp;$B172,data!$A:$U,21,FALSE)</f>
        <v>19/04/2021</v>
      </c>
      <c r="F172" s="3">
        <f ca="1">VLOOKUP($A172&amp;$B172,data!$A:$U,17,FALSE)</f>
        <v>3</v>
      </c>
      <c r="G172" s="3">
        <f ca="1">VLOOKUP($A172&amp;$B172,data!$A:$U,18,FALSE)</f>
        <v>0</v>
      </c>
      <c r="H172" s="3">
        <f ca="1">VLOOKUP($A172&amp;$B172,data!$A:$U,19,FALSE)</f>
        <v>3</v>
      </c>
      <c r="I172" s="3">
        <f ca="1">VLOOKUP($A172&amp;$B172,data!$A:$U,14,FALSE)</f>
        <v>3</v>
      </c>
      <c r="J172" s="3">
        <f ca="1">VLOOKUP($A172&amp;$B172,data!$A:$U,15,FALSE)</f>
        <v>0</v>
      </c>
      <c r="K172" s="3">
        <f ca="1">VLOOKUP($A172&amp;$B172,data!$A:$U,16,FALSE)</f>
        <v>3</v>
      </c>
      <c r="L172" s="3">
        <f ca="1">VLOOKUP($A172&amp;$B172,data!$A:$U,8,FALSE)</f>
        <v>22</v>
      </c>
      <c r="M172" s="3">
        <f ca="1">VLOOKUP($A172&amp;$B172,data!$A:$U,9,FALSE)</f>
        <v>21</v>
      </c>
      <c r="N172" s="3">
        <f ca="1">VLOOKUP($A172&amp;$B172,data!$A:$U,10,FALSE)</f>
        <v>1</v>
      </c>
      <c r="O172" s="3">
        <f ca="1">VLOOKUP($A172&amp;$B172,data!$A:$U,11,FALSE)</f>
        <v>0</v>
      </c>
      <c r="P172" s="3">
        <f ca="1">VLOOKUP($A172&amp;$B172,data!$A:$U,12,FALSE)</f>
        <v>0</v>
      </c>
      <c r="Q172" s="3">
        <f ca="1">VLOOKUP($A172&amp;$B172,data!$A:$U,13,FALSE)</f>
        <v>0</v>
      </c>
      <c r="R172" s="3">
        <f ca="1">VLOOKUP($A172&amp;$B172,data!$A:$U,5,FALSE)</f>
        <v>22</v>
      </c>
      <c r="S172" s="3">
        <f ca="1">VLOOKUP($A172&amp;$B172,data!$A:$U,6,FALSE)</f>
        <v>21</v>
      </c>
      <c r="T172" s="3">
        <f ca="1">VLOOKUP($A172&amp;$B172,data!$A:$U,7,FALSE)</f>
        <v>1</v>
      </c>
    </row>
    <row r="173" spans="1:20" ht="13" x14ac:dyDescent="0.15">
      <c r="A173" s="3" t="s">
        <v>8</v>
      </c>
      <c r="B173" s="3" t="s">
        <v>834</v>
      </c>
      <c r="C173" s="10">
        <f t="shared" ca="1" si="0"/>
        <v>1</v>
      </c>
      <c r="D173" s="5">
        <f ca="1">VLOOKUP($A173&amp;$B173,data!$A:$U,20,FALSE)</f>
        <v>44270.568842592496</v>
      </c>
      <c r="E173" s="3" t="str">
        <f ca="1">VLOOKUP($A173&amp;$B173,data!$A:$U,21,FALSE)</f>
        <v>.</v>
      </c>
      <c r="F173" s="3">
        <f ca="1">VLOOKUP($A173&amp;$B173,data!$A:$U,17,FALSE)</f>
        <v>0</v>
      </c>
      <c r="G173" s="3">
        <f ca="1">VLOOKUP($A173&amp;$B173,data!$A:$U,18,FALSE)</f>
        <v>0</v>
      </c>
      <c r="H173" s="3">
        <f ca="1">VLOOKUP($A173&amp;$B173,data!$A:$U,19,FALSE)</f>
        <v>0</v>
      </c>
      <c r="I173" s="3">
        <f ca="1">VLOOKUP($A173&amp;$B173,data!$A:$U,14,FALSE)</f>
        <v>0</v>
      </c>
      <c r="J173" s="3">
        <f ca="1">VLOOKUP($A173&amp;$B173,data!$A:$U,15,FALSE)</f>
        <v>0</v>
      </c>
      <c r="K173" s="3">
        <f ca="1">VLOOKUP($A173&amp;$B173,data!$A:$U,16,FALSE)</f>
        <v>0</v>
      </c>
      <c r="L173" s="3">
        <f ca="1">VLOOKUP($A173&amp;$B173,data!$A:$U,8,FALSE)</f>
        <v>20</v>
      </c>
      <c r="M173" s="3">
        <f ca="1">VLOOKUP($A173&amp;$B173,data!$A:$U,9,FALSE)</f>
        <v>0</v>
      </c>
      <c r="N173" s="3">
        <f ca="1">VLOOKUP($A173&amp;$B173,data!$A:$U,10,FALSE)</f>
        <v>20</v>
      </c>
      <c r="O173" s="3">
        <f ca="1">VLOOKUP($A173&amp;$B173,data!$A:$U,11,FALSE)</f>
        <v>25</v>
      </c>
      <c r="P173" s="3">
        <f ca="1">VLOOKUP($A173&amp;$B173,data!$A:$U,12,FALSE)</f>
        <v>0</v>
      </c>
      <c r="Q173" s="3">
        <f ca="1">VLOOKUP($A173&amp;$B173,data!$A:$U,13,FALSE)</f>
        <v>25</v>
      </c>
      <c r="R173" s="3">
        <f ca="1">VLOOKUP($A173&amp;$B173,data!$A:$U,5,FALSE)</f>
        <v>45</v>
      </c>
      <c r="S173" s="3">
        <f ca="1">VLOOKUP($A173&amp;$B173,data!$A:$U,6,FALSE)</f>
        <v>0</v>
      </c>
      <c r="T173" s="3">
        <f ca="1">VLOOKUP($A173&amp;$B173,data!$A:$U,7,FALSE)</f>
        <v>45</v>
      </c>
    </row>
    <row r="174" spans="1:20" ht="13" x14ac:dyDescent="0.15">
      <c r="A174" s="3" t="s">
        <v>8</v>
      </c>
      <c r="B174" s="3" t="s">
        <v>334</v>
      </c>
      <c r="C174" s="10">
        <f t="shared" ca="1" si="0"/>
        <v>1</v>
      </c>
      <c r="D174" s="5">
        <f ca="1">VLOOKUP($A174&amp;$B174,data!$A:$U,20,FALSE)</f>
        <v>44305.288460648102</v>
      </c>
      <c r="E174" s="3">
        <f ca="1">VLOOKUP($A174&amp;$B174,data!$A:$U,21,FALSE)</f>
        <v>0</v>
      </c>
      <c r="F174" s="3">
        <f ca="1">VLOOKUP($A174&amp;$B174,data!$A:$U,17,FALSE)</f>
        <v>2</v>
      </c>
      <c r="G174" s="3">
        <f ca="1">VLOOKUP($A174&amp;$B174,data!$A:$U,18,FALSE)</f>
        <v>0</v>
      </c>
      <c r="H174" s="3">
        <f ca="1">VLOOKUP($A174&amp;$B174,data!$A:$U,19,FALSE)</f>
        <v>2</v>
      </c>
      <c r="I174" s="3">
        <f ca="1">VLOOKUP($A174&amp;$B174,data!$A:$U,14,FALSE)</f>
        <v>14</v>
      </c>
      <c r="J174" s="3">
        <f ca="1">VLOOKUP($A174&amp;$B174,data!$A:$U,15,FALSE)</f>
        <v>0</v>
      </c>
      <c r="K174" s="3">
        <f ca="1">VLOOKUP($A174&amp;$B174,data!$A:$U,16,FALSE)</f>
        <v>14</v>
      </c>
      <c r="L174" s="3">
        <f ca="1">VLOOKUP($A174&amp;$B174,data!$A:$U,8,FALSE)</f>
        <v>11</v>
      </c>
      <c r="M174" s="3">
        <f ca="1">VLOOKUP($A174&amp;$B174,data!$A:$U,9,FALSE)</f>
        <v>0</v>
      </c>
      <c r="N174" s="3">
        <f ca="1">VLOOKUP($A174&amp;$B174,data!$A:$U,10,FALSE)</f>
        <v>11</v>
      </c>
      <c r="O174" s="3">
        <f ca="1">VLOOKUP($A174&amp;$B174,data!$A:$U,11,FALSE)</f>
        <v>14</v>
      </c>
      <c r="P174" s="3">
        <f ca="1">VLOOKUP($A174&amp;$B174,data!$A:$U,12,FALSE)</f>
        <v>0</v>
      </c>
      <c r="Q174" s="3">
        <f ca="1">VLOOKUP($A174&amp;$B174,data!$A:$U,13,FALSE)</f>
        <v>14</v>
      </c>
      <c r="R174" s="3">
        <f ca="1">VLOOKUP($A174&amp;$B174,data!$A:$U,5,FALSE)</f>
        <v>25</v>
      </c>
      <c r="S174" s="3">
        <f ca="1">VLOOKUP($A174&amp;$B174,data!$A:$U,6,FALSE)</f>
        <v>0</v>
      </c>
      <c r="T174" s="3">
        <f ca="1">VLOOKUP($A174&amp;$B174,data!$A:$U,7,FALSE)</f>
        <v>25</v>
      </c>
    </row>
    <row r="175" spans="1:20" ht="13" x14ac:dyDescent="0.15">
      <c r="A175" s="3" t="s">
        <v>8</v>
      </c>
      <c r="B175" s="3" t="s">
        <v>335</v>
      </c>
      <c r="C175" s="10">
        <f t="shared" ca="1" si="0"/>
        <v>1</v>
      </c>
      <c r="D175" s="5">
        <f ca="1">VLOOKUP($A175&amp;$B175,data!$A:$U,20,FALSE)</f>
        <v>44305.379861111098</v>
      </c>
      <c r="E175" s="3">
        <f ca="1">VLOOKUP($A175&amp;$B175,data!$A:$U,21,FALSE)</f>
        <v>0</v>
      </c>
      <c r="F175" s="3">
        <f ca="1">VLOOKUP($A175&amp;$B175,data!$A:$U,17,FALSE)</f>
        <v>1</v>
      </c>
      <c r="G175" s="3">
        <f ca="1">VLOOKUP($A175&amp;$B175,data!$A:$U,18,FALSE)</f>
        <v>0</v>
      </c>
      <c r="H175" s="3">
        <f ca="1">VLOOKUP($A175&amp;$B175,data!$A:$U,19,FALSE)</f>
        <v>1</v>
      </c>
      <c r="I175" s="3">
        <f ca="1">VLOOKUP($A175&amp;$B175,data!$A:$U,14,FALSE)</f>
        <v>3</v>
      </c>
      <c r="J175" s="3">
        <f ca="1">VLOOKUP($A175&amp;$B175,data!$A:$U,15,FALSE)</f>
        <v>0</v>
      </c>
      <c r="K175" s="3">
        <f ca="1">VLOOKUP($A175&amp;$B175,data!$A:$U,16,FALSE)</f>
        <v>3</v>
      </c>
      <c r="L175" s="3">
        <f ca="1">VLOOKUP($A175&amp;$B175,data!$A:$U,8,FALSE)</f>
        <v>4</v>
      </c>
      <c r="M175" s="3">
        <f ca="1">VLOOKUP($A175&amp;$B175,data!$A:$U,9,FALSE)</f>
        <v>0</v>
      </c>
      <c r="N175" s="3">
        <f ca="1">VLOOKUP($A175&amp;$B175,data!$A:$U,10,FALSE)</f>
        <v>4</v>
      </c>
      <c r="O175" s="3">
        <f ca="1">VLOOKUP($A175&amp;$B175,data!$A:$U,11,FALSE)</f>
        <v>3</v>
      </c>
      <c r="P175" s="3">
        <f ca="1">VLOOKUP($A175&amp;$B175,data!$A:$U,12,FALSE)</f>
        <v>0</v>
      </c>
      <c r="Q175" s="3">
        <f ca="1">VLOOKUP($A175&amp;$B175,data!$A:$U,13,FALSE)</f>
        <v>3</v>
      </c>
      <c r="R175" s="3">
        <f ca="1">VLOOKUP($A175&amp;$B175,data!$A:$U,5,FALSE)</f>
        <v>10</v>
      </c>
      <c r="S175" s="3">
        <f ca="1">VLOOKUP($A175&amp;$B175,data!$A:$U,6,FALSE)</f>
        <v>0</v>
      </c>
      <c r="T175" s="3">
        <f ca="1">VLOOKUP($A175&amp;$B175,data!$A:$U,7,FALSE)</f>
        <v>10</v>
      </c>
    </row>
    <row r="176" spans="1:20" ht="13" x14ac:dyDescent="0.15">
      <c r="A176" s="3" t="s">
        <v>8</v>
      </c>
      <c r="B176" s="3" t="s">
        <v>336</v>
      </c>
      <c r="C176" s="10">
        <f t="shared" ca="1" si="0"/>
        <v>0</v>
      </c>
      <c r="D176" s="5">
        <f ca="1">VLOOKUP($A176&amp;$B176,data!$A:$U,20,FALSE)</f>
        <v>44305.332013888801</v>
      </c>
      <c r="E176" s="3" t="str">
        <f ca="1">VLOOKUP($A176&amp;$B176,data!$A:$U,21,FALSE)</f>
        <v>NIL</v>
      </c>
      <c r="F176" s="3">
        <f ca="1">VLOOKUP($A176&amp;$B176,data!$A:$U,17,FALSE)</f>
        <v>12</v>
      </c>
      <c r="G176" s="3">
        <f ca="1">VLOOKUP($A176&amp;$B176,data!$A:$U,18,FALSE)</f>
        <v>12</v>
      </c>
      <c r="H176" s="3">
        <f ca="1">VLOOKUP($A176&amp;$B176,data!$A:$U,19,FALSE)</f>
        <v>12</v>
      </c>
      <c r="I176" s="3">
        <f ca="1">VLOOKUP($A176&amp;$B176,data!$A:$U,14,FALSE)</f>
        <v>7</v>
      </c>
      <c r="J176" s="3">
        <f ca="1">VLOOKUP($A176&amp;$B176,data!$A:$U,15,FALSE)</f>
        <v>7</v>
      </c>
      <c r="K176" s="3">
        <f ca="1">VLOOKUP($A176&amp;$B176,data!$A:$U,16,FALSE)</f>
        <v>0</v>
      </c>
      <c r="L176" s="3">
        <f ca="1">VLOOKUP($A176&amp;$B176,data!$A:$U,8,FALSE)</f>
        <v>40</v>
      </c>
      <c r="M176" s="3">
        <f ca="1">VLOOKUP($A176&amp;$B176,data!$A:$U,9,FALSE)</f>
        <v>40</v>
      </c>
      <c r="N176" s="3">
        <f ca="1">VLOOKUP($A176&amp;$B176,data!$A:$U,10,FALSE)</f>
        <v>0</v>
      </c>
      <c r="O176" s="3">
        <f ca="1">VLOOKUP($A176&amp;$B176,data!$A:$U,11,FALSE)</f>
        <v>18</v>
      </c>
      <c r="P176" s="3">
        <f ca="1">VLOOKUP($A176&amp;$B176,data!$A:$U,12,FALSE)</f>
        <v>18</v>
      </c>
      <c r="Q176" s="3">
        <f ca="1">VLOOKUP($A176&amp;$B176,data!$A:$U,13,FALSE)</f>
        <v>0</v>
      </c>
      <c r="R176" s="3">
        <f ca="1">VLOOKUP($A176&amp;$B176,data!$A:$U,5,FALSE)</f>
        <v>62</v>
      </c>
      <c r="S176" s="3">
        <f ca="1">VLOOKUP($A176&amp;$B176,data!$A:$U,6,FALSE)</f>
        <v>62</v>
      </c>
      <c r="T176" s="3">
        <f ca="1">VLOOKUP($A176&amp;$B176,data!$A:$U,7,FALSE)</f>
        <v>0</v>
      </c>
    </row>
    <row r="177" spans="1:20" ht="13" x14ac:dyDescent="0.15">
      <c r="A177" s="3" t="s">
        <v>8</v>
      </c>
      <c r="B177" s="3" t="s">
        <v>1086</v>
      </c>
      <c r="C177" s="10">
        <f t="shared" ca="1" si="0"/>
        <v>0</v>
      </c>
      <c r="D177" s="5">
        <f ca="1">VLOOKUP($A177&amp;$B177,data!$A:$U,20,FALSE)</f>
        <v>44305.415879629603</v>
      </c>
      <c r="E177" s="3" t="str">
        <f ca="1">VLOOKUP($A177&amp;$B177,data!$A:$U,21,FALSE)</f>
        <v>NO</v>
      </c>
      <c r="F177" s="3">
        <f ca="1">VLOOKUP($A177&amp;$B177,data!$A:$U,17,FALSE)</f>
        <v>0</v>
      </c>
      <c r="G177" s="3">
        <f ca="1">VLOOKUP($A177&amp;$B177,data!$A:$U,18,FALSE)</f>
        <v>0</v>
      </c>
      <c r="H177" s="3">
        <f ca="1">VLOOKUP($A177&amp;$B177,data!$A:$U,19,FALSE)</f>
        <v>0</v>
      </c>
      <c r="I177" s="3">
        <f ca="1">VLOOKUP($A177&amp;$B177,data!$A:$U,14,FALSE)</f>
        <v>3</v>
      </c>
      <c r="J177" s="3">
        <f ca="1">VLOOKUP($A177&amp;$B177,data!$A:$U,15,FALSE)</f>
        <v>0</v>
      </c>
      <c r="K177" s="3">
        <f ca="1">VLOOKUP($A177&amp;$B177,data!$A:$U,16,FALSE)</f>
        <v>0</v>
      </c>
      <c r="L177" s="3">
        <f ca="1">VLOOKUP($A177&amp;$B177,data!$A:$U,8,FALSE)</f>
        <v>2</v>
      </c>
      <c r="M177" s="3">
        <f ca="1">VLOOKUP($A177&amp;$B177,data!$A:$U,9,FALSE)</f>
        <v>0</v>
      </c>
      <c r="N177" s="3">
        <f ca="1">VLOOKUP($A177&amp;$B177,data!$A:$U,10,FALSE)</f>
        <v>0</v>
      </c>
      <c r="O177" s="3">
        <f ca="1">VLOOKUP($A177&amp;$B177,data!$A:$U,11,FALSE)</f>
        <v>20</v>
      </c>
      <c r="P177" s="3">
        <f ca="1">VLOOKUP($A177&amp;$B177,data!$A:$U,12,FALSE)</f>
        <v>25</v>
      </c>
      <c r="Q177" s="3">
        <f ca="1">VLOOKUP($A177&amp;$B177,data!$A:$U,13,FALSE)</f>
        <v>0</v>
      </c>
      <c r="R177" s="3">
        <f ca="1">VLOOKUP($A177&amp;$B177,data!$A:$U,5,FALSE)</f>
        <v>25</v>
      </c>
      <c r="S177" s="3">
        <f ca="1">VLOOKUP($A177&amp;$B177,data!$A:$U,6,FALSE)</f>
        <v>25</v>
      </c>
      <c r="T177" s="3">
        <f ca="1">VLOOKUP($A177&amp;$B177,data!$A:$U,7,FALSE)</f>
        <v>0</v>
      </c>
    </row>
    <row r="178" spans="1:20" ht="13" x14ac:dyDescent="0.15">
      <c r="A178" s="3" t="s">
        <v>9</v>
      </c>
      <c r="B178" s="3" t="s">
        <v>338</v>
      </c>
      <c r="C178" s="10">
        <f t="shared" ca="1" si="0"/>
        <v>1</v>
      </c>
      <c r="D178" s="5">
        <f ca="1">VLOOKUP($A178&amp;$B178,data!$A:$U,20,FALSE)</f>
        <v>44305.4320601851</v>
      </c>
      <c r="E178" s="3" t="str">
        <f ca="1">VLOOKUP($A178&amp;$B178,data!$A:$U,21,FALSE)</f>
        <v>PATIENT NILL</v>
      </c>
      <c r="F178" s="3">
        <f ca="1">VLOOKUP($A178&amp;$B178,data!$A:$U,17,FALSE)</f>
        <v>6</v>
      </c>
      <c r="G178" s="3">
        <f ca="1">VLOOKUP($A178&amp;$B178,data!$A:$U,18,FALSE)</f>
        <v>0</v>
      </c>
      <c r="H178" s="3">
        <f ca="1">VLOOKUP($A178&amp;$B178,data!$A:$U,19,FALSE)</f>
        <v>6</v>
      </c>
      <c r="I178" s="3">
        <f ca="1">VLOOKUP($A178&amp;$B178,data!$A:$U,14,FALSE)</f>
        <v>10</v>
      </c>
      <c r="J178" s="3">
        <f ca="1">VLOOKUP($A178&amp;$B178,data!$A:$U,15,FALSE)</f>
        <v>0</v>
      </c>
      <c r="K178" s="3">
        <f ca="1">VLOOKUP($A178&amp;$B178,data!$A:$U,16,FALSE)</f>
        <v>10</v>
      </c>
      <c r="L178" s="3">
        <f ca="1">VLOOKUP($A178&amp;$B178,data!$A:$U,8,FALSE)</f>
        <v>6</v>
      </c>
      <c r="M178" s="3">
        <f ca="1">VLOOKUP($A178&amp;$B178,data!$A:$U,9,FALSE)</f>
        <v>0</v>
      </c>
      <c r="N178" s="3">
        <f ca="1">VLOOKUP($A178&amp;$B178,data!$A:$U,10,FALSE)</f>
        <v>6</v>
      </c>
      <c r="O178" s="3">
        <f ca="1">VLOOKUP($A178&amp;$B178,data!$A:$U,11,FALSE)</f>
        <v>9</v>
      </c>
      <c r="P178" s="3">
        <f ca="1">VLOOKUP($A178&amp;$B178,data!$A:$U,12,FALSE)</f>
        <v>0</v>
      </c>
      <c r="Q178" s="3">
        <f ca="1">VLOOKUP($A178&amp;$B178,data!$A:$U,13,FALSE)</f>
        <v>9</v>
      </c>
      <c r="R178" s="3">
        <f ca="1">VLOOKUP($A178&amp;$B178,data!$A:$U,5,FALSE)</f>
        <v>25</v>
      </c>
      <c r="S178" s="3">
        <f ca="1">VLOOKUP($A178&amp;$B178,data!$A:$U,6,FALSE)</f>
        <v>0</v>
      </c>
      <c r="T178" s="3">
        <f ca="1">VLOOKUP($A178&amp;$B178,data!$A:$U,7,FALSE)</f>
        <v>25</v>
      </c>
    </row>
    <row r="179" spans="1:20" ht="13" x14ac:dyDescent="0.15">
      <c r="A179" s="3" t="s">
        <v>9</v>
      </c>
      <c r="B179" s="3" t="s">
        <v>343</v>
      </c>
      <c r="C179" s="10">
        <f t="shared" ca="1" si="0"/>
        <v>0.34710743801652894</v>
      </c>
      <c r="D179" s="5">
        <f ca="1">VLOOKUP($A179&amp;$B179,data!$A:$U,20,FALSE)</f>
        <v>44305.426215277701</v>
      </c>
      <c r="E179" s="3" t="str">
        <f ca="1">VLOOKUP($A179&amp;$B179,data!$A:$U,21,FALSE)</f>
        <v>Updated...</v>
      </c>
      <c r="F179" s="3">
        <f ca="1">VLOOKUP($A179&amp;$B179,data!$A:$U,17,FALSE)</f>
        <v>9</v>
      </c>
      <c r="G179" s="3">
        <f ca="1">VLOOKUP($A179&amp;$B179,data!$A:$U,18,FALSE)</f>
        <v>0</v>
      </c>
      <c r="H179" s="3">
        <f ca="1">VLOOKUP($A179&amp;$B179,data!$A:$U,19,FALSE)</f>
        <v>9</v>
      </c>
      <c r="I179" s="3">
        <f ca="1">VLOOKUP($A179&amp;$B179,data!$A:$U,14,FALSE)</f>
        <v>16</v>
      </c>
      <c r="J179" s="3">
        <f ca="1">VLOOKUP($A179&amp;$B179,data!$A:$U,15,FALSE)</f>
        <v>5</v>
      </c>
      <c r="K179" s="3">
        <f ca="1">VLOOKUP($A179&amp;$B179,data!$A:$U,16,FALSE)</f>
        <v>12</v>
      </c>
      <c r="L179" s="3">
        <f ca="1">VLOOKUP($A179&amp;$B179,data!$A:$U,8,FALSE)</f>
        <v>35</v>
      </c>
      <c r="M179" s="3">
        <f ca="1">VLOOKUP($A179&amp;$B179,data!$A:$U,9,FALSE)</f>
        <v>35</v>
      </c>
      <c r="N179" s="3">
        <f ca="1">VLOOKUP($A179&amp;$B179,data!$A:$U,10,FALSE)</f>
        <v>0</v>
      </c>
      <c r="O179" s="3">
        <f ca="1">VLOOKUP($A179&amp;$B179,data!$A:$U,11,FALSE)</f>
        <v>10</v>
      </c>
      <c r="P179" s="3">
        <f ca="1">VLOOKUP($A179&amp;$B179,data!$A:$U,12,FALSE)</f>
        <v>0</v>
      </c>
      <c r="Q179" s="3">
        <f ca="1">VLOOKUP($A179&amp;$B179,data!$A:$U,13,FALSE)</f>
        <v>10</v>
      </c>
      <c r="R179" s="3">
        <f ca="1">VLOOKUP($A179&amp;$B179,data!$A:$U,5,FALSE)</f>
        <v>60</v>
      </c>
      <c r="S179" s="3">
        <f ca="1">VLOOKUP($A179&amp;$B179,data!$A:$U,6,FALSE)</f>
        <v>40</v>
      </c>
      <c r="T179" s="3">
        <f ca="1">VLOOKUP($A179&amp;$B179,data!$A:$U,7,FALSE)</f>
        <v>20</v>
      </c>
    </row>
    <row r="180" spans="1:20" ht="13" x14ac:dyDescent="0.15">
      <c r="A180" s="3" t="s">
        <v>9</v>
      </c>
      <c r="B180" s="3" t="s">
        <v>337</v>
      </c>
      <c r="C180" s="10">
        <f t="shared" ca="1" si="0"/>
        <v>0.64</v>
      </c>
      <c r="D180" s="5">
        <f ca="1">VLOOKUP($A180&amp;$B180,data!$A:$U,20,FALSE)</f>
        <v>44305.418506944399</v>
      </c>
      <c r="E180" s="3" t="str">
        <f ca="1">VLOOKUP($A180&amp;$B180,data!$A:$U,21,FALSE)</f>
        <v>A</v>
      </c>
      <c r="F180" s="3">
        <f ca="1">VLOOKUP($A180&amp;$B180,data!$A:$U,17,FALSE)</f>
        <v>4</v>
      </c>
      <c r="G180" s="3">
        <f ca="1">VLOOKUP($A180&amp;$B180,data!$A:$U,18,FALSE)</f>
        <v>0</v>
      </c>
      <c r="H180" s="3">
        <f ca="1">VLOOKUP($A180&amp;$B180,data!$A:$U,19,FALSE)</f>
        <v>4</v>
      </c>
      <c r="I180" s="3">
        <f ca="1">VLOOKUP($A180&amp;$B180,data!$A:$U,14,FALSE)</f>
        <v>10</v>
      </c>
      <c r="J180" s="3">
        <f ca="1">VLOOKUP($A180&amp;$B180,data!$A:$U,15,FALSE)</f>
        <v>0</v>
      </c>
      <c r="K180" s="3">
        <f ca="1">VLOOKUP($A180&amp;$B180,data!$A:$U,16,FALSE)</f>
        <v>10</v>
      </c>
      <c r="L180" s="3">
        <f ca="1">VLOOKUP($A180&amp;$B180,data!$A:$U,8,FALSE)</f>
        <v>15</v>
      </c>
      <c r="M180" s="3">
        <f ca="1">VLOOKUP($A180&amp;$B180,data!$A:$U,9,FALSE)</f>
        <v>9</v>
      </c>
      <c r="N180" s="3">
        <f ca="1">VLOOKUP($A180&amp;$B180,data!$A:$U,10,FALSE)</f>
        <v>6</v>
      </c>
      <c r="O180" s="3">
        <f ca="1">VLOOKUP($A180&amp;$B180,data!$A:$U,11,FALSE)</f>
        <v>0</v>
      </c>
      <c r="P180" s="3">
        <f ca="1">VLOOKUP($A180&amp;$B180,data!$A:$U,12,FALSE)</f>
        <v>0</v>
      </c>
      <c r="Q180" s="3">
        <f ca="1">VLOOKUP($A180&amp;$B180,data!$A:$U,13,FALSE)</f>
        <v>0</v>
      </c>
      <c r="R180" s="3">
        <f ca="1">VLOOKUP($A180&amp;$B180,data!$A:$U,5,FALSE)</f>
        <v>25</v>
      </c>
      <c r="S180" s="3">
        <f ca="1">VLOOKUP($A180&amp;$B180,data!$A:$U,6,FALSE)</f>
        <v>9</v>
      </c>
      <c r="T180" s="3">
        <f ca="1">VLOOKUP($A180&amp;$B180,data!$A:$U,7,FALSE)</f>
        <v>16</v>
      </c>
    </row>
    <row r="181" spans="1:20" ht="13" x14ac:dyDescent="0.15">
      <c r="A181" s="3" t="s">
        <v>9</v>
      </c>
      <c r="B181" s="3" t="s">
        <v>341</v>
      </c>
      <c r="C181" s="10">
        <f t="shared" ca="1" si="0"/>
        <v>0.9285714285714286</v>
      </c>
      <c r="D181" s="5">
        <f ca="1">VLOOKUP($A181&amp;$B181,data!$A:$U,20,FALSE)</f>
        <v>44305.4040046296</v>
      </c>
      <c r="E181" s="3" t="str">
        <f ca="1">VLOOKUP($A181&amp;$B181,data!$A:$U,21,FALSE)</f>
        <v>Nil</v>
      </c>
      <c r="F181" s="3">
        <f ca="1">VLOOKUP($A181&amp;$B181,data!$A:$U,17,FALSE)</f>
        <v>1</v>
      </c>
      <c r="G181" s="3">
        <f ca="1">VLOOKUP($A181&amp;$B181,data!$A:$U,18,FALSE)</f>
        <v>0</v>
      </c>
      <c r="H181" s="3">
        <f ca="1">VLOOKUP($A181&amp;$B181,data!$A:$U,19,FALSE)</f>
        <v>1</v>
      </c>
      <c r="I181" s="3">
        <f ca="1">VLOOKUP($A181&amp;$B181,data!$A:$U,14,FALSE)</f>
        <v>2</v>
      </c>
      <c r="J181" s="3">
        <f ca="1">VLOOKUP($A181&amp;$B181,data!$A:$U,15,FALSE)</f>
        <v>0</v>
      </c>
      <c r="K181" s="3">
        <f ca="1">VLOOKUP($A181&amp;$B181,data!$A:$U,16,FALSE)</f>
        <v>1</v>
      </c>
      <c r="L181" s="3">
        <f ca="1">VLOOKUP($A181&amp;$B181,data!$A:$U,8,FALSE)</f>
        <v>6</v>
      </c>
      <c r="M181" s="3">
        <f ca="1">VLOOKUP($A181&amp;$B181,data!$A:$U,9,FALSE)</f>
        <v>0</v>
      </c>
      <c r="N181" s="3">
        <f ca="1">VLOOKUP($A181&amp;$B181,data!$A:$U,10,FALSE)</f>
        <v>5</v>
      </c>
      <c r="O181" s="3">
        <f ca="1">VLOOKUP($A181&amp;$B181,data!$A:$U,11,FALSE)</f>
        <v>5</v>
      </c>
      <c r="P181" s="3">
        <f ca="1">VLOOKUP($A181&amp;$B181,data!$A:$U,12,FALSE)</f>
        <v>0</v>
      </c>
      <c r="Q181" s="3">
        <f ca="1">VLOOKUP($A181&amp;$B181,data!$A:$U,13,FALSE)</f>
        <v>5</v>
      </c>
      <c r="R181" s="3">
        <f ca="1">VLOOKUP($A181&amp;$B181,data!$A:$U,5,FALSE)</f>
        <v>15</v>
      </c>
      <c r="S181" s="3">
        <f ca="1">VLOOKUP($A181&amp;$B181,data!$A:$U,6,FALSE)</f>
        <v>0</v>
      </c>
      <c r="T181" s="3">
        <f ca="1">VLOOKUP($A181&amp;$B181,data!$A:$U,7,FALSE)</f>
        <v>15</v>
      </c>
    </row>
    <row r="182" spans="1:20" ht="13" x14ac:dyDescent="0.15">
      <c r="A182" s="3" t="s">
        <v>9</v>
      </c>
      <c r="B182" s="3" t="s">
        <v>339</v>
      </c>
      <c r="C182" s="10">
        <f t="shared" ca="1" si="0"/>
        <v>0.72727272727272729</v>
      </c>
      <c r="D182" s="5">
        <f ca="1">VLOOKUP($A182&amp;$B182,data!$A:$U,20,FALSE)</f>
        <v>44305.460011574003</v>
      </c>
      <c r="E182" s="3" t="str">
        <f ca="1">VLOOKUP($A182&amp;$B182,data!$A:$U,21,FALSE)</f>
        <v>019 23</v>
      </c>
      <c r="F182" s="3">
        <f ca="1">VLOOKUP($A182&amp;$B182,data!$A:$U,17,FALSE)</f>
        <v>1</v>
      </c>
      <c r="G182" s="3">
        <f ca="1">VLOOKUP($A182&amp;$B182,data!$A:$U,18,FALSE)</f>
        <v>0</v>
      </c>
      <c r="H182" s="3">
        <f ca="1">VLOOKUP($A182&amp;$B182,data!$A:$U,19,FALSE)</f>
        <v>1</v>
      </c>
      <c r="I182" s="3">
        <f ca="1">VLOOKUP($A182&amp;$B182,data!$A:$U,14,FALSE)</f>
        <v>2</v>
      </c>
      <c r="J182" s="3">
        <f ca="1">VLOOKUP($A182&amp;$B182,data!$A:$U,15,FALSE)</f>
        <v>0</v>
      </c>
      <c r="K182" s="3">
        <f ca="1">VLOOKUP($A182&amp;$B182,data!$A:$U,16,FALSE)</f>
        <v>2</v>
      </c>
      <c r="L182" s="3">
        <f ca="1">VLOOKUP($A182&amp;$B182,data!$A:$U,8,FALSE)</f>
        <v>5</v>
      </c>
      <c r="M182" s="3">
        <f ca="1">VLOOKUP($A182&amp;$B182,data!$A:$U,9,FALSE)</f>
        <v>1</v>
      </c>
      <c r="N182" s="3">
        <f ca="1">VLOOKUP($A182&amp;$B182,data!$A:$U,10,FALSE)</f>
        <v>4</v>
      </c>
      <c r="O182" s="3">
        <f ca="1">VLOOKUP($A182&amp;$B182,data!$A:$U,11,FALSE)</f>
        <v>5</v>
      </c>
      <c r="P182" s="3">
        <f ca="1">VLOOKUP($A182&amp;$B182,data!$A:$U,12,FALSE)</f>
        <v>2</v>
      </c>
      <c r="Q182" s="3">
        <f ca="1">VLOOKUP($A182&amp;$B182,data!$A:$U,13,FALSE)</f>
        <v>3</v>
      </c>
      <c r="R182" s="3">
        <f ca="1">VLOOKUP($A182&amp;$B182,data!$A:$U,5,FALSE)</f>
        <v>10</v>
      </c>
      <c r="S182" s="3">
        <f ca="1">VLOOKUP($A182&amp;$B182,data!$A:$U,6,FALSE)</f>
        <v>3</v>
      </c>
      <c r="T182" s="3">
        <f ca="1">VLOOKUP($A182&amp;$B182,data!$A:$U,7,FALSE)</f>
        <v>7</v>
      </c>
    </row>
    <row r="183" spans="1:20" ht="13" x14ac:dyDescent="0.15">
      <c r="A183" s="3" t="s">
        <v>9</v>
      </c>
      <c r="B183" s="3" t="s">
        <v>340</v>
      </c>
      <c r="C183" s="10">
        <f t="shared" ca="1" si="0"/>
        <v>1</v>
      </c>
      <c r="D183" s="5">
        <f ca="1">VLOOKUP($A183&amp;$B183,data!$A:$U,20,FALSE)</f>
        <v>44304.868530092499</v>
      </c>
      <c r="E183" s="3" t="str">
        <f ca="1">VLOOKUP($A183&amp;$B183,data!$A:$U,21,FALSE)</f>
        <v>Lotus hospital.</v>
      </c>
      <c r="F183" s="3">
        <f ca="1">VLOOKUP($A183&amp;$B183,data!$A:$U,17,FALSE)</f>
        <v>0</v>
      </c>
      <c r="G183" s="3">
        <f ca="1">VLOOKUP($A183&amp;$B183,data!$A:$U,18,FALSE)</f>
        <v>0</v>
      </c>
      <c r="H183" s="3">
        <f ca="1">VLOOKUP($A183&amp;$B183,data!$A:$U,19,FALSE)</f>
        <v>0</v>
      </c>
      <c r="I183" s="3">
        <f ca="1">VLOOKUP($A183&amp;$B183,data!$A:$U,14,FALSE)</f>
        <v>7</v>
      </c>
      <c r="J183" s="3">
        <f ca="1">VLOOKUP($A183&amp;$B183,data!$A:$U,15,FALSE)</f>
        <v>0</v>
      </c>
      <c r="K183" s="3">
        <f ca="1">VLOOKUP($A183&amp;$B183,data!$A:$U,16,FALSE)</f>
        <v>7</v>
      </c>
      <c r="L183" s="3">
        <f ca="1">VLOOKUP($A183&amp;$B183,data!$A:$U,8,FALSE)</f>
        <v>0</v>
      </c>
      <c r="M183" s="3">
        <f ca="1">VLOOKUP($A183&amp;$B183,data!$A:$U,9,FALSE)</f>
        <v>0</v>
      </c>
      <c r="N183" s="3">
        <f ca="1">VLOOKUP($A183&amp;$B183,data!$A:$U,10,FALSE)</f>
        <v>0</v>
      </c>
      <c r="O183" s="3">
        <f ca="1">VLOOKUP($A183&amp;$B183,data!$A:$U,11,FALSE)</f>
        <v>0</v>
      </c>
      <c r="P183" s="3">
        <f ca="1">VLOOKUP($A183&amp;$B183,data!$A:$U,12,FALSE)</f>
        <v>0</v>
      </c>
      <c r="Q183" s="3">
        <f ca="1">VLOOKUP($A183&amp;$B183,data!$A:$U,13,FALSE)</f>
        <v>0</v>
      </c>
      <c r="R183" s="3">
        <f ca="1">VLOOKUP($A183&amp;$B183,data!$A:$U,5,FALSE)</f>
        <v>5</v>
      </c>
      <c r="S183" s="3">
        <f ca="1">VLOOKUP($A183&amp;$B183,data!$A:$U,6,FALSE)</f>
        <v>0</v>
      </c>
      <c r="T183" s="3">
        <f ca="1">VLOOKUP($A183&amp;$B183,data!$A:$U,7,FALSE)</f>
        <v>5</v>
      </c>
    </row>
    <row r="184" spans="1:20" ht="13" x14ac:dyDescent="0.15">
      <c r="A184" s="3" t="s">
        <v>9</v>
      </c>
      <c r="B184" s="3" t="s">
        <v>342</v>
      </c>
      <c r="C184" s="10">
        <f t="shared" ca="1" si="0"/>
        <v>1</v>
      </c>
      <c r="D184" s="5">
        <f ca="1">VLOOKUP($A184&amp;$B184,data!$A:$U,20,FALSE)</f>
        <v>44305.3621064814</v>
      </c>
      <c r="E184" s="3">
        <f ca="1">VLOOKUP($A184&amp;$B184,data!$A:$U,21,FALSE)</f>
        <v>0</v>
      </c>
      <c r="F184" s="3">
        <f ca="1">VLOOKUP($A184&amp;$B184,data!$A:$U,17,FALSE)</f>
        <v>1</v>
      </c>
      <c r="G184" s="3">
        <f ca="1">VLOOKUP($A184&amp;$B184,data!$A:$U,18,FALSE)</f>
        <v>0</v>
      </c>
      <c r="H184" s="3">
        <f ca="1">VLOOKUP($A184&amp;$B184,data!$A:$U,19,FALSE)</f>
        <v>1</v>
      </c>
      <c r="I184" s="3">
        <f ca="1">VLOOKUP($A184&amp;$B184,data!$A:$U,14,FALSE)</f>
        <v>3</v>
      </c>
      <c r="J184" s="3">
        <f ca="1">VLOOKUP($A184&amp;$B184,data!$A:$U,15,FALSE)</f>
        <v>0</v>
      </c>
      <c r="K184" s="3">
        <f ca="1">VLOOKUP($A184&amp;$B184,data!$A:$U,16,FALSE)</f>
        <v>3</v>
      </c>
      <c r="L184" s="3">
        <f ca="1">VLOOKUP($A184&amp;$B184,data!$A:$U,8,FALSE)</f>
        <v>3</v>
      </c>
      <c r="M184" s="3">
        <f ca="1">VLOOKUP($A184&amp;$B184,data!$A:$U,9,FALSE)</f>
        <v>0</v>
      </c>
      <c r="N184" s="3">
        <f ca="1">VLOOKUP($A184&amp;$B184,data!$A:$U,10,FALSE)</f>
        <v>3</v>
      </c>
      <c r="O184" s="3">
        <f ca="1">VLOOKUP($A184&amp;$B184,data!$A:$U,11,FALSE)</f>
        <v>2</v>
      </c>
      <c r="P184" s="3">
        <f ca="1">VLOOKUP($A184&amp;$B184,data!$A:$U,12,FALSE)</f>
        <v>0</v>
      </c>
      <c r="Q184" s="3">
        <f ca="1">VLOOKUP($A184&amp;$B184,data!$A:$U,13,FALSE)</f>
        <v>2</v>
      </c>
      <c r="R184" s="3">
        <f ca="1">VLOOKUP($A184&amp;$B184,data!$A:$U,5,FALSE)</f>
        <v>5</v>
      </c>
      <c r="S184" s="3">
        <f ca="1">VLOOKUP($A184&amp;$B184,data!$A:$U,6,FALSE)</f>
        <v>0</v>
      </c>
      <c r="T184" s="3">
        <f ca="1">VLOOKUP($A184&amp;$B184,data!$A:$U,7,FALSE)</f>
        <v>5</v>
      </c>
    </row>
    <row r="185" spans="1:20" ht="13" x14ac:dyDescent="0.15">
      <c r="A185" s="3" t="s">
        <v>10</v>
      </c>
      <c r="B185" s="3" t="s">
        <v>347</v>
      </c>
      <c r="C185" s="10">
        <f t="shared" ca="1" si="0"/>
        <v>0.98421052631578942</v>
      </c>
      <c r="D185" s="5">
        <f ca="1">VLOOKUP($A185&amp;$B185,data!$A:$U,20,FALSE)</f>
        <v>44305.3890972222</v>
      </c>
      <c r="E185" s="3" t="str">
        <f ca="1">VLOOKUP($A185&amp;$B185,data!$A:$U,21,FALSE)</f>
        <v>19.04.2021</v>
      </c>
      <c r="F185" s="3">
        <f ca="1">VLOOKUP($A185&amp;$B185,data!$A:$U,17,FALSE)</f>
        <v>6</v>
      </c>
      <c r="G185" s="3">
        <f ca="1">VLOOKUP($A185&amp;$B185,data!$A:$U,18,FALSE)</f>
        <v>0</v>
      </c>
      <c r="H185" s="3">
        <f ca="1">VLOOKUP($A185&amp;$B185,data!$A:$U,19,FALSE)</f>
        <v>6</v>
      </c>
      <c r="I185" s="3">
        <f ca="1">VLOOKUP($A185&amp;$B185,data!$A:$U,14,FALSE)</f>
        <v>16</v>
      </c>
      <c r="J185" s="3">
        <f ca="1">VLOOKUP($A185&amp;$B185,data!$A:$U,15,FALSE)</f>
        <v>0</v>
      </c>
      <c r="K185" s="3">
        <f ca="1">VLOOKUP($A185&amp;$B185,data!$A:$U,16,FALSE)</f>
        <v>16</v>
      </c>
      <c r="L185" s="3">
        <f ca="1">VLOOKUP($A185&amp;$B185,data!$A:$U,8,FALSE)</f>
        <v>50</v>
      </c>
      <c r="M185" s="3">
        <f ca="1">VLOOKUP($A185&amp;$B185,data!$A:$U,9,FALSE)</f>
        <v>2</v>
      </c>
      <c r="N185" s="3">
        <f ca="1">VLOOKUP($A185&amp;$B185,data!$A:$U,10,FALSE)</f>
        <v>48</v>
      </c>
      <c r="O185" s="3">
        <f ca="1">VLOOKUP($A185&amp;$B185,data!$A:$U,11,FALSE)</f>
        <v>314</v>
      </c>
      <c r="P185" s="3">
        <f ca="1">VLOOKUP($A185&amp;$B185,data!$A:$U,12,FALSE)</f>
        <v>4</v>
      </c>
      <c r="Q185" s="3">
        <f ca="1">VLOOKUP($A185&amp;$B185,data!$A:$U,13,FALSE)</f>
        <v>310</v>
      </c>
      <c r="R185" s="3">
        <f ca="1">VLOOKUP($A185&amp;$B185,data!$A:$U,5,FALSE)</f>
        <v>380</v>
      </c>
      <c r="S185" s="3">
        <f ca="1">VLOOKUP($A185&amp;$B185,data!$A:$U,6,FALSE)</f>
        <v>6</v>
      </c>
      <c r="T185" s="3">
        <f ca="1">VLOOKUP($A185&amp;$B185,data!$A:$U,7,FALSE)</f>
        <v>374</v>
      </c>
    </row>
    <row r="186" spans="1:20" ht="13" x14ac:dyDescent="0.15">
      <c r="A186" s="3" t="s">
        <v>10</v>
      </c>
      <c r="B186" s="3" t="s">
        <v>346</v>
      </c>
      <c r="C186" s="10">
        <f t="shared" ca="1" si="0"/>
        <v>0.83499999999999996</v>
      </c>
      <c r="D186" s="5">
        <f ca="1">VLOOKUP($A186&amp;$B186,data!$A:$U,20,FALSE)</f>
        <v>44305.450763888803</v>
      </c>
      <c r="E186" s="3" t="str">
        <f ca="1">VLOOKUP($A186&amp;$B186,data!$A:$U,21,FALSE)</f>
        <v>19.4.2021</v>
      </c>
      <c r="F186" s="3">
        <f ca="1">VLOOKUP($A186&amp;$B186,data!$A:$U,17,FALSE)</f>
        <v>2</v>
      </c>
      <c r="G186" s="3">
        <f ca="1">VLOOKUP($A186&amp;$B186,data!$A:$U,18,FALSE)</f>
        <v>2</v>
      </c>
      <c r="H186" s="3">
        <f ca="1">VLOOKUP($A186&amp;$B186,data!$A:$U,19,FALSE)</f>
        <v>0</v>
      </c>
      <c r="I186" s="3">
        <f ca="1">VLOOKUP($A186&amp;$B186,data!$A:$U,14,FALSE)</f>
        <v>6</v>
      </c>
      <c r="J186" s="3">
        <f ca="1">VLOOKUP($A186&amp;$B186,data!$A:$U,15,FALSE)</f>
        <v>4</v>
      </c>
      <c r="K186" s="3">
        <f ca="1">VLOOKUP($A186&amp;$B186,data!$A:$U,16,FALSE)</f>
        <v>2</v>
      </c>
      <c r="L186" s="3">
        <f ca="1">VLOOKUP($A186&amp;$B186,data!$A:$U,8,FALSE)</f>
        <v>20</v>
      </c>
      <c r="M186" s="3">
        <f ca="1">VLOOKUP($A186&amp;$B186,data!$A:$U,9,FALSE)</f>
        <v>6</v>
      </c>
      <c r="N186" s="3">
        <f ca="1">VLOOKUP($A186&amp;$B186,data!$A:$U,10,FALSE)</f>
        <v>14</v>
      </c>
      <c r="O186" s="3">
        <f ca="1">VLOOKUP($A186&amp;$B186,data!$A:$U,11,FALSE)</f>
        <v>174</v>
      </c>
      <c r="P186" s="3">
        <f ca="1">VLOOKUP($A186&amp;$B186,data!$A:$U,12,FALSE)</f>
        <v>23</v>
      </c>
      <c r="Q186" s="3">
        <f ca="1">VLOOKUP($A186&amp;$B186,data!$A:$U,13,FALSE)</f>
        <v>151</v>
      </c>
      <c r="R186" s="3">
        <f ca="1">VLOOKUP($A186&amp;$B186,data!$A:$U,5,FALSE)</f>
        <v>200</v>
      </c>
      <c r="S186" s="3">
        <f ca="1">VLOOKUP($A186&amp;$B186,data!$A:$U,6,FALSE)</f>
        <v>33</v>
      </c>
      <c r="T186" s="3">
        <f ca="1">VLOOKUP($A186&amp;$B186,data!$A:$U,7,FALSE)</f>
        <v>167</v>
      </c>
    </row>
    <row r="187" spans="1:20" ht="13" x14ac:dyDescent="0.15">
      <c r="A187" s="3" t="s">
        <v>10</v>
      </c>
      <c r="B187" s="3" t="s">
        <v>835</v>
      </c>
      <c r="C187" s="10">
        <f t="shared" ca="1" si="0"/>
        <v>0.83333333333333337</v>
      </c>
      <c r="D187" s="5">
        <f ca="1">VLOOKUP($A187&amp;$B187,data!$A:$U,20,FALSE)</f>
        <v>44305.305625000001</v>
      </c>
      <c r="E187" s="3" t="str">
        <f ca="1">VLOOKUP($A187&amp;$B187,data!$A:$U,21,FALSE)</f>
        <v>UPDATED TILL 19/04/2021 08:00AM</v>
      </c>
      <c r="F187" s="3">
        <f ca="1">VLOOKUP($A187&amp;$B187,data!$A:$U,17,FALSE)</f>
        <v>0</v>
      </c>
      <c r="G187" s="3">
        <f ca="1">VLOOKUP($A187&amp;$B187,data!$A:$U,18,FALSE)</f>
        <v>0</v>
      </c>
      <c r="H187" s="3">
        <f ca="1">VLOOKUP($A187&amp;$B187,data!$A:$U,19,FALSE)</f>
        <v>0</v>
      </c>
      <c r="I187" s="3">
        <f ca="1">VLOOKUP($A187&amp;$B187,data!$A:$U,14,FALSE)</f>
        <v>0</v>
      </c>
      <c r="J187" s="3">
        <f ca="1">VLOOKUP($A187&amp;$B187,data!$A:$U,15,FALSE)</f>
        <v>0</v>
      </c>
      <c r="K187" s="3">
        <f ca="1">VLOOKUP($A187&amp;$B187,data!$A:$U,16,FALSE)</f>
        <v>0</v>
      </c>
      <c r="L187" s="3">
        <f ca="1">VLOOKUP($A187&amp;$B187,data!$A:$U,8,FALSE)</f>
        <v>0</v>
      </c>
      <c r="M187" s="3">
        <f ca="1">VLOOKUP($A187&amp;$B187,data!$A:$U,9,FALSE)</f>
        <v>0</v>
      </c>
      <c r="N187" s="3">
        <f ca="1">VLOOKUP($A187&amp;$B187,data!$A:$U,10,FALSE)</f>
        <v>0</v>
      </c>
      <c r="O187" s="3">
        <f ca="1">VLOOKUP($A187&amp;$B187,data!$A:$U,11,FALSE)</f>
        <v>48</v>
      </c>
      <c r="P187" s="3">
        <f ca="1">VLOOKUP($A187&amp;$B187,data!$A:$U,12,FALSE)</f>
        <v>8</v>
      </c>
      <c r="Q187" s="3">
        <f ca="1">VLOOKUP($A187&amp;$B187,data!$A:$U,13,FALSE)</f>
        <v>40</v>
      </c>
      <c r="R187" s="3">
        <f ca="1">VLOOKUP($A187&amp;$B187,data!$A:$U,5,FALSE)</f>
        <v>48</v>
      </c>
      <c r="S187" s="3">
        <f ca="1">VLOOKUP($A187&amp;$B187,data!$A:$U,6,FALSE)</f>
        <v>8</v>
      </c>
      <c r="T187" s="3">
        <f ca="1">VLOOKUP($A187&amp;$B187,data!$A:$U,7,FALSE)</f>
        <v>40</v>
      </c>
    </row>
    <row r="188" spans="1:20" ht="13" x14ac:dyDescent="0.15">
      <c r="A188" s="3" t="s">
        <v>10</v>
      </c>
      <c r="B188" s="3" t="s">
        <v>344</v>
      </c>
      <c r="C188" s="10">
        <f t="shared" ca="1" si="0"/>
        <v>1</v>
      </c>
      <c r="D188" s="5">
        <f ca="1">VLOOKUP($A188&amp;$B188,data!$A:$U,20,FALSE)</f>
        <v>44305.355972222198</v>
      </c>
      <c r="E188" s="3" t="str">
        <f ca="1">VLOOKUP($A188&amp;$B188,data!$A:$U,21,FALSE)</f>
        <v>Updated 19/04/2021</v>
      </c>
      <c r="F188" s="3">
        <f ca="1">VLOOKUP($A188&amp;$B188,data!$A:$U,17,FALSE)</f>
        <v>0</v>
      </c>
      <c r="G188" s="3">
        <f ca="1">VLOOKUP($A188&amp;$B188,data!$A:$U,18,FALSE)</f>
        <v>0</v>
      </c>
      <c r="H188" s="3">
        <f ca="1">VLOOKUP($A188&amp;$B188,data!$A:$U,19,FALSE)</f>
        <v>0</v>
      </c>
      <c r="I188" s="3">
        <f ca="1">VLOOKUP($A188&amp;$B188,data!$A:$U,14,FALSE)</f>
        <v>0</v>
      </c>
      <c r="J188" s="3">
        <f ca="1">VLOOKUP($A188&amp;$B188,data!$A:$U,15,FALSE)</f>
        <v>0</v>
      </c>
      <c r="K188" s="3">
        <f ca="1">VLOOKUP($A188&amp;$B188,data!$A:$U,16,FALSE)</f>
        <v>0</v>
      </c>
      <c r="L188" s="3">
        <f ca="1">VLOOKUP($A188&amp;$B188,data!$A:$U,8,FALSE)</f>
        <v>5</v>
      </c>
      <c r="M188" s="3">
        <f ca="1">VLOOKUP($A188&amp;$B188,data!$A:$U,9,FALSE)</f>
        <v>0</v>
      </c>
      <c r="N188" s="3">
        <f ca="1">VLOOKUP($A188&amp;$B188,data!$A:$U,10,FALSE)</f>
        <v>5</v>
      </c>
      <c r="O188" s="3">
        <f ca="1">VLOOKUP($A188&amp;$B188,data!$A:$U,11,FALSE)</f>
        <v>25</v>
      </c>
      <c r="P188" s="3">
        <f ca="1">VLOOKUP($A188&amp;$B188,data!$A:$U,12,FALSE)</f>
        <v>0</v>
      </c>
      <c r="Q188" s="3">
        <f ca="1">VLOOKUP($A188&amp;$B188,data!$A:$U,13,FALSE)</f>
        <v>25</v>
      </c>
      <c r="R188" s="3">
        <f ca="1">VLOOKUP($A188&amp;$B188,data!$A:$U,5,FALSE)</f>
        <v>30</v>
      </c>
      <c r="S188" s="3">
        <f ca="1">VLOOKUP($A188&amp;$B188,data!$A:$U,6,FALSE)</f>
        <v>0</v>
      </c>
      <c r="T188" s="3">
        <f ca="1">VLOOKUP($A188&amp;$B188,data!$A:$U,7,FALSE)</f>
        <v>30</v>
      </c>
    </row>
    <row r="189" spans="1:20" ht="13" x14ac:dyDescent="0.15">
      <c r="A189" s="3" t="s">
        <v>10</v>
      </c>
      <c r="B189" s="3" t="s">
        <v>345</v>
      </c>
      <c r="C189" s="10">
        <f t="shared" ca="1" si="0"/>
        <v>0.2</v>
      </c>
      <c r="D189" s="5">
        <f ca="1">VLOOKUP($A189&amp;$B189,data!$A:$U,20,FALSE)</f>
        <v>44304.386319444398</v>
      </c>
      <c r="E189" s="3" t="str">
        <f ca="1">VLOOKUP($A189&amp;$B189,data!$A:$U,21,FALSE)</f>
        <v>18.04.2021</v>
      </c>
      <c r="F189" s="3">
        <f ca="1">VLOOKUP($A189&amp;$B189,data!$A:$U,17,FALSE)</f>
        <v>0</v>
      </c>
      <c r="G189" s="3">
        <f ca="1">VLOOKUP($A189&amp;$B189,data!$A:$U,18,FALSE)</f>
        <v>0</v>
      </c>
      <c r="H189" s="3">
        <f ca="1">VLOOKUP($A189&amp;$B189,data!$A:$U,19,FALSE)</f>
        <v>0</v>
      </c>
      <c r="I189" s="3">
        <f ca="1">VLOOKUP($A189&amp;$B189,data!$A:$U,14,FALSE)</f>
        <v>0</v>
      </c>
      <c r="J189" s="3">
        <f ca="1">VLOOKUP($A189&amp;$B189,data!$A:$U,15,FALSE)</f>
        <v>0</v>
      </c>
      <c r="K189" s="3">
        <f ca="1">VLOOKUP($A189&amp;$B189,data!$A:$U,16,FALSE)</f>
        <v>0</v>
      </c>
      <c r="L189" s="3">
        <f ca="1">VLOOKUP($A189&amp;$B189,data!$A:$U,8,FALSE)</f>
        <v>20</v>
      </c>
      <c r="M189" s="3">
        <f ca="1">VLOOKUP($A189&amp;$B189,data!$A:$U,9,FALSE)</f>
        <v>16</v>
      </c>
      <c r="N189" s="3">
        <f ca="1">VLOOKUP($A189&amp;$B189,data!$A:$U,10,FALSE)</f>
        <v>4</v>
      </c>
      <c r="O189" s="3">
        <f ca="1">VLOOKUP($A189&amp;$B189,data!$A:$U,11,FALSE)</f>
        <v>0</v>
      </c>
      <c r="P189" s="3">
        <f ca="1">VLOOKUP($A189&amp;$B189,data!$A:$U,12,FALSE)</f>
        <v>0</v>
      </c>
      <c r="Q189" s="3">
        <f ca="1">VLOOKUP($A189&amp;$B189,data!$A:$U,13,FALSE)</f>
        <v>0</v>
      </c>
      <c r="R189" s="3">
        <f ca="1">VLOOKUP($A189&amp;$B189,data!$A:$U,5,FALSE)</f>
        <v>20</v>
      </c>
      <c r="S189" s="3">
        <f ca="1">VLOOKUP($A189&amp;$B189,data!$A:$U,6,FALSE)</f>
        <v>16</v>
      </c>
      <c r="T189" s="3">
        <f ca="1">VLOOKUP($A189&amp;$B189,data!$A:$U,7,FALSE)</f>
        <v>4</v>
      </c>
    </row>
    <row r="190" spans="1:20" ht="13" x14ac:dyDescent="0.15">
      <c r="A190" s="3" t="s">
        <v>10</v>
      </c>
      <c r="B190" s="3" t="s">
        <v>348</v>
      </c>
      <c r="C190" s="10" t="e">
        <f t="shared" ca="1" si="0"/>
        <v>#DIV/0!</v>
      </c>
      <c r="D190" s="5">
        <f ca="1">VLOOKUP($A190&amp;$B190,data!$A:$U,20,FALSE)</f>
        <v>44305.385243055498</v>
      </c>
      <c r="E190" s="3" t="str">
        <f ca="1">VLOOKUP($A190&amp;$B190,data!$A:$U,21,FALSE)</f>
        <v>Updated 19.04.2021</v>
      </c>
      <c r="F190" s="3">
        <f ca="1">VLOOKUP($A190&amp;$B190,data!$A:$U,17,FALSE)</f>
        <v>0</v>
      </c>
      <c r="G190" s="3">
        <f ca="1">VLOOKUP($A190&amp;$B190,data!$A:$U,18,FALSE)</f>
        <v>0</v>
      </c>
      <c r="H190" s="3">
        <f ca="1">VLOOKUP($A190&amp;$B190,data!$A:$U,19,FALSE)</f>
        <v>0</v>
      </c>
      <c r="I190" s="3">
        <f ca="1">VLOOKUP($A190&amp;$B190,data!$A:$U,14,FALSE)</f>
        <v>0</v>
      </c>
      <c r="J190" s="3">
        <f ca="1">VLOOKUP($A190&amp;$B190,data!$A:$U,15,FALSE)</f>
        <v>0</v>
      </c>
      <c r="K190" s="3">
        <f ca="1">VLOOKUP($A190&amp;$B190,data!$A:$U,16,FALSE)</f>
        <v>0</v>
      </c>
      <c r="L190" s="3">
        <f ca="1">VLOOKUP($A190&amp;$B190,data!$A:$U,8,FALSE)</f>
        <v>0</v>
      </c>
      <c r="M190" s="3">
        <f ca="1">VLOOKUP($A190&amp;$B190,data!$A:$U,9,FALSE)</f>
        <v>0</v>
      </c>
      <c r="N190" s="3">
        <f ca="1">VLOOKUP($A190&amp;$B190,data!$A:$U,10,FALSE)</f>
        <v>0</v>
      </c>
      <c r="O190" s="3">
        <f ca="1">VLOOKUP($A190&amp;$B190,data!$A:$U,11,FALSE)</f>
        <v>0</v>
      </c>
      <c r="P190" s="3">
        <f ca="1">VLOOKUP($A190&amp;$B190,data!$A:$U,12,FALSE)</f>
        <v>0</v>
      </c>
      <c r="Q190" s="3">
        <f ca="1">VLOOKUP($A190&amp;$B190,data!$A:$U,13,FALSE)</f>
        <v>0</v>
      </c>
      <c r="R190" s="3">
        <f ca="1">VLOOKUP($A190&amp;$B190,data!$A:$U,5,FALSE)</f>
        <v>0</v>
      </c>
      <c r="S190" s="3">
        <f ca="1">VLOOKUP($A190&amp;$B190,data!$A:$U,6,FALSE)</f>
        <v>0</v>
      </c>
      <c r="T190" s="3">
        <f ca="1">VLOOKUP($A190&amp;$B190,data!$A:$U,7,FALSE)</f>
        <v>0</v>
      </c>
    </row>
    <row r="191" spans="1:20" ht="13" x14ac:dyDescent="0.15">
      <c r="A191" s="3" t="s">
        <v>11</v>
      </c>
      <c r="B191" s="3" t="s">
        <v>352</v>
      </c>
      <c r="C191" s="10">
        <f t="shared" ca="1" si="0"/>
        <v>1</v>
      </c>
      <c r="D191" s="5">
        <f ca="1">VLOOKUP($A191&amp;$B191,data!$A:$U,20,FALSE)</f>
        <v>44305.316168981401</v>
      </c>
      <c r="E191" s="3" t="str">
        <f ca="1">VLOOKUP($A191&amp;$B191,data!$A:$U,21,FALSE)</f>
        <v>.</v>
      </c>
      <c r="F191" s="3">
        <f ca="1">VLOOKUP($A191&amp;$B191,data!$A:$U,17,FALSE)</f>
        <v>10</v>
      </c>
      <c r="G191" s="3">
        <f ca="1">VLOOKUP($A191&amp;$B191,data!$A:$U,18,FALSE)</f>
        <v>0</v>
      </c>
      <c r="H191" s="3">
        <f ca="1">VLOOKUP($A191&amp;$B191,data!$A:$U,19,FALSE)</f>
        <v>10</v>
      </c>
      <c r="I191" s="3">
        <f ca="1">VLOOKUP($A191&amp;$B191,data!$A:$U,14,FALSE)</f>
        <v>10</v>
      </c>
      <c r="J191" s="3">
        <f ca="1">VLOOKUP($A191&amp;$B191,data!$A:$U,15,FALSE)</f>
        <v>0</v>
      </c>
      <c r="K191" s="3">
        <f ca="1">VLOOKUP($A191&amp;$B191,data!$A:$U,16,FALSE)</f>
        <v>10</v>
      </c>
      <c r="L191" s="3">
        <f ca="1">VLOOKUP($A191&amp;$B191,data!$A:$U,8,FALSE)</f>
        <v>75</v>
      </c>
      <c r="M191" s="3">
        <f ca="1">VLOOKUP($A191&amp;$B191,data!$A:$U,9,FALSE)</f>
        <v>0</v>
      </c>
      <c r="N191" s="3">
        <f ca="1">VLOOKUP($A191&amp;$B191,data!$A:$U,10,FALSE)</f>
        <v>75</v>
      </c>
      <c r="O191" s="3">
        <f ca="1">VLOOKUP($A191&amp;$B191,data!$A:$U,11,FALSE)</f>
        <v>95</v>
      </c>
      <c r="P191" s="3">
        <f ca="1">VLOOKUP($A191&amp;$B191,data!$A:$U,12,FALSE)</f>
        <v>0</v>
      </c>
      <c r="Q191" s="3">
        <f ca="1">VLOOKUP($A191&amp;$B191,data!$A:$U,13,FALSE)</f>
        <v>95</v>
      </c>
      <c r="R191" s="3">
        <f ca="1">VLOOKUP($A191&amp;$B191,data!$A:$U,5,FALSE)</f>
        <v>180</v>
      </c>
      <c r="S191" s="3">
        <f ca="1">VLOOKUP($A191&amp;$B191,data!$A:$U,6,FALSE)</f>
        <v>0</v>
      </c>
      <c r="T191" s="3">
        <f ca="1">VLOOKUP($A191&amp;$B191,data!$A:$U,7,FALSE)</f>
        <v>180</v>
      </c>
    </row>
    <row r="192" spans="1:20" ht="13" x14ac:dyDescent="0.15">
      <c r="A192" s="3" t="s">
        <v>11</v>
      </c>
      <c r="B192" s="3" t="s">
        <v>350</v>
      </c>
      <c r="C192" s="10">
        <f t="shared" ca="1" si="0"/>
        <v>0.92592592592592593</v>
      </c>
      <c r="D192" s="5">
        <f ca="1">VLOOKUP($A192&amp;$B192,data!$A:$U,20,FALSE)</f>
        <v>44305.317048611098</v>
      </c>
      <c r="E192" s="3">
        <f ca="1">VLOOKUP($A192&amp;$B192,data!$A:$U,21,FALSE)</f>
        <v>0</v>
      </c>
      <c r="F192" s="3">
        <f ca="1">VLOOKUP($A192&amp;$B192,data!$A:$U,17,FALSE)</f>
        <v>5</v>
      </c>
      <c r="G192" s="3">
        <f ca="1">VLOOKUP($A192&amp;$B192,data!$A:$U,18,FALSE)</f>
        <v>0</v>
      </c>
      <c r="H192" s="3">
        <f ca="1">VLOOKUP($A192&amp;$B192,data!$A:$U,19,FALSE)</f>
        <v>5</v>
      </c>
      <c r="I192" s="3">
        <f ca="1">VLOOKUP($A192&amp;$B192,data!$A:$U,14,FALSE)</f>
        <v>8</v>
      </c>
      <c r="J192" s="3">
        <f ca="1">VLOOKUP($A192&amp;$B192,data!$A:$U,15,FALSE)</f>
        <v>0</v>
      </c>
      <c r="K192" s="3">
        <f ca="1">VLOOKUP($A192&amp;$B192,data!$A:$U,16,FALSE)</f>
        <v>8</v>
      </c>
      <c r="L192" s="3">
        <f ca="1">VLOOKUP($A192&amp;$B192,data!$A:$U,8,FALSE)</f>
        <v>25</v>
      </c>
      <c r="M192" s="3">
        <f ca="1">VLOOKUP($A192&amp;$B192,data!$A:$U,9,FALSE)</f>
        <v>0</v>
      </c>
      <c r="N192" s="3">
        <f ca="1">VLOOKUP($A192&amp;$B192,data!$A:$U,10,FALSE)</f>
        <v>25</v>
      </c>
      <c r="O192" s="3">
        <f ca="1">VLOOKUP($A192&amp;$B192,data!$A:$U,11,FALSE)</f>
        <v>75</v>
      </c>
      <c r="P192" s="3">
        <f ca="1">VLOOKUP($A192&amp;$B192,data!$A:$U,12,FALSE)</f>
        <v>8</v>
      </c>
      <c r="Q192" s="3">
        <f ca="1">VLOOKUP($A192&amp;$B192,data!$A:$U,13,FALSE)</f>
        <v>67</v>
      </c>
      <c r="R192" s="3">
        <f ca="1">VLOOKUP($A192&amp;$B192,data!$A:$U,5,FALSE)</f>
        <v>108</v>
      </c>
      <c r="S192" s="3">
        <f ca="1">VLOOKUP($A192&amp;$B192,data!$A:$U,6,FALSE)</f>
        <v>8</v>
      </c>
      <c r="T192" s="3">
        <f ca="1">VLOOKUP($A192&amp;$B192,data!$A:$U,7,FALSE)</f>
        <v>100</v>
      </c>
    </row>
    <row r="193" spans="1:20" ht="13" x14ac:dyDescent="0.15">
      <c r="A193" s="3" t="s">
        <v>11</v>
      </c>
      <c r="B193" s="3" t="s">
        <v>1006</v>
      </c>
      <c r="C193" s="10">
        <f t="shared" ca="1" si="0"/>
        <v>0.98529411764705888</v>
      </c>
      <c r="D193" s="5">
        <f ca="1">VLOOKUP($A193&amp;$B193,data!$A:$U,20,FALSE)</f>
        <v>44305.3176157407</v>
      </c>
      <c r="E193" s="3" t="str">
        <f ca="1">VLOOKUP($A193&amp;$B193,data!$A:$U,21,FALSE)</f>
        <v>.</v>
      </c>
      <c r="F193" s="3">
        <f ca="1">VLOOKUP($A193&amp;$B193,data!$A:$U,17,FALSE)</f>
        <v>4</v>
      </c>
      <c r="G193" s="3">
        <f ca="1">VLOOKUP($A193&amp;$B193,data!$A:$U,18,FALSE)</f>
        <v>0</v>
      </c>
      <c r="H193" s="3">
        <f ca="1">VLOOKUP($A193&amp;$B193,data!$A:$U,19,FALSE)</f>
        <v>4</v>
      </c>
      <c r="I193" s="3">
        <f ca="1">VLOOKUP($A193&amp;$B193,data!$A:$U,14,FALSE)</f>
        <v>6</v>
      </c>
      <c r="J193" s="3">
        <f ca="1">VLOOKUP($A193&amp;$B193,data!$A:$U,15,FALSE)</f>
        <v>0</v>
      </c>
      <c r="K193" s="3">
        <f ca="1">VLOOKUP($A193&amp;$B193,data!$A:$U,16,FALSE)</f>
        <v>6</v>
      </c>
      <c r="L193" s="3">
        <f ca="1">VLOOKUP($A193&amp;$B193,data!$A:$U,8,FALSE)</f>
        <v>31</v>
      </c>
      <c r="M193" s="3">
        <f ca="1">VLOOKUP($A193&amp;$B193,data!$A:$U,9,FALSE)</f>
        <v>0</v>
      </c>
      <c r="N193" s="3">
        <f ca="1">VLOOKUP($A193&amp;$B193,data!$A:$U,10,FALSE)</f>
        <v>31</v>
      </c>
      <c r="O193" s="3">
        <f ca="1">VLOOKUP($A193&amp;$B193,data!$A:$U,11,FALSE)</f>
        <v>31</v>
      </c>
      <c r="P193" s="3">
        <f ca="1">VLOOKUP($A193&amp;$B193,data!$A:$U,12,FALSE)</f>
        <v>1</v>
      </c>
      <c r="Q193" s="3">
        <f ca="1">VLOOKUP($A193&amp;$B193,data!$A:$U,13,FALSE)</f>
        <v>30</v>
      </c>
      <c r="R193" s="3">
        <f ca="1">VLOOKUP($A193&amp;$B193,data!$A:$U,5,FALSE)</f>
        <v>68</v>
      </c>
      <c r="S193" s="3">
        <f ca="1">VLOOKUP($A193&amp;$B193,data!$A:$U,6,FALSE)</f>
        <v>1</v>
      </c>
      <c r="T193" s="3">
        <f ca="1">VLOOKUP($A193&amp;$B193,data!$A:$U,7,FALSE)</f>
        <v>67</v>
      </c>
    </row>
    <row r="194" spans="1:20" ht="13" x14ac:dyDescent="0.15">
      <c r="A194" s="3" t="s">
        <v>11</v>
      </c>
      <c r="B194" s="3" t="s">
        <v>353</v>
      </c>
      <c r="C194" s="10">
        <f t="shared" ca="1" si="0"/>
        <v>0.61250000000000004</v>
      </c>
      <c r="D194" s="5">
        <f ca="1">VLOOKUP($A194&amp;$B194,data!$A:$U,20,FALSE)</f>
        <v>44305.436979166603</v>
      </c>
      <c r="E194" s="3">
        <f ca="1">VLOOKUP($A194&amp;$B194,data!$A:$U,21,FALSE)</f>
        <v>0</v>
      </c>
      <c r="F194" s="3">
        <f ca="1">VLOOKUP($A194&amp;$B194,data!$A:$U,17,FALSE)</f>
        <v>6</v>
      </c>
      <c r="G194" s="3">
        <f ca="1">VLOOKUP($A194&amp;$B194,data!$A:$U,18,FALSE)</f>
        <v>2</v>
      </c>
      <c r="H194" s="3">
        <f ca="1">VLOOKUP($A194&amp;$B194,data!$A:$U,19,FALSE)</f>
        <v>4</v>
      </c>
      <c r="I194" s="3">
        <f ca="1">VLOOKUP($A194&amp;$B194,data!$A:$U,14,FALSE)</f>
        <v>7</v>
      </c>
      <c r="J194" s="3">
        <f ca="1">VLOOKUP($A194&amp;$B194,data!$A:$U,15,FALSE)</f>
        <v>2</v>
      </c>
      <c r="K194" s="3">
        <f ca="1">VLOOKUP($A194&amp;$B194,data!$A:$U,16,FALSE)</f>
        <v>8</v>
      </c>
      <c r="L194" s="3">
        <f ca="1">VLOOKUP($A194&amp;$B194,data!$A:$U,8,FALSE)</f>
        <v>40</v>
      </c>
      <c r="M194" s="3">
        <f ca="1">VLOOKUP($A194&amp;$B194,data!$A:$U,9,FALSE)</f>
        <v>9</v>
      </c>
      <c r="N194" s="3">
        <f ca="1">VLOOKUP($A194&amp;$B194,data!$A:$U,10,FALSE)</f>
        <v>31</v>
      </c>
      <c r="O194" s="3">
        <f ca="1">VLOOKUP($A194&amp;$B194,data!$A:$U,11,FALSE)</f>
        <v>33</v>
      </c>
      <c r="P194" s="3">
        <f ca="1">VLOOKUP($A194&amp;$B194,data!$A:$U,12,FALSE)</f>
        <v>1</v>
      </c>
      <c r="Q194" s="3">
        <f ca="1">VLOOKUP($A194&amp;$B194,data!$A:$U,13,FALSE)</f>
        <v>26</v>
      </c>
      <c r="R194" s="3">
        <f ca="1">VLOOKUP($A194&amp;$B194,data!$A:$U,5,FALSE)</f>
        <v>80</v>
      </c>
      <c r="S194" s="3">
        <f ca="1">VLOOKUP($A194&amp;$B194,data!$A:$U,6,FALSE)</f>
        <v>47</v>
      </c>
      <c r="T194" s="3">
        <f ca="1">VLOOKUP($A194&amp;$B194,data!$A:$U,7,FALSE)</f>
        <v>33</v>
      </c>
    </row>
    <row r="195" spans="1:20" ht="13" x14ac:dyDescent="0.15">
      <c r="A195" s="3" t="s">
        <v>11</v>
      </c>
      <c r="B195" s="3" t="s">
        <v>349</v>
      </c>
      <c r="C195" s="10">
        <f t="shared" ca="1" si="0"/>
        <v>0.53076923076923077</v>
      </c>
      <c r="D195" s="5">
        <f ca="1">VLOOKUP($A195&amp;$B195,data!$A:$U,20,FALSE)</f>
        <v>44305.487604166599</v>
      </c>
      <c r="E195" s="3">
        <f ca="1">VLOOKUP($A195&amp;$B195,data!$A:$U,21,FALSE)</f>
        <v>0</v>
      </c>
      <c r="F195" s="3">
        <f ca="1">VLOOKUP($A195&amp;$B195,data!$A:$U,17,FALSE)</f>
        <v>1</v>
      </c>
      <c r="G195" s="3">
        <f ca="1">VLOOKUP($A195&amp;$B195,data!$A:$U,18,FALSE)</f>
        <v>0</v>
      </c>
      <c r="H195" s="3">
        <f ca="1">VLOOKUP($A195&amp;$B195,data!$A:$U,19,FALSE)</f>
        <v>1</v>
      </c>
      <c r="I195" s="3">
        <f ca="1">VLOOKUP($A195&amp;$B195,data!$A:$U,14,FALSE)</f>
        <v>1</v>
      </c>
      <c r="J195" s="3">
        <f ca="1">VLOOKUP($A195&amp;$B195,data!$A:$U,15,FALSE)</f>
        <v>0</v>
      </c>
      <c r="K195" s="3">
        <f ca="1">VLOOKUP($A195&amp;$B195,data!$A:$U,16,FALSE)</f>
        <v>1</v>
      </c>
      <c r="L195" s="3">
        <f ca="1">VLOOKUP($A195&amp;$B195,data!$A:$U,8,FALSE)</f>
        <v>48</v>
      </c>
      <c r="M195" s="3">
        <f ca="1">VLOOKUP($A195&amp;$B195,data!$A:$U,9,FALSE)</f>
        <v>4</v>
      </c>
      <c r="N195" s="3">
        <f ca="1">VLOOKUP($A195&amp;$B195,data!$A:$U,10,FALSE)</f>
        <v>44</v>
      </c>
      <c r="O195" s="3">
        <f ca="1">VLOOKUP($A195&amp;$B195,data!$A:$U,11,FALSE)</f>
        <v>16</v>
      </c>
      <c r="P195" s="3">
        <f ca="1">VLOOKUP($A195&amp;$B195,data!$A:$U,12,FALSE)</f>
        <v>24</v>
      </c>
      <c r="Q195" s="3">
        <f ca="1">VLOOKUP($A195&amp;$B195,data!$A:$U,13,FALSE)</f>
        <v>0</v>
      </c>
      <c r="R195" s="3">
        <f ca="1">VLOOKUP($A195&amp;$B195,data!$A:$U,5,FALSE)</f>
        <v>65</v>
      </c>
      <c r="S195" s="3">
        <f ca="1">VLOOKUP($A195&amp;$B195,data!$A:$U,6,FALSE)</f>
        <v>28</v>
      </c>
      <c r="T195" s="3">
        <f ca="1">VLOOKUP($A195&amp;$B195,data!$A:$U,7,FALSE)</f>
        <v>24</v>
      </c>
    </row>
    <row r="196" spans="1:20" ht="13" x14ac:dyDescent="0.15">
      <c r="A196" s="3" t="s">
        <v>11</v>
      </c>
      <c r="B196" s="3" t="s">
        <v>762</v>
      </c>
      <c r="C196" s="10">
        <f t="shared" ca="1" si="0"/>
        <v>1</v>
      </c>
      <c r="D196" s="5">
        <f ca="1">VLOOKUP($A196&amp;$B196,data!$A:$U,20,FALSE)</f>
        <v>44305.316793981401</v>
      </c>
      <c r="E196" s="3" t="str">
        <f ca="1">VLOOKUP($A196&amp;$B196,data!$A:$U,21,FALSE)</f>
        <v>.</v>
      </c>
      <c r="F196" s="3">
        <f ca="1">VLOOKUP($A196&amp;$B196,data!$A:$U,17,FALSE)</f>
        <v>1</v>
      </c>
      <c r="G196" s="3">
        <f ca="1">VLOOKUP($A196&amp;$B196,data!$A:$U,18,FALSE)</f>
        <v>0</v>
      </c>
      <c r="H196" s="3">
        <f ca="1">VLOOKUP($A196&amp;$B196,data!$A:$U,19,FALSE)</f>
        <v>1</v>
      </c>
      <c r="I196" s="3">
        <f ca="1">VLOOKUP($A196&amp;$B196,data!$A:$U,14,FALSE)</f>
        <v>7</v>
      </c>
      <c r="J196" s="3">
        <f ca="1">VLOOKUP($A196&amp;$B196,data!$A:$U,15,FALSE)</f>
        <v>0</v>
      </c>
      <c r="K196" s="3">
        <f ca="1">VLOOKUP($A196&amp;$B196,data!$A:$U,16,FALSE)</f>
        <v>7</v>
      </c>
      <c r="L196" s="3">
        <f ca="1">VLOOKUP($A196&amp;$B196,data!$A:$U,8,FALSE)</f>
        <v>17</v>
      </c>
      <c r="M196" s="3">
        <f ca="1">VLOOKUP($A196&amp;$B196,data!$A:$U,9,FALSE)</f>
        <v>0</v>
      </c>
      <c r="N196" s="3">
        <f ca="1">VLOOKUP($A196&amp;$B196,data!$A:$U,10,FALSE)</f>
        <v>17</v>
      </c>
      <c r="O196" s="3">
        <f ca="1">VLOOKUP($A196&amp;$B196,data!$A:$U,11,FALSE)</f>
        <v>16</v>
      </c>
      <c r="P196" s="3">
        <f ca="1">VLOOKUP($A196&amp;$B196,data!$A:$U,12,FALSE)</f>
        <v>0</v>
      </c>
      <c r="Q196" s="3">
        <f ca="1">VLOOKUP($A196&amp;$B196,data!$A:$U,13,FALSE)</f>
        <v>16</v>
      </c>
      <c r="R196" s="3">
        <f ca="1">VLOOKUP($A196&amp;$B196,data!$A:$U,5,FALSE)</f>
        <v>40</v>
      </c>
      <c r="S196" s="3">
        <f ca="1">VLOOKUP($A196&amp;$B196,data!$A:$U,6,FALSE)</f>
        <v>0</v>
      </c>
      <c r="T196" s="3">
        <f ca="1">VLOOKUP($A196&amp;$B196,data!$A:$U,7,FALSE)</f>
        <v>40</v>
      </c>
    </row>
    <row r="197" spans="1:20" ht="13" x14ac:dyDescent="0.15">
      <c r="A197" s="3" t="s">
        <v>11</v>
      </c>
      <c r="B197" s="3" t="s">
        <v>1109</v>
      </c>
      <c r="C197" s="10">
        <f t="shared" ca="1" si="0"/>
        <v>0.86363636363636365</v>
      </c>
      <c r="D197" s="5">
        <f ca="1">VLOOKUP($A197&amp;$B197,data!$A:$U,20,FALSE)</f>
        <v>44305.318506944401</v>
      </c>
      <c r="E197" s="3" t="str">
        <f ca="1">VLOOKUP($A197&amp;$B197,data!$A:$U,21,FALSE)</f>
        <v>.</v>
      </c>
      <c r="F197" s="3">
        <f ca="1">VLOOKUP($A197&amp;$B197,data!$A:$U,17,FALSE)</f>
        <v>1</v>
      </c>
      <c r="G197" s="3">
        <f ca="1">VLOOKUP($A197&amp;$B197,data!$A:$U,18,FALSE)</f>
        <v>0</v>
      </c>
      <c r="H197" s="3">
        <f ca="1">VLOOKUP($A197&amp;$B197,data!$A:$U,19,FALSE)</f>
        <v>1</v>
      </c>
      <c r="I197" s="3">
        <f ca="1">VLOOKUP($A197&amp;$B197,data!$A:$U,14,FALSE)</f>
        <v>6</v>
      </c>
      <c r="J197" s="3">
        <f ca="1">VLOOKUP($A197&amp;$B197,data!$A:$U,15,FALSE)</f>
        <v>0</v>
      </c>
      <c r="K197" s="3">
        <f ca="1">VLOOKUP($A197&amp;$B197,data!$A:$U,16,FALSE)</f>
        <v>6</v>
      </c>
      <c r="L197" s="3">
        <f ca="1">VLOOKUP($A197&amp;$B197,data!$A:$U,8,FALSE)</f>
        <v>21</v>
      </c>
      <c r="M197" s="3">
        <f ca="1">VLOOKUP($A197&amp;$B197,data!$A:$U,9,FALSE)</f>
        <v>0</v>
      </c>
      <c r="N197" s="3">
        <f ca="1">VLOOKUP($A197&amp;$B197,data!$A:$U,10,FALSE)</f>
        <v>21</v>
      </c>
      <c r="O197" s="3">
        <f ca="1">VLOOKUP($A197&amp;$B197,data!$A:$U,11,FALSE)</f>
        <v>17</v>
      </c>
      <c r="P197" s="3">
        <f ca="1">VLOOKUP($A197&amp;$B197,data!$A:$U,12,FALSE)</f>
        <v>0</v>
      </c>
      <c r="Q197" s="3">
        <f ca="1">VLOOKUP($A197&amp;$B197,data!$A:$U,13,FALSE)</f>
        <v>11</v>
      </c>
      <c r="R197" s="3">
        <f ca="1">VLOOKUP($A197&amp;$B197,data!$A:$U,5,FALSE)</f>
        <v>44</v>
      </c>
      <c r="S197" s="3">
        <f ca="1">VLOOKUP($A197&amp;$B197,data!$A:$U,6,FALSE)</f>
        <v>6</v>
      </c>
      <c r="T197" s="3">
        <f ca="1">VLOOKUP($A197&amp;$B197,data!$A:$U,7,FALSE)</f>
        <v>38</v>
      </c>
    </row>
    <row r="198" spans="1:20" ht="13" x14ac:dyDescent="0.15">
      <c r="A198" s="3" t="s">
        <v>11</v>
      </c>
      <c r="B198" s="3" t="s">
        <v>1010</v>
      </c>
      <c r="C198" s="10">
        <f t="shared" ca="1" si="0"/>
        <v>0.96666666666666667</v>
      </c>
      <c r="D198" s="5">
        <f ca="1">VLOOKUP($A198&amp;$B198,data!$A:$U,20,FALSE)</f>
        <v>44305.318263888803</v>
      </c>
      <c r="E198" s="3">
        <f ca="1">VLOOKUP($A198&amp;$B198,data!$A:$U,21,FALSE)</f>
        <v>0</v>
      </c>
      <c r="F198" s="3">
        <f ca="1">VLOOKUP($A198&amp;$B198,data!$A:$U,17,FALSE)</f>
        <v>2</v>
      </c>
      <c r="G198" s="3">
        <f ca="1">VLOOKUP($A198&amp;$B198,data!$A:$U,18,FALSE)</f>
        <v>0</v>
      </c>
      <c r="H198" s="3">
        <f ca="1">VLOOKUP($A198&amp;$B198,data!$A:$U,19,FALSE)</f>
        <v>2</v>
      </c>
      <c r="I198" s="3">
        <f ca="1">VLOOKUP($A198&amp;$B198,data!$A:$U,14,FALSE)</f>
        <v>10</v>
      </c>
      <c r="J198" s="3">
        <f ca="1">VLOOKUP($A198&amp;$B198,data!$A:$U,15,FALSE)</f>
        <v>0</v>
      </c>
      <c r="K198" s="3">
        <f ca="1">VLOOKUP($A198&amp;$B198,data!$A:$U,16,FALSE)</f>
        <v>10</v>
      </c>
      <c r="L198" s="3">
        <f ca="1">VLOOKUP($A198&amp;$B198,data!$A:$U,8,FALSE)</f>
        <v>13</v>
      </c>
      <c r="M198" s="3">
        <f ca="1">VLOOKUP($A198&amp;$B198,data!$A:$U,9,FALSE)</f>
        <v>0</v>
      </c>
      <c r="N198" s="3">
        <f ca="1">VLOOKUP($A198&amp;$B198,data!$A:$U,10,FALSE)</f>
        <v>13</v>
      </c>
      <c r="O198" s="3">
        <f ca="1">VLOOKUP($A198&amp;$B198,data!$A:$U,11,FALSE)</f>
        <v>7</v>
      </c>
      <c r="P198" s="3">
        <f ca="1">VLOOKUP($A198&amp;$B198,data!$A:$U,12,FALSE)</f>
        <v>0</v>
      </c>
      <c r="Q198" s="3">
        <f ca="1">VLOOKUP($A198&amp;$B198,data!$A:$U,13,FALSE)</f>
        <v>6</v>
      </c>
      <c r="R198" s="3">
        <f ca="1">VLOOKUP($A198&amp;$B198,data!$A:$U,5,FALSE)</f>
        <v>30</v>
      </c>
      <c r="S198" s="3">
        <f ca="1">VLOOKUP($A198&amp;$B198,data!$A:$U,6,FALSE)</f>
        <v>1</v>
      </c>
      <c r="T198" s="3">
        <f ca="1">VLOOKUP($A198&amp;$B198,data!$A:$U,7,FALSE)</f>
        <v>29</v>
      </c>
    </row>
    <row r="199" spans="1:20" ht="13" x14ac:dyDescent="0.15">
      <c r="A199" s="3" t="s">
        <v>11</v>
      </c>
      <c r="B199" s="3" t="s">
        <v>1180</v>
      </c>
      <c r="C199" s="10">
        <f t="shared" ca="1" si="0"/>
        <v>0.7384615384615385</v>
      </c>
      <c r="D199" s="5">
        <f ca="1">VLOOKUP($A199&amp;$B199,data!$A:$U,20,FALSE)</f>
        <v>44305.3187384259</v>
      </c>
      <c r="E199" s="3">
        <f ca="1">VLOOKUP($A199&amp;$B199,data!$A:$U,21,FALSE)</f>
        <v>0</v>
      </c>
      <c r="F199" s="3">
        <f ca="1">VLOOKUP($A199&amp;$B199,data!$A:$U,17,FALSE)</f>
        <v>3</v>
      </c>
      <c r="G199" s="3">
        <f ca="1">VLOOKUP($A199&amp;$B199,data!$A:$U,18,FALSE)</f>
        <v>0</v>
      </c>
      <c r="H199" s="3">
        <f ca="1">VLOOKUP($A199&amp;$B199,data!$A:$U,19,FALSE)</f>
        <v>0</v>
      </c>
      <c r="I199" s="3">
        <f ca="1">VLOOKUP($A199&amp;$B199,data!$A:$U,14,FALSE)</f>
        <v>7</v>
      </c>
      <c r="J199" s="3">
        <f ca="1">VLOOKUP($A199&amp;$B199,data!$A:$U,15,FALSE)</f>
        <v>0</v>
      </c>
      <c r="K199" s="3">
        <f ca="1">VLOOKUP($A199&amp;$B199,data!$A:$U,16,FALSE)</f>
        <v>0</v>
      </c>
      <c r="L199" s="3">
        <f ca="1">VLOOKUP($A199&amp;$B199,data!$A:$U,8,FALSE)</f>
        <v>25</v>
      </c>
      <c r="M199" s="3">
        <f ca="1">VLOOKUP($A199&amp;$B199,data!$A:$U,9,FALSE)</f>
        <v>3</v>
      </c>
      <c r="N199" s="3">
        <f ca="1">VLOOKUP($A199&amp;$B199,data!$A:$U,10,FALSE)</f>
        <v>22</v>
      </c>
      <c r="O199" s="3">
        <f ca="1">VLOOKUP($A199&amp;$B199,data!$A:$U,11,FALSE)</f>
        <v>4</v>
      </c>
      <c r="P199" s="3">
        <f ca="1">VLOOKUP($A199&amp;$B199,data!$A:$U,12,FALSE)</f>
        <v>0</v>
      </c>
      <c r="Q199" s="3">
        <f ca="1">VLOOKUP($A199&amp;$B199,data!$A:$U,13,FALSE)</f>
        <v>0</v>
      </c>
      <c r="R199" s="3">
        <f ca="1">VLOOKUP($A199&amp;$B199,data!$A:$U,5,FALSE)</f>
        <v>29</v>
      </c>
      <c r="S199" s="3">
        <f ca="1">VLOOKUP($A199&amp;$B199,data!$A:$U,6,FALSE)</f>
        <v>3</v>
      </c>
      <c r="T199" s="3">
        <f ca="1">VLOOKUP($A199&amp;$B199,data!$A:$U,7,FALSE)</f>
        <v>26</v>
      </c>
    </row>
    <row r="200" spans="1:20" ht="13" x14ac:dyDescent="0.15">
      <c r="A200" s="3" t="s">
        <v>11</v>
      </c>
      <c r="B200" s="3" t="s">
        <v>1001</v>
      </c>
      <c r="C200" s="10">
        <f t="shared" ca="1" si="0"/>
        <v>0.90909090909090906</v>
      </c>
      <c r="D200" s="5">
        <f ca="1">VLOOKUP($A200&amp;$B200,data!$A:$U,20,FALSE)</f>
        <v>44305.317905092503</v>
      </c>
      <c r="E200" s="3" t="str">
        <f ca="1">VLOOKUP($A200&amp;$B200,data!$A:$U,21,FALSE)</f>
        <v>.</v>
      </c>
      <c r="F200" s="3">
        <f ca="1">VLOOKUP($A200&amp;$B200,data!$A:$U,17,FALSE)</f>
        <v>2</v>
      </c>
      <c r="G200" s="3">
        <f ca="1">VLOOKUP($A200&amp;$B200,data!$A:$U,18,FALSE)</f>
        <v>0</v>
      </c>
      <c r="H200" s="3">
        <f ca="1">VLOOKUP($A200&amp;$B200,data!$A:$U,19,FALSE)</f>
        <v>2</v>
      </c>
      <c r="I200" s="3">
        <f ca="1">VLOOKUP($A200&amp;$B200,data!$A:$U,14,FALSE)</f>
        <v>5</v>
      </c>
      <c r="J200" s="3">
        <f ca="1">VLOOKUP($A200&amp;$B200,data!$A:$U,15,FALSE)</f>
        <v>0</v>
      </c>
      <c r="K200" s="3">
        <f ca="1">VLOOKUP($A200&amp;$B200,data!$A:$U,16,FALSE)</f>
        <v>0</v>
      </c>
      <c r="L200" s="3">
        <f ca="1">VLOOKUP($A200&amp;$B200,data!$A:$U,8,FALSE)</f>
        <v>25</v>
      </c>
      <c r="M200" s="3">
        <f ca="1">VLOOKUP($A200&amp;$B200,data!$A:$U,9,FALSE)</f>
        <v>0</v>
      </c>
      <c r="N200" s="3">
        <f ca="1">VLOOKUP($A200&amp;$B200,data!$A:$U,10,FALSE)</f>
        <v>25</v>
      </c>
      <c r="O200" s="3">
        <f ca="1">VLOOKUP($A200&amp;$B200,data!$A:$U,11,FALSE)</f>
        <v>0</v>
      </c>
      <c r="P200" s="3">
        <f ca="1">VLOOKUP($A200&amp;$B200,data!$A:$U,12,FALSE)</f>
        <v>0</v>
      </c>
      <c r="Q200" s="3">
        <f ca="1">VLOOKUP($A200&amp;$B200,data!$A:$U,13,FALSE)</f>
        <v>0</v>
      </c>
      <c r="R200" s="3">
        <f ca="1">VLOOKUP($A200&amp;$B200,data!$A:$U,5,FALSE)</f>
        <v>25</v>
      </c>
      <c r="S200" s="3">
        <f ca="1">VLOOKUP($A200&amp;$B200,data!$A:$U,6,FALSE)</f>
        <v>0</v>
      </c>
      <c r="T200" s="3">
        <f ca="1">VLOOKUP($A200&amp;$B200,data!$A:$U,7,FALSE)</f>
        <v>25</v>
      </c>
    </row>
    <row r="201" spans="1:20" ht="13" x14ac:dyDescent="0.15">
      <c r="A201" s="3" t="s">
        <v>11</v>
      </c>
      <c r="B201" s="3" t="s">
        <v>841</v>
      </c>
      <c r="C201" s="10">
        <f t="shared" ca="1" si="0"/>
        <v>0.5</v>
      </c>
      <c r="D201" s="5">
        <f ca="1">VLOOKUP($A201&amp;$B201,data!$A:$U,20,FALSE)</f>
        <v>44305.3154050925</v>
      </c>
      <c r="E201" s="3" t="str">
        <f ca="1">VLOOKUP($A201&amp;$B201,data!$A:$U,21,FALSE)</f>
        <v>.</v>
      </c>
      <c r="F201" s="3">
        <f ca="1">VLOOKUP($A201&amp;$B201,data!$A:$U,17,FALSE)</f>
        <v>3</v>
      </c>
      <c r="G201" s="3">
        <f ca="1">VLOOKUP($A201&amp;$B201,data!$A:$U,18,FALSE)</f>
        <v>0</v>
      </c>
      <c r="H201" s="3">
        <f ca="1">VLOOKUP($A201&amp;$B201,data!$A:$U,19,FALSE)</f>
        <v>3</v>
      </c>
      <c r="I201" s="3">
        <f ca="1">VLOOKUP($A201&amp;$B201,data!$A:$U,14,FALSE)</f>
        <v>10</v>
      </c>
      <c r="J201" s="3">
        <f ca="1">VLOOKUP($A201&amp;$B201,data!$A:$U,15,FALSE)</f>
        <v>0</v>
      </c>
      <c r="K201" s="3">
        <f ca="1">VLOOKUP($A201&amp;$B201,data!$A:$U,16,FALSE)</f>
        <v>10</v>
      </c>
      <c r="L201" s="3">
        <f ca="1">VLOOKUP($A201&amp;$B201,data!$A:$U,8,FALSE)</f>
        <v>18</v>
      </c>
      <c r="M201" s="3">
        <f ca="1">VLOOKUP($A201&amp;$B201,data!$A:$U,9,FALSE)</f>
        <v>0</v>
      </c>
      <c r="N201" s="3">
        <f ca="1">VLOOKUP($A201&amp;$B201,data!$A:$U,10,FALSE)</f>
        <v>18</v>
      </c>
      <c r="O201" s="3">
        <f ca="1">VLOOKUP($A201&amp;$B201,data!$A:$U,11,FALSE)</f>
        <v>30</v>
      </c>
      <c r="P201" s="3">
        <f ca="1">VLOOKUP($A201&amp;$B201,data!$A:$U,12,FALSE)</f>
        <v>27</v>
      </c>
      <c r="Q201" s="3">
        <f ca="1">VLOOKUP($A201&amp;$B201,data!$A:$U,13,FALSE)</f>
        <v>3</v>
      </c>
      <c r="R201" s="3">
        <f ca="1">VLOOKUP($A201&amp;$B201,data!$A:$U,5,FALSE)</f>
        <v>50</v>
      </c>
      <c r="S201" s="3">
        <f ca="1">VLOOKUP($A201&amp;$B201,data!$A:$U,6,FALSE)</f>
        <v>27</v>
      </c>
      <c r="T201" s="3">
        <f ca="1">VLOOKUP($A201&amp;$B201,data!$A:$U,7,FALSE)</f>
        <v>23</v>
      </c>
    </row>
    <row r="202" spans="1:20" ht="13" x14ac:dyDescent="0.15">
      <c r="A202" s="3" t="s">
        <v>11</v>
      </c>
      <c r="B202" s="3" t="s">
        <v>836</v>
      </c>
      <c r="C202" s="10">
        <f t="shared" ca="1" si="0"/>
        <v>0.72499999999999998</v>
      </c>
      <c r="D202" s="5">
        <f ca="1">VLOOKUP($A202&amp;$B202,data!$A:$U,20,FALSE)</f>
        <v>44305.462395833303</v>
      </c>
      <c r="E202" s="3">
        <f ca="1">VLOOKUP($A202&amp;$B202,data!$A:$U,21,FALSE)</f>
        <v>0</v>
      </c>
      <c r="F202" s="3">
        <f ca="1">VLOOKUP($A202&amp;$B202,data!$A:$U,17,FALSE)</f>
        <v>2</v>
      </c>
      <c r="G202" s="3">
        <f ca="1">VLOOKUP($A202&amp;$B202,data!$A:$U,18,FALSE)</f>
        <v>0</v>
      </c>
      <c r="H202" s="3">
        <f ca="1">VLOOKUP($A202&amp;$B202,data!$A:$U,19,FALSE)</f>
        <v>2</v>
      </c>
      <c r="I202" s="3">
        <f ca="1">VLOOKUP($A202&amp;$B202,data!$A:$U,14,FALSE)</f>
        <v>7</v>
      </c>
      <c r="J202" s="3">
        <f ca="1">VLOOKUP($A202&amp;$B202,data!$A:$U,15,FALSE)</f>
        <v>0</v>
      </c>
      <c r="K202" s="3">
        <f ca="1">VLOOKUP($A202&amp;$B202,data!$A:$U,16,FALSE)</f>
        <v>7</v>
      </c>
      <c r="L202" s="3">
        <f ca="1">VLOOKUP($A202&amp;$B202,data!$A:$U,8,FALSE)</f>
        <v>31</v>
      </c>
      <c r="M202" s="3">
        <f ca="1">VLOOKUP($A202&amp;$B202,data!$A:$U,9,FALSE)</f>
        <v>11</v>
      </c>
      <c r="N202" s="3">
        <f ca="1">VLOOKUP($A202&amp;$B202,data!$A:$U,10,FALSE)</f>
        <v>20</v>
      </c>
      <c r="O202" s="3">
        <f ca="1">VLOOKUP($A202&amp;$B202,data!$A:$U,11,FALSE)</f>
        <v>11</v>
      </c>
      <c r="P202" s="3">
        <f ca="1">VLOOKUP($A202&amp;$B202,data!$A:$U,12,FALSE)</f>
        <v>11</v>
      </c>
      <c r="Q202" s="3">
        <f ca="1">VLOOKUP($A202&amp;$B202,data!$A:$U,13,FALSE)</f>
        <v>11</v>
      </c>
      <c r="R202" s="3">
        <f ca="1">VLOOKUP($A202&amp;$B202,data!$A:$U,5,FALSE)</f>
        <v>31</v>
      </c>
      <c r="S202" s="3">
        <f ca="1">VLOOKUP($A202&amp;$B202,data!$A:$U,6,FALSE)</f>
        <v>11</v>
      </c>
      <c r="T202" s="3">
        <f ca="1">VLOOKUP($A202&amp;$B202,data!$A:$U,7,FALSE)</f>
        <v>20</v>
      </c>
    </row>
    <row r="203" spans="1:20" ht="13" x14ac:dyDescent="0.15">
      <c r="A203" s="3" t="s">
        <v>11</v>
      </c>
      <c r="B203" s="3" t="s">
        <v>351</v>
      </c>
      <c r="C203" s="10">
        <f t="shared" ca="1" si="0"/>
        <v>0</v>
      </c>
      <c r="D203" s="5">
        <f ca="1">VLOOKUP($A203&amp;$B203,data!$A:$U,20,FALSE)</f>
        <v>44305.421967592498</v>
      </c>
      <c r="E203" s="3">
        <f ca="1">VLOOKUP($A203&amp;$B203,data!$A:$U,21,FALSE)</f>
        <v>0</v>
      </c>
      <c r="F203" s="3">
        <f ca="1">VLOOKUP($A203&amp;$B203,data!$A:$U,17,FALSE)</f>
        <v>4</v>
      </c>
      <c r="G203" s="3">
        <f ca="1">VLOOKUP($A203&amp;$B203,data!$A:$U,18,FALSE)</f>
        <v>2</v>
      </c>
      <c r="H203" s="3">
        <f ca="1">VLOOKUP($A203&amp;$B203,data!$A:$U,19,FALSE)</f>
        <v>2</v>
      </c>
      <c r="I203" s="3">
        <f ca="1">VLOOKUP($A203&amp;$B203,data!$A:$U,14,FALSE)</f>
        <v>11</v>
      </c>
      <c r="J203" s="3">
        <f ca="1">VLOOKUP($A203&amp;$B203,data!$A:$U,15,FALSE)</f>
        <v>11</v>
      </c>
      <c r="K203" s="3">
        <f ca="1">VLOOKUP($A203&amp;$B203,data!$A:$U,16,FALSE)</f>
        <v>0</v>
      </c>
      <c r="L203" s="3">
        <f ca="1">VLOOKUP($A203&amp;$B203,data!$A:$U,8,FALSE)</f>
        <v>34</v>
      </c>
      <c r="M203" s="3">
        <f ca="1">VLOOKUP($A203&amp;$B203,data!$A:$U,9,FALSE)</f>
        <v>34</v>
      </c>
      <c r="N203" s="3">
        <f ca="1">VLOOKUP($A203&amp;$B203,data!$A:$U,10,FALSE)</f>
        <v>0</v>
      </c>
      <c r="O203" s="3">
        <f ca="1">VLOOKUP($A203&amp;$B203,data!$A:$U,11,FALSE)</f>
        <v>55</v>
      </c>
      <c r="P203" s="3">
        <f ca="1">VLOOKUP($A203&amp;$B203,data!$A:$U,12,FALSE)</f>
        <v>55</v>
      </c>
      <c r="Q203" s="3">
        <f ca="1">VLOOKUP($A203&amp;$B203,data!$A:$U,13,FALSE)</f>
        <v>0</v>
      </c>
      <c r="R203" s="3">
        <f ca="1">VLOOKUP($A203&amp;$B203,data!$A:$U,5,FALSE)</f>
        <v>100</v>
      </c>
      <c r="S203" s="3">
        <f ca="1">VLOOKUP($A203&amp;$B203,data!$A:$U,6,FALSE)</f>
        <v>100</v>
      </c>
      <c r="T203" s="3">
        <f ca="1">VLOOKUP($A203&amp;$B203,data!$A:$U,7,FALSE)</f>
        <v>0</v>
      </c>
    </row>
    <row r="204" spans="1:20" ht="13" x14ac:dyDescent="0.15">
      <c r="A204" s="3" t="s">
        <v>12</v>
      </c>
      <c r="B204" s="3" t="s">
        <v>1088</v>
      </c>
      <c r="C204" s="10">
        <f t="shared" ca="1" si="0"/>
        <v>1</v>
      </c>
      <c r="D204" s="5">
        <f ca="1">VLOOKUP($A204&amp;$B204,data!$A:$U,20,FALSE)</f>
        <v>44305.326979166603</v>
      </c>
      <c r="E204" s="3" t="str">
        <f ca="1">VLOOKUP($A204&amp;$B204,data!$A:$U,21,FALSE)</f>
        <v>19-04-2021</v>
      </c>
      <c r="F204" s="3">
        <f ca="1">VLOOKUP($A204&amp;$B204,data!$A:$U,17,FALSE)</f>
        <v>1</v>
      </c>
      <c r="G204" s="3">
        <f ca="1">VLOOKUP($A204&amp;$B204,data!$A:$U,18,FALSE)</f>
        <v>0</v>
      </c>
      <c r="H204" s="3">
        <f ca="1">VLOOKUP($A204&amp;$B204,data!$A:$U,19,FALSE)</f>
        <v>1</v>
      </c>
      <c r="I204" s="3">
        <f ca="1">VLOOKUP($A204&amp;$B204,data!$A:$U,14,FALSE)</f>
        <v>6</v>
      </c>
      <c r="J204" s="3">
        <f ca="1">VLOOKUP($A204&amp;$B204,data!$A:$U,15,FALSE)</f>
        <v>0</v>
      </c>
      <c r="K204" s="3">
        <f ca="1">VLOOKUP($A204&amp;$B204,data!$A:$U,16,FALSE)</f>
        <v>6</v>
      </c>
      <c r="L204" s="3">
        <f ca="1">VLOOKUP($A204&amp;$B204,data!$A:$U,8,FALSE)</f>
        <v>5</v>
      </c>
      <c r="M204" s="3">
        <f ca="1">VLOOKUP($A204&amp;$B204,data!$A:$U,9,FALSE)</f>
        <v>0</v>
      </c>
      <c r="N204" s="3">
        <f ca="1">VLOOKUP($A204&amp;$B204,data!$A:$U,10,FALSE)</f>
        <v>5</v>
      </c>
      <c r="O204" s="3">
        <f ca="1">VLOOKUP($A204&amp;$B204,data!$A:$U,11,FALSE)</f>
        <v>10</v>
      </c>
      <c r="P204" s="3">
        <f ca="1">VLOOKUP($A204&amp;$B204,data!$A:$U,12,FALSE)</f>
        <v>0</v>
      </c>
      <c r="Q204" s="3">
        <f ca="1">VLOOKUP($A204&amp;$B204,data!$A:$U,13,FALSE)</f>
        <v>10</v>
      </c>
      <c r="R204" s="3">
        <f ca="1">VLOOKUP($A204&amp;$B204,data!$A:$U,5,FALSE)</f>
        <v>15</v>
      </c>
      <c r="S204" s="3">
        <f ca="1">VLOOKUP($A204&amp;$B204,data!$A:$U,6,FALSE)</f>
        <v>0</v>
      </c>
      <c r="T204" s="3">
        <f ca="1">VLOOKUP($A204&amp;$B204,data!$A:$U,7,FALSE)</f>
        <v>15</v>
      </c>
    </row>
    <row r="205" spans="1:20" ht="13" x14ac:dyDescent="0.15">
      <c r="A205" s="3" t="s">
        <v>12</v>
      </c>
      <c r="B205" s="3" t="s">
        <v>1094</v>
      </c>
      <c r="C205" s="10">
        <f t="shared" ca="1" si="0"/>
        <v>0.93333333333333335</v>
      </c>
      <c r="D205" s="5">
        <f ca="1">VLOOKUP($A205&amp;$B205,data!$A:$U,20,FALSE)</f>
        <v>44305.313148148103</v>
      </c>
      <c r="E205" s="3" t="str">
        <f ca="1">VLOOKUP($A205&amp;$B205,data!$A:$U,21,FALSE)</f>
        <v>19.04.2021</v>
      </c>
      <c r="F205" s="3">
        <f ca="1">VLOOKUP($A205&amp;$B205,data!$A:$U,17,FALSE)</f>
        <v>5</v>
      </c>
      <c r="G205" s="3">
        <f ca="1">VLOOKUP($A205&amp;$B205,data!$A:$U,18,FALSE)</f>
        <v>0</v>
      </c>
      <c r="H205" s="3">
        <f ca="1">VLOOKUP($A205&amp;$B205,data!$A:$U,19,FALSE)</f>
        <v>5</v>
      </c>
      <c r="I205" s="3">
        <f ca="1">VLOOKUP($A205&amp;$B205,data!$A:$U,14,FALSE)</f>
        <v>0</v>
      </c>
      <c r="J205" s="3">
        <f ca="1">VLOOKUP($A205&amp;$B205,data!$A:$U,15,FALSE)</f>
        <v>0</v>
      </c>
      <c r="K205" s="3">
        <f ca="1">VLOOKUP($A205&amp;$B205,data!$A:$U,16,FALSE)</f>
        <v>0</v>
      </c>
      <c r="L205" s="3">
        <f ca="1">VLOOKUP($A205&amp;$B205,data!$A:$U,8,FALSE)</f>
        <v>8</v>
      </c>
      <c r="M205" s="3">
        <f ca="1">VLOOKUP($A205&amp;$B205,data!$A:$U,9,FALSE)</f>
        <v>1</v>
      </c>
      <c r="N205" s="3">
        <f ca="1">VLOOKUP($A205&amp;$B205,data!$A:$U,10,FALSE)</f>
        <v>7</v>
      </c>
      <c r="O205" s="3">
        <f ca="1">VLOOKUP($A205&amp;$B205,data!$A:$U,11,FALSE)</f>
        <v>7</v>
      </c>
      <c r="P205" s="3">
        <f ca="1">VLOOKUP($A205&amp;$B205,data!$A:$U,12,FALSE)</f>
        <v>0</v>
      </c>
      <c r="Q205" s="3">
        <f ca="1">VLOOKUP($A205&amp;$B205,data!$A:$U,13,FALSE)</f>
        <v>7</v>
      </c>
      <c r="R205" s="3">
        <f ca="1">VLOOKUP($A205&amp;$B205,data!$A:$U,5,FALSE)</f>
        <v>15</v>
      </c>
      <c r="S205" s="3">
        <f ca="1">VLOOKUP($A205&amp;$B205,data!$A:$U,6,FALSE)</f>
        <v>1</v>
      </c>
      <c r="T205" s="3">
        <f ca="1">VLOOKUP($A205&amp;$B205,data!$A:$U,7,FALSE)</f>
        <v>14</v>
      </c>
    </row>
    <row r="206" spans="1:20" ht="13" x14ac:dyDescent="0.15">
      <c r="A206" s="3" t="s">
        <v>12</v>
      </c>
      <c r="B206" s="3" t="s">
        <v>846</v>
      </c>
      <c r="C206" s="10">
        <f t="shared" ca="1" si="0"/>
        <v>0.33333333333333331</v>
      </c>
      <c r="D206" s="5">
        <f ca="1">VLOOKUP($A206&amp;$B206,data!$A:$U,20,FALSE)</f>
        <v>44305.2799884259</v>
      </c>
      <c r="E206" s="3" t="str">
        <f ca="1">VLOOKUP($A206&amp;$B206,data!$A:$U,21,FALSE)</f>
        <v>19.04.2021</v>
      </c>
      <c r="F206" s="3">
        <f ca="1">VLOOKUP($A206&amp;$B206,data!$A:$U,17,FALSE)</f>
        <v>3</v>
      </c>
      <c r="G206" s="3">
        <f ca="1">VLOOKUP($A206&amp;$B206,data!$A:$U,18,FALSE)</f>
        <v>0</v>
      </c>
      <c r="H206" s="3">
        <f ca="1">VLOOKUP($A206&amp;$B206,data!$A:$U,19,FALSE)</f>
        <v>3</v>
      </c>
      <c r="I206" s="3">
        <f ca="1">VLOOKUP($A206&amp;$B206,data!$A:$U,14,FALSE)</f>
        <v>0</v>
      </c>
      <c r="J206" s="3">
        <f ca="1">VLOOKUP($A206&amp;$B206,data!$A:$U,15,FALSE)</f>
        <v>6</v>
      </c>
      <c r="K206" s="3">
        <f ca="1">VLOOKUP($A206&amp;$B206,data!$A:$U,16,FALSE)</f>
        <v>2</v>
      </c>
      <c r="L206" s="3">
        <f ca="1">VLOOKUP($A206&amp;$B206,data!$A:$U,8,FALSE)</f>
        <v>30</v>
      </c>
      <c r="M206" s="3">
        <f ca="1">VLOOKUP($A206&amp;$B206,data!$A:$U,9,FALSE)</f>
        <v>21</v>
      </c>
      <c r="N206" s="3">
        <f ca="1">VLOOKUP($A206&amp;$B206,data!$A:$U,10,FALSE)</f>
        <v>9</v>
      </c>
      <c r="O206" s="3">
        <f ca="1">VLOOKUP($A206&amp;$B206,data!$A:$U,11,FALSE)</f>
        <v>0</v>
      </c>
      <c r="P206" s="3">
        <f ca="1">VLOOKUP($A206&amp;$B206,data!$A:$U,12,FALSE)</f>
        <v>0</v>
      </c>
      <c r="Q206" s="3">
        <f ca="1">VLOOKUP($A206&amp;$B206,data!$A:$U,13,FALSE)</f>
        <v>0</v>
      </c>
      <c r="R206" s="3">
        <f ca="1">VLOOKUP($A206&amp;$B206,data!$A:$U,5,FALSE)</f>
        <v>30</v>
      </c>
      <c r="S206" s="3">
        <f ca="1">VLOOKUP($A206&amp;$B206,data!$A:$U,6,FALSE)</f>
        <v>21</v>
      </c>
      <c r="T206" s="3">
        <f ca="1">VLOOKUP($A206&amp;$B206,data!$A:$U,7,FALSE)</f>
        <v>9</v>
      </c>
    </row>
    <row r="207" spans="1:20" ht="13" x14ac:dyDescent="0.15">
      <c r="A207" s="3" t="s">
        <v>12</v>
      </c>
      <c r="B207" s="3" t="s">
        <v>1185</v>
      </c>
      <c r="C207" s="10">
        <f t="shared" ca="1" si="0"/>
        <v>0.89473684210526316</v>
      </c>
      <c r="D207" s="5">
        <f ca="1">VLOOKUP($A207&amp;$B207,data!$A:$U,20,FALSE)</f>
        <v>44305.309050925898</v>
      </c>
      <c r="E207" s="3" t="str">
        <f ca="1">VLOOKUP($A207&amp;$B207,data!$A:$U,21,FALSE)</f>
        <v>19.04.2021</v>
      </c>
      <c r="F207" s="3">
        <f ca="1">VLOOKUP($A207&amp;$B207,data!$A:$U,17,FALSE)</f>
        <v>1</v>
      </c>
      <c r="G207" s="3">
        <f ca="1">VLOOKUP($A207&amp;$B207,data!$A:$U,18,FALSE)</f>
        <v>0</v>
      </c>
      <c r="H207" s="3">
        <f ca="1">VLOOKUP($A207&amp;$B207,data!$A:$U,19,FALSE)</f>
        <v>1</v>
      </c>
      <c r="I207" s="3">
        <f ca="1">VLOOKUP($A207&amp;$B207,data!$A:$U,14,FALSE)</f>
        <v>3</v>
      </c>
      <c r="J207" s="3">
        <f ca="1">VLOOKUP($A207&amp;$B207,data!$A:$U,15,FALSE)</f>
        <v>0</v>
      </c>
      <c r="K207" s="3">
        <f ca="1">VLOOKUP($A207&amp;$B207,data!$A:$U,16,FALSE)</f>
        <v>3</v>
      </c>
      <c r="L207" s="3">
        <f ca="1">VLOOKUP($A207&amp;$B207,data!$A:$U,8,FALSE)</f>
        <v>6</v>
      </c>
      <c r="M207" s="3">
        <f ca="1">VLOOKUP($A207&amp;$B207,data!$A:$U,9,FALSE)</f>
        <v>1</v>
      </c>
      <c r="N207" s="3">
        <f ca="1">VLOOKUP($A207&amp;$B207,data!$A:$U,10,FALSE)</f>
        <v>5</v>
      </c>
      <c r="O207" s="3">
        <f ca="1">VLOOKUP($A207&amp;$B207,data!$A:$U,11,FALSE)</f>
        <v>0</v>
      </c>
      <c r="P207" s="3">
        <f ca="1">VLOOKUP($A207&amp;$B207,data!$A:$U,12,FALSE)</f>
        <v>0</v>
      </c>
      <c r="Q207" s="3">
        <f ca="1">VLOOKUP($A207&amp;$B207,data!$A:$U,13,FALSE)</f>
        <v>0</v>
      </c>
      <c r="R207" s="3">
        <f ca="1">VLOOKUP($A207&amp;$B207,data!$A:$U,5,FALSE)</f>
        <v>10</v>
      </c>
      <c r="S207" s="3">
        <f ca="1">VLOOKUP($A207&amp;$B207,data!$A:$U,6,FALSE)</f>
        <v>1</v>
      </c>
      <c r="T207" s="3">
        <f ca="1">VLOOKUP($A207&amp;$B207,data!$A:$U,7,FALSE)</f>
        <v>9</v>
      </c>
    </row>
    <row r="208" spans="1:20" ht="13" x14ac:dyDescent="0.15">
      <c r="A208" s="3" t="s">
        <v>12</v>
      </c>
      <c r="B208" s="3" t="s">
        <v>354</v>
      </c>
      <c r="C208" s="10">
        <f t="shared" ca="1" si="0"/>
        <v>0.41025641025641024</v>
      </c>
      <c r="D208" s="5">
        <f ca="1">VLOOKUP($A208&amp;$B208,data!$A:$U,20,FALSE)</f>
        <v>44305.310046296298</v>
      </c>
      <c r="E208" s="3" t="str">
        <f ca="1">VLOOKUP($A208&amp;$B208,data!$A:$U,21,FALSE)</f>
        <v>19.04.2021</v>
      </c>
      <c r="F208" s="3">
        <f ca="1">VLOOKUP($A208&amp;$B208,data!$A:$U,17,FALSE)</f>
        <v>2</v>
      </c>
      <c r="G208" s="3">
        <f ca="1">VLOOKUP($A208&amp;$B208,data!$A:$U,18,FALSE)</f>
        <v>0</v>
      </c>
      <c r="H208" s="3">
        <f ca="1">VLOOKUP($A208&amp;$B208,data!$A:$U,19,FALSE)</f>
        <v>2</v>
      </c>
      <c r="I208" s="3">
        <f ca="1">VLOOKUP($A208&amp;$B208,data!$A:$U,14,FALSE)</f>
        <v>12</v>
      </c>
      <c r="J208" s="3">
        <f ca="1">VLOOKUP($A208&amp;$B208,data!$A:$U,15,FALSE)</f>
        <v>6</v>
      </c>
      <c r="K208" s="3">
        <f ca="1">VLOOKUP($A208&amp;$B208,data!$A:$U,16,FALSE)</f>
        <v>12</v>
      </c>
      <c r="L208" s="3">
        <f ca="1">VLOOKUP($A208&amp;$B208,data!$A:$U,8,FALSE)</f>
        <v>4</v>
      </c>
      <c r="M208" s="3">
        <f ca="1">VLOOKUP($A208&amp;$B208,data!$A:$U,9,FALSE)</f>
        <v>0</v>
      </c>
      <c r="N208" s="3">
        <f ca="1">VLOOKUP($A208&amp;$B208,data!$A:$U,10,FALSE)</f>
        <v>4</v>
      </c>
      <c r="O208" s="3">
        <f ca="1">VLOOKUP($A208&amp;$B208,data!$A:$U,11,FALSE)</f>
        <v>4</v>
      </c>
      <c r="P208" s="3">
        <f ca="1">VLOOKUP($A208&amp;$B208,data!$A:$U,12,FALSE)</f>
        <v>0</v>
      </c>
      <c r="Q208" s="3">
        <f ca="1">VLOOKUP($A208&amp;$B208,data!$A:$U,13,FALSE)</f>
        <v>0</v>
      </c>
      <c r="R208" s="3">
        <f ca="1">VLOOKUP($A208&amp;$B208,data!$A:$U,5,FALSE)</f>
        <v>19</v>
      </c>
      <c r="S208" s="3">
        <f ca="1">VLOOKUP($A208&amp;$B208,data!$A:$U,6,FALSE)</f>
        <v>19</v>
      </c>
      <c r="T208" s="3">
        <f ca="1">VLOOKUP($A208&amp;$B208,data!$A:$U,7,FALSE)</f>
        <v>0</v>
      </c>
    </row>
    <row r="209" spans="1:20" ht="13" x14ac:dyDescent="0.15">
      <c r="A209" s="3" t="s">
        <v>12</v>
      </c>
      <c r="B209" s="3" t="s">
        <v>355</v>
      </c>
      <c r="C209" s="10">
        <f t="shared" ca="1" si="0"/>
        <v>2.5000000000000001E-2</v>
      </c>
      <c r="D209" s="5">
        <f ca="1">VLOOKUP($A209&amp;$B209,data!$A:$U,20,FALSE)</f>
        <v>44305.3066550925</v>
      </c>
      <c r="E209" s="3" t="str">
        <f ca="1">VLOOKUP($A209&amp;$B209,data!$A:$U,21,FALSE)</f>
        <v>19.04.2021</v>
      </c>
      <c r="F209" s="3">
        <f ca="1">VLOOKUP($A209&amp;$B209,data!$A:$U,17,FALSE)</f>
        <v>2</v>
      </c>
      <c r="G209" s="3">
        <f ca="1">VLOOKUP($A209&amp;$B209,data!$A:$U,18,FALSE)</f>
        <v>0</v>
      </c>
      <c r="H209" s="3">
        <f ca="1">VLOOKUP($A209&amp;$B209,data!$A:$U,19,FALSE)</f>
        <v>2</v>
      </c>
      <c r="I209" s="3">
        <f ca="1">VLOOKUP($A209&amp;$B209,data!$A:$U,14,FALSE)</f>
        <v>2</v>
      </c>
      <c r="J209" s="3">
        <f ca="1">VLOOKUP($A209&amp;$B209,data!$A:$U,15,FALSE)</f>
        <v>1</v>
      </c>
      <c r="K209" s="3">
        <f ca="1">VLOOKUP($A209&amp;$B209,data!$A:$U,16,FALSE)</f>
        <v>1</v>
      </c>
      <c r="L209" s="3">
        <f ca="1">VLOOKUP($A209&amp;$B209,data!$A:$U,8,FALSE)</f>
        <v>19</v>
      </c>
      <c r="M209" s="3">
        <f ca="1">VLOOKUP($A209&amp;$B209,data!$A:$U,9,FALSE)</f>
        <v>19</v>
      </c>
      <c r="N209" s="3">
        <f ca="1">VLOOKUP($A209&amp;$B209,data!$A:$U,10,FALSE)</f>
        <v>0</v>
      </c>
      <c r="O209" s="3">
        <f ca="1">VLOOKUP($A209&amp;$B209,data!$A:$U,11,FALSE)</f>
        <v>0</v>
      </c>
      <c r="P209" s="3">
        <f ca="1">VLOOKUP($A209&amp;$B209,data!$A:$U,12,FALSE)</f>
        <v>0</v>
      </c>
      <c r="Q209" s="3">
        <f ca="1">VLOOKUP($A209&amp;$B209,data!$A:$U,13,FALSE)</f>
        <v>0</v>
      </c>
      <c r="R209" s="3">
        <f ca="1">VLOOKUP($A209&amp;$B209,data!$A:$U,5,FALSE)</f>
        <v>19</v>
      </c>
      <c r="S209" s="3">
        <f ca="1">VLOOKUP($A209&amp;$B209,data!$A:$U,6,FALSE)</f>
        <v>19</v>
      </c>
      <c r="T209" s="3">
        <f ca="1">VLOOKUP($A209&amp;$B209,data!$A:$U,7,FALSE)</f>
        <v>0</v>
      </c>
    </row>
    <row r="210" spans="1:20" ht="13" x14ac:dyDescent="0.15">
      <c r="A210" s="3" t="s">
        <v>13</v>
      </c>
      <c r="B210" s="3" t="s">
        <v>850</v>
      </c>
      <c r="C210" s="10">
        <f t="shared" ca="1" si="0"/>
        <v>0.36666666666666664</v>
      </c>
      <c r="D210" s="5">
        <f ca="1">VLOOKUP($A210&amp;$B210,data!$A:$U,20,FALSE)</f>
        <v>44305.442858796298</v>
      </c>
      <c r="E210" s="3">
        <f ca="1">VLOOKUP($A210&amp;$B210,data!$A:$U,21,FALSE)</f>
        <v>0</v>
      </c>
      <c r="F210" s="3">
        <f ca="1">VLOOKUP($A210&amp;$B210,data!$A:$U,17,FALSE)</f>
        <v>0</v>
      </c>
      <c r="G210" s="3">
        <f ca="1">VLOOKUP($A210&amp;$B210,data!$A:$U,18,FALSE)</f>
        <v>0</v>
      </c>
      <c r="H210" s="3">
        <f ca="1">VLOOKUP($A210&amp;$B210,data!$A:$U,19,FALSE)</f>
        <v>0</v>
      </c>
      <c r="I210" s="3">
        <f ca="1">VLOOKUP($A210&amp;$B210,data!$A:$U,14,FALSE)</f>
        <v>0</v>
      </c>
      <c r="J210" s="3">
        <f ca="1">VLOOKUP($A210&amp;$B210,data!$A:$U,15,FALSE)</f>
        <v>0</v>
      </c>
      <c r="K210" s="3">
        <f ca="1">VLOOKUP($A210&amp;$B210,data!$A:$U,16,FALSE)</f>
        <v>0</v>
      </c>
      <c r="L210" s="3">
        <f ca="1">VLOOKUP($A210&amp;$B210,data!$A:$U,8,FALSE)</f>
        <v>85</v>
      </c>
      <c r="M210" s="3">
        <f ca="1">VLOOKUP($A210&amp;$B210,data!$A:$U,9,FALSE)</f>
        <v>68</v>
      </c>
      <c r="N210" s="3">
        <f ca="1">VLOOKUP($A210&amp;$B210,data!$A:$U,10,FALSE)</f>
        <v>17</v>
      </c>
      <c r="O210" s="3">
        <f ca="1">VLOOKUP($A210&amp;$B210,data!$A:$U,11,FALSE)</f>
        <v>5</v>
      </c>
      <c r="P210" s="3">
        <f ca="1">VLOOKUP($A210&amp;$B210,data!$A:$U,12,FALSE)</f>
        <v>0</v>
      </c>
      <c r="Q210" s="3">
        <f ca="1">VLOOKUP($A210&amp;$B210,data!$A:$U,13,FALSE)</f>
        <v>5</v>
      </c>
      <c r="R210" s="3">
        <f ca="1">VLOOKUP($A210&amp;$B210,data!$A:$U,5,FALSE)</f>
        <v>90</v>
      </c>
      <c r="S210" s="3">
        <f ca="1">VLOOKUP($A210&amp;$B210,data!$A:$U,6,FALSE)</f>
        <v>46</v>
      </c>
      <c r="T210" s="3">
        <f ca="1">VLOOKUP($A210&amp;$B210,data!$A:$U,7,FALSE)</f>
        <v>44</v>
      </c>
    </row>
    <row r="211" spans="1:20" ht="13" x14ac:dyDescent="0.15">
      <c r="A211" s="3" t="s">
        <v>13</v>
      </c>
      <c r="B211" s="3" t="s">
        <v>1144</v>
      </c>
      <c r="C211" s="10">
        <f t="shared" ca="1" si="0"/>
        <v>0.92500000000000004</v>
      </c>
      <c r="D211" s="5">
        <f ca="1">VLOOKUP($A211&amp;$B211,data!$A:$U,20,FALSE)</f>
        <v>44172.370706018497</v>
      </c>
      <c r="E211" s="3" t="str">
        <f ca="1">VLOOKUP($A211&amp;$B211,data!$A:$U,21,FALSE)</f>
        <v>Nil</v>
      </c>
      <c r="F211" s="3">
        <f ca="1">VLOOKUP($A211&amp;$B211,data!$A:$U,17,FALSE)</f>
        <v>0</v>
      </c>
      <c r="G211" s="3">
        <f ca="1">VLOOKUP($A211&amp;$B211,data!$A:$U,18,FALSE)</f>
        <v>0</v>
      </c>
      <c r="H211" s="3">
        <f ca="1">VLOOKUP($A211&amp;$B211,data!$A:$U,19,FALSE)</f>
        <v>0</v>
      </c>
      <c r="I211" s="3">
        <f ca="1">VLOOKUP($A211&amp;$B211,data!$A:$U,14,FALSE)</f>
        <v>0</v>
      </c>
      <c r="J211" s="3">
        <f ca="1">VLOOKUP($A211&amp;$B211,data!$A:$U,15,FALSE)</f>
        <v>0</v>
      </c>
      <c r="K211" s="3">
        <f ca="1">VLOOKUP($A211&amp;$B211,data!$A:$U,16,FALSE)</f>
        <v>0</v>
      </c>
      <c r="L211" s="3">
        <f ca="1">VLOOKUP($A211&amp;$B211,data!$A:$U,8,FALSE)</f>
        <v>40</v>
      </c>
      <c r="M211" s="3">
        <f ca="1">VLOOKUP($A211&amp;$B211,data!$A:$U,9,FALSE)</f>
        <v>3</v>
      </c>
      <c r="N211" s="3">
        <f ca="1">VLOOKUP($A211&amp;$B211,data!$A:$U,10,FALSE)</f>
        <v>37</v>
      </c>
      <c r="O211" s="3">
        <f ca="1">VLOOKUP($A211&amp;$B211,data!$A:$U,11,FALSE)</f>
        <v>0</v>
      </c>
      <c r="P211" s="3">
        <f ca="1">VLOOKUP($A211&amp;$B211,data!$A:$U,12,FALSE)</f>
        <v>0</v>
      </c>
      <c r="Q211" s="3">
        <f ca="1">VLOOKUP($A211&amp;$B211,data!$A:$U,13,FALSE)</f>
        <v>0</v>
      </c>
      <c r="R211" s="3">
        <f ca="1">VLOOKUP($A211&amp;$B211,data!$A:$U,5,FALSE)</f>
        <v>40</v>
      </c>
      <c r="S211" s="3">
        <f ca="1">VLOOKUP($A211&amp;$B211,data!$A:$U,6,FALSE)</f>
        <v>3</v>
      </c>
      <c r="T211" s="3">
        <f ca="1">VLOOKUP($A211&amp;$B211,data!$A:$U,7,FALSE)</f>
        <v>37</v>
      </c>
    </row>
    <row r="212" spans="1:20" ht="13" x14ac:dyDescent="0.15">
      <c r="A212" s="3" t="s">
        <v>13</v>
      </c>
      <c r="B212" s="3" t="s">
        <v>1150</v>
      </c>
      <c r="C212" s="10">
        <f t="shared" ca="1" si="0"/>
        <v>0.83333333333333337</v>
      </c>
      <c r="D212" s="5">
        <f ca="1">VLOOKUP($A212&amp;$B212,data!$A:$U,20,FALSE)</f>
        <v>44301.418923611098</v>
      </c>
      <c r="E212" s="3" t="str">
        <f ca="1">VLOOKUP($A212&amp;$B212,data!$A:$U,21,FALSE)</f>
        <v>NIL nil. NIL</v>
      </c>
      <c r="F212" s="3">
        <f ca="1">VLOOKUP($A212&amp;$B212,data!$A:$U,17,FALSE)</f>
        <v>1</v>
      </c>
      <c r="G212" s="3">
        <f ca="1">VLOOKUP($A212&amp;$B212,data!$A:$U,18,FALSE)</f>
        <v>0</v>
      </c>
      <c r="H212" s="3">
        <f ca="1">VLOOKUP($A212&amp;$B212,data!$A:$U,19,FALSE)</f>
        <v>1</v>
      </c>
      <c r="I212" s="3">
        <f ca="1">VLOOKUP($A212&amp;$B212,data!$A:$U,14,FALSE)</f>
        <v>0</v>
      </c>
      <c r="J212" s="3">
        <f ca="1">VLOOKUP($A212&amp;$B212,data!$A:$U,15,FALSE)</f>
        <v>0</v>
      </c>
      <c r="K212" s="3">
        <f ca="1">VLOOKUP($A212&amp;$B212,data!$A:$U,16,FALSE)</f>
        <v>0</v>
      </c>
      <c r="L212" s="3">
        <f ca="1">VLOOKUP($A212&amp;$B212,data!$A:$U,8,FALSE)</f>
        <v>20</v>
      </c>
      <c r="M212" s="3">
        <f ca="1">VLOOKUP($A212&amp;$B212,data!$A:$U,9,FALSE)</f>
        <v>7</v>
      </c>
      <c r="N212" s="3">
        <f ca="1">VLOOKUP($A212&amp;$B212,data!$A:$U,10,FALSE)</f>
        <v>13</v>
      </c>
      <c r="O212" s="3">
        <f ca="1">VLOOKUP($A212&amp;$B212,data!$A:$U,11,FALSE)</f>
        <v>10</v>
      </c>
      <c r="P212" s="3">
        <f ca="1">VLOOKUP($A212&amp;$B212,data!$A:$U,12,FALSE)</f>
        <v>3</v>
      </c>
      <c r="Q212" s="3">
        <f ca="1">VLOOKUP($A212&amp;$B212,data!$A:$U,13,FALSE)</f>
        <v>7</v>
      </c>
      <c r="R212" s="3">
        <f ca="1">VLOOKUP($A212&amp;$B212,data!$A:$U,5,FALSE)</f>
        <v>30</v>
      </c>
      <c r="S212" s="3">
        <f ca="1">VLOOKUP($A212&amp;$B212,data!$A:$U,6,FALSE)</f>
        <v>0</v>
      </c>
      <c r="T212" s="3">
        <f ca="1">VLOOKUP($A212&amp;$B212,data!$A:$U,7,FALSE)</f>
        <v>30</v>
      </c>
    </row>
    <row r="213" spans="1:20" ht="13" x14ac:dyDescent="0.15">
      <c r="A213" s="3" t="s">
        <v>13</v>
      </c>
      <c r="B213" s="3" t="s">
        <v>1142</v>
      </c>
      <c r="C213" s="10">
        <f t="shared" ca="1" si="0"/>
        <v>0.32</v>
      </c>
      <c r="D213" s="5">
        <f ca="1">VLOOKUP($A213&amp;$B213,data!$A:$U,20,FALSE)</f>
        <v>44305.435162037</v>
      </c>
      <c r="E213" s="3" t="str">
        <f ca="1">VLOOKUP($A213&amp;$B213,data!$A:$U,21,FALSE)</f>
        <v>Nil</v>
      </c>
      <c r="F213" s="3">
        <f ca="1">VLOOKUP($A213&amp;$B213,data!$A:$U,17,FALSE)</f>
        <v>0</v>
      </c>
      <c r="G213" s="3">
        <f ca="1">VLOOKUP($A213&amp;$B213,data!$A:$U,18,FALSE)</f>
        <v>0</v>
      </c>
      <c r="H213" s="3">
        <f ca="1">VLOOKUP($A213&amp;$B213,data!$A:$U,19,FALSE)</f>
        <v>0</v>
      </c>
      <c r="I213" s="3">
        <f ca="1">VLOOKUP($A213&amp;$B213,data!$A:$U,14,FALSE)</f>
        <v>0</v>
      </c>
      <c r="J213" s="3">
        <f ca="1">VLOOKUP($A213&amp;$B213,data!$A:$U,15,FALSE)</f>
        <v>0</v>
      </c>
      <c r="K213" s="3">
        <f ca="1">VLOOKUP($A213&amp;$B213,data!$A:$U,16,FALSE)</f>
        <v>0</v>
      </c>
      <c r="L213" s="3">
        <f ca="1">VLOOKUP($A213&amp;$B213,data!$A:$U,8,FALSE)</f>
        <v>0</v>
      </c>
      <c r="M213" s="3">
        <f ca="1">VLOOKUP($A213&amp;$B213,data!$A:$U,9,FALSE)</f>
        <v>0</v>
      </c>
      <c r="N213" s="3">
        <f ca="1">VLOOKUP($A213&amp;$B213,data!$A:$U,10,FALSE)</f>
        <v>0</v>
      </c>
      <c r="O213" s="3">
        <f ca="1">VLOOKUP($A213&amp;$B213,data!$A:$U,11,FALSE)</f>
        <v>0</v>
      </c>
      <c r="P213" s="3">
        <f ca="1">VLOOKUP($A213&amp;$B213,data!$A:$U,12,FALSE)</f>
        <v>0</v>
      </c>
      <c r="Q213" s="3">
        <f ca="1">VLOOKUP($A213&amp;$B213,data!$A:$U,13,FALSE)</f>
        <v>0</v>
      </c>
      <c r="R213" s="3">
        <f ca="1">VLOOKUP($A213&amp;$B213,data!$A:$U,5,FALSE)</f>
        <v>50</v>
      </c>
      <c r="S213" s="3">
        <f ca="1">VLOOKUP($A213&amp;$B213,data!$A:$U,6,FALSE)</f>
        <v>34</v>
      </c>
      <c r="T213" s="3">
        <f ca="1">VLOOKUP($A213&amp;$B213,data!$A:$U,7,FALSE)</f>
        <v>16</v>
      </c>
    </row>
    <row r="214" spans="1:20" ht="13" x14ac:dyDescent="0.15">
      <c r="A214" s="3" t="s">
        <v>13</v>
      </c>
      <c r="B214" s="3" t="s">
        <v>358</v>
      </c>
      <c r="C214" s="10">
        <f t="shared" ca="1" si="0"/>
        <v>0.9</v>
      </c>
      <c r="D214" s="5">
        <f ca="1">VLOOKUP($A214&amp;$B214,data!$A:$U,20,FALSE)</f>
        <v>44305.443449074002</v>
      </c>
      <c r="E214" s="3">
        <f ca="1">VLOOKUP($A214&amp;$B214,data!$A:$U,21,FALSE)</f>
        <v>0</v>
      </c>
      <c r="F214" s="3">
        <f ca="1">VLOOKUP($A214&amp;$B214,data!$A:$U,17,FALSE)</f>
        <v>0</v>
      </c>
      <c r="G214" s="3">
        <f ca="1">VLOOKUP($A214&amp;$B214,data!$A:$U,18,FALSE)</f>
        <v>0</v>
      </c>
      <c r="H214" s="3">
        <f ca="1">VLOOKUP($A214&amp;$B214,data!$A:$U,19,FALSE)</f>
        <v>0</v>
      </c>
      <c r="I214" s="3">
        <f ca="1">VLOOKUP($A214&amp;$B214,data!$A:$U,14,FALSE)</f>
        <v>0</v>
      </c>
      <c r="J214" s="3">
        <f ca="1">VLOOKUP($A214&amp;$B214,data!$A:$U,15,FALSE)</f>
        <v>0</v>
      </c>
      <c r="K214" s="3">
        <f ca="1">VLOOKUP($A214&amp;$B214,data!$A:$U,16,FALSE)</f>
        <v>0</v>
      </c>
      <c r="L214" s="3">
        <f ca="1">VLOOKUP($A214&amp;$B214,data!$A:$U,8,FALSE)</f>
        <v>10</v>
      </c>
      <c r="M214" s="3">
        <f ca="1">VLOOKUP($A214&amp;$B214,data!$A:$U,9,FALSE)</f>
        <v>1</v>
      </c>
      <c r="N214" s="3">
        <f ca="1">VLOOKUP($A214&amp;$B214,data!$A:$U,10,FALSE)</f>
        <v>9</v>
      </c>
      <c r="O214" s="3">
        <f ca="1">VLOOKUP($A214&amp;$B214,data!$A:$U,11,FALSE)</f>
        <v>0</v>
      </c>
      <c r="P214" s="3">
        <f ca="1">VLOOKUP($A214&amp;$B214,data!$A:$U,12,FALSE)</f>
        <v>0</v>
      </c>
      <c r="Q214" s="3">
        <f ca="1">VLOOKUP($A214&amp;$B214,data!$A:$U,13,FALSE)</f>
        <v>0</v>
      </c>
      <c r="R214" s="3">
        <f ca="1">VLOOKUP($A214&amp;$B214,data!$A:$U,5,FALSE)</f>
        <v>10</v>
      </c>
      <c r="S214" s="3">
        <f ca="1">VLOOKUP($A214&amp;$B214,data!$A:$U,6,FALSE)</f>
        <v>1</v>
      </c>
      <c r="T214" s="3">
        <f ca="1">VLOOKUP($A214&amp;$B214,data!$A:$U,7,FALSE)</f>
        <v>9</v>
      </c>
    </row>
    <row r="215" spans="1:20" ht="13" x14ac:dyDescent="0.15">
      <c r="A215" s="3" t="s">
        <v>13</v>
      </c>
      <c r="B215" s="3" t="s">
        <v>767</v>
      </c>
      <c r="C215" s="10">
        <f t="shared" ca="1" si="0"/>
        <v>0.16666666666666666</v>
      </c>
      <c r="D215" s="5">
        <f ca="1">VLOOKUP($A215&amp;$B215,data!$A:$U,20,FALSE)</f>
        <v>44305.417650462899</v>
      </c>
      <c r="E215" s="3" t="str">
        <f ca="1">VLOOKUP($A215&amp;$B215,data!$A:$U,21,FALSE)</f>
        <v>.</v>
      </c>
      <c r="F215" s="3">
        <f ca="1">VLOOKUP($A215&amp;$B215,data!$A:$U,17,FALSE)</f>
        <v>0</v>
      </c>
      <c r="G215" s="3">
        <f ca="1">VLOOKUP($A215&amp;$B215,data!$A:$U,18,FALSE)</f>
        <v>0</v>
      </c>
      <c r="H215" s="3">
        <f ca="1">VLOOKUP($A215&amp;$B215,data!$A:$U,19,FALSE)</f>
        <v>0</v>
      </c>
      <c r="I215" s="3">
        <f ca="1">VLOOKUP($A215&amp;$B215,data!$A:$U,14,FALSE)</f>
        <v>0</v>
      </c>
      <c r="J215" s="3">
        <f ca="1">VLOOKUP($A215&amp;$B215,data!$A:$U,15,FALSE)</f>
        <v>0</v>
      </c>
      <c r="K215" s="3">
        <f ca="1">VLOOKUP($A215&amp;$B215,data!$A:$U,16,FALSE)</f>
        <v>0</v>
      </c>
      <c r="L215" s="3">
        <f ca="1">VLOOKUP($A215&amp;$B215,data!$A:$U,8,FALSE)</f>
        <v>30</v>
      </c>
      <c r="M215" s="3">
        <f ca="1">VLOOKUP($A215&amp;$B215,data!$A:$U,9,FALSE)</f>
        <v>25</v>
      </c>
      <c r="N215" s="3">
        <f ca="1">VLOOKUP($A215&amp;$B215,data!$A:$U,10,FALSE)</f>
        <v>5</v>
      </c>
      <c r="O215" s="3">
        <f ca="1">VLOOKUP($A215&amp;$B215,data!$A:$U,11,FALSE)</f>
        <v>0</v>
      </c>
      <c r="P215" s="3">
        <f ca="1">VLOOKUP($A215&amp;$B215,data!$A:$U,12,FALSE)</f>
        <v>0</v>
      </c>
      <c r="Q215" s="3">
        <f ca="1">VLOOKUP($A215&amp;$B215,data!$A:$U,13,FALSE)</f>
        <v>0</v>
      </c>
      <c r="R215" s="3">
        <f ca="1">VLOOKUP($A215&amp;$B215,data!$A:$U,5,FALSE)</f>
        <v>30</v>
      </c>
      <c r="S215" s="3">
        <f ca="1">VLOOKUP($A215&amp;$B215,data!$A:$U,6,FALSE)</f>
        <v>25</v>
      </c>
      <c r="T215" s="3">
        <f ca="1">VLOOKUP($A215&amp;$B215,data!$A:$U,7,FALSE)</f>
        <v>5</v>
      </c>
    </row>
    <row r="216" spans="1:20" ht="13" x14ac:dyDescent="0.15">
      <c r="A216" s="3" t="s">
        <v>13</v>
      </c>
      <c r="B216" s="3" t="s">
        <v>359</v>
      </c>
      <c r="C216" s="10">
        <f t="shared" ca="1" si="0"/>
        <v>0</v>
      </c>
      <c r="D216" s="5">
        <f ca="1">VLOOKUP($A216&amp;$B216,data!$A:$U,20,FALSE)</f>
        <v>44305.443437499998</v>
      </c>
      <c r="E216" s="3" t="str">
        <f ca="1">VLOOKUP($A216&amp;$B216,data!$A:$U,21,FALSE)</f>
        <v>NILL</v>
      </c>
      <c r="F216" s="3">
        <f ca="1">VLOOKUP($A216&amp;$B216,data!$A:$U,17,FALSE)</f>
        <v>0</v>
      </c>
      <c r="G216" s="3">
        <f ca="1">VLOOKUP($A216&amp;$B216,data!$A:$U,18,FALSE)</f>
        <v>0</v>
      </c>
      <c r="H216" s="3">
        <f ca="1">VLOOKUP($A216&amp;$B216,data!$A:$U,19,FALSE)</f>
        <v>0</v>
      </c>
      <c r="I216" s="3">
        <f ca="1">VLOOKUP($A216&amp;$B216,data!$A:$U,14,FALSE)</f>
        <v>0</v>
      </c>
      <c r="J216" s="3">
        <f ca="1">VLOOKUP($A216&amp;$B216,data!$A:$U,15,FALSE)</f>
        <v>0</v>
      </c>
      <c r="K216" s="3">
        <f ca="1">VLOOKUP($A216&amp;$B216,data!$A:$U,16,FALSE)</f>
        <v>0</v>
      </c>
      <c r="L216" s="3">
        <f ca="1">VLOOKUP($A216&amp;$B216,data!$A:$U,8,FALSE)</f>
        <v>25</v>
      </c>
      <c r="M216" s="3">
        <f ca="1">VLOOKUP($A216&amp;$B216,data!$A:$U,9,FALSE)</f>
        <v>25</v>
      </c>
      <c r="N216" s="3">
        <f ca="1">VLOOKUP($A216&amp;$B216,data!$A:$U,10,FALSE)</f>
        <v>0</v>
      </c>
      <c r="O216" s="3">
        <f ca="1">VLOOKUP($A216&amp;$B216,data!$A:$U,11,FALSE)</f>
        <v>0</v>
      </c>
      <c r="P216" s="3">
        <f ca="1">VLOOKUP($A216&amp;$B216,data!$A:$U,12,FALSE)</f>
        <v>0</v>
      </c>
      <c r="Q216" s="3">
        <f ca="1">VLOOKUP($A216&amp;$B216,data!$A:$U,13,FALSE)</f>
        <v>0</v>
      </c>
      <c r="R216" s="3">
        <f ca="1">VLOOKUP($A216&amp;$B216,data!$A:$U,5,FALSE)</f>
        <v>25</v>
      </c>
      <c r="S216" s="3">
        <f ca="1">VLOOKUP($A216&amp;$B216,data!$A:$U,6,FALSE)</f>
        <v>25</v>
      </c>
      <c r="T216" s="3">
        <f ca="1">VLOOKUP($A216&amp;$B216,data!$A:$U,7,FALSE)</f>
        <v>0</v>
      </c>
    </row>
    <row r="217" spans="1:20" ht="13" x14ac:dyDescent="0.15">
      <c r="A217" s="3" t="s">
        <v>13</v>
      </c>
      <c r="B217" s="3" t="s">
        <v>1193</v>
      </c>
      <c r="C217" s="10" t="e">
        <f t="shared" ca="1" si="0"/>
        <v>#DIV/0!</v>
      </c>
      <c r="D217" s="5">
        <f ca="1">VLOOKUP($A217&amp;$B217,data!$A:$U,20,FALSE)</f>
        <v>44301.539733796199</v>
      </c>
      <c r="E217" s="3">
        <f ca="1">VLOOKUP($A217&amp;$B217,data!$A:$U,21,FALSE)</f>
        <v>0</v>
      </c>
      <c r="F217" s="3">
        <f ca="1">VLOOKUP($A217&amp;$B217,data!$A:$U,17,FALSE)</f>
        <v>0</v>
      </c>
      <c r="G217" s="3">
        <f ca="1">VLOOKUP($A217&amp;$B217,data!$A:$U,18,FALSE)</f>
        <v>0</v>
      </c>
      <c r="H217" s="3">
        <f ca="1">VLOOKUP($A217&amp;$B217,data!$A:$U,19,FALSE)</f>
        <v>0</v>
      </c>
      <c r="I217" s="3">
        <f ca="1">VLOOKUP($A217&amp;$B217,data!$A:$U,14,FALSE)</f>
        <v>0</v>
      </c>
      <c r="J217" s="3">
        <f ca="1">VLOOKUP($A217&amp;$B217,data!$A:$U,15,FALSE)</f>
        <v>0</v>
      </c>
      <c r="K217" s="3">
        <f ca="1">VLOOKUP($A217&amp;$B217,data!$A:$U,16,FALSE)</f>
        <v>0</v>
      </c>
      <c r="L217" s="3">
        <f ca="1">VLOOKUP($A217&amp;$B217,data!$A:$U,8,FALSE)</f>
        <v>0</v>
      </c>
      <c r="M217" s="3">
        <f ca="1">VLOOKUP($A217&amp;$B217,data!$A:$U,9,FALSE)</f>
        <v>0</v>
      </c>
      <c r="N217" s="3">
        <f ca="1">VLOOKUP($A217&amp;$B217,data!$A:$U,10,FALSE)</f>
        <v>0</v>
      </c>
      <c r="O217" s="3">
        <f ca="1">VLOOKUP($A217&amp;$B217,data!$A:$U,11,FALSE)</f>
        <v>0</v>
      </c>
      <c r="P217" s="3">
        <f ca="1">VLOOKUP($A217&amp;$B217,data!$A:$U,12,FALSE)</f>
        <v>0</v>
      </c>
      <c r="Q217" s="3">
        <f ca="1">VLOOKUP($A217&amp;$B217,data!$A:$U,13,FALSE)</f>
        <v>0</v>
      </c>
      <c r="R217" s="3">
        <f ca="1">VLOOKUP($A217&amp;$B217,data!$A:$U,5,FALSE)</f>
        <v>0</v>
      </c>
      <c r="S217" s="3">
        <f ca="1">VLOOKUP($A217&amp;$B217,data!$A:$U,6,FALSE)</f>
        <v>0</v>
      </c>
      <c r="T217" s="3">
        <f ca="1">VLOOKUP($A217&amp;$B217,data!$A:$U,7,FALSE)</f>
        <v>0</v>
      </c>
    </row>
    <row r="218" spans="1:20" ht="13" x14ac:dyDescent="0.15">
      <c r="A218" s="3" t="s">
        <v>14</v>
      </c>
      <c r="B218" s="3" t="s">
        <v>409</v>
      </c>
      <c r="C218" s="10">
        <f t="shared" ca="1" si="0"/>
        <v>0.79500000000000004</v>
      </c>
      <c r="D218" s="5">
        <f ca="1">VLOOKUP($A218&amp;$B218,data!$A:$U,20,FALSE)</f>
        <v>44305.484432870297</v>
      </c>
      <c r="E218" s="3" t="str">
        <f ca="1">VLOOKUP($A218&amp;$B218,data!$A:$U,21,FALSE)</f>
        <v>Updated....</v>
      </c>
      <c r="F218" s="3">
        <f ca="1">VLOOKUP($A218&amp;$B218,data!$A:$U,17,FALSE)</f>
        <v>15</v>
      </c>
      <c r="G218" s="3">
        <f ca="1">VLOOKUP($A218&amp;$B218,data!$A:$U,18,FALSE)</f>
        <v>2</v>
      </c>
      <c r="H218" s="3">
        <f ca="1">VLOOKUP($A218&amp;$B218,data!$A:$U,19,FALSE)</f>
        <v>13</v>
      </c>
      <c r="I218" s="3">
        <f ca="1">VLOOKUP($A218&amp;$B218,data!$A:$U,14,FALSE)</f>
        <v>30</v>
      </c>
      <c r="J218" s="3">
        <f ca="1">VLOOKUP($A218&amp;$B218,data!$A:$U,15,FALSE)</f>
        <v>10</v>
      </c>
      <c r="K218" s="3">
        <f ca="1">VLOOKUP($A218&amp;$B218,data!$A:$U,16,FALSE)</f>
        <v>20</v>
      </c>
      <c r="L218" s="3">
        <f ca="1">VLOOKUP($A218&amp;$B218,data!$A:$U,8,FALSE)</f>
        <v>70</v>
      </c>
      <c r="M218" s="3">
        <f ca="1">VLOOKUP($A218&amp;$B218,data!$A:$U,9,FALSE)</f>
        <v>16</v>
      </c>
      <c r="N218" s="3">
        <f ca="1">VLOOKUP($A218&amp;$B218,data!$A:$U,10,FALSE)</f>
        <v>54</v>
      </c>
      <c r="O218" s="3">
        <f ca="1">VLOOKUP($A218&amp;$B218,data!$A:$U,11,FALSE)</f>
        <v>100</v>
      </c>
      <c r="P218" s="3">
        <f ca="1">VLOOKUP($A218&amp;$B218,data!$A:$U,12,FALSE)</f>
        <v>15</v>
      </c>
      <c r="Q218" s="3">
        <f ca="1">VLOOKUP($A218&amp;$B218,data!$A:$U,13,FALSE)</f>
        <v>85</v>
      </c>
      <c r="R218" s="3">
        <f ca="1">VLOOKUP($A218&amp;$B218,data!$A:$U,5,FALSE)</f>
        <v>200</v>
      </c>
      <c r="S218" s="3">
        <f ca="1">VLOOKUP($A218&amp;$B218,data!$A:$U,6,FALSE)</f>
        <v>41</v>
      </c>
      <c r="T218" s="3">
        <f ca="1">VLOOKUP($A218&amp;$B218,data!$A:$U,7,FALSE)</f>
        <v>159</v>
      </c>
    </row>
    <row r="219" spans="1:20" ht="13" x14ac:dyDescent="0.15">
      <c r="A219" s="3" t="s">
        <v>14</v>
      </c>
      <c r="B219" s="3" t="s">
        <v>383</v>
      </c>
      <c r="C219" s="10">
        <f t="shared" ca="1" si="0"/>
        <v>0.47402597402597402</v>
      </c>
      <c r="D219" s="5">
        <f ca="1">VLOOKUP($A219&amp;$B219,data!$A:$U,20,FALSE)</f>
        <v>44305.395300925898</v>
      </c>
      <c r="E219" s="3" t="str">
        <f ca="1">VLOOKUP($A219&amp;$B219,data!$A:$U,21,FALSE)</f>
        <v>nil....</v>
      </c>
      <c r="F219" s="3">
        <f ca="1">VLOOKUP($A219&amp;$B219,data!$A:$U,17,FALSE)</f>
        <v>6</v>
      </c>
      <c r="G219" s="3">
        <f ca="1">VLOOKUP($A219&amp;$B219,data!$A:$U,18,FALSE)</f>
        <v>2</v>
      </c>
      <c r="H219" s="3">
        <f ca="1">VLOOKUP($A219&amp;$B219,data!$A:$U,19,FALSE)</f>
        <v>4</v>
      </c>
      <c r="I219" s="3">
        <f ca="1">VLOOKUP($A219&amp;$B219,data!$A:$U,14,FALSE)</f>
        <v>10</v>
      </c>
      <c r="J219" s="3">
        <f ca="1">VLOOKUP($A219&amp;$B219,data!$A:$U,15,FALSE)</f>
        <v>10</v>
      </c>
      <c r="K219" s="3">
        <f ca="1">VLOOKUP($A219&amp;$B219,data!$A:$U,16,FALSE)</f>
        <v>0</v>
      </c>
      <c r="L219" s="3">
        <f ca="1">VLOOKUP($A219&amp;$B219,data!$A:$U,8,FALSE)</f>
        <v>78</v>
      </c>
      <c r="M219" s="3">
        <f ca="1">VLOOKUP($A219&amp;$B219,data!$A:$U,9,FALSE)</f>
        <v>71</v>
      </c>
      <c r="N219" s="3">
        <f ca="1">VLOOKUP($A219&amp;$B219,data!$A:$U,10,FALSE)</f>
        <v>7</v>
      </c>
      <c r="O219" s="3">
        <f ca="1">VLOOKUP($A219&amp;$B219,data!$A:$U,11,FALSE)</f>
        <v>66</v>
      </c>
      <c r="P219" s="3">
        <f ca="1">VLOOKUP($A219&amp;$B219,data!$A:$U,12,FALSE)</f>
        <v>0</v>
      </c>
      <c r="Q219" s="3">
        <f ca="1">VLOOKUP($A219&amp;$B219,data!$A:$U,13,FALSE)</f>
        <v>66</v>
      </c>
      <c r="R219" s="3">
        <f ca="1">VLOOKUP($A219&amp;$B219,data!$A:$U,5,FALSE)</f>
        <v>154</v>
      </c>
      <c r="S219" s="3">
        <f ca="1">VLOOKUP($A219&amp;$B219,data!$A:$U,6,FALSE)</f>
        <v>81</v>
      </c>
      <c r="T219" s="3">
        <f ca="1">VLOOKUP($A219&amp;$B219,data!$A:$U,7,FALSE)</f>
        <v>73</v>
      </c>
    </row>
    <row r="220" spans="1:20" ht="13" x14ac:dyDescent="0.15">
      <c r="A220" s="3" t="s">
        <v>14</v>
      </c>
      <c r="B220" s="3" t="s">
        <v>1087</v>
      </c>
      <c r="C220" s="10">
        <f t="shared" ca="1" si="0"/>
        <v>1</v>
      </c>
      <c r="D220" s="5">
        <f ca="1">VLOOKUP($A220&amp;$B220,data!$A:$U,20,FALSE)</f>
        <v>44305.414236111101</v>
      </c>
      <c r="E220" s="3" t="str">
        <f ca="1">VLOOKUP($A220&amp;$B220,data!$A:$U,21,FALSE)</f>
        <v>updated 19.04.2021</v>
      </c>
      <c r="F220" s="3">
        <f ca="1">VLOOKUP($A220&amp;$B220,data!$A:$U,17,FALSE)</f>
        <v>0</v>
      </c>
      <c r="G220" s="3">
        <f ca="1">VLOOKUP($A220&amp;$B220,data!$A:$U,18,FALSE)</f>
        <v>0</v>
      </c>
      <c r="H220" s="3">
        <f ca="1">VLOOKUP($A220&amp;$B220,data!$A:$U,19,FALSE)</f>
        <v>0</v>
      </c>
      <c r="I220" s="3">
        <f ca="1">VLOOKUP($A220&amp;$B220,data!$A:$U,14,FALSE)</f>
        <v>0</v>
      </c>
      <c r="J220" s="3">
        <f ca="1">VLOOKUP($A220&amp;$B220,data!$A:$U,15,FALSE)</f>
        <v>0</v>
      </c>
      <c r="K220" s="3">
        <f ca="1">VLOOKUP($A220&amp;$B220,data!$A:$U,16,FALSE)</f>
        <v>0</v>
      </c>
      <c r="L220" s="3">
        <f ca="1">VLOOKUP($A220&amp;$B220,data!$A:$U,8,FALSE)</f>
        <v>4</v>
      </c>
      <c r="M220" s="3">
        <f ca="1">VLOOKUP($A220&amp;$B220,data!$A:$U,9,FALSE)</f>
        <v>0</v>
      </c>
      <c r="N220" s="3">
        <f ca="1">VLOOKUP($A220&amp;$B220,data!$A:$U,10,FALSE)</f>
        <v>4</v>
      </c>
      <c r="O220" s="3">
        <f ca="1">VLOOKUP($A220&amp;$B220,data!$A:$U,11,FALSE)</f>
        <v>56</v>
      </c>
      <c r="P220" s="3">
        <f ca="1">VLOOKUP($A220&amp;$B220,data!$A:$U,12,FALSE)</f>
        <v>0</v>
      </c>
      <c r="Q220" s="3">
        <f ca="1">VLOOKUP($A220&amp;$B220,data!$A:$U,13,FALSE)</f>
        <v>56</v>
      </c>
      <c r="R220" s="3">
        <f ca="1">VLOOKUP($A220&amp;$B220,data!$A:$U,5,FALSE)</f>
        <v>60</v>
      </c>
      <c r="S220" s="3">
        <f ca="1">VLOOKUP($A220&amp;$B220,data!$A:$U,6,FALSE)</f>
        <v>0</v>
      </c>
      <c r="T220" s="3">
        <f ca="1">VLOOKUP($A220&amp;$B220,data!$A:$U,7,FALSE)</f>
        <v>60</v>
      </c>
    </row>
    <row r="221" spans="1:20" ht="13" x14ac:dyDescent="0.15">
      <c r="A221" s="3" t="s">
        <v>14</v>
      </c>
      <c r="B221" s="3" t="s">
        <v>360</v>
      </c>
      <c r="C221" s="10">
        <f t="shared" ca="1" si="0"/>
        <v>0.46753246753246752</v>
      </c>
      <c r="D221" s="5">
        <f ca="1">VLOOKUP($A221&amp;$B221,data!$A:$U,20,FALSE)</f>
        <v>44305.427037037</v>
      </c>
      <c r="E221" s="3" t="str">
        <f ca="1">VLOOKUP($A221&amp;$B221,data!$A:$U,21,FALSE)</f>
        <v>Updated.</v>
      </c>
      <c r="F221" s="3">
        <f ca="1">VLOOKUP($A221&amp;$B221,data!$A:$U,17,FALSE)</f>
        <v>4</v>
      </c>
      <c r="G221" s="3">
        <f ca="1">VLOOKUP($A221&amp;$B221,data!$A:$U,18,FALSE)</f>
        <v>0</v>
      </c>
      <c r="H221" s="3">
        <f ca="1">VLOOKUP($A221&amp;$B221,data!$A:$U,19,FALSE)</f>
        <v>0</v>
      </c>
      <c r="I221" s="3">
        <f ca="1">VLOOKUP($A221&amp;$B221,data!$A:$U,14,FALSE)</f>
        <v>6</v>
      </c>
      <c r="J221" s="3">
        <f ca="1">VLOOKUP($A221&amp;$B221,data!$A:$U,15,FALSE)</f>
        <v>6</v>
      </c>
      <c r="K221" s="3">
        <f ca="1">VLOOKUP($A221&amp;$B221,data!$A:$U,16,FALSE)</f>
        <v>0</v>
      </c>
      <c r="L221" s="3">
        <f ca="1">VLOOKUP($A221&amp;$B221,data!$A:$U,8,FALSE)</f>
        <v>71</v>
      </c>
      <c r="M221" s="3">
        <f ca="1">VLOOKUP($A221&amp;$B221,data!$A:$U,9,FALSE)</f>
        <v>75</v>
      </c>
      <c r="N221" s="3">
        <f ca="1">VLOOKUP($A221&amp;$B221,data!$A:$U,10,FALSE)</f>
        <v>36</v>
      </c>
      <c r="O221" s="3">
        <f ca="1">VLOOKUP($A221&amp;$B221,data!$A:$U,11,FALSE)</f>
        <v>0</v>
      </c>
      <c r="P221" s="3">
        <f ca="1">VLOOKUP($A221&amp;$B221,data!$A:$U,12,FALSE)</f>
        <v>0</v>
      </c>
      <c r="Q221" s="3">
        <f ca="1">VLOOKUP($A221&amp;$B221,data!$A:$U,13,FALSE)</f>
        <v>0</v>
      </c>
      <c r="R221" s="3">
        <f ca="1">VLOOKUP($A221&amp;$B221,data!$A:$U,5,FALSE)</f>
        <v>77</v>
      </c>
      <c r="S221" s="3">
        <f ca="1">VLOOKUP($A221&amp;$B221,data!$A:$U,6,FALSE)</f>
        <v>75</v>
      </c>
      <c r="T221" s="3">
        <f ca="1">VLOOKUP($A221&amp;$B221,data!$A:$U,7,FALSE)</f>
        <v>36</v>
      </c>
    </row>
    <row r="222" spans="1:20" ht="13" x14ac:dyDescent="0.15">
      <c r="A222" s="3" t="s">
        <v>14</v>
      </c>
      <c r="B222" s="3" t="s">
        <v>388</v>
      </c>
      <c r="C222" s="10">
        <f t="shared" ca="1" si="0"/>
        <v>0.44444444444444442</v>
      </c>
      <c r="D222" s="5">
        <f ca="1">VLOOKUP($A222&amp;$B222,data!$A:$U,20,FALSE)</f>
        <v>44305.442337962901</v>
      </c>
      <c r="E222" s="3" t="str">
        <f ca="1">VLOOKUP($A222&amp;$B222,data!$A:$U,21,FALSE)</f>
        <v>19.04.2021</v>
      </c>
      <c r="F222" s="3">
        <f ca="1">VLOOKUP($A222&amp;$B222,data!$A:$U,17,FALSE)</f>
        <v>2</v>
      </c>
      <c r="G222" s="3">
        <f ca="1">VLOOKUP($A222&amp;$B222,data!$A:$U,18,FALSE)</f>
        <v>2</v>
      </c>
      <c r="H222" s="3">
        <f ca="1">VLOOKUP($A222&amp;$B222,data!$A:$U,19,FALSE)</f>
        <v>0</v>
      </c>
      <c r="I222" s="3">
        <f ca="1">VLOOKUP($A222&amp;$B222,data!$A:$U,14,FALSE)</f>
        <v>9</v>
      </c>
      <c r="J222" s="3">
        <f ca="1">VLOOKUP($A222&amp;$B222,data!$A:$U,15,FALSE)</f>
        <v>8</v>
      </c>
      <c r="K222" s="3">
        <f ca="1">VLOOKUP($A222&amp;$B222,data!$A:$U,16,FALSE)</f>
        <v>1</v>
      </c>
      <c r="L222" s="3">
        <f ca="1">VLOOKUP($A222&amp;$B222,data!$A:$U,8,FALSE)</f>
        <v>8</v>
      </c>
      <c r="M222" s="3">
        <f ca="1">VLOOKUP($A222&amp;$B222,data!$A:$U,9,FALSE)</f>
        <v>7</v>
      </c>
      <c r="N222" s="3">
        <f ca="1">VLOOKUP($A222&amp;$B222,data!$A:$U,10,FALSE)</f>
        <v>1</v>
      </c>
      <c r="O222" s="3">
        <f ca="1">VLOOKUP($A222&amp;$B222,data!$A:$U,11,FALSE)</f>
        <v>28</v>
      </c>
      <c r="P222" s="3">
        <f ca="1">VLOOKUP($A222&amp;$B222,data!$A:$U,12,FALSE)</f>
        <v>10</v>
      </c>
      <c r="Q222" s="3">
        <f ca="1">VLOOKUP($A222&amp;$B222,data!$A:$U,13,FALSE)</f>
        <v>18</v>
      </c>
      <c r="R222" s="3">
        <f ca="1">VLOOKUP($A222&amp;$B222,data!$A:$U,5,FALSE)</f>
        <v>45</v>
      </c>
      <c r="S222" s="3">
        <f ca="1">VLOOKUP($A222&amp;$B222,data!$A:$U,6,FALSE)</f>
        <v>25</v>
      </c>
      <c r="T222" s="3">
        <f ca="1">VLOOKUP($A222&amp;$B222,data!$A:$U,7,FALSE)</f>
        <v>20</v>
      </c>
    </row>
    <row r="223" spans="1:20" ht="13" x14ac:dyDescent="0.15">
      <c r="A223" s="3" t="s">
        <v>14</v>
      </c>
      <c r="B223" s="3" t="s">
        <v>863</v>
      </c>
      <c r="C223" s="10">
        <f t="shared" ca="1" si="0"/>
        <v>0.93939393939393945</v>
      </c>
      <c r="D223" s="5">
        <f ca="1">VLOOKUP($A223&amp;$B223,data!$A:$U,20,FALSE)</f>
        <v>44305.277199074</v>
      </c>
      <c r="E223" s="3" t="str">
        <f ca="1">VLOOKUP($A223&amp;$B223,data!$A:$U,21,FALSE)</f>
        <v>19-04-2021</v>
      </c>
      <c r="F223" s="3">
        <f ca="1">VLOOKUP($A223&amp;$B223,data!$A:$U,17,FALSE)</f>
        <v>8</v>
      </c>
      <c r="G223" s="3">
        <f ca="1">VLOOKUP($A223&amp;$B223,data!$A:$U,18,FALSE)</f>
        <v>0</v>
      </c>
      <c r="H223" s="3">
        <f ca="1">VLOOKUP($A223&amp;$B223,data!$A:$U,19,FALSE)</f>
        <v>8</v>
      </c>
      <c r="I223" s="3">
        <f ca="1">VLOOKUP($A223&amp;$B223,data!$A:$U,14,FALSE)</f>
        <v>23</v>
      </c>
      <c r="J223" s="3">
        <f ca="1">VLOOKUP($A223&amp;$B223,data!$A:$U,15,FALSE)</f>
        <v>0</v>
      </c>
      <c r="K223" s="3">
        <f ca="1">VLOOKUP($A223&amp;$B223,data!$A:$U,16,FALSE)</f>
        <v>23</v>
      </c>
      <c r="L223" s="3">
        <f ca="1">VLOOKUP($A223&amp;$B223,data!$A:$U,8,FALSE)</f>
        <v>5</v>
      </c>
      <c r="M223" s="3">
        <f ca="1">VLOOKUP($A223&amp;$B223,data!$A:$U,9,FALSE)</f>
        <v>2</v>
      </c>
      <c r="N223" s="3">
        <f ca="1">VLOOKUP($A223&amp;$B223,data!$A:$U,10,FALSE)</f>
        <v>3</v>
      </c>
      <c r="O223" s="3">
        <f ca="1">VLOOKUP($A223&amp;$B223,data!$A:$U,11,FALSE)</f>
        <v>5</v>
      </c>
      <c r="P223" s="3">
        <f ca="1">VLOOKUP($A223&amp;$B223,data!$A:$U,12,FALSE)</f>
        <v>0</v>
      </c>
      <c r="Q223" s="3">
        <f ca="1">VLOOKUP($A223&amp;$B223,data!$A:$U,13,FALSE)</f>
        <v>5</v>
      </c>
      <c r="R223" s="3">
        <f ca="1">VLOOKUP($A223&amp;$B223,data!$A:$U,5,FALSE)</f>
        <v>33</v>
      </c>
      <c r="S223" s="3">
        <f ca="1">VLOOKUP($A223&amp;$B223,data!$A:$U,6,FALSE)</f>
        <v>2</v>
      </c>
      <c r="T223" s="3">
        <f ca="1">VLOOKUP($A223&amp;$B223,data!$A:$U,7,FALSE)</f>
        <v>31</v>
      </c>
    </row>
    <row r="224" spans="1:20" ht="13" x14ac:dyDescent="0.15">
      <c r="A224" s="3" t="s">
        <v>14</v>
      </c>
      <c r="B224" s="3" t="s">
        <v>389</v>
      </c>
      <c r="C224" s="10">
        <f t="shared" ca="1" si="0"/>
        <v>0.85</v>
      </c>
      <c r="D224" s="5">
        <f ca="1">VLOOKUP($A224&amp;$B224,data!$A:$U,20,FALSE)</f>
        <v>44305.176331018498</v>
      </c>
      <c r="E224" s="3" t="str">
        <f ca="1">VLOOKUP($A224&amp;$B224,data!$A:$U,21,FALSE)</f>
        <v>19.04.2021 updated</v>
      </c>
      <c r="F224" s="3">
        <f ca="1">VLOOKUP($A224&amp;$B224,data!$A:$U,17,FALSE)</f>
        <v>4</v>
      </c>
      <c r="G224" s="3">
        <f ca="1">VLOOKUP($A224&amp;$B224,data!$A:$U,18,FALSE)</f>
        <v>0</v>
      </c>
      <c r="H224" s="3">
        <f ca="1">VLOOKUP($A224&amp;$B224,data!$A:$U,19,FALSE)</f>
        <v>4</v>
      </c>
      <c r="I224" s="3">
        <f ca="1">VLOOKUP($A224&amp;$B224,data!$A:$U,14,FALSE)</f>
        <v>6</v>
      </c>
      <c r="J224" s="3">
        <f ca="1">VLOOKUP($A224&amp;$B224,data!$A:$U,15,FALSE)</f>
        <v>0</v>
      </c>
      <c r="K224" s="3">
        <f ca="1">VLOOKUP($A224&amp;$B224,data!$A:$U,16,FALSE)</f>
        <v>6</v>
      </c>
      <c r="L224" s="3">
        <f ca="1">VLOOKUP($A224&amp;$B224,data!$A:$U,8,FALSE)</f>
        <v>15</v>
      </c>
      <c r="M224" s="3">
        <f ca="1">VLOOKUP($A224&amp;$B224,data!$A:$U,9,FALSE)</f>
        <v>1</v>
      </c>
      <c r="N224" s="3">
        <f ca="1">VLOOKUP($A224&amp;$B224,data!$A:$U,10,FALSE)</f>
        <v>14</v>
      </c>
      <c r="O224" s="3">
        <f ca="1">VLOOKUP($A224&amp;$B224,data!$A:$U,11,FALSE)</f>
        <v>9</v>
      </c>
      <c r="P224" s="3">
        <f ca="1">VLOOKUP($A224&amp;$B224,data!$A:$U,12,FALSE)</f>
        <v>0</v>
      </c>
      <c r="Q224" s="3">
        <f ca="1">VLOOKUP($A224&amp;$B224,data!$A:$U,13,FALSE)</f>
        <v>5</v>
      </c>
      <c r="R224" s="3">
        <f ca="1">VLOOKUP($A224&amp;$B224,data!$A:$U,5,FALSE)</f>
        <v>30</v>
      </c>
      <c r="S224" s="3">
        <f ca="1">VLOOKUP($A224&amp;$B224,data!$A:$U,6,FALSE)</f>
        <v>4</v>
      </c>
      <c r="T224" s="3">
        <f ca="1">VLOOKUP($A224&amp;$B224,data!$A:$U,7,FALSE)</f>
        <v>26</v>
      </c>
    </row>
    <row r="225" spans="1:20" ht="13" x14ac:dyDescent="0.15">
      <c r="A225" s="3" t="s">
        <v>14</v>
      </c>
      <c r="B225" s="3" t="s">
        <v>682</v>
      </c>
      <c r="C225" s="10">
        <f t="shared" ca="1" si="0"/>
        <v>0.88</v>
      </c>
      <c r="D225" s="5">
        <f ca="1">VLOOKUP($A225&amp;$B225,data!$A:$U,20,FALSE)</f>
        <v>44305.406655092498</v>
      </c>
      <c r="E225" s="3" t="str">
        <f ca="1">VLOOKUP($A225&amp;$B225,data!$A:$U,21,FALSE)</f>
        <v>Updated 19-04-2021</v>
      </c>
      <c r="F225" s="3">
        <f ca="1">VLOOKUP($A225&amp;$B225,data!$A:$U,17,FALSE)</f>
        <v>2</v>
      </c>
      <c r="G225" s="3">
        <f ca="1">VLOOKUP($A225&amp;$B225,data!$A:$U,18,FALSE)</f>
        <v>0</v>
      </c>
      <c r="H225" s="3">
        <f ca="1">VLOOKUP($A225&amp;$B225,data!$A:$U,19,FALSE)</f>
        <v>2</v>
      </c>
      <c r="I225" s="3">
        <f ca="1">VLOOKUP($A225&amp;$B225,data!$A:$U,14,FALSE)</f>
        <v>6</v>
      </c>
      <c r="J225" s="3">
        <f ca="1">VLOOKUP($A225&amp;$B225,data!$A:$U,15,FALSE)</f>
        <v>0</v>
      </c>
      <c r="K225" s="3">
        <f ca="1">VLOOKUP($A225&amp;$B225,data!$A:$U,16,FALSE)</f>
        <v>6</v>
      </c>
      <c r="L225" s="3">
        <f ca="1">VLOOKUP($A225&amp;$B225,data!$A:$U,8,FALSE)</f>
        <v>14</v>
      </c>
      <c r="M225" s="3">
        <f ca="1">VLOOKUP($A225&amp;$B225,data!$A:$U,9,FALSE)</f>
        <v>4</v>
      </c>
      <c r="N225" s="3">
        <f ca="1">VLOOKUP($A225&amp;$B225,data!$A:$U,10,FALSE)</f>
        <v>11</v>
      </c>
      <c r="O225" s="3">
        <f ca="1">VLOOKUP($A225&amp;$B225,data!$A:$U,11,FALSE)</f>
        <v>5</v>
      </c>
      <c r="P225" s="3">
        <f ca="1">VLOOKUP($A225&amp;$B225,data!$A:$U,12,FALSE)</f>
        <v>0</v>
      </c>
      <c r="Q225" s="3">
        <f ca="1">VLOOKUP($A225&amp;$B225,data!$A:$U,13,FALSE)</f>
        <v>5</v>
      </c>
      <c r="R225" s="3">
        <f ca="1">VLOOKUP($A225&amp;$B225,data!$A:$U,5,FALSE)</f>
        <v>25</v>
      </c>
      <c r="S225" s="3">
        <f ca="1">VLOOKUP($A225&amp;$B225,data!$A:$U,6,FALSE)</f>
        <v>4</v>
      </c>
      <c r="T225" s="3">
        <f ca="1">VLOOKUP($A225&amp;$B225,data!$A:$U,7,FALSE)</f>
        <v>22</v>
      </c>
    </row>
    <row r="226" spans="1:20" ht="13" x14ac:dyDescent="0.15">
      <c r="A226" s="3" t="s">
        <v>14</v>
      </c>
      <c r="B226" s="3" t="s">
        <v>699</v>
      </c>
      <c r="C226" s="10">
        <f t="shared" ca="1" si="0"/>
        <v>1</v>
      </c>
      <c r="D226" s="5">
        <f ca="1">VLOOKUP($A226&amp;$B226,data!$A:$U,20,FALSE)</f>
        <v>44305.3722569444</v>
      </c>
      <c r="E226" s="3" t="str">
        <f ca="1">VLOOKUP($A226&amp;$B226,data!$A:$U,21,FALSE)</f>
        <v>Nil - 19.04.2021.</v>
      </c>
      <c r="F226" s="3">
        <f ca="1">VLOOKUP($A226&amp;$B226,data!$A:$U,17,FALSE)</f>
        <v>2</v>
      </c>
      <c r="G226" s="3">
        <f ca="1">VLOOKUP($A226&amp;$B226,data!$A:$U,18,FALSE)</f>
        <v>0</v>
      </c>
      <c r="H226" s="3">
        <f ca="1">VLOOKUP($A226&amp;$B226,data!$A:$U,19,FALSE)</f>
        <v>2</v>
      </c>
      <c r="I226" s="3">
        <f ca="1">VLOOKUP($A226&amp;$B226,data!$A:$U,14,FALSE)</f>
        <v>2</v>
      </c>
      <c r="J226" s="3">
        <f ca="1">VLOOKUP($A226&amp;$B226,data!$A:$U,15,FALSE)</f>
        <v>0</v>
      </c>
      <c r="K226" s="3">
        <f ca="1">VLOOKUP($A226&amp;$B226,data!$A:$U,16,FALSE)</f>
        <v>2</v>
      </c>
      <c r="L226" s="3">
        <f ca="1">VLOOKUP($A226&amp;$B226,data!$A:$U,8,FALSE)</f>
        <v>3</v>
      </c>
      <c r="M226" s="3">
        <f ca="1">VLOOKUP($A226&amp;$B226,data!$A:$U,9,FALSE)</f>
        <v>0</v>
      </c>
      <c r="N226" s="3">
        <f ca="1">VLOOKUP($A226&amp;$B226,data!$A:$U,10,FALSE)</f>
        <v>3</v>
      </c>
      <c r="O226" s="3">
        <f ca="1">VLOOKUP($A226&amp;$B226,data!$A:$U,11,FALSE)</f>
        <v>15</v>
      </c>
      <c r="P226" s="3">
        <f ca="1">VLOOKUP($A226&amp;$B226,data!$A:$U,12,FALSE)</f>
        <v>0</v>
      </c>
      <c r="Q226" s="3">
        <f ca="1">VLOOKUP($A226&amp;$B226,data!$A:$U,13,FALSE)</f>
        <v>15</v>
      </c>
      <c r="R226" s="3">
        <f ca="1">VLOOKUP($A226&amp;$B226,data!$A:$U,5,FALSE)</f>
        <v>20</v>
      </c>
      <c r="S226" s="3">
        <f ca="1">VLOOKUP($A226&amp;$B226,data!$A:$U,6,FALSE)</f>
        <v>0</v>
      </c>
      <c r="T226" s="3">
        <f ca="1">VLOOKUP($A226&amp;$B226,data!$A:$U,7,FALSE)</f>
        <v>20</v>
      </c>
    </row>
    <row r="227" spans="1:20" ht="13" x14ac:dyDescent="0.15">
      <c r="A227" s="3" t="s">
        <v>14</v>
      </c>
      <c r="B227" s="3" t="s">
        <v>717</v>
      </c>
      <c r="C227" s="10">
        <f t="shared" ca="1" si="0"/>
        <v>0.42857142857142855</v>
      </c>
      <c r="D227" s="5">
        <f ca="1">VLOOKUP($A227&amp;$B227,data!$A:$U,20,FALSE)</f>
        <v>44305.587546296199</v>
      </c>
      <c r="E227" s="3" t="str">
        <f ca="1">VLOOKUP($A227&amp;$B227,data!$A:$U,21,FALSE)</f>
        <v>NTC HOSPITALS MADURAI 19-04-2021 2 PM</v>
      </c>
      <c r="F227" s="3">
        <f ca="1">VLOOKUP($A227&amp;$B227,data!$A:$U,17,FALSE)</f>
        <v>2</v>
      </c>
      <c r="G227" s="3">
        <f ca="1">VLOOKUP($A227&amp;$B227,data!$A:$U,18,FALSE)</f>
        <v>1</v>
      </c>
      <c r="H227" s="3">
        <f ca="1">VLOOKUP($A227&amp;$B227,data!$A:$U,19,FALSE)</f>
        <v>1</v>
      </c>
      <c r="I227" s="3">
        <f ca="1">VLOOKUP($A227&amp;$B227,data!$A:$U,14,FALSE)</f>
        <v>20</v>
      </c>
      <c r="J227" s="3">
        <f ca="1">VLOOKUP($A227&amp;$B227,data!$A:$U,15,FALSE)</f>
        <v>10</v>
      </c>
      <c r="K227" s="3">
        <f ca="1">VLOOKUP($A227&amp;$B227,data!$A:$U,16,FALSE)</f>
        <v>10</v>
      </c>
      <c r="L227" s="3">
        <f ca="1">VLOOKUP($A227&amp;$B227,data!$A:$U,8,FALSE)</f>
        <v>25</v>
      </c>
      <c r="M227" s="3">
        <f ca="1">VLOOKUP($A227&amp;$B227,data!$A:$U,9,FALSE)</f>
        <v>15</v>
      </c>
      <c r="N227" s="3">
        <f ca="1">VLOOKUP($A227&amp;$B227,data!$A:$U,10,FALSE)</f>
        <v>10</v>
      </c>
      <c r="O227" s="3">
        <f ca="1">VLOOKUP($A227&amp;$B227,data!$A:$U,11,FALSE)</f>
        <v>0</v>
      </c>
      <c r="P227" s="3">
        <f ca="1">VLOOKUP($A227&amp;$B227,data!$A:$U,12,FALSE)</f>
        <v>0</v>
      </c>
      <c r="Q227" s="3">
        <f ca="1">VLOOKUP($A227&amp;$B227,data!$A:$U,13,FALSE)</f>
        <v>0</v>
      </c>
      <c r="R227" s="3">
        <f ca="1">VLOOKUP($A227&amp;$B227,data!$A:$U,5,FALSE)</f>
        <v>25</v>
      </c>
      <c r="S227" s="3">
        <f ca="1">VLOOKUP($A227&amp;$B227,data!$A:$U,6,FALSE)</f>
        <v>15</v>
      </c>
      <c r="T227" s="3">
        <f ca="1">VLOOKUP($A227&amp;$B227,data!$A:$U,7,FALSE)</f>
        <v>10</v>
      </c>
    </row>
    <row r="228" spans="1:20" ht="13" x14ac:dyDescent="0.15">
      <c r="A228" s="3" t="s">
        <v>14</v>
      </c>
      <c r="B228" s="3" t="s">
        <v>378</v>
      </c>
      <c r="C228" s="10">
        <f t="shared" ca="1" si="0"/>
        <v>0.54</v>
      </c>
      <c r="D228" s="5">
        <f ca="1">VLOOKUP($A228&amp;$B228,data!$A:$U,20,FALSE)</f>
        <v>44305.383993055497</v>
      </c>
      <c r="E228" s="3" t="str">
        <f ca="1">VLOOKUP($A228&amp;$B228,data!$A:$U,21,FALSE)</f>
        <v>Updated on 19.4.2021</v>
      </c>
      <c r="F228" s="3">
        <f ca="1">VLOOKUP($A228&amp;$B228,data!$A:$U,17,FALSE)</f>
        <v>2</v>
      </c>
      <c r="G228" s="3">
        <f ca="1">VLOOKUP($A228&amp;$B228,data!$A:$U,18,FALSE)</f>
        <v>0</v>
      </c>
      <c r="H228" s="3">
        <f ca="1">VLOOKUP($A228&amp;$B228,data!$A:$U,19,FALSE)</f>
        <v>2</v>
      </c>
      <c r="I228" s="3">
        <f ca="1">VLOOKUP($A228&amp;$B228,data!$A:$U,14,FALSE)</f>
        <v>2</v>
      </c>
      <c r="J228" s="3">
        <f ca="1">VLOOKUP($A228&amp;$B228,data!$A:$U,15,FALSE)</f>
        <v>0</v>
      </c>
      <c r="K228" s="3">
        <f ca="1">VLOOKUP($A228&amp;$B228,data!$A:$U,16,FALSE)</f>
        <v>0</v>
      </c>
      <c r="L228" s="3">
        <f ca="1">VLOOKUP($A228&amp;$B228,data!$A:$U,8,FALSE)</f>
        <v>13</v>
      </c>
      <c r="M228" s="3">
        <f ca="1">VLOOKUP($A228&amp;$B228,data!$A:$U,9,FALSE)</f>
        <v>13</v>
      </c>
      <c r="N228" s="3">
        <f ca="1">VLOOKUP($A228&amp;$B228,data!$A:$U,10,FALSE)</f>
        <v>0</v>
      </c>
      <c r="O228" s="3">
        <f ca="1">VLOOKUP($A228&amp;$B228,data!$A:$U,11,FALSE)</f>
        <v>10</v>
      </c>
      <c r="P228" s="3">
        <f ca="1">VLOOKUP($A228&amp;$B228,data!$A:$U,12,FALSE)</f>
        <v>0</v>
      </c>
      <c r="Q228" s="3">
        <f ca="1">VLOOKUP($A228&amp;$B228,data!$A:$U,13,FALSE)</f>
        <v>10</v>
      </c>
      <c r="R228" s="3">
        <f ca="1">VLOOKUP($A228&amp;$B228,data!$A:$U,5,FALSE)</f>
        <v>25</v>
      </c>
      <c r="S228" s="3">
        <f ca="1">VLOOKUP($A228&amp;$B228,data!$A:$U,6,FALSE)</f>
        <v>8</v>
      </c>
      <c r="T228" s="3">
        <f ca="1">VLOOKUP($A228&amp;$B228,data!$A:$U,7,FALSE)</f>
        <v>17</v>
      </c>
    </row>
    <row r="229" spans="1:20" ht="13" x14ac:dyDescent="0.15">
      <c r="A229" s="3" t="s">
        <v>14</v>
      </c>
      <c r="B229" s="3" t="s">
        <v>704</v>
      </c>
      <c r="C229" s="10">
        <f t="shared" ca="1" si="0"/>
        <v>1.25</v>
      </c>
      <c r="D229" s="5">
        <f ca="1">VLOOKUP($A229&amp;$B229,data!$A:$U,20,FALSE)</f>
        <v>44305.366354166603</v>
      </c>
      <c r="E229" s="3">
        <f ca="1">VLOOKUP($A229&amp;$B229,data!$A:$U,21,FALSE)</f>
        <v>5</v>
      </c>
      <c r="F229" s="3">
        <f ca="1">VLOOKUP($A229&amp;$B229,data!$A:$U,17,FALSE)</f>
        <v>2</v>
      </c>
      <c r="G229" s="3">
        <f ca="1">VLOOKUP($A229&amp;$B229,data!$A:$U,18,FALSE)</f>
        <v>0</v>
      </c>
      <c r="H229" s="3">
        <f ca="1">VLOOKUP($A229&amp;$B229,data!$A:$U,19,FALSE)</f>
        <v>2</v>
      </c>
      <c r="I229" s="3">
        <f ca="1">VLOOKUP($A229&amp;$B229,data!$A:$U,14,FALSE)</f>
        <v>10</v>
      </c>
      <c r="J229" s="3">
        <f ca="1">VLOOKUP($A229&amp;$B229,data!$A:$U,15,FALSE)</f>
        <v>1</v>
      </c>
      <c r="K229" s="3">
        <f ca="1">VLOOKUP($A229&amp;$B229,data!$A:$U,16,FALSE)</f>
        <v>9</v>
      </c>
      <c r="L229" s="3">
        <f ca="1">VLOOKUP($A229&amp;$B229,data!$A:$U,8,FALSE)</f>
        <v>10</v>
      </c>
      <c r="M229" s="3">
        <f ca="1">VLOOKUP($A229&amp;$B229,data!$A:$U,9,FALSE)</f>
        <v>4</v>
      </c>
      <c r="N229" s="3">
        <f ca="1">VLOOKUP($A229&amp;$B229,data!$A:$U,10,FALSE)</f>
        <v>6</v>
      </c>
      <c r="O229" s="3">
        <f ca="1">VLOOKUP($A229&amp;$B229,data!$A:$U,11,FALSE)</f>
        <v>0</v>
      </c>
      <c r="P229" s="3">
        <f ca="1">VLOOKUP($A229&amp;$B229,data!$A:$U,12,FALSE)</f>
        <v>20</v>
      </c>
      <c r="Q229" s="3">
        <f ca="1">VLOOKUP($A229&amp;$B229,data!$A:$U,13,FALSE)</f>
        <v>20</v>
      </c>
      <c r="R229" s="3">
        <f ca="1">VLOOKUP($A229&amp;$B229,data!$A:$U,5,FALSE)</f>
        <v>20</v>
      </c>
      <c r="S229" s="3">
        <f ca="1">VLOOKUP($A229&amp;$B229,data!$A:$U,6,FALSE)</f>
        <v>5</v>
      </c>
      <c r="T229" s="3">
        <f ca="1">VLOOKUP($A229&amp;$B229,data!$A:$U,7,FALSE)</f>
        <v>15</v>
      </c>
    </row>
    <row r="230" spans="1:20" ht="13" x14ac:dyDescent="0.15">
      <c r="A230" s="3" t="s">
        <v>14</v>
      </c>
      <c r="B230" s="3" t="s">
        <v>362</v>
      </c>
      <c r="C230" s="10">
        <f t="shared" ca="1" si="0"/>
        <v>0.45454545454545453</v>
      </c>
      <c r="D230" s="5">
        <f ca="1">VLOOKUP($A230&amp;$B230,data!$A:$U,20,FALSE)</f>
        <v>44305.311006944401</v>
      </c>
      <c r="E230" s="3" t="str">
        <f ca="1">VLOOKUP($A230&amp;$B230,data!$A:$U,21,FALSE)</f>
        <v>Update</v>
      </c>
      <c r="F230" s="3">
        <f ca="1">VLOOKUP($A230&amp;$B230,data!$A:$U,17,FALSE)</f>
        <v>3</v>
      </c>
      <c r="G230" s="3">
        <f ca="1">VLOOKUP($A230&amp;$B230,data!$A:$U,18,FALSE)</f>
        <v>2</v>
      </c>
      <c r="H230" s="3">
        <f ca="1">VLOOKUP($A230&amp;$B230,data!$A:$U,19,FALSE)</f>
        <v>1</v>
      </c>
      <c r="I230" s="3">
        <f ca="1">VLOOKUP($A230&amp;$B230,data!$A:$U,14,FALSE)</f>
        <v>9</v>
      </c>
      <c r="J230" s="3">
        <f ca="1">VLOOKUP($A230&amp;$B230,data!$A:$U,15,FALSE)</f>
        <v>7</v>
      </c>
      <c r="K230" s="3">
        <f ca="1">VLOOKUP($A230&amp;$B230,data!$A:$U,16,FALSE)</f>
        <v>2</v>
      </c>
      <c r="L230" s="3">
        <f ca="1">VLOOKUP($A230&amp;$B230,data!$A:$U,8,FALSE)</f>
        <v>7</v>
      </c>
      <c r="M230" s="3">
        <f ca="1">VLOOKUP($A230&amp;$B230,data!$A:$U,9,FALSE)</f>
        <v>3</v>
      </c>
      <c r="N230" s="3">
        <f ca="1">VLOOKUP($A230&amp;$B230,data!$A:$U,10,FALSE)</f>
        <v>4</v>
      </c>
      <c r="O230" s="3">
        <f ca="1">VLOOKUP($A230&amp;$B230,data!$A:$U,11,FALSE)</f>
        <v>17</v>
      </c>
      <c r="P230" s="3">
        <f ca="1">VLOOKUP($A230&amp;$B230,data!$A:$U,12,FALSE)</f>
        <v>8</v>
      </c>
      <c r="Q230" s="3">
        <f ca="1">VLOOKUP($A230&amp;$B230,data!$A:$U,13,FALSE)</f>
        <v>9</v>
      </c>
      <c r="R230" s="3">
        <f ca="1">VLOOKUP($A230&amp;$B230,data!$A:$U,5,FALSE)</f>
        <v>33</v>
      </c>
      <c r="S230" s="3">
        <f ca="1">VLOOKUP($A230&amp;$B230,data!$A:$U,6,FALSE)</f>
        <v>18</v>
      </c>
      <c r="T230" s="3">
        <f ca="1">VLOOKUP($A230&amp;$B230,data!$A:$U,7,FALSE)</f>
        <v>15</v>
      </c>
    </row>
    <row r="231" spans="1:20" ht="13" x14ac:dyDescent="0.15">
      <c r="A231" s="3" t="s">
        <v>14</v>
      </c>
      <c r="B231" s="3" t="s">
        <v>399</v>
      </c>
      <c r="C231" s="10">
        <f t="shared" ca="1" si="0"/>
        <v>0.42857142857142855</v>
      </c>
      <c r="D231" s="5">
        <f ca="1">VLOOKUP($A231&amp;$B231,data!$A:$U,20,FALSE)</f>
        <v>44305.4573379629</v>
      </c>
      <c r="E231" s="3" t="str">
        <f ca="1">VLOOKUP($A231&amp;$B231,data!$A:$U,21,FALSE)</f>
        <v>updated on 19/04/2021..</v>
      </c>
      <c r="F231" s="3">
        <f ca="1">VLOOKUP($A231&amp;$B231,data!$A:$U,17,FALSE)</f>
        <v>1</v>
      </c>
      <c r="G231" s="3">
        <f ca="1">VLOOKUP($A231&amp;$B231,data!$A:$U,18,FALSE)</f>
        <v>0</v>
      </c>
      <c r="H231" s="3">
        <f ca="1">VLOOKUP($A231&amp;$B231,data!$A:$U,19,FALSE)</f>
        <v>1</v>
      </c>
      <c r="I231" s="3">
        <f ca="1">VLOOKUP($A231&amp;$B231,data!$A:$U,14,FALSE)</f>
        <v>2</v>
      </c>
      <c r="J231" s="3">
        <f ca="1">VLOOKUP($A231&amp;$B231,data!$A:$U,15,FALSE)</f>
        <v>0</v>
      </c>
      <c r="K231" s="3">
        <f ca="1">VLOOKUP($A231&amp;$B231,data!$A:$U,16,FALSE)</f>
        <v>2</v>
      </c>
      <c r="L231" s="3">
        <f ca="1">VLOOKUP($A231&amp;$B231,data!$A:$U,8,FALSE)</f>
        <v>15</v>
      </c>
      <c r="M231" s="3">
        <f ca="1">VLOOKUP($A231&amp;$B231,data!$A:$U,9,FALSE)</f>
        <v>10</v>
      </c>
      <c r="N231" s="3">
        <f ca="1">VLOOKUP($A231&amp;$B231,data!$A:$U,10,FALSE)</f>
        <v>5</v>
      </c>
      <c r="O231" s="3">
        <f ca="1">VLOOKUP($A231&amp;$B231,data!$A:$U,11,FALSE)</f>
        <v>0</v>
      </c>
      <c r="P231" s="3">
        <f ca="1">VLOOKUP($A231&amp;$B231,data!$A:$U,12,FALSE)</f>
        <v>0</v>
      </c>
      <c r="Q231" s="3">
        <f ca="1">VLOOKUP($A231&amp;$B231,data!$A:$U,13,FALSE)</f>
        <v>0</v>
      </c>
      <c r="R231" s="3">
        <f ca="1">VLOOKUP($A231&amp;$B231,data!$A:$U,5,FALSE)</f>
        <v>18</v>
      </c>
      <c r="S231" s="3">
        <f ca="1">VLOOKUP($A231&amp;$B231,data!$A:$U,6,FALSE)</f>
        <v>10</v>
      </c>
      <c r="T231" s="3">
        <f ca="1">VLOOKUP($A231&amp;$B231,data!$A:$U,7,FALSE)</f>
        <v>8</v>
      </c>
    </row>
    <row r="232" spans="1:20" ht="13" x14ac:dyDescent="0.15">
      <c r="A232" s="3" t="s">
        <v>14</v>
      </c>
      <c r="B232" s="3" t="s">
        <v>768</v>
      </c>
      <c r="C232" s="10">
        <f t="shared" ca="1" si="0"/>
        <v>0.8125</v>
      </c>
      <c r="D232" s="5">
        <f ca="1">VLOOKUP($A232&amp;$B232,data!$A:$U,20,FALSE)</f>
        <v>44305.481770833299</v>
      </c>
      <c r="E232" s="3" t="str">
        <f ca="1">VLOOKUP($A232&amp;$B232,data!$A:$U,21,FALSE)</f>
        <v>updated 19/04/2021</v>
      </c>
      <c r="F232" s="3">
        <f ca="1">VLOOKUP($A232&amp;$B232,data!$A:$U,17,FALSE)</f>
        <v>4</v>
      </c>
      <c r="G232" s="3">
        <f ca="1">VLOOKUP($A232&amp;$B232,data!$A:$U,18,FALSE)</f>
        <v>0</v>
      </c>
      <c r="H232" s="3">
        <f ca="1">VLOOKUP($A232&amp;$B232,data!$A:$U,19,FALSE)</f>
        <v>4</v>
      </c>
      <c r="I232" s="3">
        <f ca="1">VLOOKUP($A232&amp;$B232,data!$A:$U,14,FALSE)</f>
        <v>4</v>
      </c>
      <c r="J232" s="3">
        <f ca="1">VLOOKUP($A232&amp;$B232,data!$A:$U,15,FALSE)</f>
        <v>0</v>
      </c>
      <c r="K232" s="3">
        <f ca="1">VLOOKUP($A232&amp;$B232,data!$A:$U,16,FALSE)</f>
        <v>4</v>
      </c>
      <c r="L232" s="3">
        <f ca="1">VLOOKUP($A232&amp;$B232,data!$A:$U,8,FALSE)</f>
        <v>4</v>
      </c>
      <c r="M232" s="3">
        <f ca="1">VLOOKUP($A232&amp;$B232,data!$A:$U,9,FALSE)</f>
        <v>0</v>
      </c>
      <c r="N232" s="3">
        <f ca="1">VLOOKUP($A232&amp;$B232,data!$A:$U,10,FALSE)</f>
        <v>4</v>
      </c>
      <c r="O232" s="3">
        <f ca="1">VLOOKUP($A232&amp;$B232,data!$A:$U,11,FALSE)</f>
        <v>8</v>
      </c>
      <c r="P232" s="3">
        <f ca="1">VLOOKUP($A232&amp;$B232,data!$A:$U,12,FALSE)</f>
        <v>3</v>
      </c>
      <c r="Q232" s="3">
        <f ca="1">VLOOKUP($A232&amp;$B232,data!$A:$U,13,FALSE)</f>
        <v>5</v>
      </c>
      <c r="R232" s="3">
        <f ca="1">VLOOKUP($A232&amp;$B232,data!$A:$U,5,FALSE)</f>
        <v>16</v>
      </c>
      <c r="S232" s="3">
        <f ca="1">VLOOKUP($A232&amp;$B232,data!$A:$U,6,FALSE)</f>
        <v>3</v>
      </c>
      <c r="T232" s="3">
        <f ca="1">VLOOKUP($A232&amp;$B232,data!$A:$U,7,FALSE)</f>
        <v>13</v>
      </c>
    </row>
    <row r="233" spans="1:20" ht="13" x14ac:dyDescent="0.15">
      <c r="A233" s="3" t="s">
        <v>14</v>
      </c>
      <c r="B233" s="3" t="s">
        <v>372</v>
      </c>
      <c r="C233" s="10">
        <f t="shared" ca="1" si="0"/>
        <v>0.36</v>
      </c>
      <c r="D233" s="5">
        <f ca="1">VLOOKUP($A233&amp;$B233,data!$A:$U,20,FALSE)</f>
        <v>44305.513252314799</v>
      </c>
      <c r="E233" s="3" t="str">
        <f ca="1">VLOOKUP($A233&amp;$B233,data!$A:$U,21,FALSE)</f>
        <v>Updated 19.04.2021</v>
      </c>
      <c r="F233" s="3">
        <f ca="1">VLOOKUP($A233&amp;$B233,data!$A:$U,17,FALSE)</f>
        <v>0</v>
      </c>
      <c r="G233" s="3">
        <f ca="1">VLOOKUP($A233&amp;$B233,data!$A:$U,18,FALSE)</f>
        <v>0</v>
      </c>
      <c r="H233" s="3">
        <f ca="1">VLOOKUP($A233&amp;$B233,data!$A:$U,19,FALSE)</f>
        <v>0</v>
      </c>
      <c r="I233" s="3">
        <f ca="1">VLOOKUP($A233&amp;$B233,data!$A:$U,14,FALSE)</f>
        <v>0</v>
      </c>
      <c r="J233" s="3">
        <f ca="1">VLOOKUP($A233&amp;$B233,data!$A:$U,15,FALSE)</f>
        <v>0</v>
      </c>
      <c r="K233" s="3">
        <f ca="1">VLOOKUP($A233&amp;$B233,data!$A:$U,16,FALSE)</f>
        <v>0</v>
      </c>
      <c r="L233" s="3">
        <f ca="1">VLOOKUP($A233&amp;$B233,data!$A:$U,8,FALSE)</f>
        <v>5</v>
      </c>
      <c r="M233" s="3">
        <f ca="1">VLOOKUP($A233&amp;$B233,data!$A:$U,9,FALSE)</f>
        <v>5</v>
      </c>
      <c r="N233" s="3">
        <f ca="1">VLOOKUP($A233&amp;$B233,data!$A:$U,10,FALSE)</f>
        <v>0</v>
      </c>
      <c r="O233" s="3">
        <f ca="1">VLOOKUP($A233&amp;$B233,data!$A:$U,11,FALSE)</f>
        <v>20</v>
      </c>
      <c r="P233" s="3">
        <f ca="1">VLOOKUP($A233&amp;$B233,data!$A:$U,12,FALSE)</f>
        <v>11</v>
      </c>
      <c r="Q233" s="3">
        <f ca="1">VLOOKUP($A233&amp;$B233,data!$A:$U,13,FALSE)</f>
        <v>9</v>
      </c>
      <c r="R233" s="3">
        <f ca="1">VLOOKUP($A233&amp;$B233,data!$A:$U,5,FALSE)</f>
        <v>25</v>
      </c>
      <c r="S233" s="3">
        <f ca="1">VLOOKUP($A233&amp;$B233,data!$A:$U,6,FALSE)</f>
        <v>16</v>
      </c>
      <c r="T233" s="3">
        <f ca="1">VLOOKUP($A233&amp;$B233,data!$A:$U,7,FALSE)</f>
        <v>9</v>
      </c>
    </row>
    <row r="234" spans="1:20" ht="13" x14ac:dyDescent="0.15">
      <c r="A234" s="3" t="s">
        <v>14</v>
      </c>
      <c r="B234" s="3" t="s">
        <v>794</v>
      </c>
      <c r="C234" s="10">
        <f t="shared" ca="1" si="0"/>
        <v>0.38235294117647056</v>
      </c>
      <c r="D234" s="5">
        <f ca="1">VLOOKUP($A234&amp;$B234,data!$A:$U,20,FALSE)</f>
        <v>44305.480879629598</v>
      </c>
      <c r="E234" s="3" t="str">
        <f ca="1">VLOOKUP($A234&amp;$B234,data!$A:$U,21,FALSE)</f>
        <v>No changes 19.04.2021</v>
      </c>
      <c r="F234" s="3">
        <f ca="1">VLOOKUP($A234&amp;$B234,data!$A:$U,17,FALSE)</f>
        <v>0</v>
      </c>
      <c r="G234" s="3">
        <f ca="1">VLOOKUP($A234&amp;$B234,data!$A:$U,18,FALSE)</f>
        <v>0</v>
      </c>
      <c r="H234" s="3">
        <f ca="1">VLOOKUP($A234&amp;$B234,data!$A:$U,19,FALSE)</f>
        <v>0</v>
      </c>
      <c r="I234" s="3">
        <f ca="1">VLOOKUP($A234&amp;$B234,data!$A:$U,14,FALSE)</f>
        <v>4</v>
      </c>
      <c r="J234" s="3">
        <f ca="1">VLOOKUP($A234&amp;$B234,data!$A:$U,15,FALSE)</f>
        <v>0</v>
      </c>
      <c r="K234" s="3">
        <f ca="1">VLOOKUP($A234&amp;$B234,data!$A:$U,16,FALSE)</f>
        <v>3</v>
      </c>
      <c r="L234" s="3">
        <f ca="1">VLOOKUP($A234&amp;$B234,data!$A:$U,8,FALSE)</f>
        <v>10</v>
      </c>
      <c r="M234" s="3">
        <f ca="1">VLOOKUP($A234&amp;$B234,data!$A:$U,9,FALSE)</f>
        <v>0</v>
      </c>
      <c r="N234" s="3">
        <f ca="1">VLOOKUP($A234&amp;$B234,data!$A:$U,10,FALSE)</f>
        <v>0</v>
      </c>
      <c r="O234" s="3">
        <f ca="1">VLOOKUP($A234&amp;$B234,data!$A:$U,11,FALSE)</f>
        <v>10</v>
      </c>
      <c r="P234" s="3">
        <f ca="1">VLOOKUP($A234&amp;$B234,data!$A:$U,12,FALSE)</f>
        <v>0</v>
      </c>
      <c r="Q234" s="3">
        <f ca="1">VLOOKUP($A234&amp;$B234,data!$A:$U,13,FALSE)</f>
        <v>0</v>
      </c>
      <c r="R234" s="3">
        <f ca="1">VLOOKUP($A234&amp;$B234,data!$A:$U,5,FALSE)</f>
        <v>10</v>
      </c>
      <c r="S234" s="3">
        <f ca="1">VLOOKUP($A234&amp;$B234,data!$A:$U,6,FALSE)</f>
        <v>0</v>
      </c>
      <c r="T234" s="3">
        <f ca="1">VLOOKUP($A234&amp;$B234,data!$A:$U,7,FALSE)</f>
        <v>10</v>
      </c>
    </row>
    <row r="235" spans="1:20" ht="13" x14ac:dyDescent="0.15">
      <c r="A235" s="3" t="s">
        <v>14</v>
      </c>
      <c r="B235" s="3" t="s">
        <v>795</v>
      </c>
      <c r="C235" s="10">
        <f t="shared" ca="1" si="0"/>
        <v>1</v>
      </c>
      <c r="D235" s="5">
        <f ca="1">VLOOKUP($A235&amp;$B235,data!$A:$U,20,FALSE)</f>
        <v>44305.315254629597</v>
      </c>
      <c r="E235" s="3" t="str">
        <f ca="1">VLOOKUP($A235&amp;$B235,data!$A:$U,21,FALSE)</f>
        <v>Updated on 19.04.2021</v>
      </c>
      <c r="F235" s="3">
        <f ca="1">VLOOKUP($A235&amp;$B235,data!$A:$U,17,FALSE)</f>
        <v>1</v>
      </c>
      <c r="G235" s="3">
        <f ca="1">VLOOKUP($A235&amp;$B235,data!$A:$U,18,FALSE)</f>
        <v>0</v>
      </c>
      <c r="H235" s="3">
        <f ca="1">VLOOKUP($A235&amp;$B235,data!$A:$U,19,FALSE)</f>
        <v>1</v>
      </c>
      <c r="I235" s="3">
        <f ca="1">VLOOKUP($A235&amp;$B235,data!$A:$U,14,FALSE)</f>
        <v>2</v>
      </c>
      <c r="J235" s="3">
        <f ca="1">VLOOKUP($A235&amp;$B235,data!$A:$U,15,FALSE)</f>
        <v>0</v>
      </c>
      <c r="K235" s="3">
        <f ca="1">VLOOKUP($A235&amp;$B235,data!$A:$U,16,FALSE)</f>
        <v>2</v>
      </c>
      <c r="L235" s="3">
        <f ca="1">VLOOKUP($A235&amp;$B235,data!$A:$U,8,FALSE)</f>
        <v>2</v>
      </c>
      <c r="M235" s="3">
        <f ca="1">VLOOKUP($A235&amp;$B235,data!$A:$U,9,FALSE)</f>
        <v>0</v>
      </c>
      <c r="N235" s="3">
        <f ca="1">VLOOKUP($A235&amp;$B235,data!$A:$U,10,FALSE)</f>
        <v>2</v>
      </c>
      <c r="O235" s="3">
        <f ca="1">VLOOKUP($A235&amp;$B235,data!$A:$U,11,FALSE)</f>
        <v>6</v>
      </c>
      <c r="P235" s="3">
        <f ca="1">VLOOKUP($A235&amp;$B235,data!$A:$U,12,FALSE)</f>
        <v>0</v>
      </c>
      <c r="Q235" s="3">
        <f ca="1">VLOOKUP($A235&amp;$B235,data!$A:$U,13,FALSE)</f>
        <v>6</v>
      </c>
      <c r="R235" s="3">
        <f ca="1">VLOOKUP($A235&amp;$B235,data!$A:$U,5,FALSE)</f>
        <v>10</v>
      </c>
      <c r="S235" s="3">
        <f ca="1">VLOOKUP($A235&amp;$B235,data!$A:$U,6,FALSE)</f>
        <v>0</v>
      </c>
      <c r="T235" s="3">
        <f ca="1">VLOOKUP($A235&amp;$B235,data!$A:$U,7,FALSE)</f>
        <v>10</v>
      </c>
    </row>
    <row r="236" spans="1:20" ht="13" x14ac:dyDescent="0.15">
      <c r="A236" s="3" t="s">
        <v>14</v>
      </c>
      <c r="B236" s="3" t="s">
        <v>851</v>
      </c>
      <c r="C236" s="10">
        <f t="shared" ca="1" si="0"/>
        <v>0.67647058823529416</v>
      </c>
      <c r="D236" s="5">
        <f ca="1">VLOOKUP($A236&amp;$B236,data!$A:$U,20,FALSE)</f>
        <v>44305.282337962897</v>
      </c>
      <c r="E236" s="3" t="str">
        <f ca="1">VLOOKUP($A236&amp;$B236,data!$A:$U,21,FALSE)</f>
        <v>19.04.2021 ( covid - 19 four patients admission in our hospital )</v>
      </c>
      <c r="F236" s="3">
        <f ca="1">VLOOKUP($A236&amp;$B236,data!$A:$U,17,FALSE)</f>
        <v>1</v>
      </c>
      <c r="G236" s="3">
        <f ca="1">VLOOKUP($A236&amp;$B236,data!$A:$U,18,FALSE)</f>
        <v>0</v>
      </c>
      <c r="H236" s="3">
        <f ca="1">VLOOKUP($A236&amp;$B236,data!$A:$U,19,FALSE)</f>
        <v>1</v>
      </c>
      <c r="I236" s="3">
        <f ca="1">VLOOKUP($A236&amp;$B236,data!$A:$U,14,FALSE)</f>
        <v>4</v>
      </c>
      <c r="J236" s="3">
        <f ca="1">VLOOKUP($A236&amp;$B236,data!$A:$U,15,FALSE)</f>
        <v>0</v>
      </c>
      <c r="K236" s="3">
        <f ca="1">VLOOKUP($A236&amp;$B236,data!$A:$U,16,FALSE)</f>
        <v>4</v>
      </c>
      <c r="L236" s="3">
        <f ca="1">VLOOKUP($A236&amp;$B236,data!$A:$U,8,FALSE)</f>
        <v>8</v>
      </c>
      <c r="M236" s="3">
        <f ca="1">VLOOKUP($A236&amp;$B236,data!$A:$U,9,FALSE)</f>
        <v>0</v>
      </c>
      <c r="N236" s="3">
        <f ca="1">VLOOKUP($A236&amp;$B236,data!$A:$U,10,FALSE)</f>
        <v>8</v>
      </c>
      <c r="O236" s="3">
        <f ca="1">VLOOKUP($A236&amp;$B236,data!$A:$U,11,FALSE)</f>
        <v>6</v>
      </c>
      <c r="P236" s="3">
        <f ca="1">VLOOKUP($A236&amp;$B236,data!$A:$U,12,FALSE)</f>
        <v>2</v>
      </c>
      <c r="Q236" s="3">
        <f ca="1">VLOOKUP($A236&amp;$B236,data!$A:$U,13,FALSE)</f>
        <v>2</v>
      </c>
      <c r="R236" s="3">
        <f ca="1">VLOOKUP($A236&amp;$B236,data!$A:$U,5,FALSE)</f>
        <v>16</v>
      </c>
      <c r="S236" s="3">
        <f ca="1">VLOOKUP($A236&amp;$B236,data!$A:$U,6,FALSE)</f>
        <v>7</v>
      </c>
      <c r="T236" s="3">
        <f ca="1">VLOOKUP($A236&amp;$B236,data!$A:$U,7,FALSE)</f>
        <v>9</v>
      </c>
    </row>
    <row r="237" spans="1:20" ht="13" x14ac:dyDescent="0.15">
      <c r="A237" s="3" t="s">
        <v>14</v>
      </c>
      <c r="B237" s="3" t="s">
        <v>394</v>
      </c>
      <c r="C237" s="10">
        <f t="shared" ca="1" si="0"/>
        <v>0.33333333333333331</v>
      </c>
      <c r="D237" s="5">
        <f ca="1">VLOOKUP($A237&amp;$B237,data!$A:$U,20,FALSE)</f>
        <v>44305.380312499998</v>
      </c>
      <c r="E237" s="3" t="str">
        <f ca="1">VLOOKUP($A237&amp;$B237,data!$A:$U,21,FALSE)</f>
        <v>UPDATE ON 19.04.2021</v>
      </c>
      <c r="F237" s="3">
        <f ca="1">VLOOKUP($A237&amp;$B237,data!$A:$U,17,FALSE)</f>
        <v>3</v>
      </c>
      <c r="G237" s="3">
        <f ca="1">VLOOKUP($A237&amp;$B237,data!$A:$U,18,FALSE)</f>
        <v>0</v>
      </c>
      <c r="H237" s="3">
        <f ca="1">VLOOKUP($A237&amp;$B237,data!$A:$U,19,FALSE)</f>
        <v>3</v>
      </c>
      <c r="I237" s="3">
        <f ca="1">VLOOKUP($A237&amp;$B237,data!$A:$U,14,FALSE)</f>
        <v>4</v>
      </c>
      <c r="J237" s="3">
        <f ca="1">VLOOKUP($A237&amp;$B237,data!$A:$U,15,FALSE)</f>
        <v>2</v>
      </c>
      <c r="K237" s="3">
        <f ca="1">VLOOKUP($A237&amp;$B237,data!$A:$U,16,FALSE)</f>
        <v>2</v>
      </c>
      <c r="L237" s="3">
        <f ca="1">VLOOKUP($A237&amp;$B237,data!$A:$U,8,FALSE)</f>
        <v>26</v>
      </c>
      <c r="M237" s="3">
        <f ca="1">VLOOKUP($A237&amp;$B237,data!$A:$U,9,FALSE)</f>
        <v>18</v>
      </c>
      <c r="N237" s="3">
        <f ca="1">VLOOKUP($A237&amp;$B237,data!$A:$U,10,FALSE)</f>
        <v>8</v>
      </c>
      <c r="O237" s="3">
        <f ca="1">VLOOKUP($A237&amp;$B237,data!$A:$U,11,FALSE)</f>
        <v>0</v>
      </c>
      <c r="P237" s="3">
        <f ca="1">VLOOKUP($A237&amp;$B237,data!$A:$U,12,FALSE)</f>
        <v>0</v>
      </c>
      <c r="Q237" s="3">
        <f ca="1">VLOOKUP($A237&amp;$B237,data!$A:$U,13,FALSE)</f>
        <v>0</v>
      </c>
      <c r="R237" s="3">
        <f ca="1">VLOOKUP($A237&amp;$B237,data!$A:$U,5,FALSE)</f>
        <v>30</v>
      </c>
      <c r="S237" s="3">
        <f ca="1">VLOOKUP($A237&amp;$B237,data!$A:$U,6,FALSE)</f>
        <v>20</v>
      </c>
      <c r="T237" s="3">
        <f ca="1">VLOOKUP($A237&amp;$B237,data!$A:$U,7,FALSE)</f>
        <v>10</v>
      </c>
    </row>
    <row r="238" spans="1:20" ht="13" x14ac:dyDescent="0.15">
      <c r="A238" s="3" t="s">
        <v>14</v>
      </c>
      <c r="B238" s="3" t="s">
        <v>856</v>
      </c>
      <c r="C238" s="10">
        <f t="shared" ca="1" si="0"/>
        <v>0.8</v>
      </c>
      <c r="D238" s="5">
        <f ca="1">VLOOKUP($A238&amp;$B238,data!$A:$U,20,FALSE)</f>
        <v>44305.463275462898</v>
      </c>
      <c r="E238" s="3" t="str">
        <f ca="1">VLOOKUP($A238&amp;$B238,data!$A:$U,21,FALSE)</f>
        <v>19.04.2021 UPDATED...</v>
      </c>
      <c r="F238" s="3">
        <f ca="1">VLOOKUP($A238&amp;$B238,data!$A:$U,17,FALSE)</f>
        <v>0</v>
      </c>
      <c r="G238" s="3">
        <f ca="1">VLOOKUP($A238&amp;$B238,data!$A:$U,18,FALSE)</f>
        <v>0</v>
      </c>
      <c r="H238" s="3">
        <f ca="1">VLOOKUP($A238&amp;$B238,data!$A:$U,19,FALSE)</f>
        <v>0</v>
      </c>
      <c r="I238" s="3">
        <f ca="1">VLOOKUP($A238&amp;$B238,data!$A:$U,14,FALSE)</f>
        <v>0</v>
      </c>
      <c r="J238" s="3">
        <f ca="1">VLOOKUP($A238&amp;$B238,data!$A:$U,15,FALSE)</f>
        <v>0</v>
      </c>
      <c r="K238" s="3">
        <f ca="1">VLOOKUP($A238&amp;$B238,data!$A:$U,16,FALSE)</f>
        <v>0</v>
      </c>
      <c r="L238" s="3">
        <f ca="1">VLOOKUP($A238&amp;$B238,data!$A:$U,8,FALSE)</f>
        <v>10</v>
      </c>
      <c r="M238" s="3">
        <f ca="1">VLOOKUP($A238&amp;$B238,data!$A:$U,9,FALSE)</f>
        <v>2</v>
      </c>
      <c r="N238" s="3">
        <f ca="1">VLOOKUP($A238&amp;$B238,data!$A:$U,10,FALSE)</f>
        <v>8</v>
      </c>
      <c r="O238" s="3">
        <f ca="1">VLOOKUP($A238&amp;$B238,data!$A:$U,11,FALSE)</f>
        <v>0</v>
      </c>
      <c r="P238" s="3">
        <f ca="1">VLOOKUP($A238&amp;$B238,data!$A:$U,12,FALSE)</f>
        <v>0</v>
      </c>
      <c r="Q238" s="3">
        <f ca="1">VLOOKUP($A238&amp;$B238,data!$A:$U,13,FALSE)</f>
        <v>0</v>
      </c>
      <c r="R238" s="3">
        <f ca="1">VLOOKUP($A238&amp;$B238,data!$A:$U,5,FALSE)</f>
        <v>10</v>
      </c>
      <c r="S238" s="3">
        <f ca="1">VLOOKUP($A238&amp;$B238,data!$A:$U,6,FALSE)</f>
        <v>2</v>
      </c>
      <c r="T238" s="3">
        <f ca="1">VLOOKUP($A238&amp;$B238,data!$A:$U,7,FALSE)</f>
        <v>8</v>
      </c>
    </row>
    <row r="239" spans="1:20" ht="13" x14ac:dyDescent="0.15">
      <c r="A239" s="3" t="s">
        <v>14</v>
      </c>
      <c r="B239" s="3" t="s">
        <v>367</v>
      </c>
      <c r="C239" s="10">
        <f t="shared" ca="1" si="0"/>
        <v>0.63749999999999996</v>
      </c>
      <c r="D239" s="5">
        <f ca="1">VLOOKUP($A239&amp;$B239,data!$A:$U,20,FALSE)</f>
        <v>44305.444664351802</v>
      </c>
      <c r="E239" s="3" t="str">
        <f ca="1">VLOOKUP($A239&amp;$B239,data!$A:$U,21,FALSE)</f>
        <v>Updated</v>
      </c>
      <c r="F239" s="3">
        <f ca="1">VLOOKUP($A239&amp;$B239,data!$A:$U,17,FALSE)</f>
        <v>3</v>
      </c>
      <c r="G239" s="3">
        <f ca="1">VLOOKUP($A239&amp;$B239,data!$A:$U,18,FALSE)</f>
        <v>0</v>
      </c>
      <c r="H239" s="3">
        <f ca="1">VLOOKUP($A239&amp;$B239,data!$A:$U,19,FALSE)</f>
        <v>3</v>
      </c>
      <c r="I239" s="3">
        <f ca="1">VLOOKUP($A239&amp;$B239,data!$A:$U,14,FALSE)</f>
        <v>13</v>
      </c>
      <c r="J239" s="3">
        <f ca="1">VLOOKUP($A239&amp;$B239,data!$A:$U,15,FALSE)</f>
        <v>0</v>
      </c>
      <c r="K239" s="3">
        <f ca="1">VLOOKUP($A239&amp;$B239,data!$A:$U,16,FALSE)</f>
        <v>35</v>
      </c>
      <c r="L239" s="3">
        <f ca="1">VLOOKUP($A239&amp;$B239,data!$A:$U,8,FALSE)</f>
        <v>12</v>
      </c>
      <c r="M239" s="3">
        <f ca="1">VLOOKUP($A239&amp;$B239,data!$A:$U,9,FALSE)</f>
        <v>0</v>
      </c>
      <c r="N239" s="3">
        <f ca="1">VLOOKUP($A239&amp;$B239,data!$A:$U,10,FALSE)</f>
        <v>10</v>
      </c>
      <c r="O239" s="3">
        <f ca="1">VLOOKUP($A239&amp;$B239,data!$A:$U,11,FALSE)</f>
        <v>15</v>
      </c>
      <c r="P239" s="3">
        <f ca="1">VLOOKUP($A239&amp;$B239,data!$A:$U,12,FALSE)</f>
        <v>15</v>
      </c>
      <c r="Q239" s="3">
        <f ca="1">VLOOKUP($A239&amp;$B239,data!$A:$U,13,FALSE)</f>
        <v>0</v>
      </c>
      <c r="R239" s="3">
        <f ca="1">VLOOKUP($A239&amp;$B239,data!$A:$U,5,FALSE)</f>
        <v>40</v>
      </c>
      <c r="S239" s="3">
        <f ca="1">VLOOKUP($A239&amp;$B239,data!$A:$U,6,FALSE)</f>
        <v>34</v>
      </c>
      <c r="T239" s="3">
        <f ca="1">VLOOKUP($A239&amp;$B239,data!$A:$U,7,FALSE)</f>
        <v>6</v>
      </c>
    </row>
    <row r="240" spans="1:20" ht="13" x14ac:dyDescent="0.15">
      <c r="A240" s="3" t="s">
        <v>14</v>
      </c>
      <c r="B240" s="3" t="s">
        <v>800</v>
      </c>
      <c r="C240" s="10">
        <f t="shared" ca="1" si="0"/>
        <v>0.17142857142857143</v>
      </c>
      <c r="D240" s="5">
        <f ca="1">VLOOKUP($A240&amp;$B240,data!$A:$U,20,FALSE)</f>
        <v>44305.304710648103</v>
      </c>
      <c r="E240" s="3" t="str">
        <f ca="1">VLOOKUP($A240&amp;$B240,data!$A:$U,21,FALSE)</f>
        <v>Nil...</v>
      </c>
      <c r="F240" s="3">
        <f ca="1">VLOOKUP($A240&amp;$B240,data!$A:$U,17,FALSE)</f>
        <v>1</v>
      </c>
      <c r="G240" s="3">
        <f ca="1">VLOOKUP($A240&amp;$B240,data!$A:$U,18,FALSE)</f>
        <v>0</v>
      </c>
      <c r="H240" s="3">
        <f ca="1">VLOOKUP($A240&amp;$B240,data!$A:$U,19,FALSE)</f>
        <v>1</v>
      </c>
      <c r="I240" s="3">
        <f ca="1">VLOOKUP($A240&amp;$B240,data!$A:$U,14,FALSE)</f>
        <v>1</v>
      </c>
      <c r="J240" s="3">
        <f ca="1">VLOOKUP($A240&amp;$B240,data!$A:$U,15,FALSE)</f>
        <v>1</v>
      </c>
      <c r="K240" s="3">
        <f ca="1">VLOOKUP($A240&amp;$B240,data!$A:$U,16,FALSE)</f>
        <v>0</v>
      </c>
      <c r="L240" s="3">
        <f ca="1">VLOOKUP($A240&amp;$B240,data!$A:$U,8,FALSE)</f>
        <v>34</v>
      </c>
      <c r="M240" s="3">
        <f ca="1">VLOOKUP($A240&amp;$B240,data!$A:$U,9,FALSE)</f>
        <v>28</v>
      </c>
      <c r="N240" s="3">
        <f ca="1">VLOOKUP($A240&amp;$B240,data!$A:$U,10,FALSE)</f>
        <v>6</v>
      </c>
      <c r="O240" s="3">
        <f ca="1">VLOOKUP($A240&amp;$B240,data!$A:$U,11,FALSE)</f>
        <v>0</v>
      </c>
      <c r="P240" s="3">
        <f ca="1">VLOOKUP($A240&amp;$B240,data!$A:$U,12,FALSE)</f>
        <v>0</v>
      </c>
      <c r="Q240" s="3">
        <f ca="1">VLOOKUP($A240&amp;$B240,data!$A:$U,13,FALSE)</f>
        <v>0</v>
      </c>
      <c r="R240" s="3">
        <f ca="1">VLOOKUP($A240&amp;$B240,data!$A:$U,5,FALSE)</f>
        <v>35</v>
      </c>
      <c r="S240" s="3">
        <f ca="1">VLOOKUP($A240&amp;$B240,data!$A:$U,6,FALSE)</f>
        <v>29</v>
      </c>
      <c r="T240" s="3">
        <f ca="1">VLOOKUP($A240&amp;$B240,data!$A:$U,7,FALSE)</f>
        <v>6</v>
      </c>
    </row>
    <row r="241" spans="1:20" ht="13" x14ac:dyDescent="0.15">
      <c r="A241" s="3" t="s">
        <v>14</v>
      </c>
      <c r="B241" s="3" t="s">
        <v>408</v>
      </c>
      <c r="C241" s="10">
        <f t="shared" ca="1" si="0"/>
        <v>0.05</v>
      </c>
      <c r="D241" s="5">
        <f ca="1">VLOOKUP($A241&amp;$B241,data!$A:$U,20,FALSE)</f>
        <v>44305.387361111098</v>
      </c>
      <c r="E241" s="3" t="str">
        <f ca="1">VLOOKUP($A241&amp;$B241,data!$A:$U,21,FALSE)</f>
        <v>Updated 19-04-2021</v>
      </c>
      <c r="F241" s="3">
        <f ca="1">VLOOKUP($A241&amp;$B241,data!$A:$U,17,FALSE)</f>
        <v>4</v>
      </c>
      <c r="G241" s="3">
        <f ca="1">VLOOKUP($A241&amp;$B241,data!$A:$U,18,FALSE)</f>
        <v>4</v>
      </c>
      <c r="H241" s="3">
        <f ca="1">VLOOKUP($A241&amp;$B241,data!$A:$U,19,FALSE)</f>
        <v>0</v>
      </c>
      <c r="I241" s="3">
        <f ca="1">VLOOKUP($A241&amp;$B241,data!$A:$U,14,FALSE)</f>
        <v>7</v>
      </c>
      <c r="J241" s="3">
        <f ca="1">VLOOKUP($A241&amp;$B241,data!$A:$U,15,FALSE)</f>
        <v>7</v>
      </c>
      <c r="K241" s="3">
        <f ca="1">VLOOKUP($A241&amp;$B241,data!$A:$U,16,FALSE)</f>
        <v>0</v>
      </c>
      <c r="L241" s="3">
        <f ca="1">VLOOKUP($A241&amp;$B241,data!$A:$U,8,FALSE)</f>
        <v>53</v>
      </c>
      <c r="M241" s="3">
        <f ca="1">VLOOKUP($A241&amp;$B241,data!$A:$U,9,FALSE)</f>
        <v>50</v>
      </c>
      <c r="N241" s="3">
        <f ca="1">VLOOKUP($A241&amp;$B241,data!$A:$U,10,FALSE)</f>
        <v>3</v>
      </c>
      <c r="O241" s="3">
        <f ca="1">VLOOKUP($A241&amp;$B241,data!$A:$U,11,FALSE)</f>
        <v>0</v>
      </c>
      <c r="P241" s="3">
        <f ca="1">VLOOKUP($A241&amp;$B241,data!$A:$U,12,FALSE)</f>
        <v>0</v>
      </c>
      <c r="Q241" s="3">
        <f ca="1">VLOOKUP($A241&amp;$B241,data!$A:$U,13,FALSE)</f>
        <v>0</v>
      </c>
      <c r="R241" s="3">
        <f ca="1">VLOOKUP($A241&amp;$B241,data!$A:$U,5,FALSE)</f>
        <v>60</v>
      </c>
      <c r="S241" s="3">
        <f ca="1">VLOOKUP($A241&amp;$B241,data!$A:$U,6,FALSE)</f>
        <v>57</v>
      </c>
      <c r="T241" s="3">
        <f ca="1">VLOOKUP($A241&amp;$B241,data!$A:$U,7,FALSE)</f>
        <v>3</v>
      </c>
    </row>
    <row r="242" spans="1:20" ht="13" x14ac:dyDescent="0.15">
      <c r="A242" s="3" t="s">
        <v>14</v>
      </c>
      <c r="B242" s="3" t="s">
        <v>857</v>
      </c>
      <c r="C242" s="10">
        <f t="shared" ca="1" si="0"/>
        <v>0.5</v>
      </c>
      <c r="D242" s="5">
        <f ca="1">VLOOKUP($A242&amp;$B242,data!$A:$U,20,FALSE)</f>
        <v>44305.445960648103</v>
      </c>
      <c r="E242" s="3" t="str">
        <f ca="1">VLOOKUP($A242&amp;$B242,data!$A:$U,21,FALSE)</f>
        <v>Update . 19.04. 2021........</v>
      </c>
      <c r="F242" s="3">
        <f ca="1">VLOOKUP($A242&amp;$B242,data!$A:$U,17,FALSE)</f>
        <v>0</v>
      </c>
      <c r="G242" s="3">
        <f ca="1">VLOOKUP($A242&amp;$B242,data!$A:$U,18,FALSE)</f>
        <v>0</v>
      </c>
      <c r="H242" s="3">
        <f ca="1">VLOOKUP($A242&amp;$B242,data!$A:$U,19,FALSE)</f>
        <v>0</v>
      </c>
      <c r="I242" s="3">
        <f ca="1">VLOOKUP($A242&amp;$B242,data!$A:$U,14,FALSE)</f>
        <v>0</v>
      </c>
      <c r="J242" s="3">
        <f ca="1">VLOOKUP($A242&amp;$B242,data!$A:$U,15,FALSE)</f>
        <v>0</v>
      </c>
      <c r="K242" s="3">
        <f ca="1">VLOOKUP($A242&amp;$B242,data!$A:$U,16,FALSE)</f>
        <v>0</v>
      </c>
      <c r="L242" s="3">
        <f ca="1">VLOOKUP($A242&amp;$B242,data!$A:$U,8,FALSE)</f>
        <v>10</v>
      </c>
      <c r="M242" s="3">
        <f ca="1">VLOOKUP($A242&amp;$B242,data!$A:$U,9,FALSE)</f>
        <v>5</v>
      </c>
      <c r="N242" s="3">
        <f ca="1">VLOOKUP($A242&amp;$B242,data!$A:$U,10,FALSE)</f>
        <v>5</v>
      </c>
      <c r="O242" s="3">
        <f ca="1">VLOOKUP($A242&amp;$B242,data!$A:$U,11,FALSE)</f>
        <v>0</v>
      </c>
      <c r="P242" s="3">
        <f ca="1">VLOOKUP($A242&amp;$B242,data!$A:$U,12,FALSE)</f>
        <v>0</v>
      </c>
      <c r="Q242" s="3">
        <f ca="1">VLOOKUP($A242&amp;$B242,data!$A:$U,13,FALSE)</f>
        <v>0</v>
      </c>
      <c r="R242" s="3">
        <f ca="1">VLOOKUP($A242&amp;$B242,data!$A:$U,5,FALSE)</f>
        <v>10</v>
      </c>
      <c r="S242" s="3">
        <f ca="1">VLOOKUP($A242&amp;$B242,data!$A:$U,6,FALSE)</f>
        <v>5</v>
      </c>
      <c r="T242" s="3">
        <f ca="1">VLOOKUP($A242&amp;$B242,data!$A:$U,7,FALSE)</f>
        <v>5</v>
      </c>
    </row>
    <row r="243" spans="1:20" ht="13" x14ac:dyDescent="0.15">
      <c r="A243" s="3" t="s">
        <v>14</v>
      </c>
      <c r="B243" s="3" t="s">
        <v>709</v>
      </c>
      <c r="C243" s="10">
        <f t="shared" ca="1" si="0"/>
        <v>0.1</v>
      </c>
      <c r="D243" s="5">
        <f ca="1">VLOOKUP($A243&amp;$B243,data!$A:$U,20,FALSE)</f>
        <v>44305.342141203699</v>
      </c>
      <c r="E243" s="3" t="str">
        <f ca="1">VLOOKUP($A243&amp;$B243,data!$A:$U,21,FALSE)</f>
        <v>updated 19.04.2021</v>
      </c>
      <c r="F243" s="3">
        <f ca="1">VLOOKUP($A243&amp;$B243,data!$A:$U,17,FALSE)</f>
        <v>1</v>
      </c>
      <c r="G243" s="3">
        <f ca="1">VLOOKUP($A243&amp;$B243,data!$A:$U,18,FALSE)</f>
        <v>0</v>
      </c>
      <c r="H243" s="3">
        <f ca="1">VLOOKUP($A243&amp;$B243,data!$A:$U,19,FALSE)</f>
        <v>1</v>
      </c>
      <c r="I243" s="3">
        <f ca="1">VLOOKUP($A243&amp;$B243,data!$A:$U,14,FALSE)</f>
        <v>6</v>
      </c>
      <c r="J243" s="3">
        <f ca="1">VLOOKUP($A243&amp;$B243,data!$A:$U,15,FALSE)</f>
        <v>5</v>
      </c>
      <c r="K243" s="3">
        <f ca="1">VLOOKUP($A243&amp;$B243,data!$A:$U,16,FALSE)</f>
        <v>1</v>
      </c>
      <c r="L243" s="3">
        <f ca="1">VLOOKUP($A243&amp;$B243,data!$A:$U,8,FALSE)</f>
        <v>4</v>
      </c>
      <c r="M243" s="3">
        <f ca="1">VLOOKUP($A243&amp;$B243,data!$A:$U,9,FALSE)</f>
        <v>4</v>
      </c>
      <c r="N243" s="3">
        <f ca="1">VLOOKUP($A243&amp;$B243,data!$A:$U,10,FALSE)</f>
        <v>0</v>
      </c>
      <c r="O243" s="3">
        <f ca="1">VLOOKUP($A243&amp;$B243,data!$A:$U,11,FALSE)</f>
        <v>0</v>
      </c>
      <c r="P243" s="3">
        <f ca="1">VLOOKUP($A243&amp;$B243,data!$A:$U,12,FALSE)</f>
        <v>0</v>
      </c>
      <c r="Q243" s="3">
        <f ca="1">VLOOKUP($A243&amp;$B243,data!$A:$U,13,FALSE)</f>
        <v>0</v>
      </c>
      <c r="R243" s="3">
        <f ca="1">VLOOKUP($A243&amp;$B243,data!$A:$U,5,FALSE)</f>
        <v>10</v>
      </c>
      <c r="S243" s="3">
        <f ca="1">VLOOKUP($A243&amp;$B243,data!$A:$U,6,FALSE)</f>
        <v>9</v>
      </c>
      <c r="T243" s="3">
        <f ca="1">VLOOKUP($A243&amp;$B243,data!$A:$U,7,FALSE)</f>
        <v>1</v>
      </c>
    </row>
    <row r="244" spans="1:20" ht="13" x14ac:dyDescent="0.15">
      <c r="A244" s="3" t="s">
        <v>14</v>
      </c>
      <c r="B244" s="3" t="s">
        <v>698</v>
      </c>
      <c r="C244" s="10">
        <f t="shared" ca="1" si="0"/>
        <v>0</v>
      </c>
      <c r="D244" s="5">
        <f ca="1">VLOOKUP($A244&amp;$B244,data!$A:$U,20,FALSE)</f>
        <v>44305.432500000003</v>
      </c>
      <c r="E244" s="3" t="str">
        <f ca="1">VLOOKUP($A244&amp;$B244,data!$A:$U,21,FALSE)</f>
        <v>Updated......</v>
      </c>
      <c r="F244" s="3">
        <f ca="1">VLOOKUP($A244&amp;$B244,data!$A:$U,17,FALSE)</f>
        <v>0</v>
      </c>
      <c r="G244" s="3">
        <f ca="1">VLOOKUP($A244&amp;$B244,data!$A:$U,18,FALSE)</f>
        <v>0</v>
      </c>
      <c r="H244" s="3">
        <f ca="1">VLOOKUP($A244&amp;$B244,data!$A:$U,19,FALSE)</f>
        <v>0</v>
      </c>
      <c r="I244" s="3">
        <f ca="1">VLOOKUP($A244&amp;$B244,data!$A:$U,14,FALSE)</f>
        <v>0</v>
      </c>
      <c r="J244" s="3">
        <f ca="1">VLOOKUP($A244&amp;$B244,data!$A:$U,15,FALSE)</f>
        <v>0</v>
      </c>
      <c r="K244" s="3">
        <f ca="1">VLOOKUP($A244&amp;$B244,data!$A:$U,16,FALSE)</f>
        <v>0</v>
      </c>
      <c r="L244" s="3">
        <f ca="1">VLOOKUP($A244&amp;$B244,data!$A:$U,8,FALSE)</f>
        <v>8</v>
      </c>
      <c r="M244" s="3">
        <f ca="1">VLOOKUP($A244&amp;$B244,data!$A:$U,9,FALSE)</f>
        <v>8</v>
      </c>
      <c r="N244" s="3">
        <f ca="1">VLOOKUP($A244&amp;$B244,data!$A:$U,10,FALSE)</f>
        <v>0</v>
      </c>
      <c r="O244" s="3">
        <f ca="1">VLOOKUP($A244&amp;$B244,data!$A:$U,11,FALSE)</f>
        <v>4</v>
      </c>
      <c r="P244" s="3">
        <f ca="1">VLOOKUP($A244&amp;$B244,data!$A:$U,12,FALSE)</f>
        <v>4</v>
      </c>
      <c r="Q244" s="3">
        <f ca="1">VLOOKUP($A244&amp;$B244,data!$A:$U,13,FALSE)</f>
        <v>0</v>
      </c>
      <c r="R244" s="3">
        <f ca="1">VLOOKUP($A244&amp;$B244,data!$A:$U,5,FALSE)</f>
        <v>12</v>
      </c>
      <c r="S244" s="3">
        <f ca="1">VLOOKUP($A244&amp;$B244,data!$A:$U,6,FALSE)</f>
        <v>12</v>
      </c>
      <c r="T244" s="3">
        <f ca="1">VLOOKUP($A244&amp;$B244,data!$A:$U,7,FALSE)</f>
        <v>0</v>
      </c>
    </row>
    <row r="245" spans="1:20" ht="13" x14ac:dyDescent="0.15">
      <c r="A245" s="3" t="s">
        <v>14</v>
      </c>
      <c r="B245" s="3" t="s">
        <v>404</v>
      </c>
      <c r="C245" s="10">
        <f t="shared" ca="1" si="0"/>
        <v>0.1</v>
      </c>
      <c r="D245" s="5">
        <f ca="1">VLOOKUP($A245&amp;$B245,data!$A:$U,20,FALSE)</f>
        <v>44305.467523148101</v>
      </c>
      <c r="E245" s="3" t="str">
        <f ca="1">VLOOKUP($A245&amp;$B245,data!$A:$U,21,FALSE)</f>
        <v>19.04.2021....</v>
      </c>
      <c r="F245" s="3">
        <f ca="1">VLOOKUP($A245&amp;$B245,data!$A:$U,17,FALSE)</f>
        <v>1</v>
      </c>
      <c r="G245" s="3">
        <f ca="1">VLOOKUP($A245&amp;$B245,data!$A:$U,18,FALSE)</f>
        <v>0</v>
      </c>
      <c r="H245" s="3">
        <f ca="1">VLOOKUP($A245&amp;$B245,data!$A:$U,19,FALSE)</f>
        <v>1</v>
      </c>
      <c r="I245" s="3">
        <f ca="1">VLOOKUP($A245&amp;$B245,data!$A:$U,14,FALSE)</f>
        <v>3</v>
      </c>
      <c r="J245" s="3">
        <f ca="1">VLOOKUP($A245&amp;$B245,data!$A:$U,15,FALSE)</f>
        <v>2</v>
      </c>
      <c r="K245" s="3">
        <f ca="1">VLOOKUP($A245&amp;$B245,data!$A:$U,16,FALSE)</f>
        <v>1</v>
      </c>
      <c r="L245" s="3">
        <f ca="1">VLOOKUP($A245&amp;$B245,data!$A:$U,8,FALSE)</f>
        <v>3</v>
      </c>
      <c r="M245" s="3">
        <f ca="1">VLOOKUP($A245&amp;$B245,data!$A:$U,9,FALSE)</f>
        <v>3</v>
      </c>
      <c r="N245" s="3">
        <f ca="1">VLOOKUP($A245&amp;$B245,data!$A:$U,10,FALSE)</f>
        <v>0</v>
      </c>
      <c r="O245" s="3">
        <f ca="1">VLOOKUP($A245&amp;$B245,data!$A:$U,11,FALSE)</f>
        <v>14</v>
      </c>
      <c r="P245" s="3">
        <f ca="1">VLOOKUP($A245&amp;$B245,data!$A:$U,12,FALSE)</f>
        <v>14</v>
      </c>
      <c r="Q245" s="3">
        <f ca="1">VLOOKUP($A245&amp;$B245,data!$A:$U,13,FALSE)</f>
        <v>0</v>
      </c>
      <c r="R245" s="3">
        <f ca="1">VLOOKUP($A245&amp;$B245,data!$A:$U,5,FALSE)</f>
        <v>20</v>
      </c>
      <c r="S245" s="3">
        <f ca="1">VLOOKUP($A245&amp;$B245,data!$A:$U,6,FALSE)</f>
        <v>17</v>
      </c>
      <c r="T245" s="3">
        <f ca="1">VLOOKUP($A245&amp;$B245,data!$A:$U,7,FALSE)</f>
        <v>3</v>
      </c>
    </row>
    <row r="246" spans="1:20" ht="13" x14ac:dyDescent="0.15">
      <c r="A246" s="3" t="s">
        <v>14</v>
      </c>
      <c r="B246" s="3" t="s">
        <v>722</v>
      </c>
      <c r="C246" s="10">
        <f t="shared" ca="1" si="0"/>
        <v>2.6315789473684209E-2</v>
      </c>
      <c r="D246" s="5">
        <f ca="1">VLOOKUP($A246&amp;$B246,data!$A:$U,20,FALSE)</f>
        <v>44305.434317129599</v>
      </c>
      <c r="E246" s="3" t="str">
        <f ca="1">VLOOKUP($A246&amp;$B246,data!$A:$U,21,FALSE)</f>
        <v>as on 19.04.2021</v>
      </c>
      <c r="F246" s="3">
        <f ca="1">VLOOKUP($A246&amp;$B246,data!$A:$U,17,FALSE)</f>
        <v>5</v>
      </c>
      <c r="G246" s="3">
        <f ca="1">VLOOKUP($A246&amp;$B246,data!$A:$U,18,FALSE)</f>
        <v>0</v>
      </c>
      <c r="H246" s="3">
        <f ca="1">VLOOKUP($A246&amp;$B246,data!$A:$U,19,FALSE)</f>
        <v>5</v>
      </c>
      <c r="I246" s="3">
        <f ca="1">VLOOKUP($A246&amp;$B246,data!$A:$U,14,FALSE)</f>
        <v>4</v>
      </c>
      <c r="J246" s="3">
        <f ca="1">VLOOKUP($A246&amp;$B246,data!$A:$U,15,FALSE)</f>
        <v>4</v>
      </c>
      <c r="K246" s="3">
        <f ca="1">VLOOKUP($A246&amp;$B246,data!$A:$U,16,FALSE)</f>
        <v>0</v>
      </c>
      <c r="L246" s="3">
        <f ca="1">VLOOKUP($A246&amp;$B246,data!$A:$U,8,FALSE)</f>
        <v>15</v>
      </c>
      <c r="M246" s="3">
        <f ca="1">VLOOKUP($A246&amp;$B246,data!$A:$U,9,FALSE)</f>
        <v>15</v>
      </c>
      <c r="N246" s="3">
        <f ca="1">VLOOKUP($A246&amp;$B246,data!$A:$U,10,FALSE)</f>
        <v>0</v>
      </c>
      <c r="O246" s="3">
        <f ca="1">VLOOKUP($A246&amp;$B246,data!$A:$U,11,FALSE)</f>
        <v>0</v>
      </c>
      <c r="P246" s="3">
        <f ca="1">VLOOKUP($A246&amp;$B246,data!$A:$U,12,FALSE)</f>
        <v>0</v>
      </c>
      <c r="Q246" s="3">
        <f ca="1">VLOOKUP($A246&amp;$B246,data!$A:$U,13,FALSE)</f>
        <v>0</v>
      </c>
      <c r="R246" s="3">
        <f ca="1">VLOOKUP($A246&amp;$B246,data!$A:$U,5,FALSE)</f>
        <v>19</v>
      </c>
      <c r="S246" s="3">
        <f ca="1">VLOOKUP($A246&amp;$B246,data!$A:$U,6,FALSE)</f>
        <v>18</v>
      </c>
      <c r="T246" s="3">
        <f ca="1">VLOOKUP($A246&amp;$B246,data!$A:$U,7,FALSE)</f>
        <v>1</v>
      </c>
    </row>
    <row r="247" spans="1:20" ht="13" x14ac:dyDescent="0.15">
      <c r="A247" s="3" t="s">
        <v>14</v>
      </c>
      <c r="B247" s="3" t="s">
        <v>858</v>
      </c>
      <c r="C247" s="10">
        <f t="shared" ca="1" si="0"/>
        <v>0</v>
      </c>
      <c r="D247" s="5">
        <f ca="1">VLOOKUP($A247&amp;$B247,data!$A:$U,20,FALSE)</f>
        <v>44305.348206018498</v>
      </c>
      <c r="E247" s="3" t="str">
        <f ca="1">VLOOKUP($A247&amp;$B247,data!$A:$U,21,FALSE)</f>
        <v>DISCHARGE - 1</v>
      </c>
      <c r="F247" s="3">
        <f ca="1">VLOOKUP($A247&amp;$B247,data!$A:$U,17,FALSE)</f>
        <v>2</v>
      </c>
      <c r="G247" s="3">
        <f ca="1">VLOOKUP($A247&amp;$B247,data!$A:$U,18,FALSE)</f>
        <v>1</v>
      </c>
      <c r="H247" s="3">
        <f ca="1">VLOOKUP($A247&amp;$B247,data!$A:$U,19,FALSE)</f>
        <v>1</v>
      </c>
      <c r="I247" s="3">
        <f ca="1">VLOOKUP($A247&amp;$B247,data!$A:$U,14,FALSE)</f>
        <v>4</v>
      </c>
      <c r="J247" s="3">
        <f ca="1">VLOOKUP($A247&amp;$B247,data!$A:$U,15,FALSE)</f>
        <v>4</v>
      </c>
      <c r="K247" s="3">
        <f ca="1">VLOOKUP($A247&amp;$B247,data!$A:$U,16,FALSE)</f>
        <v>0</v>
      </c>
      <c r="L247" s="3">
        <f ca="1">VLOOKUP($A247&amp;$B247,data!$A:$U,8,FALSE)</f>
        <v>4</v>
      </c>
      <c r="M247" s="3">
        <f ca="1">VLOOKUP($A247&amp;$B247,data!$A:$U,9,FALSE)</f>
        <v>4</v>
      </c>
      <c r="N247" s="3">
        <f ca="1">VLOOKUP($A247&amp;$B247,data!$A:$U,10,FALSE)</f>
        <v>0</v>
      </c>
      <c r="O247" s="3">
        <f ca="1">VLOOKUP($A247&amp;$B247,data!$A:$U,11,FALSE)</f>
        <v>2</v>
      </c>
      <c r="P247" s="3">
        <f ca="1">VLOOKUP($A247&amp;$B247,data!$A:$U,12,FALSE)</f>
        <v>2</v>
      </c>
      <c r="Q247" s="3">
        <f ca="1">VLOOKUP($A247&amp;$B247,data!$A:$U,13,FALSE)</f>
        <v>0</v>
      </c>
      <c r="R247" s="3">
        <f ca="1">VLOOKUP($A247&amp;$B247,data!$A:$U,5,FALSE)</f>
        <v>10</v>
      </c>
      <c r="S247" s="3">
        <f ca="1">VLOOKUP($A247&amp;$B247,data!$A:$U,6,FALSE)</f>
        <v>10</v>
      </c>
      <c r="T247" s="3">
        <f ca="1">VLOOKUP($A247&amp;$B247,data!$A:$U,7,FALSE)</f>
        <v>0</v>
      </c>
    </row>
    <row r="248" spans="1:20" ht="13" x14ac:dyDescent="0.15">
      <c r="A248" s="3" t="s">
        <v>14</v>
      </c>
      <c r="B248" s="3" t="s">
        <v>361</v>
      </c>
      <c r="C248" s="10">
        <f t="shared" ca="1" si="0"/>
        <v>0.04</v>
      </c>
      <c r="D248" s="5">
        <f ca="1">VLOOKUP($A248&amp;$B248,data!$A:$U,20,FALSE)</f>
        <v>44305.409305555499</v>
      </c>
      <c r="E248" s="3" t="str">
        <f ca="1">VLOOKUP($A248&amp;$B248,data!$A:$U,21,FALSE)</f>
        <v>19.04.2021 Updated....</v>
      </c>
      <c r="F248" s="3">
        <f ca="1">VLOOKUP($A248&amp;$B248,data!$A:$U,17,FALSE)</f>
        <v>0</v>
      </c>
      <c r="G248" s="3">
        <f ca="1">VLOOKUP($A248&amp;$B248,data!$A:$U,18,FALSE)</f>
        <v>0</v>
      </c>
      <c r="H248" s="3">
        <f ca="1">VLOOKUP($A248&amp;$B248,data!$A:$U,19,FALSE)</f>
        <v>0</v>
      </c>
      <c r="I248" s="3">
        <f ca="1">VLOOKUP($A248&amp;$B248,data!$A:$U,14,FALSE)</f>
        <v>0</v>
      </c>
      <c r="J248" s="3">
        <f ca="1">VLOOKUP($A248&amp;$B248,data!$A:$U,15,FALSE)</f>
        <v>0</v>
      </c>
      <c r="K248" s="3">
        <f ca="1">VLOOKUP($A248&amp;$B248,data!$A:$U,16,FALSE)</f>
        <v>0</v>
      </c>
      <c r="L248" s="3">
        <f ca="1">VLOOKUP($A248&amp;$B248,data!$A:$U,8,FALSE)</f>
        <v>1</v>
      </c>
      <c r="M248" s="3">
        <f ca="1">VLOOKUP($A248&amp;$B248,data!$A:$U,9,FALSE)</f>
        <v>0</v>
      </c>
      <c r="N248" s="3">
        <f ca="1">VLOOKUP($A248&amp;$B248,data!$A:$U,10,FALSE)</f>
        <v>1</v>
      </c>
      <c r="O248" s="3">
        <f ca="1">VLOOKUP($A248&amp;$B248,data!$A:$U,11,FALSE)</f>
        <v>12</v>
      </c>
      <c r="P248" s="3">
        <f ca="1">VLOOKUP($A248&amp;$B248,data!$A:$U,12,FALSE)</f>
        <v>12</v>
      </c>
      <c r="Q248" s="3">
        <f ca="1">VLOOKUP($A248&amp;$B248,data!$A:$U,13,FALSE)</f>
        <v>0</v>
      </c>
      <c r="R248" s="3">
        <f ca="1">VLOOKUP($A248&amp;$B248,data!$A:$U,5,FALSE)</f>
        <v>12</v>
      </c>
      <c r="S248" s="3">
        <f ca="1">VLOOKUP($A248&amp;$B248,data!$A:$U,6,FALSE)</f>
        <v>12</v>
      </c>
      <c r="T248" s="3">
        <f ca="1">VLOOKUP($A248&amp;$B248,data!$A:$U,7,FALSE)</f>
        <v>0</v>
      </c>
    </row>
    <row r="249" spans="1:20" ht="13" x14ac:dyDescent="0.15">
      <c r="A249" s="3" t="s">
        <v>14</v>
      </c>
      <c r="B249" s="3" t="s">
        <v>373</v>
      </c>
      <c r="C249" s="10">
        <f t="shared" ca="1" si="0"/>
        <v>0</v>
      </c>
      <c r="D249" s="5">
        <f ca="1">VLOOKUP($A249&amp;$B249,data!$A:$U,20,FALSE)</f>
        <v>44305.404155092503</v>
      </c>
      <c r="E249" s="3" t="str">
        <f ca="1">VLOOKUP($A249&amp;$B249,data!$A:$U,21,FALSE)</f>
        <v>UPDATED 19.04.2021.</v>
      </c>
      <c r="F249" s="3">
        <f ca="1">VLOOKUP($A249&amp;$B249,data!$A:$U,17,FALSE)</f>
        <v>2</v>
      </c>
      <c r="G249" s="3">
        <f ca="1">VLOOKUP($A249&amp;$B249,data!$A:$U,18,FALSE)</f>
        <v>0</v>
      </c>
      <c r="H249" s="3">
        <f ca="1">VLOOKUP($A249&amp;$B249,data!$A:$U,19,FALSE)</f>
        <v>2</v>
      </c>
      <c r="I249" s="3">
        <f ca="1">VLOOKUP($A249&amp;$B249,data!$A:$U,14,FALSE)</f>
        <v>4</v>
      </c>
      <c r="J249" s="3">
        <f ca="1">VLOOKUP($A249&amp;$B249,data!$A:$U,15,FALSE)</f>
        <v>4</v>
      </c>
      <c r="K249" s="3">
        <f ca="1">VLOOKUP($A249&amp;$B249,data!$A:$U,16,FALSE)</f>
        <v>0</v>
      </c>
      <c r="L249" s="3">
        <f ca="1">VLOOKUP($A249&amp;$B249,data!$A:$U,8,FALSE)</f>
        <v>36</v>
      </c>
      <c r="M249" s="3">
        <f ca="1">VLOOKUP($A249&amp;$B249,data!$A:$U,9,FALSE)</f>
        <v>37</v>
      </c>
      <c r="N249" s="3">
        <f ca="1">VLOOKUP($A249&amp;$B249,data!$A:$U,10,FALSE)</f>
        <v>0</v>
      </c>
      <c r="O249" s="3">
        <f ca="1">VLOOKUP($A249&amp;$B249,data!$A:$U,11,FALSE)</f>
        <v>0</v>
      </c>
      <c r="P249" s="3">
        <f ca="1">VLOOKUP($A249&amp;$B249,data!$A:$U,12,FALSE)</f>
        <v>0</v>
      </c>
      <c r="Q249" s="3">
        <f ca="1">VLOOKUP($A249&amp;$B249,data!$A:$U,13,FALSE)</f>
        <v>0</v>
      </c>
      <c r="R249" s="3">
        <f ca="1">VLOOKUP($A249&amp;$B249,data!$A:$U,5,FALSE)</f>
        <v>40</v>
      </c>
      <c r="S249" s="3">
        <f ca="1">VLOOKUP($A249&amp;$B249,data!$A:$U,6,FALSE)</f>
        <v>40</v>
      </c>
      <c r="T249" s="3">
        <f ca="1">VLOOKUP($A249&amp;$B249,data!$A:$U,7,FALSE)</f>
        <v>0</v>
      </c>
    </row>
    <row r="250" spans="1:20" ht="13" x14ac:dyDescent="0.15">
      <c r="A250" s="3" t="s">
        <v>14</v>
      </c>
      <c r="B250" s="3" t="s">
        <v>712</v>
      </c>
      <c r="C250" s="10">
        <f t="shared" ca="1" si="0"/>
        <v>0</v>
      </c>
      <c r="D250" s="5">
        <f ca="1">VLOOKUP($A250&amp;$B250,data!$A:$U,20,FALSE)</f>
        <v>44305.292233796201</v>
      </c>
      <c r="E250" s="3" t="str">
        <f ca="1">VLOOKUP($A250&amp;$B250,data!$A:$U,21,FALSE)</f>
        <v>Covid - 19 patients today updated 19.04.2021. Thanking You !</v>
      </c>
      <c r="F250" s="3">
        <f ca="1">VLOOKUP($A250&amp;$B250,data!$A:$U,17,FALSE)</f>
        <v>2</v>
      </c>
      <c r="G250" s="3">
        <f ca="1">VLOOKUP($A250&amp;$B250,data!$A:$U,18,FALSE)</f>
        <v>0</v>
      </c>
      <c r="H250" s="3">
        <f ca="1">VLOOKUP($A250&amp;$B250,data!$A:$U,19,FALSE)</f>
        <v>2</v>
      </c>
      <c r="I250" s="3">
        <f ca="1">VLOOKUP($A250&amp;$B250,data!$A:$U,14,FALSE)</f>
        <v>0</v>
      </c>
      <c r="J250" s="3">
        <f ca="1">VLOOKUP($A250&amp;$B250,data!$A:$U,15,FALSE)</f>
        <v>0</v>
      </c>
      <c r="K250" s="3">
        <f ca="1">VLOOKUP($A250&amp;$B250,data!$A:$U,16,FALSE)</f>
        <v>0</v>
      </c>
      <c r="L250" s="3">
        <f ca="1">VLOOKUP($A250&amp;$B250,data!$A:$U,8,FALSE)</f>
        <v>10</v>
      </c>
      <c r="M250" s="3">
        <f ca="1">VLOOKUP($A250&amp;$B250,data!$A:$U,9,FALSE)</f>
        <v>3</v>
      </c>
      <c r="N250" s="3">
        <f ca="1">VLOOKUP($A250&amp;$B250,data!$A:$U,10,FALSE)</f>
        <v>0</v>
      </c>
      <c r="O250" s="3">
        <f ca="1">VLOOKUP($A250&amp;$B250,data!$A:$U,11,FALSE)</f>
        <v>10</v>
      </c>
      <c r="P250" s="3">
        <f ca="1">VLOOKUP($A250&amp;$B250,data!$A:$U,12,FALSE)</f>
        <v>8</v>
      </c>
      <c r="Q250" s="3">
        <f ca="1">VLOOKUP($A250&amp;$B250,data!$A:$U,13,FALSE)</f>
        <v>0</v>
      </c>
      <c r="R250" s="3">
        <f ca="1">VLOOKUP($A250&amp;$B250,data!$A:$U,5,FALSE)</f>
        <v>10</v>
      </c>
      <c r="S250" s="3">
        <f ca="1">VLOOKUP($A250&amp;$B250,data!$A:$U,6,FALSE)</f>
        <v>11</v>
      </c>
      <c r="T250" s="3">
        <f ca="1">VLOOKUP($A250&amp;$B250,data!$A:$U,7,FALSE)</f>
        <v>0</v>
      </c>
    </row>
    <row r="251" spans="1:20" ht="13" x14ac:dyDescent="0.15">
      <c r="A251" s="3" t="s">
        <v>15</v>
      </c>
      <c r="B251" s="3" t="s">
        <v>414</v>
      </c>
      <c r="C251" s="10">
        <f t="shared" ca="1" si="0"/>
        <v>1</v>
      </c>
      <c r="D251" s="5">
        <f ca="1">VLOOKUP($A251&amp;$B251,data!$A:$U,20,FALSE)</f>
        <v>44305.391111111101</v>
      </c>
      <c r="E251" s="3" t="str">
        <f ca="1">VLOOKUP($A251&amp;$B251,data!$A:$U,21,FALSE)</f>
        <v>Nil</v>
      </c>
      <c r="F251" s="3">
        <f ca="1">VLOOKUP($A251&amp;$B251,data!$A:$U,17,FALSE)</f>
        <v>0</v>
      </c>
      <c r="G251" s="3">
        <f ca="1">VLOOKUP($A251&amp;$B251,data!$A:$U,18,FALSE)</f>
        <v>0</v>
      </c>
      <c r="H251" s="3">
        <f ca="1">VLOOKUP($A251&amp;$B251,data!$A:$U,19,FALSE)</f>
        <v>0</v>
      </c>
      <c r="I251" s="3">
        <f ca="1">VLOOKUP($A251&amp;$B251,data!$A:$U,14,FALSE)</f>
        <v>0</v>
      </c>
      <c r="J251" s="3">
        <f ca="1">VLOOKUP($A251&amp;$B251,data!$A:$U,15,FALSE)</f>
        <v>0</v>
      </c>
      <c r="K251" s="3">
        <f ca="1">VLOOKUP($A251&amp;$B251,data!$A:$U,16,FALSE)</f>
        <v>0</v>
      </c>
      <c r="L251" s="3">
        <f ca="1">VLOOKUP($A251&amp;$B251,data!$A:$U,8,FALSE)</f>
        <v>7</v>
      </c>
      <c r="M251" s="3">
        <f ca="1">VLOOKUP($A251&amp;$B251,data!$A:$U,9,FALSE)</f>
        <v>0</v>
      </c>
      <c r="N251" s="3">
        <f ca="1">VLOOKUP($A251&amp;$B251,data!$A:$U,10,FALSE)</f>
        <v>7</v>
      </c>
      <c r="O251" s="3">
        <f ca="1">VLOOKUP($A251&amp;$B251,data!$A:$U,11,FALSE)</f>
        <v>5</v>
      </c>
      <c r="P251" s="3">
        <f ca="1">VLOOKUP($A251&amp;$B251,data!$A:$U,12,FALSE)</f>
        <v>0</v>
      </c>
      <c r="Q251" s="3">
        <f ca="1">VLOOKUP($A251&amp;$B251,data!$A:$U,13,FALSE)</f>
        <v>5</v>
      </c>
      <c r="R251" s="3">
        <f ca="1">VLOOKUP($A251&amp;$B251,data!$A:$U,5,FALSE)</f>
        <v>12</v>
      </c>
      <c r="S251" s="3">
        <f ca="1">VLOOKUP($A251&amp;$B251,data!$A:$U,6,FALSE)</f>
        <v>0</v>
      </c>
      <c r="T251" s="3">
        <f ca="1">VLOOKUP($A251&amp;$B251,data!$A:$U,7,FALSE)</f>
        <v>12</v>
      </c>
    </row>
    <row r="252" spans="1:20" ht="13" x14ac:dyDescent="0.15">
      <c r="A252" s="3" t="s">
        <v>15</v>
      </c>
      <c r="B252" s="3" t="s">
        <v>419</v>
      </c>
      <c r="C252" s="10">
        <f t="shared" ca="1" si="0"/>
        <v>1</v>
      </c>
      <c r="D252" s="5">
        <f ca="1">VLOOKUP($A252&amp;$B252,data!$A:$U,20,FALSE)</f>
        <v>44305.367777777697</v>
      </c>
      <c r="E252" s="3">
        <f ca="1">VLOOKUP($A252&amp;$B252,data!$A:$U,21,FALSE)</f>
        <v>0</v>
      </c>
      <c r="F252" s="3">
        <f ca="1">VLOOKUP($A252&amp;$B252,data!$A:$U,17,FALSE)</f>
        <v>1</v>
      </c>
      <c r="G252" s="3">
        <f ca="1">VLOOKUP($A252&amp;$B252,data!$A:$U,18,FALSE)</f>
        <v>0</v>
      </c>
      <c r="H252" s="3">
        <f ca="1">VLOOKUP($A252&amp;$B252,data!$A:$U,19,FALSE)</f>
        <v>1</v>
      </c>
      <c r="I252" s="3">
        <f ca="1">VLOOKUP($A252&amp;$B252,data!$A:$U,14,FALSE)</f>
        <v>1</v>
      </c>
      <c r="J252" s="3">
        <f ca="1">VLOOKUP($A252&amp;$B252,data!$A:$U,15,FALSE)</f>
        <v>0</v>
      </c>
      <c r="K252" s="3">
        <f ca="1">VLOOKUP($A252&amp;$B252,data!$A:$U,16,FALSE)</f>
        <v>1</v>
      </c>
      <c r="L252" s="3">
        <f ca="1">VLOOKUP($A252&amp;$B252,data!$A:$U,8,FALSE)</f>
        <v>2</v>
      </c>
      <c r="M252" s="3">
        <f ca="1">VLOOKUP($A252&amp;$B252,data!$A:$U,9,FALSE)</f>
        <v>0</v>
      </c>
      <c r="N252" s="3">
        <f ca="1">VLOOKUP($A252&amp;$B252,data!$A:$U,10,FALSE)</f>
        <v>2</v>
      </c>
      <c r="O252" s="3">
        <f ca="1">VLOOKUP($A252&amp;$B252,data!$A:$U,11,FALSE)</f>
        <v>3</v>
      </c>
      <c r="P252" s="3">
        <f ca="1">VLOOKUP($A252&amp;$B252,data!$A:$U,12,FALSE)</f>
        <v>0</v>
      </c>
      <c r="Q252" s="3">
        <f ca="1">VLOOKUP($A252&amp;$B252,data!$A:$U,13,FALSE)</f>
        <v>3</v>
      </c>
      <c r="R252" s="3">
        <f ca="1">VLOOKUP($A252&amp;$B252,data!$A:$U,5,FALSE)</f>
        <v>5</v>
      </c>
      <c r="S252" s="3">
        <f ca="1">VLOOKUP($A252&amp;$B252,data!$A:$U,6,FALSE)</f>
        <v>0</v>
      </c>
      <c r="T252" s="3">
        <f ca="1">VLOOKUP($A252&amp;$B252,data!$A:$U,7,FALSE)</f>
        <v>5</v>
      </c>
    </row>
    <row r="253" spans="1:20" ht="13" x14ac:dyDescent="0.15">
      <c r="A253" s="3" t="s">
        <v>15</v>
      </c>
      <c r="B253" s="3" t="s">
        <v>415</v>
      </c>
      <c r="C253" s="10">
        <f t="shared" ca="1" si="0"/>
        <v>1</v>
      </c>
      <c r="D253" s="5">
        <f ca="1">VLOOKUP($A253&amp;$B253,data!$A:$U,20,FALSE)</f>
        <v>44305.3596875</v>
      </c>
      <c r="E253" s="3">
        <f ca="1">VLOOKUP($A253&amp;$B253,data!$A:$U,21,FALSE)</f>
        <v>0</v>
      </c>
      <c r="F253" s="3">
        <f ca="1">VLOOKUP($A253&amp;$B253,data!$A:$U,17,FALSE)</f>
        <v>1</v>
      </c>
      <c r="G253" s="3">
        <f ca="1">VLOOKUP($A253&amp;$B253,data!$A:$U,18,FALSE)</f>
        <v>0</v>
      </c>
      <c r="H253" s="3">
        <f ca="1">VLOOKUP($A253&amp;$B253,data!$A:$U,19,FALSE)</f>
        <v>1</v>
      </c>
      <c r="I253" s="3">
        <f ca="1">VLOOKUP($A253&amp;$B253,data!$A:$U,14,FALSE)</f>
        <v>1</v>
      </c>
      <c r="J253" s="3">
        <f ca="1">VLOOKUP($A253&amp;$B253,data!$A:$U,15,FALSE)</f>
        <v>0</v>
      </c>
      <c r="K253" s="3">
        <f ca="1">VLOOKUP($A253&amp;$B253,data!$A:$U,16,FALSE)</f>
        <v>1</v>
      </c>
      <c r="L253" s="3">
        <f ca="1">VLOOKUP($A253&amp;$B253,data!$A:$U,8,FALSE)</f>
        <v>0</v>
      </c>
      <c r="M253" s="3">
        <f ca="1">VLOOKUP($A253&amp;$B253,data!$A:$U,9,FALSE)</f>
        <v>0</v>
      </c>
      <c r="N253" s="3">
        <f ca="1">VLOOKUP($A253&amp;$B253,data!$A:$U,10,FALSE)</f>
        <v>0</v>
      </c>
      <c r="O253" s="3">
        <f ca="1">VLOOKUP($A253&amp;$B253,data!$A:$U,11,FALSE)</f>
        <v>2</v>
      </c>
      <c r="P253" s="3">
        <f ca="1">VLOOKUP($A253&amp;$B253,data!$A:$U,12,FALSE)</f>
        <v>0</v>
      </c>
      <c r="Q253" s="3">
        <f ca="1">VLOOKUP($A253&amp;$B253,data!$A:$U,13,FALSE)</f>
        <v>2</v>
      </c>
      <c r="R253" s="3">
        <f ca="1">VLOOKUP($A253&amp;$B253,data!$A:$U,5,FALSE)</f>
        <v>2</v>
      </c>
      <c r="S253" s="3">
        <f ca="1">VLOOKUP($A253&amp;$B253,data!$A:$U,6,FALSE)</f>
        <v>0</v>
      </c>
      <c r="T253" s="3">
        <f ca="1">VLOOKUP($A253&amp;$B253,data!$A:$U,7,FALSE)</f>
        <v>2</v>
      </c>
    </row>
    <row r="254" spans="1:20" ht="13" x14ac:dyDescent="0.15">
      <c r="A254" s="3" t="s">
        <v>15</v>
      </c>
      <c r="B254" s="3" t="s">
        <v>974</v>
      </c>
      <c r="C254" s="10">
        <f t="shared" ca="1" si="0"/>
        <v>0.17241379310344829</v>
      </c>
      <c r="D254" s="5">
        <f ca="1">VLOOKUP($A254&amp;$B254,data!$A:$U,20,FALSE)</f>
        <v>44305.373749999999</v>
      </c>
      <c r="E254" s="3" t="str">
        <f ca="1">VLOOKUP($A254&amp;$B254,data!$A:$U,21,FALSE)</f>
        <v>Nil</v>
      </c>
      <c r="F254" s="3">
        <f ca="1">VLOOKUP($A254&amp;$B254,data!$A:$U,17,FALSE)</f>
        <v>1</v>
      </c>
      <c r="G254" s="3">
        <f ca="1">VLOOKUP($A254&amp;$B254,data!$A:$U,18,FALSE)</f>
        <v>0</v>
      </c>
      <c r="H254" s="3">
        <f ca="1">VLOOKUP($A254&amp;$B254,data!$A:$U,19,FALSE)</f>
        <v>1</v>
      </c>
      <c r="I254" s="3">
        <f ca="1">VLOOKUP($A254&amp;$B254,data!$A:$U,14,FALSE)</f>
        <v>1</v>
      </c>
      <c r="J254" s="3">
        <f ca="1">VLOOKUP($A254&amp;$B254,data!$A:$U,15,FALSE)</f>
        <v>0</v>
      </c>
      <c r="K254" s="3">
        <f ca="1">VLOOKUP($A254&amp;$B254,data!$A:$U,16,FALSE)</f>
        <v>1</v>
      </c>
      <c r="L254" s="3">
        <f ca="1">VLOOKUP($A254&amp;$B254,data!$A:$U,8,FALSE)</f>
        <v>2</v>
      </c>
      <c r="M254" s="3">
        <f ca="1">VLOOKUP($A254&amp;$B254,data!$A:$U,9,FALSE)</f>
        <v>0</v>
      </c>
      <c r="N254" s="3">
        <f ca="1">VLOOKUP($A254&amp;$B254,data!$A:$U,10,FALSE)</f>
        <v>2</v>
      </c>
      <c r="O254" s="3">
        <f ca="1">VLOOKUP($A254&amp;$B254,data!$A:$U,11,FALSE)</f>
        <v>12</v>
      </c>
      <c r="P254" s="3">
        <f ca="1">VLOOKUP($A254&amp;$B254,data!$A:$U,12,FALSE)</f>
        <v>12</v>
      </c>
      <c r="Q254" s="3">
        <f ca="1">VLOOKUP($A254&amp;$B254,data!$A:$U,13,FALSE)</f>
        <v>0</v>
      </c>
      <c r="R254" s="3">
        <f ca="1">VLOOKUP($A254&amp;$B254,data!$A:$U,5,FALSE)</f>
        <v>14</v>
      </c>
      <c r="S254" s="3">
        <f ca="1">VLOOKUP($A254&amp;$B254,data!$A:$U,6,FALSE)</f>
        <v>12</v>
      </c>
      <c r="T254" s="3">
        <f ca="1">VLOOKUP($A254&amp;$B254,data!$A:$U,7,FALSE)</f>
        <v>2</v>
      </c>
    </row>
    <row r="255" spans="1:20" ht="13" x14ac:dyDescent="0.15">
      <c r="A255" s="3" t="s">
        <v>16</v>
      </c>
      <c r="B255" s="3" t="s">
        <v>868</v>
      </c>
      <c r="C255" s="10">
        <f t="shared" ca="1" si="0"/>
        <v>1</v>
      </c>
      <c r="D255" s="5">
        <f ca="1">VLOOKUP($A255&amp;$B255,data!$A:$U,20,FALSE)</f>
        <v>44305.358981481397</v>
      </c>
      <c r="E255" s="3">
        <f ca="1">VLOOKUP($A255&amp;$B255,data!$A:$U,21,FALSE)</f>
        <v>0</v>
      </c>
      <c r="F255" s="3">
        <f ca="1">VLOOKUP($A255&amp;$B255,data!$A:$U,17,FALSE)</f>
        <v>1</v>
      </c>
      <c r="G255" s="3">
        <f ca="1">VLOOKUP($A255&amp;$B255,data!$A:$U,18,FALSE)</f>
        <v>0</v>
      </c>
      <c r="H255" s="3">
        <f ca="1">VLOOKUP($A255&amp;$B255,data!$A:$U,19,FALSE)</f>
        <v>1</v>
      </c>
      <c r="I255" s="3">
        <f ca="1">VLOOKUP($A255&amp;$B255,data!$A:$U,14,FALSE)</f>
        <v>1</v>
      </c>
      <c r="J255" s="3">
        <f ca="1">VLOOKUP($A255&amp;$B255,data!$A:$U,15,FALSE)</f>
        <v>0</v>
      </c>
      <c r="K255" s="3">
        <f ca="1">VLOOKUP($A255&amp;$B255,data!$A:$U,16,FALSE)</f>
        <v>1</v>
      </c>
      <c r="L255" s="3">
        <f ca="1">VLOOKUP($A255&amp;$B255,data!$A:$U,8,FALSE)</f>
        <v>3</v>
      </c>
      <c r="M255" s="3">
        <f ca="1">VLOOKUP($A255&amp;$B255,data!$A:$U,9,FALSE)</f>
        <v>0</v>
      </c>
      <c r="N255" s="3">
        <f ca="1">VLOOKUP($A255&amp;$B255,data!$A:$U,10,FALSE)</f>
        <v>3</v>
      </c>
      <c r="O255" s="3">
        <f ca="1">VLOOKUP($A255&amp;$B255,data!$A:$U,11,FALSE)</f>
        <v>7</v>
      </c>
      <c r="P255" s="3">
        <f ca="1">VLOOKUP($A255&amp;$B255,data!$A:$U,12,FALSE)</f>
        <v>0</v>
      </c>
      <c r="Q255" s="3">
        <f ca="1">VLOOKUP($A255&amp;$B255,data!$A:$U,13,FALSE)</f>
        <v>7</v>
      </c>
      <c r="R255" s="3">
        <f ca="1">VLOOKUP($A255&amp;$B255,data!$A:$U,5,FALSE)</f>
        <v>10</v>
      </c>
      <c r="S255" s="3">
        <f ca="1">VLOOKUP($A255&amp;$B255,data!$A:$U,6,FALSE)</f>
        <v>0</v>
      </c>
      <c r="T255" s="3">
        <f ca="1">VLOOKUP($A255&amp;$B255,data!$A:$U,7,FALSE)</f>
        <v>10</v>
      </c>
    </row>
    <row r="256" spans="1:20" ht="13" x14ac:dyDescent="0.15">
      <c r="A256" s="3" t="s">
        <v>17</v>
      </c>
      <c r="B256" s="3" t="s">
        <v>440</v>
      </c>
      <c r="C256" s="10">
        <f t="shared" ca="1" si="0"/>
        <v>0.83</v>
      </c>
      <c r="D256" s="5">
        <f ca="1">VLOOKUP($A256&amp;$B256,data!$A:$U,20,FALSE)</f>
        <v>44305.305150462897</v>
      </c>
      <c r="E256" s="3" t="str">
        <f ca="1">VLOOKUP($A256&amp;$B256,data!$A:$U,21,FALSE)</f>
        <v>Dat19.04.2021 time. 6.18am</v>
      </c>
      <c r="F256" s="3">
        <f ca="1">VLOOKUP($A256&amp;$B256,data!$A:$U,17,FALSE)</f>
        <v>5</v>
      </c>
      <c r="G256" s="3">
        <f ca="1">VLOOKUP($A256&amp;$B256,data!$A:$U,18,FALSE)</f>
        <v>0</v>
      </c>
      <c r="H256" s="3">
        <f ca="1">VLOOKUP($A256&amp;$B256,data!$A:$U,19,FALSE)</f>
        <v>5</v>
      </c>
      <c r="I256" s="3">
        <f ca="1">VLOOKUP($A256&amp;$B256,data!$A:$U,14,FALSE)</f>
        <v>5</v>
      </c>
      <c r="J256" s="3">
        <f ca="1">VLOOKUP($A256&amp;$B256,data!$A:$U,15,FALSE)</f>
        <v>2</v>
      </c>
      <c r="K256" s="3">
        <f ca="1">VLOOKUP($A256&amp;$B256,data!$A:$U,16,FALSE)</f>
        <v>3</v>
      </c>
      <c r="L256" s="3">
        <f ca="1">VLOOKUP($A256&amp;$B256,data!$A:$U,8,FALSE)</f>
        <v>20</v>
      </c>
      <c r="M256" s="3">
        <f ca="1">VLOOKUP($A256&amp;$B256,data!$A:$U,9,FALSE)</f>
        <v>1</v>
      </c>
      <c r="N256" s="3">
        <f ca="1">VLOOKUP($A256&amp;$B256,data!$A:$U,10,FALSE)</f>
        <v>19</v>
      </c>
      <c r="O256" s="3">
        <f ca="1">VLOOKUP($A256&amp;$B256,data!$A:$U,11,FALSE)</f>
        <v>75</v>
      </c>
      <c r="P256" s="3">
        <f ca="1">VLOOKUP($A256&amp;$B256,data!$A:$U,12,FALSE)</f>
        <v>14</v>
      </c>
      <c r="Q256" s="3">
        <f ca="1">VLOOKUP($A256&amp;$B256,data!$A:$U,13,FALSE)</f>
        <v>61</v>
      </c>
      <c r="R256" s="3">
        <f ca="1">VLOOKUP($A256&amp;$B256,data!$A:$U,5,FALSE)</f>
        <v>100</v>
      </c>
      <c r="S256" s="3">
        <f ca="1">VLOOKUP($A256&amp;$B256,data!$A:$U,6,FALSE)</f>
        <v>17</v>
      </c>
      <c r="T256" s="3">
        <f ca="1">VLOOKUP($A256&amp;$B256,data!$A:$U,7,FALSE)</f>
        <v>83</v>
      </c>
    </row>
    <row r="257" spans="1:20" ht="13" x14ac:dyDescent="0.15">
      <c r="A257" s="3" t="s">
        <v>17</v>
      </c>
      <c r="B257" s="3" t="s">
        <v>427</v>
      </c>
      <c r="C257" s="10">
        <f t="shared" ca="1" si="0"/>
        <v>0.66666666666666663</v>
      </c>
      <c r="D257" s="5">
        <f ca="1">VLOOKUP($A257&amp;$B257,data!$A:$U,20,FALSE)</f>
        <v>44305.292002314804</v>
      </c>
      <c r="E257" s="3" t="str">
        <f ca="1">VLOOKUP($A257&amp;$B257,data!$A:$U,21,FALSE)</f>
        <v>M M HOSPITAL REPORT UPDATE FOR 19.04.2021</v>
      </c>
      <c r="F257" s="3">
        <f ca="1">VLOOKUP($A257&amp;$B257,data!$A:$U,17,FALSE)</f>
        <v>4</v>
      </c>
      <c r="G257" s="3">
        <f ca="1">VLOOKUP($A257&amp;$B257,data!$A:$U,18,FALSE)</f>
        <v>0</v>
      </c>
      <c r="H257" s="3">
        <f ca="1">VLOOKUP($A257&amp;$B257,data!$A:$U,19,FALSE)</f>
        <v>4</v>
      </c>
      <c r="I257" s="3">
        <f ca="1">VLOOKUP($A257&amp;$B257,data!$A:$U,14,FALSE)</f>
        <v>5</v>
      </c>
      <c r="J257" s="3">
        <f ca="1">VLOOKUP($A257&amp;$B257,data!$A:$U,15,FALSE)</f>
        <v>0</v>
      </c>
      <c r="K257" s="3">
        <f ca="1">VLOOKUP($A257&amp;$B257,data!$A:$U,16,FALSE)</f>
        <v>5</v>
      </c>
      <c r="L257" s="3">
        <f ca="1">VLOOKUP($A257&amp;$B257,data!$A:$U,8,FALSE)</f>
        <v>35</v>
      </c>
      <c r="M257" s="3">
        <f ca="1">VLOOKUP($A257&amp;$B257,data!$A:$U,9,FALSE)</f>
        <v>14</v>
      </c>
      <c r="N257" s="3">
        <f ca="1">VLOOKUP($A257&amp;$B257,data!$A:$U,10,FALSE)</f>
        <v>21</v>
      </c>
      <c r="O257" s="3">
        <f ca="1">VLOOKUP($A257&amp;$B257,data!$A:$U,11,FALSE)</f>
        <v>0</v>
      </c>
      <c r="P257" s="3">
        <f ca="1">VLOOKUP($A257&amp;$B257,data!$A:$U,12,FALSE)</f>
        <v>0</v>
      </c>
      <c r="Q257" s="3">
        <f ca="1">VLOOKUP($A257&amp;$B257,data!$A:$U,13,FALSE)</f>
        <v>0</v>
      </c>
      <c r="R257" s="3">
        <f ca="1">VLOOKUP($A257&amp;$B257,data!$A:$U,5,FALSE)</f>
        <v>44</v>
      </c>
      <c r="S257" s="3">
        <f ca="1">VLOOKUP($A257&amp;$B257,data!$A:$U,6,FALSE)</f>
        <v>14</v>
      </c>
      <c r="T257" s="3">
        <f ca="1">VLOOKUP($A257&amp;$B257,data!$A:$U,7,FALSE)</f>
        <v>30</v>
      </c>
    </row>
    <row r="258" spans="1:20" ht="13" x14ac:dyDescent="0.15">
      <c r="A258" s="3" t="s">
        <v>17</v>
      </c>
      <c r="B258" s="3" t="s">
        <v>1092</v>
      </c>
      <c r="C258" s="10">
        <f t="shared" ca="1" si="0"/>
        <v>0.61643835616438358</v>
      </c>
      <c r="D258" s="5">
        <f ca="1">VLOOKUP($A258&amp;$B258,data!$A:$U,20,FALSE)</f>
        <v>44305.275185185099</v>
      </c>
      <c r="E258" s="3" t="str">
        <f ca="1">VLOOKUP($A258&amp;$B258,data!$A:$U,21,FALSE)</f>
        <v>Report submitted on 19.04.2021</v>
      </c>
      <c r="F258" s="3">
        <f ca="1">VLOOKUP($A258&amp;$B258,data!$A:$U,17,FALSE)</f>
        <v>4</v>
      </c>
      <c r="G258" s="3">
        <f ca="1">VLOOKUP($A258&amp;$B258,data!$A:$U,18,FALSE)</f>
        <v>3</v>
      </c>
      <c r="H258" s="3">
        <f ca="1">VLOOKUP($A258&amp;$B258,data!$A:$U,19,FALSE)</f>
        <v>0</v>
      </c>
      <c r="I258" s="3">
        <f ca="1">VLOOKUP($A258&amp;$B258,data!$A:$U,14,FALSE)</f>
        <v>8</v>
      </c>
      <c r="J258" s="3">
        <f ca="1">VLOOKUP($A258&amp;$B258,data!$A:$U,15,FALSE)</f>
        <v>4</v>
      </c>
      <c r="K258" s="3">
        <f ca="1">VLOOKUP($A258&amp;$B258,data!$A:$U,16,FALSE)</f>
        <v>4</v>
      </c>
      <c r="L258" s="3">
        <f ca="1">VLOOKUP($A258&amp;$B258,data!$A:$U,8,FALSE)</f>
        <v>25</v>
      </c>
      <c r="M258" s="3">
        <f ca="1">VLOOKUP($A258&amp;$B258,data!$A:$U,9,FALSE)</f>
        <v>12</v>
      </c>
      <c r="N258" s="3">
        <f ca="1">VLOOKUP($A258&amp;$B258,data!$A:$U,10,FALSE)</f>
        <v>13</v>
      </c>
      <c r="O258" s="3">
        <f ca="1">VLOOKUP($A258&amp;$B258,data!$A:$U,11,FALSE)</f>
        <v>0</v>
      </c>
      <c r="P258" s="3">
        <f ca="1">VLOOKUP($A258&amp;$B258,data!$A:$U,12,FALSE)</f>
        <v>0</v>
      </c>
      <c r="Q258" s="3">
        <f ca="1">VLOOKUP($A258&amp;$B258,data!$A:$U,13,FALSE)</f>
        <v>0</v>
      </c>
      <c r="R258" s="3">
        <f ca="1">VLOOKUP($A258&amp;$B258,data!$A:$U,5,FALSE)</f>
        <v>40</v>
      </c>
      <c r="S258" s="3">
        <f ca="1">VLOOKUP($A258&amp;$B258,data!$A:$U,6,FALSE)</f>
        <v>12</v>
      </c>
      <c r="T258" s="3">
        <f ca="1">VLOOKUP($A258&amp;$B258,data!$A:$U,7,FALSE)</f>
        <v>28</v>
      </c>
    </row>
    <row r="259" spans="1:20" ht="13" x14ac:dyDescent="0.15">
      <c r="A259" s="3" t="s">
        <v>17</v>
      </c>
      <c r="B259" s="3" t="s">
        <v>1093</v>
      </c>
      <c r="C259" s="10">
        <f t="shared" ca="1" si="0"/>
        <v>0.9</v>
      </c>
      <c r="D259" s="5">
        <f ca="1">VLOOKUP($A259&amp;$B259,data!$A:$U,20,FALSE)</f>
        <v>44305.256770833301</v>
      </c>
      <c r="E259" s="3" t="str">
        <f ca="1">VLOOKUP($A259&amp;$B259,data!$A:$U,21,FALSE)</f>
        <v>REPORT SUBMITTED ON 19.04.2021</v>
      </c>
      <c r="F259" s="3">
        <f ca="1">VLOOKUP($A259&amp;$B259,data!$A:$U,17,FALSE)</f>
        <v>0</v>
      </c>
      <c r="G259" s="3">
        <f ca="1">VLOOKUP($A259&amp;$B259,data!$A:$U,18,FALSE)</f>
        <v>0</v>
      </c>
      <c r="H259" s="3">
        <f ca="1">VLOOKUP($A259&amp;$B259,data!$A:$U,19,FALSE)</f>
        <v>0</v>
      </c>
      <c r="I259" s="3">
        <f ca="1">VLOOKUP($A259&amp;$B259,data!$A:$U,14,FALSE)</f>
        <v>2</v>
      </c>
      <c r="J259" s="3">
        <f ca="1">VLOOKUP($A259&amp;$B259,data!$A:$U,15,FALSE)</f>
        <v>0</v>
      </c>
      <c r="K259" s="3">
        <f ca="1">VLOOKUP($A259&amp;$B259,data!$A:$U,16,FALSE)</f>
        <v>2</v>
      </c>
      <c r="L259" s="3">
        <f ca="1">VLOOKUP($A259&amp;$B259,data!$A:$U,8,FALSE)</f>
        <v>28</v>
      </c>
      <c r="M259" s="3">
        <f ca="1">VLOOKUP($A259&amp;$B259,data!$A:$U,9,FALSE)</f>
        <v>3</v>
      </c>
      <c r="N259" s="3">
        <f ca="1">VLOOKUP($A259&amp;$B259,data!$A:$U,10,FALSE)</f>
        <v>25</v>
      </c>
      <c r="O259" s="3">
        <f ca="1">VLOOKUP($A259&amp;$B259,data!$A:$U,11,FALSE)</f>
        <v>0</v>
      </c>
      <c r="P259" s="3">
        <f ca="1">VLOOKUP($A259&amp;$B259,data!$A:$U,12,FALSE)</f>
        <v>0</v>
      </c>
      <c r="Q259" s="3">
        <f ca="1">VLOOKUP($A259&amp;$B259,data!$A:$U,13,FALSE)</f>
        <v>0</v>
      </c>
      <c r="R259" s="3">
        <f ca="1">VLOOKUP($A259&amp;$B259,data!$A:$U,5,FALSE)</f>
        <v>30</v>
      </c>
      <c r="S259" s="3">
        <f ca="1">VLOOKUP($A259&amp;$B259,data!$A:$U,6,FALSE)</f>
        <v>3</v>
      </c>
      <c r="T259" s="3">
        <f ca="1">VLOOKUP($A259&amp;$B259,data!$A:$U,7,FALSE)</f>
        <v>27</v>
      </c>
    </row>
    <row r="260" spans="1:20" ht="13" x14ac:dyDescent="0.15">
      <c r="A260" s="3" t="s">
        <v>17</v>
      </c>
      <c r="B260" s="3" t="s">
        <v>423</v>
      </c>
      <c r="C260" s="10">
        <f t="shared" ca="1" si="0"/>
        <v>1</v>
      </c>
      <c r="D260" s="5">
        <f ca="1">VLOOKUP($A260&amp;$B260,data!$A:$U,20,FALSE)</f>
        <v>44305.274074073997</v>
      </c>
      <c r="E260" s="3" t="str">
        <f ca="1">VLOOKUP($A260&amp;$B260,data!$A:$U,21,FALSE)</f>
        <v>Reports submitted for 19.04.2021</v>
      </c>
      <c r="F260" s="3">
        <f ca="1">VLOOKUP($A260&amp;$B260,data!$A:$U,17,FALSE)</f>
        <v>2</v>
      </c>
      <c r="G260" s="3">
        <f ca="1">VLOOKUP($A260&amp;$B260,data!$A:$U,18,FALSE)</f>
        <v>0</v>
      </c>
      <c r="H260" s="3">
        <f ca="1">VLOOKUP($A260&amp;$B260,data!$A:$U,19,FALSE)</f>
        <v>2</v>
      </c>
      <c r="I260" s="3">
        <f ca="1">VLOOKUP($A260&amp;$B260,data!$A:$U,14,FALSE)</f>
        <v>4</v>
      </c>
      <c r="J260" s="3">
        <f ca="1">VLOOKUP($A260&amp;$B260,data!$A:$U,15,FALSE)</f>
        <v>0</v>
      </c>
      <c r="K260" s="3">
        <f ca="1">VLOOKUP($A260&amp;$B260,data!$A:$U,16,FALSE)</f>
        <v>4</v>
      </c>
      <c r="L260" s="3">
        <f ca="1">VLOOKUP($A260&amp;$B260,data!$A:$U,8,FALSE)</f>
        <v>2</v>
      </c>
      <c r="M260" s="3">
        <f ca="1">VLOOKUP($A260&amp;$B260,data!$A:$U,9,FALSE)</f>
        <v>0</v>
      </c>
      <c r="N260" s="3">
        <f ca="1">VLOOKUP($A260&amp;$B260,data!$A:$U,10,FALSE)</f>
        <v>2</v>
      </c>
      <c r="O260" s="3">
        <f ca="1">VLOOKUP($A260&amp;$B260,data!$A:$U,11,FALSE)</f>
        <v>16</v>
      </c>
      <c r="P260" s="3">
        <f ca="1">VLOOKUP($A260&amp;$B260,data!$A:$U,12,FALSE)</f>
        <v>0</v>
      </c>
      <c r="Q260" s="3">
        <f ca="1">VLOOKUP($A260&amp;$B260,data!$A:$U,13,FALSE)</f>
        <v>16</v>
      </c>
      <c r="R260" s="3">
        <f ca="1">VLOOKUP($A260&amp;$B260,data!$A:$U,5,FALSE)</f>
        <v>18</v>
      </c>
      <c r="S260" s="3">
        <f ca="1">VLOOKUP($A260&amp;$B260,data!$A:$U,6,FALSE)</f>
        <v>0</v>
      </c>
      <c r="T260" s="3">
        <f ca="1">VLOOKUP($A260&amp;$B260,data!$A:$U,7,FALSE)</f>
        <v>18</v>
      </c>
    </row>
    <row r="261" spans="1:20" ht="13" x14ac:dyDescent="0.15">
      <c r="A261" s="3" t="s">
        <v>17</v>
      </c>
      <c r="B261" s="3" t="s">
        <v>431</v>
      </c>
      <c r="C261" s="10">
        <f t="shared" ca="1" si="0"/>
        <v>0.68333333333333335</v>
      </c>
      <c r="D261" s="5">
        <f ca="1">VLOOKUP($A261&amp;$B261,data!$A:$U,20,FALSE)</f>
        <v>44305.068773148101</v>
      </c>
      <c r="E261" s="3" t="str">
        <f ca="1">VLOOKUP($A261&amp;$B261,data!$A:$U,21,FALSE)</f>
        <v>Report submitted on : 19.04.2021</v>
      </c>
      <c r="F261" s="3">
        <f ca="1">VLOOKUP($A261&amp;$B261,data!$A:$U,17,FALSE)</f>
        <v>2</v>
      </c>
      <c r="G261" s="3">
        <f ca="1">VLOOKUP($A261&amp;$B261,data!$A:$U,18,FALSE)</f>
        <v>0</v>
      </c>
      <c r="H261" s="3">
        <f ca="1">VLOOKUP($A261&amp;$B261,data!$A:$U,19,FALSE)</f>
        <v>2</v>
      </c>
      <c r="I261" s="3">
        <f ca="1">VLOOKUP($A261&amp;$B261,data!$A:$U,14,FALSE)</f>
        <v>7</v>
      </c>
      <c r="J261" s="3">
        <f ca="1">VLOOKUP($A261&amp;$B261,data!$A:$U,15,FALSE)</f>
        <v>0</v>
      </c>
      <c r="K261" s="3">
        <f ca="1">VLOOKUP($A261&amp;$B261,data!$A:$U,16,FALSE)</f>
        <v>7</v>
      </c>
      <c r="L261" s="3">
        <f ca="1">VLOOKUP($A261&amp;$B261,data!$A:$U,8,FALSE)</f>
        <v>25</v>
      </c>
      <c r="M261" s="3">
        <f ca="1">VLOOKUP($A261&amp;$B261,data!$A:$U,9,FALSE)</f>
        <v>5</v>
      </c>
      <c r="N261" s="3">
        <f ca="1">VLOOKUP($A261&amp;$B261,data!$A:$U,10,FALSE)</f>
        <v>17</v>
      </c>
      <c r="O261" s="3">
        <f ca="1">VLOOKUP($A261&amp;$B261,data!$A:$U,11,FALSE)</f>
        <v>3</v>
      </c>
      <c r="P261" s="3">
        <f ca="1">VLOOKUP($A261&amp;$B261,data!$A:$U,12,FALSE)</f>
        <v>0</v>
      </c>
      <c r="Q261" s="3">
        <f ca="1">VLOOKUP($A261&amp;$B261,data!$A:$U,13,FALSE)</f>
        <v>0</v>
      </c>
      <c r="R261" s="3">
        <f ca="1">VLOOKUP($A261&amp;$B261,data!$A:$U,5,FALSE)</f>
        <v>25</v>
      </c>
      <c r="S261" s="3">
        <f ca="1">VLOOKUP($A261&amp;$B261,data!$A:$U,6,FALSE)</f>
        <v>8</v>
      </c>
      <c r="T261" s="3">
        <f ca="1">VLOOKUP($A261&amp;$B261,data!$A:$U,7,FALSE)</f>
        <v>17</v>
      </c>
    </row>
    <row r="262" spans="1:20" ht="13" x14ac:dyDescent="0.15">
      <c r="A262" s="3" t="s">
        <v>17</v>
      </c>
      <c r="B262" s="3" t="s">
        <v>1137</v>
      </c>
      <c r="C262" s="10">
        <f t="shared" ca="1" si="0"/>
        <v>0.51111111111111107</v>
      </c>
      <c r="D262" s="5">
        <f ca="1">VLOOKUP($A262&amp;$B262,data!$A:$U,20,FALSE)</f>
        <v>44304.307847222197</v>
      </c>
      <c r="E262" s="3" t="str">
        <f ca="1">VLOOKUP($A262&amp;$B262,data!$A:$U,21,FALSE)</f>
        <v>Report Submitted on 18. 04.2021</v>
      </c>
      <c r="F262" s="3">
        <f ca="1">VLOOKUP($A262&amp;$B262,data!$A:$U,17,FALSE)</f>
        <v>1</v>
      </c>
      <c r="G262" s="3">
        <f ca="1">VLOOKUP($A262&amp;$B262,data!$A:$U,18,FALSE)</f>
        <v>0</v>
      </c>
      <c r="H262" s="3">
        <f ca="1">VLOOKUP($A262&amp;$B262,data!$A:$U,19,FALSE)</f>
        <v>1</v>
      </c>
      <c r="I262" s="3">
        <f ca="1">VLOOKUP($A262&amp;$B262,data!$A:$U,14,FALSE)</f>
        <v>5</v>
      </c>
      <c r="J262" s="3">
        <f ca="1">VLOOKUP($A262&amp;$B262,data!$A:$U,15,FALSE)</f>
        <v>0</v>
      </c>
      <c r="K262" s="3">
        <f ca="1">VLOOKUP($A262&amp;$B262,data!$A:$U,16,FALSE)</f>
        <v>5</v>
      </c>
      <c r="L262" s="3">
        <f ca="1">VLOOKUP($A262&amp;$B262,data!$A:$U,8,FALSE)</f>
        <v>7</v>
      </c>
      <c r="M262" s="3">
        <f ca="1">VLOOKUP($A262&amp;$B262,data!$A:$U,9,FALSE)</f>
        <v>7</v>
      </c>
      <c r="N262" s="3">
        <f ca="1">VLOOKUP($A262&amp;$B262,data!$A:$U,10,FALSE)</f>
        <v>0</v>
      </c>
      <c r="O262" s="3">
        <f ca="1">VLOOKUP($A262&amp;$B262,data!$A:$U,11,FALSE)</f>
        <v>13</v>
      </c>
      <c r="P262" s="3">
        <f ca="1">VLOOKUP($A262&amp;$B262,data!$A:$U,12,FALSE)</f>
        <v>4</v>
      </c>
      <c r="Q262" s="3">
        <f ca="1">VLOOKUP($A262&amp;$B262,data!$A:$U,13,FALSE)</f>
        <v>9</v>
      </c>
      <c r="R262" s="3">
        <f ca="1">VLOOKUP($A262&amp;$B262,data!$A:$U,5,FALSE)</f>
        <v>20</v>
      </c>
      <c r="S262" s="3">
        <f ca="1">VLOOKUP($A262&amp;$B262,data!$A:$U,6,FALSE)</f>
        <v>11</v>
      </c>
      <c r="T262" s="3">
        <f ca="1">VLOOKUP($A262&amp;$B262,data!$A:$U,7,FALSE)</f>
        <v>9</v>
      </c>
    </row>
    <row r="263" spans="1:20" ht="13" x14ac:dyDescent="0.15">
      <c r="A263" s="3" t="s">
        <v>17</v>
      </c>
      <c r="B263" s="3" t="s">
        <v>435</v>
      </c>
      <c r="C263" s="10">
        <f t="shared" ca="1" si="0"/>
        <v>0.05</v>
      </c>
      <c r="D263" s="5">
        <f ca="1">VLOOKUP($A263&amp;$B263,data!$A:$U,20,FALSE)</f>
        <v>44305.294363425899</v>
      </c>
      <c r="E263" s="3" t="str">
        <f ca="1">VLOOKUP($A263&amp;$B263,data!$A:$U,21,FALSE)</f>
        <v>Submitted on 19.04.2021</v>
      </c>
      <c r="F263" s="3">
        <f ca="1">VLOOKUP($A263&amp;$B263,data!$A:$U,17,FALSE)</f>
        <v>1</v>
      </c>
      <c r="G263" s="3">
        <f ca="1">VLOOKUP($A263&amp;$B263,data!$A:$U,18,FALSE)</f>
        <v>0</v>
      </c>
      <c r="H263" s="3">
        <f ca="1">VLOOKUP($A263&amp;$B263,data!$A:$U,19,FALSE)</f>
        <v>1</v>
      </c>
      <c r="I263" s="3">
        <f ca="1">VLOOKUP($A263&amp;$B263,data!$A:$U,14,FALSE)</f>
        <v>4</v>
      </c>
      <c r="J263" s="3">
        <f ca="1">VLOOKUP($A263&amp;$B263,data!$A:$U,15,FALSE)</f>
        <v>4</v>
      </c>
      <c r="K263" s="3">
        <f ca="1">VLOOKUP($A263&amp;$B263,data!$A:$U,16,FALSE)</f>
        <v>0</v>
      </c>
      <c r="L263" s="3">
        <f ca="1">VLOOKUP($A263&amp;$B263,data!$A:$U,8,FALSE)</f>
        <v>18</v>
      </c>
      <c r="M263" s="3">
        <f ca="1">VLOOKUP($A263&amp;$B263,data!$A:$U,9,FALSE)</f>
        <v>17</v>
      </c>
      <c r="N263" s="3">
        <f ca="1">VLOOKUP($A263&amp;$B263,data!$A:$U,10,FALSE)</f>
        <v>1</v>
      </c>
      <c r="O263" s="3">
        <f ca="1">VLOOKUP($A263&amp;$B263,data!$A:$U,11,FALSE)</f>
        <v>0</v>
      </c>
      <c r="P263" s="3">
        <f ca="1">VLOOKUP($A263&amp;$B263,data!$A:$U,12,FALSE)</f>
        <v>0</v>
      </c>
      <c r="Q263" s="3">
        <f ca="1">VLOOKUP($A263&amp;$B263,data!$A:$U,13,FALSE)</f>
        <v>0</v>
      </c>
      <c r="R263" s="3">
        <f ca="1">VLOOKUP($A263&amp;$B263,data!$A:$U,5,FALSE)</f>
        <v>18</v>
      </c>
      <c r="S263" s="3">
        <f ca="1">VLOOKUP($A263&amp;$B263,data!$A:$U,6,FALSE)</f>
        <v>17</v>
      </c>
      <c r="T263" s="3">
        <f ca="1">VLOOKUP($A263&amp;$B263,data!$A:$U,7,FALSE)</f>
        <v>1</v>
      </c>
    </row>
    <row r="264" spans="1:20" ht="13" x14ac:dyDescent="0.15">
      <c r="A264" s="3" t="s">
        <v>17</v>
      </c>
      <c r="B264" s="3" t="s">
        <v>1219</v>
      </c>
      <c r="C264" s="10">
        <f t="shared" ca="1" si="0"/>
        <v>1</v>
      </c>
      <c r="D264" s="5">
        <f ca="1">VLOOKUP($A264&amp;$B264,data!$A:$U,20,FALSE)</f>
        <v>44305.567465277702</v>
      </c>
      <c r="E264" s="3" t="str">
        <f ca="1">VLOOKUP($A264&amp;$B264,data!$A:$U,21,FALSE)</f>
        <v>Date 19.04.2021 Time 9.11</v>
      </c>
      <c r="F264" s="3">
        <f ca="1">VLOOKUP($A264&amp;$B264,data!$A:$U,17,FALSE)</f>
        <v>10</v>
      </c>
      <c r="G264" s="3">
        <f ca="1">VLOOKUP($A264&amp;$B264,data!$A:$U,18,FALSE)</f>
        <v>0</v>
      </c>
      <c r="H264" s="3">
        <f ca="1">VLOOKUP($A264&amp;$B264,data!$A:$U,19,FALSE)</f>
        <v>10</v>
      </c>
      <c r="I264" s="3">
        <f ca="1">VLOOKUP($A264&amp;$B264,data!$A:$U,14,FALSE)</f>
        <v>10</v>
      </c>
      <c r="J264" s="3">
        <f ca="1">VLOOKUP($A264&amp;$B264,data!$A:$U,15,FALSE)</f>
        <v>0</v>
      </c>
      <c r="K264" s="3">
        <f ca="1">VLOOKUP($A264&amp;$B264,data!$A:$U,16,FALSE)</f>
        <v>10</v>
      </c>
      <c r="L264" s="3">
        <f ca="1">VLOOKUP($A264&amp;$B264,data!$A:$U,8,FALSE)</f>
        <v>40</v>
      </c>
      <c r="M264" s="3">
        <f ca="1">VLOOKUP($A264&amp;$B264,data!$A:$U,9,FALSE)</f>
        <v>0</v>
      </c>
      <c r="N264" s="3">
        <f ca="1">VLOOKUP($A264&amp;$B264,data!$A:$U,10,FALSE)</f>
        <v>40</v>
      </c>
      <c r="O264" s="3">
        <f ca="1">VLOOKUP($A264&amp;$B264,data!$A:$U,11,FALSE)</f>
        <v>50</v>
      </c>
      <c r="P264" s="3">
        <f ca="1">VLOOKUP($A264&amp;$B264,data!$A:$U,12,FALSE)</f>
        <v>0</v>
      </c>
      <c r="Q264" s="3">
        <f ca="1">VLOOKUP($A264&amp;$B264,data!$A:$U,13,FALSE)</f>
        <v>50</v>
      </c>
      <c r="R264" s="3">
        <f ca="1">VLOOKUP($A264&amp;$B264,data!$A:$U,5,FALSE)</f>
        <v>100</v>
      </c>
      <c r="S264" s="3">
        <f ca="1">VLOOKUP($A264&amp;$B264,data!$A:$U,6,FALSE)</f>
        <v>0</v>
      </c>
      <c r="T264" s="3">
        <f ca="1">VLOOKUP($A264&amp;$B264,data!$A:$U,7,FALSE)</f>
        <v>100</v>
      </c>
    </row>
    <row r="265" spans="1:20" ht="13" x14ac:dyDescent="0.15">
      <c r="A265" s="3" t="s">
        <v>18</v>
      </c>
      <c r="B265" s="3" t="s">
        <v>455</v>
      </c>
      <c r="C265" s="10">
        <f t="shared" ca="1" si="0"/>
        <v>0.78918918918918923</v>
      </c>
      <c r="D265" s="5">
        <f ca="1">VLOOKUP($A265&amp;$B265,data!$A:$U,20,FALSE)</f>
        <v>44305.469270833302</v>
      </c>
      <c r="E265" s="3" t="str">
        <f ca="1">VLOOKUP($A265&amp;$B265,data!$A:$U,21,FALSE)</f>
        <v>Nill.</v>
      </c>
      <c r="F265" s="3">
        <f ca="1">VLOOKUP($A265&amp;$B265,data!$A:$U,17,FALSE)</f>
        <v>10</v>
      </c>
      <c r="G265" s="3">
        <f ca="1">VLOOKUP($A265&amp;$B265,data!$A:$U,18,FALSE)</f>
        <v>0</v>
      </c>
      <c r="H265" s="3">
        <f ca="1">VLOOKUP($A265&amp;$B265,data!$A:$U,19,FALSE)</f>
        <v>10</v>
      </c>
      <c r="I265" s="3">
        <f ca="1">VLOOKUP($A265&amp;$B265,data!$A:$U,14,FALSE)</f>
        <v>10</v>
      </c>
      <c r="J265" s="3">
        <f ca="1">VLOOKUP($A265&amp;$B265,data!$A:$U,15,FALSE)</f>
        <v>0</v>
      </c>
      <c r="K265" s="3">
        <f ca="1">VLOOKUP($A265&amp;$B265,data!$A:$U,16,FALSE)</f>
        <v>10</v>
      </c>
      <c r="L265" s="3">
        <f ca="1">VLOOKUP($A265&amp;$B265,data!$A:$U,8,FALSE)</f>
        <v>60</v>
      </c>
      <c r="M265" s="3">
        <f ca="1">VLOOKUP($A265&amp;$B265,data!$A:$U,9,FALSE)</f>
        <v>39</v>
      </c>
      <c r="N265" s="3">
        <f ca="1">VLOOKUP($A265&amp;$B265,data!$A:$U,10,FALSE)</f>
        <v>21</v>
      </c>
      <c r="O265" s="3">
        <f ca="1">VLOOKUP($A265&amp;$B265,data!$A:$U,11,FALSE)</f>
        <v>120</v>
      </c>
      <c r="P265" s="3">
        <f ca="1">VLOOKUP($A265&amp;$B265,data!$A:$U,12,FALSE)</f>
        <v>0</v>
      </c>
      <c r="Q265" s="3">
        <f ca="1">VLOOKUP($A265&amp;$B265,data!$A:$U,13,FALSE)</f>
        <v>120</v>
      </c>
      <c r="R265" s="3">
        <f ca="1">VLOOKUP($A265&amp;$B265,data!$A:$U,5,FALSE)</f>
        <v>180</v>
      </c>
      <c r="S265" s="3">
        <f ca="1">VLOOKUP($A265&amp;$B265,data!$A:$U,6,FALSE)</f>
        <v>39</v>
      </c>
      <c r="T265" s="3">
        <f ca="1">VLOOKUP($A265&amp;$B265,data!$A:$U,7,FALSE)</f>
        <v>141</v>
      </c>
    </row>
    <row r="266" spans="1:20" ht="13" x14ac:dyDescent="0.15">
      <c r="A266" s="3" t="s">
        <v>18</v>
      </c>
      <c r="B266" s="3" t="s">
        <v>461</v>
      </c>
      <c r="C266" s="10">
        <f t="shared" ca="1" si="0"/>
        <v>1</v>
      </c>
      <c r="D266" s="5">
        <f ca="1">VLOOKUP($A266&amp;$B266,data!$A:$U,20,FALSE)</f>
        <v>44302.522638888797</v>
      </c>
      <c r="E266" s="3" t="str">
        <f ca="1">VLOOKUP($A266&amp;$B266,data!$A:$U,21,FALSE)</f>
        <v>Today report 16-04-2021</v>
      </c>
      <c r="F266" s="3">
        <f ca="1">VLOOKUP($A266&amp;$B266,data!$A:$U,17,FALSE)</f>
        <v>2</v>
      </c>
      <c r="G266" s="3">
        <f ca="1">VLOOKUP($A266&amp;$B266,data!$A:$U,18,FALSE)</f>
        <v>0</v>
      </c>
      <c r="H266" s="3">
        <f ca="1">VLOOKUP($A266&amp;$B266,data!$A:$U,19,FALSE)</f>
        <v>2</v>
      </c>
      <c r="I266" s="3">
        <f ca="1">VLOOKUP($A266&amp;$B266,data!$A:$U,14,FALSE)</f>
        <v>3</v>
      </c>
      <c r="J266" s="3">
        <f ca="1">VLOOKUP($A266&amp;$B266,data!$A:$U,15,FALSE)</f>
        <v>0</v>
      </c>
      <c r="K266" s="3">
        <f ca="1">VLOOKUP($A266&amp;$B266,data!$A:$U,16,FALSE)</f>
        <v>3</v>
      </c>
      <c r="L266" s="3">
        <f ca="1">VLOOKUP($A266&amp;$B266,data!$A:$U,8,FALSE)</f>
        <v>4</v>
      </c>
      <c r="M266" s="3">
        <f ca="1">VLOOKUP($A266&amp;$B266,data!$A:$U,9,FALSE)</f>
        <v>0</v>
      </c>
      <c r="N266" s="3">
        <f ca="1">VLOOKUP($A266&amp;$B266,data!$A:$U,10,FALSE)</f>
        <v>4</v>
      </c>
      <c r="O266" s="3">
        <f ca="1">VLOOKUP($A266&amp;$B266,data!$A:$U,11,FALSE)</f>
        <v>3</v>
      </c>
      <c r="P266" s="3">
        <f ca="1">VLOOKUP($A266&amp;$B266,data!$A:$U,12,FALSE)</f>
        <v>0</v>
      </c>
      <c r="Q266" s="3">
        <f ca="1">VLOOKUP($A266&amp;$B266,data!$A:$U,13,FALSE)</f>
        <v>3</v>
      </c>
      <c r="R266" s="3">
        <f ca="1">VLOOKUP($A266&amp;$B266,data!$A:$U,5,FALSE)</f>
        <v>10</v>
      </c>
      <c r="S266" s="3">
        <f ca="1">VLOOKUP($A266&amp;$B266,data!$A:$U,6,FALSE)</f>
        <v>0</v>
      </c>
      <c r="T266" s="3">
        <f ca="1">VLOOKUP($A266&amp;$B266,data!$A:$U,7,FALSE)</f>
        <v>10</v>
      </c>
    </row>
    <row r="267" spans="1:20" ht="13" x14ac:dyDescent="0.15">
      <c r="A267" s="3" t="s">
        <v>18</v>
      </c>
      <c r="B267" s="3" t="s">
        <v>453</v>
      </c>
      <c r="C267" s="10">
        <f t="shared" ca="1" si="0"/>
        <v>0.5</v>
      </c>
      <c r="D267" s="5">
        <f ca="1">VLOOKUP($A267&amp;$B267,data!$A:$U,20,FALSE)</f>
        <v>44302.521898148101</v>
      </c>
      <c r="E267" s="3" t="str">
        <f ca="1">VLOOKUP($A267&amp;$B267,data!$A:$U,21,FALSE)</f>
        <v>Today Report on 16.04.2021</v>
      </c>
      <c r="F267" s="3">
        <f ca="1">VLOOKUP($A267&amp;$B267,data!$A:$U,17,FALSE)</f>
        <v>0</v>
      </c>
      <c r="G267" s="3">
        <f ca="1">VLOOKUP($A267&amp;$B267,data!$A:$U,18,FALSE)</f>
        <v>0</v>
      </c>
      <c r="H267" s="3">
        <f ca="1">VLOOKUP($A267&amp;$B267,data!$A:$U,19,FALSE)</f>
        <v>0</v>
      </c>
      <c r="I267" s="3">
        <f ca="1">VLOOKUP($A267&amp;$B267,data!$A:$U,14,FALSE)</f>
        <v>0</v>
      </c>
      <c r="J267" s="3">
        <f ca="1">VLOOKUP($A267&amp;$B267,data!$A:$U,15,FALSE)</f>
        <v>0</v>
      </c>
      <c r="K267" s="3">
        <f ca="1">VLOOKUP($A267&amp;$B267,data!$A:$U,16,FALSE)</f>
        <v>0</v>
      </c>
      <c r="L267" s="3">
        <f ca="1">VLOOKUP($A267&amp;$B267,data!$A:$U,8,FALSE)</f>
        <v>0</v>
      </c>
      <c r="M267" s="3">
        <f ca="1">VLOOKUP($A267&amp;$B267,data!$A:$U,9,FALSE)</f>
        <v>0</v>
      </c>
      <c r="N267" s="3">
        <f ca="1">VLOOKUP($A267&amp;$B267,data!$A:$U,10,FALSE)</f>
        <v>0</v>
      </c>
      <c r="O267" s="3">
        <f ca="1">VLOOKUP($A267&amp;$B267,data!$A:$U,11,FALSE)</f>
        <v>7</v>
      </c>
      <c r="P267" s="3">
        <f ca="1">VLOOKUP($A267&amp;$B267,data!$A:$U,12,FALSE)</f>
        <v>0</v>
      </c>
      <c r="Q267" s="3">
        <f ca="1">VLOOKUP($A267&amp;$B267,data!$A:$U,13,FALSE)</f>
        <v>0</v>
      </c>
      <c r="R267" s="3">
        <f ca="1">VLOOKUP($A267&amp;$B267,data!$A:$U,5,FALSE)</f>
        <v>7</v>
      </c>
      <c r="S267" s="3">
        <f ca="1">VLOOKUP($A267&amp;$B267,data!$A:$U,6,FALSE)</f>
        <v>0</v>
      </c>
      <c r="T267" s="3">
        <f ca="1">VLOOKUP($A267&amp;$B267,data!$A:$U,7,FALSE)</f>
        <v>7</v>
      </c>
    </row>
    <row r="268" spans="1:20" ht="13" x14ac:dyDescent="0.15">
      <c r="A268" s="3" t="s">
        <v>18</v>
      </c>
      <c r="B268" s="3" t="s">
        <v>466</v>
      </c>
      <c r="C268" s="10">
        <f t="shared" ca="1" si="0"/>
        <v>1</v>
      </c>
      <c r="D268" s="5">
        <f ca="1">VLOOKUP($A268&amp;$B268,data!$A:$U,20,FALSE)</f>
        <v>44303.444571759203</v>
      </c>
      <c r="E268" s="3" t="str">
        <f ca="1">VLOOKUP($A268&amp;$B268,data!$A:$U,21,FALSE)</f>
        <v>Report on 17.04.2021</v>
      </c>
      <c r="F268" s="3">
        <f ca="1">VLOOKUP($A268&amp;$B268,data!$A:$U,17,FALSE)</f>
        <v>1</v>
      </c>
      <c r="G268" s="3">
        <f ca="1">VLOOKUP($A268&amp;$B268,data!$A:$U,18,FALSE)</f>
        <v>0</v>
      </c>
      <c r="H268" s="3">
        <f ca="1">VLOOKUP($A268&amp;$B268,data!$A:$U,19,FALSE)</f>
        <v>1</v>
      </c>
      <c r="I268" s="3">
        <f ca="1">VLOOKUP($A268&amp;$B268,data!$A:$U,14,FALSE)</f>
        <v>0</v>
      </c>
      <c r="J268" s="3">
        <f ca="1">VLOOKUP($A268&amp;$B268,data!$A:$U,15,FALSE)</f>
        <v>0</v>
      </c>
      <c r="K268" s="3">
        <f ca="1">VLOOKUP($A268&amp;$B268,data!$A:$U,16,FALSE)</f>
        <v>0</v>
      </c>
      <c r="L268" s="3">
        <f ca="1">VLOOKUP($A268&amp;$B268,data!$A:$U,8,FALSE)</f>
        <v>0</v>
      </c>
      <c r="M268" s="3">
        <f ca="1">VLOOKUP($A268&amp;$B268,data!$A:$U,9,FALSE)</f>
        <v>0</v>
      </c>
      <c r="N268" s="3">
        <f ca="1">VLOOKUP($A268&amp;$B268,data!$A:$U,10,FALSE)</f>
        <v>0</v>
      </c>
      <c r="O268" s="3">
        <f ca="1">VLOOKUP($A268&amp;$B268,data!$A:$U,11,FALSE)</f>
        <v>7</v>
      </c>
      <c r="P268" s="3">
        <f ca="1">VLOOKUP($A268&amp;$B268,data!$A:$U,12,FALSE)</f>
        <v>0</v>
      </c>
      <c r="Q268" s="3">
        <f ca="1">VLOOKUP($A268&amp;$B268,data!$A:$U,13,FALSE)</f>
        <v>7</v>
      </c>
      <c r="R268" s="3">
        <f ca="1">VLOOKUP($A268&amp;$B268,data!$A:$U,5,FALSE)</f>
        <v>7</v>
      </c>
      <c r="S268" s="3">
        <f ca="1">VLOOKUP($A268&amp;$B268,data!$A:$U,6,FALSE)</f>
        <v>0</v>
      </c>
      <c r="T268" s="3">
        <f ca="1">VLOOKUP($A268&amp;$B268,data!$A:$U,7,FALSE)</f>
        <v>7</v>
      </c>
    </row>
    <row r="269" spans="1:20" ht="13" x14ac:dyDescent="0.15">
      <c r="A269" s="3" t="s">
        <v>18</v>
      </c>
      <c r="B269" s="3" t="s">
        <v>471</v>
      </c>
      <c r="C269" s="10">
        <f t="shared" ca="1" si="0"/>
        <v>0.5</v>
      </c>
      <c r="D269" s="5">
        <f ca="1">VLOOKUP($A269&amp;$B269,data!$A:$U,20,FALSE)</f>
        <v>44302.522928240702</v>
      </c>
      <c r="E269" s="3" t="str">
        <f ca="1">VLOOKUP($A269&amp;$B269,data!$A:$U,21,FALSE)</f>
        <v>Report on 16.04.2021</v>
      </c>
      <c r="F269" s="3">
        <f ca="1">VLOOKUP($A269&amp;$B269,data!$A:$U,17,FALSE)</f>
        <v>0</v>
      </c>
      <c r="G269" s="3">
        <f ca="1">VLOOKUP($A269&amp;$B269,data!$A:$U,18,FALSE)</f>
        <v>0</v>
      </c>
      <c r="H269" s="3">
        <f ca="1">VLOOKUP($A269&amp;$B269,data!$A:$U,19,FALSE)</f>
        <v>0</v>
      </c>
      <c r="I269" s="3">
        <f ca="1">VLOOKUP($A269&amp;$B269,data!$A:$U,14,FALSE)</f>
        <v>0</v>
      </c>
      <c r="J269" s="3">
        <f ca="1">VLOOKUP($A269&amp;$B269,data!$A:$U,15,FALSE)</f>
        <v>0</v>
      </c>
      <c r="K269" s="3">
        <f ca="1">VLOOKUP($A269&amp;$B269,data!$A:$U,16,FALSE)</f>
        <v>0</v>
      </c>
      <c r="L269" s="3">
        <f ca="1">VLOOKUP($A269&amp;$B269,data!$A:$U,8,FALSE)</f>
        <v>7</v>
      </c>
      <c r="M269" s="3">
        <f ca="1">VLOOKUP($A269&amp;$B269,data!$A:$U,9,FALSE)</f>
        <v>0</v>
      </c>
      <c r="N269" s="3">
        <f ca="1">VLOOKUP($A269&amp;$B269,data!$A:$U,10,FALSE)</f>
        <v>0</v>
      </c>
      <c r="O269" s="3">
        <f ca="1">VLOOKUP($A269&amp;$B269,data!$A:$U,11,FALSE)</f>
        <v>0</v>
      </c>
      <c r="P269" s="3">
        <f ca="1">VLOOKUP($A269&amp;$B269,data!$A:$U,12,FALSE)</f>
        <v>0</v>
      </c>
      <c r="Q269" s="3">
        <f ca="1">VLOOKUP($A269&amp;$B269,data!$A:$U,13,FALSE)</f>
        <v>0</v>
      </c>
      <c r="R269" s="3">
        <f ca="1">VLOOKUP($A269&amp;$B269,data!$A:$U,5,FALSE)</f>
        <v>7</v>
      </c>
      <c r="S269" s="3">
        <f ca="1">VLOOKUP($A269&amp;$B269,data!$A:$U,6,FALSE)</f>
        <v>0</v>
      </c>
      <c r="T269" s="3">
        <f ca="1">VLOOKUP($A269&amp;$B269,data!$A:$U,7,FALSE)</f>
        <v>7</v>
      </c>
    </row>
    <row r="270" spans="1:20" ht="13" x14ac:dyDescent="0.15">
      <c r="A270" s="3" t="s">
        <v>18</v>
      </c>
      <c r="B270" s="3" t="s">
        <v>472</v>
      </c>
      <c r="C270" s="10" t="e">
        <f t="shared" ca="1" si="0"/>
        <v>#DIV/0!</v>
      </c>
      <c r="D270" s="5">
        <f ca="1">VLOOKUP($A270&amp;$B270,data!$A:$U,20,FALSE)</f>
        <v>44305.662719907399</v>
      </c>
      <c r="E270" s="3" t="str">
        <f ca="1">VLOOKUP($A270&amp;$B270,data!$A:$U,21,FALSE)</f>
        <v>Today report 0 19/04/2021</v>
      </c>
      <c r="F270" s="3">
        <f ca="1">VLOOKUP($A270&amp;$B270,data!$A:$U,17,FALSE)</f>
        <v>0</v>
      </c>
      <c r="G270" s="3">
        <f ca="1">VLOOKUP($A270&amp;$B270,data!$A:$U,18,FALSE)</f>
        <v>0</v>
      </c>
      <c r="H270" s="3">
        <f ca="1">VLOOKUP($A270&amp;$B270,data!$A:$U,19,FALSE)</f>
        <v>0</v>
      </c>
      <c r="I270" s="3">
        <f ca="1">VLOOKUP($A270&amp;$B270,data!$A:$U,14,FALSE)</f>
        <v>0</v>
      </c>
      <c r="J270" s="3">
        <f ca="1">VLOOKUP($A270&amp;$B270,data!$A:$U,15,FALSE)</f>
        <v>0</v>
      </c>
      <c r="K270" s="3">
        <f ca="1">VLOOKUP($A270&amp;$B270,data!$A:$U,16,FALSE)</f>
        <v>0</v>
      </c>
      <c r="L270" s="3">
        <f ca="1">VLOOKUP($A270&amp;$B270,data!$A:$U,8,FALSE)</f>
        <v>0</v>
      </c>
      <c r="M270" s="3">
        <f ca="1">VLOOKUP($A270&amp;$B270,data!$A:$U,9,FALSE)</f>
        <v>0</v>
      </c>
      <c r="N270" s="3">
        <f ca="1">VLOOKUP($A270&amp;$B270,data!$A:$U,10,FALSE)</f>
        <v>0</v>
      </c>
      <c r="O270" s="3">
        <f ca="1">VLOOKUP($A270&amp;$B270,data!$A:$U,11,FALSE)</f>
        <v>0</v>
      </c>
      <c r="P270" s="3">
        <f ca="1">VLOOKUP($A270&amp;$B270,data!$A:$U,12,FALSE)</f>
        <v>0</v>
      </c>
      <c r="Q270" s="3">
        <f ca="1">VLOOKUP($A270&amp;$B270,data!$A:$U,13,FALSE)</f>
        <v>0</v>
      </c>
      <c r="R270" s="3">
        <f ca="1">VLOOKUP($A270&amp;$B270,data!$A:$U,5,FALSE)</f>
        <v>0</v>
      </c>
      <c r="S270" s="3">
        <f ca="1">VLOOKUP($A270&amp;$B270,data!$A:$U,6,FALSE)</f>
        <v>0</v>
      </c>
      <c r="T270" s="3">
        <f ca="1">VLOOKUP($A270&amp;$B270,data!$A:$U,7,FALSE)</f>
        <v>0</v>
      </c>
    </row>
    <row r="271" spans="1:20" ht="13" x14ac:dyDescent="0.15">
      <c r="A271" s="3" t="s">
        <v>18</v>
      </c>
      <c r="B271" s="3" t="s">
        <v>452</v>
      </c>
      <c r="C271" s="10">
        <f t="shared" ca="1" si="0"/>
        <v>0</v>
      </c>
      <c r="D271" s="5">
        <f ca="1">VLOOKUP($A271&amp;$B271,data!$A:$U,20,FALSE)</f>
        <v>44302.524849537003</v>
      </c>
      <c r="E271" s="3" t="str">
        <f ca="1">VLOOKUP($A271&amp;$B271,data!$A:$U,21,FALSE)</f>
        <v>Report on 16.04.2021</v>
      </c>
      <c r="F271" s="3">
        <f ca="1">VLOOKUP($A271&amp;$B271,data!$A:$U,17,FALSE)</f>
        <v>0</v>
      </c>
      <c r="G271" s="3">
        <f ca="1">VLOOKUP($A271&amp;$B271,data!$A:$U,18,FALSE)</f>
        <v>0</v>
      </c>
      <c r="H271" s="3">
        <f ca="1">VLOOKUP($A271&amp;$B271,data!$A:$U,19,FALSE)</f>
        <v>0</v>
      </c>
      <c r="I271" s="3">
        <f ca="1">VLOOKUP($A271&amp;$B271,data!$A:$U,14,FALSE)</f>
        <v>0</v>
      </c>
      <c r="J271" s="3">
        <f ca="1">VLOOKUP($A271&amp;$B271,data!$A:$U,15,FALSE)</f>
        <v>0</v>
      </c>
      <c r="K271" s="3">
        <f ca="1">VLOOKUP($A271&amp;$B271,data!$A:$U,16,FALSE)</f>
        <v>0</v>
      </c>
      <c r="L271" s="3">
        <f ca="1">VLOOKUP($A271&amp;$B271,data!$A:$U,8,FALSE)</f>
        <v>0</v>
      </c>
      <c r="M271" s="3">
        <f ca="1">VLOOKUP($A271&amp;$B271,data!$A:$U,9,FALSE)</f>
        <v>0</v>
      </c>
      <c r="N271" s="3">
        <f ca="1">VLOOKUP($A271&amp;$B271,data!$A:$U,10,FALSE)</f>
        <v>0</v>
      </c>
      <c r="O271" s="3">
        <f ca="1">VLOOKUP($A271&amp;$B271,data!$A:$U,11,FALSE)</f>
        <v>0</v>
      </c>
      <c r="P271" s="3">
        <f ca="1">VLOOKUP($A271&amp;$B271,data!$A:$U,12,FALSE)</f>
        <v>0</v>
      </c>
      <c r="Q271" s="3">
        <f ca="1">VLOOKUP($A271&amp;$B271,data!$A:$U,13,FALSE)</f>
        <v>0</v>
      </c>
      <c r="R271" s="3">
        <f ca="1">VLOOKUP($A271&amp;$B271,data!$A:$U,5,FALSE)</f>
        <v>5</v>
      </c>
      <c r="S271" s="3">
        <f ca="1">VLOOKUP($A271&amp;$B271,data!$A:$U,6,FALSE)</f>
        <v>0</v>
      </c>
      <c r="T271" s="3">
        <f ca="1">VLOOKUP($A271&amp;$B271,data!$A:$U,7,FALSE)</f>
        <v>0</v>
      </c>
    </row>
    <row r="272" spans="1:20" ht="13" x14ac:dyDescent="0.15">
      <c r="A272" s="3" t="s">
        <v>18</v>
      </c>
      <c r="B272" s="3" t="s">
        <v>454</v>
      </c>
      <c r="C272" s="10" t="e">
        <f t="shared" ca="1" si="0"/>
        <v>#DIV/0!</v>
      </c>
      <c r="D272" s="5">
        <f ca="1">VLOOKUP($A272&amp;$B272,data!$A:$U,20,FALSE)</f>
        <v>44302.524340277698</v>
      </c>
      <c r="E272" s="3" t="str">
        <f ca="1">VLOOKUP($A272&amp;$B272,data!$A:$U,21,FALSE)</f>
        <v>Report on 16.04.2021</v>
      </c>
      <c r="F272" s="3">
        <f ca="1">VLOOKUP($A272&amp;$B272,data!$A:$U,17,FALSE)</f>
        <v>0</v>
      </c>
      <c r="G272" s="3">
        <f ca="1">VLOOKUP($A272&amp;$B272,data!$A:$U,18,FALSE)</f>
        <v>0</v>
      </c>
      <c r="H272" s="3">
        <f ca="1">VLOOKUP($A272&amp;$B272,data!$A:$U,19,FALSE)</f>
        <v>0</v>
      </c>
      <c r="I272" s="3">
        <f ca="1">VLOOKUP($A272&amp;$B272,data!$A:$U,14,FALSE)</f>
        <v>0</v>
      </c>
      <c r="J272" s="3">
        <f ca="1">VLOOKUP($A272&amp;$B272,data!$A:$U,15,FALSE)</f>
        <v>0</v>
      </c>
      <c r="K272" s="3">
        <f ca="1">VLOOKUP($A272&amp;$B272,data!$A:$U,16,FALSE)</f>
        <v>0</v>
      </c>
      <c r="L272" s="3">
        <f ca="1">VLOOKUP($A272&amp;$B272,data!$A:$U,8,FALSE)</f>
        <v>0</v>
      </c>
      <c r="M272" s="3">
        <f ca="1">VLOOKUP($A272&amp;$B272,data!$A:$U,9,FALSE)</f>
        <v>0</v>
      </c>
      <c r="N272" s="3">
        <f ca="1">VLOOKUP($A272&amp;$B272,data!$A:$U,10,FALSE)</f>
        <v>0</v>
      </c>
      <c r="O272" s="3">
        <f ca="1">VLOOKUP($A272&amp;$B272,data!$A:$U,11,FALSE)</f>
        <v>0</v>
      </c>
      <c r="P272" s="3">
        <f ca="1">VLOOKUP($A272&amp;$B272,data!$A:$U,12,FALSE)</f>
        <v>0</v>
      </c>
      <c r="Q272" s="3">
        <f ca="1">VLOOKUP($A272&amp;$B272,data!$A:$U,13,FALSE)</f>
        <v>0</v>
      </c>
      <c r="R272" s="3">
        <f ca="1">VLOOKUP($A272&amp;$B272,data!$A:$U,5,FALSE)</f>
        <v>0</v>
      </c>
      <c r="S272" s="3">
        <f ca="1">VLOOKUP($A272&amp;$B272,data!$A:$U,6,FALSE)</f>
        <v>0</v>
      </c>
      <c r="T272" s="3">
        <f ca="1">VLOOKUP($A272&amp;$B272,data!$A:$U,7,FALSE)</f>
        <v>0</v>
      </c>
    </row>
    <row r="273" spans="1:20" ht="13" x14ac:dyDescent="0.15">
      <c r="A273" s="3" t="s">
        <v>18</v>
      </c>
      <c r="B273" s="3" t="s">
        <v>460</v>
      </c>
      <c r="C273" s="10">
        <f t="shared" ca="1" si="0"/>
        <v>0.41666666666666669</v>
      </c>
      <c r="D273" s="5">
        <f ca="1">VLOOKUP($A273&amp;$B273,data!$A:$U,20,FALSE)</f>
        <v>44302.522280092497</v>
      </c>
      <c r="E273" s="3" t="str">
        <f ca="1">VLOOKUP($A273&amp;$B273,data!$A:$U,21,FALSE)</f>
        <v>Report on 16.04.2021</v>
      </c>
      <c r="F273" s="3">
        <f ca="1">VLOOKUP($A273&amp;$B273,data!$A:$U,17,FALSE)</f>
        <v>0</v>
      </c>
      <c r="G273" s="3">
        <f ca="1">VLOOKUP($A273&amp;$B273,data!$A:$U,18,FALSE)</f>
        <v>0</v>
      </c>
      <c r="H273" s="3">
        <f ca="1">VLOOKUP($A273&amp;$B273,data!$A:$U,19,FALSE)</f>
        <v>0</v>
      </c>
      <c r="I273" s="3">
        <f ca="1">VLOOKUP($A273&amp;$B273,data!$A:$U,14,FALSE)</f>
        <v>1</v>
      </c>
      <c r="J273" s="3">
        <f ca="1">VLOOKUP($A273&amp;$B273,data!$A:$U,15,FALSE)</f>
        <v>0</v>
      </c>
      <c r="K273" s="3">
        <f ca="1">VLOOKUP($A273&amp;$B273,data!$A:$U,16,FALSE)</f>
        <v>1</v>
      </c>
      <c r="L273" s="3">
        <f ca="1">VLOOKUP($A273&amp;$B273,data!$A:$U,8,FALSE)</f>
        <v>2</v>
      </c>
      <c r="M273" s="3">
        <f ca="1">VLOOKUP($A273&amp;$B273,data!$A:$U,9,FALSE)</f>
        <v>0</v>
      </c>
      <c r="N273" s="3">
        <f ca="1">VLOOKUP($A273&amp;$B273,data!$A:$U,10,FALSE)</f>
        <v>2</v>
      </c>
      <c r="O273" s="3">
        <f ca="1">VLOOKUP($A273&amp;$B273,data!$A:$U,11,FALSE)</f>
        <v>2</v>
      </c>
      <c r="P273" s="3">
        <f ca="1">VLOOKUP($A273&amp;$B273,data!$A:$U,12,FALSE)</f>
        <v>0</v>
      </c>
      <c r="Q273" s="3">
        <f ca="1">VLOOKUP($A273&amp;$B273,data!$A:$U,13,FALSE)</f>
        <v>2</v>
      </c>
      <c r="R273" s="3">
        <f ca="1">VLOOKUP($A273&amp;$B273,data!$A:$U,5,FALSE)</f>
        <v>7</v>
      </c>
      <c r="S273" s="3">
        <f ca="1">VLOOKUP($A273&amp;$B273,data!$A:$U,6,FALSE)</f>
        <v>0</v>
      </c>
      <c r="T273" s="3">
        <f ca="1">VLOOKUP($A273&amp;$B273,data!$A:$U,7,FALSE)</f>
        <v>0</v>
      </c>
    </row>
    <row r="274" spans="1:20" ht="13" x14ac:dyDescent="0.15">
      <c r="A274" s="3" t="s">
        <v>18</v>
      </c>
      <c r="B274" s="3" t="s">
        <v>465</v>
      </c>
      <c r="C274" s="10">
        <f t="shared" ca="1" si="0"/>
        <v>0</v>
      </c>
      <c r="D274" s="5">
        <f ca="1">VLOOKUP($A274&amp;$B274,data!$A:$U,20,FALSE)</f>
        <v>44302.523194444402</v>
      </c>
      <c r="E274" s="3" t="str">
        <f ca="1">VLOOKUP($A274&amp;$B274,data!$A:$U,21,FALSE)</f>
        <v>Report 16.04.2021</v>
      </c>
      <c r="F274" s="3">
        <f ca="1">VLOOKUP($A274&amp;$B274,data!$A:$U,17,FALSE)</f>
        <v>0</v>
      </c>
      <c r="G274" s="3">
        <f ca="1">VLOOKUP($A274&amp;$B274,data!$A:$U,18,FALSE)</f>
        <v>0</v>
      </c>
      <c r="H274" s="3">
        <f ca="1">VLOOKUP($A274&amp;$B274,data!$A:$U,19,FALSE)</f>
        <v>0</v>
      </c>
      <c r="I274" s="3">
        <f ca="1">VLOOKUP($A274&amp;$B274,data!$A:$U,14,FALSE)</f>
        <v>0</v>
      </c>
      <c r="J274" s="3">
        <f ca="1">VLOOKUP($A274&amp;$B274,data!$A:$U,15,FALSE)</f>
        <v>0</v>
      </c>
      <c r="K274" s="3">
        <f ca="1">VLOOKUP($A274&amp;$B274,data!$A:$U,16,FALSE)</f>
        <v>0</v>
      </c>
      <c r="L274" s="3">
        <f ca="1">VLOOKUP($A274&amp;$B274,data!$A:$U,8,FALSE)</f>
        <v>0</v>
      </c>
      <c r="M274" s="3">
        <f ca="1">VLOOKUP($A274&amp;$B274,data!$A:$U,9,FALSE)</f>
        <v>0</v>
      </c>
      <c r="N274" s="3">
        <f ca="1">VLOOKUP($A274&amp;$B274,data!$A:$U,10,FALSE)</f>
        <v>0</v>
      </c>
      <c r="O274" s="3">
        <f ca="1">VLOOKUP($A274&amp;$B274,data!$A:$U,11,FALSE)</f>
        <v>0</v>
      </c>
      <c r="P274" s="3">
        <f ca="1">VLOOKUP($A274&amp;$B274,data!$A:$U,12,FALSE)</f>
        <v>0</v>
      </c>
      <c r="Q274" s="3">
        <f ca="1">VLOOKUP($A274&amp;$B274,data!$A:$U,13,FALSE)</f>
        <v>0</v>
      </c>
      <c r="R274" s="3">
        <f ca="1">VLOOKUP($A274&amp;$B274,data!$A:$U,5,FALSE)</f>
        <v>3</v>
      </c>
      <c r="S274" s="3">
        <f ca="1">VLOOKUP($A274&amp;$B274,data!$A:$U,6,FALSE)</f>
        <v>0</v>
      </c>
      <c r="T274" s="3">
        <f ca="1">VLOOKUP($A274&amp;$B274,data!$A:$U,7,FALSE)</f>
        <v>0</v>
      </c>
    </row>
    <row r="275" spans="1:20" ht="13" x14ac:dyDescent="0.15">
      <c r="A275" s="3" t="s">
        <v>18</v>
      </c>
      <c r="B275" s="3" t="s">
        <v>470</v>
      </c>
      <c r="C275" s="10" t="e">
        <f t="shared" ca="1" si="0"/>
        <v>#DIV/0!</v>
      </c>
      <c r="D275" s="5">
        <f ca="1">VLOOKUP($A275&amp;$B275,data!$A:$U,20,FALSE)</f>
        <v>44302.524606481398</v>
      </c>
      <c r="E275" s="3" t="str">
        <f ca="1">VLOOKUP($A275&amp;$B275,data!$A:$U,21,FALSE)</f>
        <v>Report on 16.04.2021</v>
      </c>
      <c r="F275" s="3">
        <f ca="1">VLOOKUP($A275&amp;$B275,data!$A:$U,17,FALSE)</f>
        <v>0</v>
      </c>
      <c r="G275" s="3">
        <f ca="1">VLOOKUP($A275&amp;$B275,data!$A:$U,18,FALSE)</f>
        <v>0</v>
      </c>
      <c r="H275" s="3">
        <f ca="1">VLOOKUP($A275&amp;$B275,data!$A:$U,19,FALSE)</f>
        <v>0</v>
      </c>
      <c r="I275" s="3">
        <f ca="1">VLOOKUP($A275&amp;$B275,data!$A:$U,14,FALSE)</f>
        <v>0</v>
      </c>
      <c r="J275" s="3">
        <f ca="1">VLOOKUP($A275&amp;$B275,data!$A:$U,15,FALSE)</f>
        <v>0</v>
      </c>
      <c r="K275" s="3">
        <f ca="1">VLOOKUP($A275&amp;$B275,data!$A:$U,16,FALSE)</f>
        <v>0</v>
      </c>
      <c r="L275" s="3">
        <f ca="1">VLOOKUP($A275&amp;$B275,data!$A:$U,8,FALSE)</f>
        <v>0</v>
      </c>
      <c r="M275" s="3">
        <f ca="1">VLOOKUP($A275&amp;$B275,data!$A:$U,9,FALSE)</f>
        <v>0</v>
      </c>
      <c r="N275" s="3">
        <f ca="1">VLOOKUP($A275&amp;$B275,data!$A:$U,10,FALSE)</f>
        <v>0</v>
      </c>
      <c r="O275" s="3">
        <f ca="1">VLOOKUP($A275&amp;$B275,data!$A:$U,11,FALSE)</f>
        <v>0</v>
      </c>
      <c r="P275" s="3">
        <f ca="1">VLOOKUP($A275&amp;$B275,data!$A:$U,12,FALSE)</f>
        <v>0</v>
      </c>
      <c r="Q275" s="3">
        <f ca="1">VLOOKUP($A275&amp;$B275,data!$A:$U,13,FALSE)</f>
        <v>0</v>
      </c>
      <c r="R275" s="3">
        <f ca="1">VLOOKUP($A275&amp;$B275,data!$A:$U,5,FALSE)</f>
        <v>0</v>
      </c>
      <c r="S275" s="3">
        <f ca="1">VLOOKUP($A275&amp;$B275,data!$A:$U,6,FALSE)</f>
        <v>0</v>
      </c>
      <c r="T275" s="3">
        <f ca="1">VLOOKUP($A275&amp;$B275,data!$A:$U,7,FALSE)</f>
        <v>0</v>
      </c>
    </row>
    <row r="276" spans="1:20" ht="13" x14ac:dyDescent="0.15">
      <c r="A276" s="3" t="s">
        <v>18</v>
      </c>
      <c r="B276" s="3" t="s">
        <v>473</v>
      </c>
      <c r="C276" s="10" t="e">
        <f t="shared" ca="1" si="0"/>
        <v>#DIV/0!</v>
      </c>
      <c r="D276" s="5">
        <f ca="1">VLOOKUP($A276&amp;$B276,data!$A:$U,20,FALSE)</f>
        <v>44305.3945717592</v>
      </c>
      <c r="E276" s="3" t="str">
        <f ca="1">VLOOKUP($A276&amp;$B276,data!$A:$U,21,FALSE)</f>
        <v>Report on 19.04.2021</v>
      </c>
      <c r="F276" s="3">
        <f ca="1">VLOOKUP($A276&amp;$B276,data!$A:$U,17,FALSE)</f>
        <v>0</v>
      </c>
      <c r="G276" s="3">
        <f ca="1">VLOOKUP($A276&amp;$B276,data!$A:$U,18,FALSE)</f>
        <v>0</v>
      </c>
      <c r="H276" s="3">
        <f ca="1">VLOOKUP($A276&amp;$B276,data!$A:$U,19,FALSE)</f>
        <v>0</v>
      </c>
      <c r="I276" s="3">
        <f ca="1">VLOOKUP($A276&amp;$B276,data!$A:$U,14,FALSE)</f>
        <v>0</v>
      </c>
      <c r="J276" s="3">
        <f ca="1">VLOOKUP($A276&amp;$B276,data!$A:$U,15,FALSE)</f>
        <v>0</v>
      </c>
      <c r="K276" s="3">
        <f ca="1">VLOOKUP($A276&amp;$B276,data!$A:$U,16,FALSE)</f>
        <v>0</v>
      </c>
      <c r="L276" s="3">
        <f ca="1">VLOOKUP($A276&amp;$B276,data!$A:$U,8,FALSE)</f>
        <v>0</v>
      </c>
      <c r="M276" s="3">
        <f ca="1">VLOOKUP($A276&amp;$B276,data!$A:$U,9,FALSE)</f>
        <v>0</v>
      </c>
      <c r="N276" s="3">
        <f ca="1">VLOOKUP($A276&amp;$B276,data!$A:$U,10,FALSE)</f>
        <v>0</v>
      </c>
      <c r="O276" s="3">
        <f ca="1">VLOOKUP($A276&amp;$B276,data!$A:$U,11,FALSE)</f>
        <v>0</v>
      </c>
      <c r="P276" s="3">
        <f ca="1">VLOOKUP($A276&amp;$B276,data!$A:$U,12,FALSE)</f>
        <v>0</v>
      </c>
      <c r="Q276" s="3">
        <f ca="1">VLOOKUP($A276&amp;$B276,data!$A:$U,13,FALSE)</f>
        <v>0</v>
      </c>
      <c r="R276" s="3">
        <f ca="1">VLOOKUP($A276&amp;$B276,data!$A:$U,5,FALSE)</f>
        <v>0</v>
      </c>
      <c r="S276" s="3">
        <f ca="1">VLOOKUP($A276&amp;$B276,data!$A:$U,6,FALSE)</f>
        <v>0</v>
      </c>
      <c r="T276" s="3">
        <f ca="1">VLOOKUP($A276&amp;$B276,data!$A:$U,7,FALSE)</f>
        <v>0</v>
      </c>
    </row>
    <row r="277" spans="1:20" ht="13" x14ac:dyDescent="0.15">
      <c r="A277" s="3" t="s">
        <v>19</v>
      </c>
      <c r="B277" s="3" t="s">
        <v>474</v>
      </c>
      <c r="C277" s="10">
        <f t="shared" ca="1" si="0"/>
        <v>1</v>
      </c>
      <c r="D277" s="5">
        <f ca="1">VLOOKUP($A277&amp;$B277,data!$A:$U,20,FALSE)</f>
        <v>44305.403113425898</v>
      </c>
      <c r="E277" s="3" t="str">
        <f ca="1">VLOOKUP($A277&amp;$B277,data!$A:$U,21,FALSE)</f>
        <v>NIL</v>
      </c>
      <c r="F277" s="3">
        <f ca="1">VLOOKUP($A277&amp;$B277,data!$A:$U,17,FALSE)</f>
        <v>3</v>
      </c>
      <c r="G277" s="3">
        <f ca="1">VLOOKUP($A277&amp;$B277,data!$A:$U,18,FALSE)</f>
        <v>0</v>
      </c>
      <c r="H277" s="3">
        <f ca="1">VLOOKUP($A277&amp;$B277,data!$A:$U,19,FALSE)</f>
        <v>3</v>
      </c>
      <c r="I277" s="3">
        <f ca="1">VLOOKUP($A277&amp;$B277,data!$A:$U,14,FALSE)</f>
        <v>10</v>
      </c>
      <c r="J277" s="3">
        <f ca="1">VLOOKUP($A277&amp;$B277,data!$A:$U,15,FALSE)</f>
        <v>0</v>
      </c>
      <c r="K277" s="3">
        <f ca="1">VLOOKUP($A277&amp;$B277,data!$A:$U,16,FALSE)</f>
        <v>10</v>
      </c>
      <c r="L277" s="3">
        <f ca="1">VLOOKUP($A277&amp;$B277,data!$A:$U,8,FALSE)</f>
        <v>20</v>
      </c>
      <c r="M277" s="3">
        <f ca="1">VLOOKUP($A277&amp;$B277,data!$A:$U,9,FALSE)</f>
        <v>0</v>
      </c>
      <c r="N277" s="3">
        <f ca="1">VLOOKUP($A277&amp;$B277,data!$A:$U,10,FALSE)</f>
        <v>20</v>
      </c>
      <c r="O277" s="3">
        <f ca="1">VLOOKUP($A277&amp;$B277,data!$A:$U,11,FALSE)</f>
        <v>0</v>
      </c>
      <c r="P277" s="3">
        <f ca="1">VLOOKUP($A277&amp;$B277,data!$A:$U,12,FALSE)</f>
        <v>0</v>
      </c>
      <c r="Q277" s="3">
        <f ca="1">VLOOKUP($A277&amp;$B277,data!$A:$U,13,FALSE)</f>
        <v>0</v>
      </c>
      <c r="R277" s="3">
        <f ca="1">VLOOKUP($A277&amp;$B277,data!$A:$U,5,FALSE)</f>
        <v>30</v>
      </c>
      <c r="S277" s="3">
        <f ca="1">VLOOKUP($A277&amp;$B277,data!$A:$U,6,FALSE)</f>
        <v>0</v>
      </c>
      <c r="T277" s="3">
        <f ca="1">VLOOKUP($A277&amp;$B277,data!$A:$U,7,FALSE)</f>
        <v>30</v>
      </c>
    </row>
    <row r="278" spans="1:20" ht="13" x14ac:dyDescent="0.15">
      <c r="A278" s="3" t="s">
        <v>20</v>
      </c>
      <c r="B278" s="3" t="s">
        <v>489</v>
      </c>
      <c r="C278" s="10">
        <f t="shared" ca="1" si="0"/>
        <v>1</v>
      </c>
      <c r="D278" s="5">
        <f ca="1">VLOOKUP($A278&amp;$B278,data!$A:$U,20,FALSE)</f>
        <v>44305.3789004629</v>
      </c>
      <c r="E278" s="3">
        <f ca="1">VLOOKUP($A278&amp;$B278,data!$A:$U,21,FALSE)</f>
        <v>0</v>
      </c>
      <c r="F278" s="3">
        <f ca="1">VLOOKUP($A278&amp;$B278,data!$A:$U,17,FALSE)</f>
        <v>2</v>
      </c>
      <c r="G278" s="3">
        <f ca="1">VLOOKUP($A278&amp;$B278,data!$A:$U,18,FALSE)</f>
        <v>0</v>
      </c>
      <c r="H278" s="3">
        <f ca="1">VLOOKUP($A278&amp;$B278,data!$A:$U,19,FALSE)</f>
        <v>2</v>
      </c>
      <c r="I278" s="3">
        <f ca="1">VLOOKUP($A278&amp;$B278,data!$A:$U,14,FALSE)</f>
        <v>9</v>
      </c>
      <c r="J278" s="3">
        <f ca="1">VLOOKUP($A278&amp;$B278,data!$A:$U,15,FALSE)</f>
        <v>0</v>
      </c>
      <c r="K278" s="3">
        <f ca="1">VLOOKUP($A278&amp;$B278,data!$A:$U,16,FALSE)</f>
        <v>9</v>
      </c>
      <c r="L278" s="3">
        <f ca="1">VLOOKUP($A278&amp;$B278,data!$A:$U,8,FALSE)</f>
        <v>21</v>
      </c>
      <c r="M278" s="3">
        <f ca="1">VLOOKUP($A278&amp;$B278,data!$A:$U,9,FALSE)</f>
        <v>0</v>
      </c>
      <c r="N278" s="3">
        <f ca="1">VLOOKUP($A278&amp;$B278,data!$A:$U,10,FALSE)</f>
        <v>21</v>
      </c>
      <c r="O278" s="3">
        <f ca="1">VLOOKUP($A278&amp;$B278,data!$A:$U,11,FALSE)</f>
        <v>20</v>
      </c>
      <c r="P278" s="3">
        <f ca="1">VLOOKUP($A278&amp;$B278,data!$A:$U,12,FALSE)</f>
        <v>0</v>
      </c>
      <c r="Q278" s="3">
        <f ca="1">VLOOKUP($A278&amp;$B278,data!$A:$U,13,FALSE)</f>
        <v>20</v>
      </c>
      <c r="R278" s="3">
        <f ca="1">VLOOKUP($A278&amp;$B278,data!$A:$U,5,FALSE)</f>
        <v>50</v>
      </c>
      <c r="S278" s="3">
        <f ca="1">VLOOKUP($A278&amp;$B278,data!$A:$U,6,FALSE)</f>
        <v>0</v>
      </c>
      <c r="T278" s="3">
        <f ca="1">VLOOKUP($A278&amp;$B278,data!$A:$U,7,FALSE)</f>
        <v>50</v>
      </c>
    </row>
    <row r="279" spans="1:20" ht="13" x14ac:dyDescent="0.15">
      <c r="A279" s="3" t="s">
        <v>20</v>
      </c>
      <c r="B279" s="3" t="s">
        <v>479</v>
      </c>
      <c r="C279" s="10">
        <f t="shared" ca="1" si="0"/>
        <v>0.92500000000000004</v>
      </c>
      <c r="D279" s="5">
        <f ca="1">VLOOKUP($A279&amp;$B279,data!$A:$U,20,FALSE)</f>
        <v>44305.379583333299</v>
      </c>
      <c r="E279" s="3">
        <f ca="1">VLOOKUP($A279&amp;$B279,data!$A:$U,21,FALSE)</f>
        <v>0</v>
      </c>
      <c r="F279" s="3">
        <f ca="1">VLOOKUP($A279&amp;$B279,data!$A:$U,17,FALSE)</f>
        <v>1</v>
      </c>
      <c r="G279" s="3">
        <f ca="1">VLOOKUP($A279&amp;$B279,data!$A:$U,18,FALSE)</f>
        <v>0</v>
      </c>
      <c r="H279" s="3">
        <f ca="1">VLOOKUP($A279&amp;$B279,data!$A:$U,19,FALSE)</f>
        <v>1</v>
      </c>
      <c r="I279" s="3">
        <f ca="1">VLOOKUP($A279&amp;$B279,data!$A:$U,14,FALSE)</f>
        <v>4</v>
      </c>
      <c r="J279" s="3">
        <f ca="1">VLOOKUP($A279&amp;$B279,data!$A:$U,15,FALSE)</f>
        <v>0</v>
      </c>
      <c r="K279" s="3">
        <f ca="1">VLOOKUP($A279&amp;$B279,data!$A:$U,16,FALSE)</f>
        <v>4</v>
      </c>
      <c r="L279" s="3">
        <f ca="1">VLOOKUP($A279&amp;$B279,data!$A:$U,8,FALSE)</f>
        <v>36</v>
      </c>
      <c r="M279" s="3">
        <f ca="1">VLOOKUP($A279&amp;$B279,data!$A:$U,9,FALSE)</f>
        <v>3</v>
      </c>
      <c r="N279" s="3">
        <f ca="1">VLOOKUP($A279&amp;$B279,data!$A:$U,10,FALSE)</f>
        <v>33</v>
      </c>
      <c r="O279" s="3">
        <f ca="1">VLOOKUP($A279&amp;$B279,data!$A:$U,11,FALSE)</f>
        <v>0</v>
      </c>
      <c r="P279" s="3">
        <f ca="1">VLOOKUP($A279&amp;$B279,data!$A:$U,12,FALSE)</f>
        <v>0</v>
      </c>
      <c r="Q279" s="3">
        <f ca="1">VLOOKUP($A279&amp;$B279,data!$A:$U,13,FALSE)</f>
        <v>0</v>
      </c>
      <c r="R279" s="3">
        <f ca="1">VLOOKUP($A279&amp;$B279,data!$A:$U,5,FALSE)</f>
        <v>40</v>
      </c>
      <c r="S279" s="3">
        <f ca="1">VLOOKUP($A279&amp;$B279,data!$A:$U,6,FALSE)</f>
        <v>3</v>
      </c>
      <c r="T279" s="3">
        <f ca="1">VLOOKUP($A279&amp;$B279,data!$A:$U,7,FALSE)</f>
        <v>37</v>
      </c>
    </row>
    <row r="280" spans="1:20" ht="13" x14ac:dyDescent="0.15">
      <c r="A280" s="3" t="s">
        <v>20</v>
      </c>
      <c r="B280" s="3" t="s">
        <v>484</v>
      </c>
      <c r="C280" s="10">
        <f t="shared" ca="1" si="0"/>
        <v>1</v>
      </c>
      <c r="D280" s="5">
        <f ca="1">VLOOKUP($A280&amp;$B280,data!$A:$U,20,FALSE)</f>
        <v>44305.380844907399</v>
      </c>
      <c r="E280" s="3">
        <f ca="1">VLOOKUP($A280&amp;$B280,data!$A:$U,21,FALSE)</f>
        <v>0</v>
      </c>
      <c r="F280" s="3">
        <f ca="1">VLOOKUP($A280&amp;$B280,data!$A:$U,17,FALSE)</f>
        <v>2</v>
      </c>
      <c r="G280" s="3">
        <f ca="1">VLOOKUP($A280&amp;$B280,data!$A:$U,18,FALSE)</f>
        <v>0</v>
      </c>
      <c r="H280" s="3">
        <f ca="1">VLOOKUP($A280&amp;$B280,data!$A:$U,19,FALSE)</f>
        <v>2</v>
      </c>
      <c r="I280" s="3">
        <f ca="1">VLOOKUP($A280&amp;$B280,data!$A:$U,14,FALSE)</f>
        <v>4</v>
      </c>
      <c r="J280" s="3">
        <f ca="1">VLOOKUP($A280&amp;$B280,data!$A:$U,15,FALSE)</f>
        <v>0</v>
      </c>
      <c r="K280" s="3">
        <f ca="1">VLOOKUP($A280&amp;$B280,data!$A:$U,16,FALSE)</f>
        <v>4</v>
      </c>
      <c r="L280" s="3">
        <f ca="1">VLOOKUP($A280&amp;$B280,data!$A:$U,8,FALSE)</f>
        <v>0</v>
      </c>
      <c r="M280" s="3">
        <f ca="1">VLOOKUP($A280&amp;$B280,data!$A:$U,9,FALSE)</f>
        <v>0</v>
      </c>
      <c r="N280" s="3">
        <f ca="1">VLOOKUP($A280&amp;$B280,data!$A:$U,10,FALSE)</f>
        <v>0</v>
      </c>
      <c r="O280" s="3">
        <f ca="1">VLOOKUP($A280&amp;$B280,data!$A:$U,11,FALSE)</f>
        <v>27</v>
      </c>
      <c r="P280" s="3">
        <f ca="1">VLOOKUP($A280&amp;$B280,data!$A:$U,12,FALSE)</f>
        <v>0</v>
      </c>
      <c r="Q280" s="3">
        <f ca="1">VLOOKUP($A280&amp;$B280,data!$A:$U,13,FALSE)</f>
        <v>27</v>
      </c>
      <c r="R280" s="3">
        <f ca="1">VLOOKUP($A280&amp;$B280,data!$A:$U,5,FALSE)</f>
        <v>31</v>
      </c>
      <c r="S280" s="3">
        <f ca="1">VLOOKUP($A280&amp;$B280,data!$A:$U,6,FALSE)</f>
        <v>0</v>
      </c>
      <c r="T280" s="3">
        <f ca="1">VLOOKUP($A280&amp;$B280,data!$A:$U,7,FALSE)</f>
        <v>31</v>
      </c>
    </row>
    <row r="281" spans="1:20" ht="13" x14ac:dyDescent="0.15">
      <c r="A281" s="3" t="s">
        <v>20</v>
      </c>
      <c r="B281" s="3" t="s">
        <v>872</v>
      </c>
      <c r="C281" s="10">
        <f t="shared" ca="1" si="0"/>
        <v>1</v>
      </c>
      <c r="D281" s="5">
        <f ca="1">VLOOKUP($A281&amp;$B281,data!$A:$U,20,FALSE)</f>
        <v>44305.379965277702</v>
      </c>
      <c r="E281" s="3">
        <f ca="1">VLOOKUP($A281&amp;$B281,data!$A:$U,21,FALSE)</f>
        <v>0</v>
      </c>
      <c r="F281" s="3">
        <f ca="1">VLOOKUP($A281&amp;$B281,data!$A:$U,17,FALSE)</f>
        <v>2</v>
      </c>
      <c r="G281" s="3">
        <f ca="1">VLOOKUP($A281&amp;$B281,data!$A:$U,18,FALSE)</f>
        <v>0</v>
      </c>
      <c r="H281" s="3">
        <f ca="1">VLOOKUP($A281&amp;$B281,data!$A:$U,19,FALSE)</f>
        <v>2</v>
      </c>
      <c r="I281" s="3">
        <f ca="1">VLOOKUP($A281&amp;$B281,data!$A:$U,14,FALSE)</f>
        <v>4</v>
      </c>
      <c r="J281" s="3">
        <f ca="1">VLOOKUP($A281&amp;$B281,data!$A:$U,15,FALSE)</f>
        <v>0</v>
      </c>
      <c r="K281" s="3">
        <f ca="1">VLOOKUP($A281&amp;$B281,data!$A:$U,16,FALSE)</f>
        <v>4</v>
      </c>
      <c r="L281" s="3">
        <f ca="1">VLOOKUP($A281&amp;$B281,data!$A:$U,8,FALSE)</f>
        <v>11</v>
      </c>
      <c r="M281" s="3">
        <f ca="1">VLOOKUP($A281&amp;$B281,data!$A:$U,9,FALSE)</f>
        <v>0</v>
      </c>
      <c r="N281" s="3">
        <f ca="1">VLOOKUP($A281&amp;$B281,data!$A:$U,10,FALSE)</f>
        <v>11</v>
      </c>
      <c r="O281" s="3">
        <f ca="1">VLOOKUP($A281&amp;$B281,data!$A:$U,11,FALSE)</f>
        <v>10</v>
      </c>
      <c r="P281" s="3">
        <f ca="1">VLOOKUP($A281&amp;$B281,data!$A:$U,12,FALSE)</f>
        <v>0</v>
      </c>
      <c r="Q281" s="3">
        <f ca="1">VLOOKUP($A281&amp;$B281,data!$A:$U,13,FALSE)</f>
        <v>10</v>
      </c>
      <c r="R281" s="3">
        <f ca="1">VLOOKUP($A281&amp;$B281,data!$A:$U,5,FALSE)</f>
        <v>25</v>
      </c>
      <c r="S281" s="3">
        <f ca="1">VLOOKUP($A281&amp;$B281,data!$A:$U,6,FALSE)</f>
        <v>0</v>
      </c>
      <c r="T281" s="3">
        <f ca="1">VLOOKUP($A281&amp;$B281,data!$A:$U,7,FALSE)</f>
        <v>25</v>
      </c>
    </row>
    <row r="282" spans="1:20" ht="13" x14ac:dyDescent="0.15">
      <c r="A282" s="3" t="s">
        <v>20</v>
      </c>
      <c r="B282" s="3" t="s">
        <v>687</v>
      </c>
      <c r="C282" s="10">
        <f t="shared" ca="1" si="0"/>
        <v>1</v>
      </c>
      <c r="D282" s="5">
        <f ca="1">VLOOKUP($A282&amp;$B282,data!$A:$U,20,FALSE)</f>
        <v>44305.379293981401</v>
      </c>
      <c r="E282" s="3">
        <f ca="1">VLOOKUP($A282&amp;$B282,data!$A:$U,21,FALSE)</f>
        <v>0</v>
      </c>
      <c r="F282" s="3">
        <f ca="1">VLOOKUP($A282&amp;$B282,data!$A:$U,17,FALSE)</f>
        <v>1</v>
      </c>
      <c r="G282" s="3">
        <f ca="1">VLOOKUP($A282&amp;$B282,data!$A:$U,18,FALSE)</f>
        <v>0</v>
      </c>
      <c r="H282" s="3">
        <f ca="1">VLOOKUP($A282&amp;$B282,data!$A:$U,19,FALSE)</f>
        <v>1</v>
      </c>
      <c r="I282" s="3">
        <f ca="1">VLOOKUP($A282&amp;$B282,data!$A:$U,14,FALSE)</f>
        <v>5</v>
      </c>
      <c r="J282" s="3">
        <f ca="1">VLOOKUP($A282&amp;$B282,data!$A:$U,15,FALSE)</f>
        <v>0</v>
      </c>
      <c r="K282" s="3">
        <f ca="1">VLOOKUP($A282&amp;$B282,data!$A:$U,16,FALSE)</f>
        <v>5</v>
      </c>
      <c r="L282" s="3">
        <f ca="1">VLOOKUP($A282&amp;$B282,data!$A:$U,8,FALSE)</f>
        <v>15</v>
      </c>
      <c r="M282" s="3">
        <f ca="1">VLOOKUP($A282&amp;$B282,data!$A:$U,9,FALSE)</f>
        <v>0</v>
      </c>
      <c r="N282" s="3">
        <f ca="1">VLOOKUP($A282&amp;$B282,data!$A:$U,10,FALSE)</f>
        <v>15</v>
      </c>
      <c r="O282" s="3">
        <f ca="1">VLOOKUP($A282&amp;$B282,data!$A:$U,11,FALSE)</f>
        <v>0</v>
      </c>
      <c r="P282" s="3">
        <f ca="1">VLOOKUP($A282&amp;$B282,data!$A:$U,12,FALSE)</f>
        <v>0</v>
      </c>
      <c r="Q282" s="3">
        <f ca="1">VLOOKUP($A282&amp;$B282,data!$A:$U,13,FALSE)</f>
        <v>0</v>
      </c>
      <c r="R282" s="3">
        <f ca="1">VLOOKUP($A282&amp;$B282,data!$A:$U,5,FALSE)</f>
        <v>20</v>
      </c>
      <c r="S282" s="3">
        <f ca="1">VLOOKUP($A282&amp;$B282,data!$A:$U,6,FALSE)</f>
        <v>0</v>
      </c>
      <c r="T282" s="3">
        <f ca="1">VLOOKUP($A282&amp;$B282,data!$A:$U,7,FALSE)</f>
        <v>20</v>
      </c>
    </row>
    <row r="283" spans="1:20" ht="13" x14ac:dyDescent="0.15">
      <c r="A283" s="3" t="s">
        <v>21</v>
      </c>
      <c r="B283" s="3" t="s">
        <v>537</v>
      </c>
      <c r="C283" s="10">
        <f t="shared" ca="1" si="0"/>
        <v>0.91475409836065569</v>
      </c>
      <c r="D283" s="5">
        <f ca="1">VLOOKUP($A283&amp;$B283,data!$A:$U,20,FALSE)</f>
        <v>44305.496076388801</v>
      </c>
      <c r="E283" s="3">
        <f ca="1">VLOOKUP($A283&amp;$B283,data!$A:$U,21,FALSE)</f>
        <v>0</v>
      </c>
      <c r="F283" s="3">
        <f ca="1">VLOOKUP($A283&amp;$B283,data!$A:$U,17,FALSE)</f>
        <v>5</v>
      </c>
      <c r="G283" s="3">
        <f ca="1">VLOOKUP($A283&amp;$B283,data!$A:$U,18,FALSE)</f>
        <v>0</v>
      </c>
      <c r="H283" s="3">
        <f ca="1">VLOOKUP($A283&amp;$B283,data!$A:$U,19,FALSE)</f>
        <v>5</v>
      </c>
      <c r="I283" s="3">
        <f ca="1">VLOOKUP($A283&amp;$B283,data!$A:$U,14,FALSE)</f>
        <v>15</v>
      </c>
      <c r="J283" s="3">
        <f ca="1">VLOOKUP($A283&amp;$B283,data!$A:$U,15,FALSE)</f>
        <v>0</v>
      </c>
      <c r="K283" s="3">
        <f ca="1">VLOOKUP($A283&amp;$B283,data!$A:$U,16,FALSE)</f>
        <v>15</v>
      </c>
      <c r="L283" s="3">
        <f ca="1">VLOOKUP($A283&amp;$B283,data!$A:$U,8,FALSE)</f>
        <v>45</v>
      </c>
      <c r="M283" s="3">
        <f ca="1">VLOOKUP($A283&amp;$B283,data!$A:$U,9,FALSE)</f>
        <v>0</v>
      </c>
      <c r="N283" s="3">
        <f ca="1">VLOOKUP($A283&amp;$B283,data!$A:$U,10,FALSE)</f>
        <v>45</v>
      </c>
      <c r="O283" s="3">
        <f ca="1">VLOOKUP($A283&amp;$B283,data!$A:$U,11,FALSE)</f>
        <v>100</v>
      </c>
      <c r="P283" s="3">
        <f ca="1">VLOOKUP($A283&amp;$B283,data!$A:$U,12,FALSE)</f>
        <v>9</v>
      </c>
      <c r="Q283" s="3">
        <f ca="1">VLOOKUP($A283&amp;$B283,data!$A:$U,13,FALSE)</f>
        <v>91</v>
      </c>
      <c r="R283" s="3">
        <f ca="1">VLOOKUP($A283&amp;$B283,data!$A:$U,5,FALSE)</f>
        <v>145</v>
      </c>
      <c r="S283" s="3">
        <f ca="1">VLOOKUP($A283&amp;$B283,data!$A:$U,6,FALSE)</f>
        <v>17</v>
      </c>
      <c r="T283" s="3">
        <f ca="1">VLOOKUP($A283&amp;$B283,data!$A:$U,7,FALSE)</f>
        <v>128</v>
      </c>
    </row>
    <row r="284" spans="1:20" ht="13" x14ac:dyDescent="0.15">
      <c r="A284" s="3" t="s">
        <v>21</v>
      </c>
      <c r="B284" s="3" t="s">
        <v>493</v>
      </c>
      <c r="C284" s="10">
        <f t="shared" ca="1" si="0"/>
        <v>0.99183673469387756</v>
      </c>
      <c r="D284" s="5">
        <f ca="1">VLOOKUP($A284&amp;$B284,data!$A:$U,20,FALSE)</f>
        <v>44305.404606481403</v>
      </c>
      <c r="E284" s="3">
        <f ca="1">VLOOKUP($A284&amp;$B284,data!$A:$U,21,FALSE)</f>
        <v>0</v>
      </c>
      <c r="F284" s="3">
        <f ca="1">VLOOKUP($A284&amp;$B284,data!$A:$U,17,FALSE)</f>
        <v>5</v>
      </c>
      <c r="G284" s="3">
        <f ca="1">VLOOKUP($A284&amp;$B284,data!$A:$U,18,FALSE)</f>
        <v>2</v>
      </c>
      <c r="H284" s="3">
        <f ca="1">VLOOKUP($A284&amp;$B284,data!$A:$U,19,FALSE)</f>
        <v>3</v>
      </c>
      <c r="I284" s="3">
        <f ca="1">VLOOKUP($A284&amp;$B284,data!$A:$U,14,FALSE)</f>
        <v>5</v>
      </c>
      <c r="J284" s="3">
        <f ca="1">VLOOKUP($A284&amp;$B284,data!$A:$U,15,FALSE)</f>
        <v>0</v>
      </c>
      <c r="K284" s="3">
        <f ca="1">VLOOKUP($A284&amp;$B284,data!$A:$U,16,FALSE)</f>
        <v>5</v>
      </c>
      <c r="L284" s="3">
        <f ca="1">VLOOKUP($A284&amp;$B284,data!$A:$U,8,FALSE)</f>
        <v>30</v>
      </c>
      <c r="M284" s="3">
        <f ca="1">VLOOKUP($A284&amp;$B284,data!$A:$U,9,FALSE)</f>
        <v>0</v>
      </c>
      <c r="N284" s="3">
        <f ca="1">VLOOKUP($A284&amp;$B284,data!$A:$U,10,FALSE)</f>
        <v>30</v>
      </c>
      <c r="O284" s="3">
        <f ca="1">VLOOKUP($A284&amp;$B284,data!$A:$U,11,FALSE)</f>
        <v>90</v>
      </c>
      <c r="P284" s="3">
        <f ca="1">VLOOKUP($A284&amp;$B284,data!$A:$U,12,FALSE)</f>
        <v>0</v>
      </c>
      <c r="Q284" s="3">
        <f ca="1">VLOOKUP($A284&amp;$B284,data!$A:$U,13,FALSE)</f>
        <v>89</v>
      </c>
      <c r="R284" s="3">
        <f ca="1">VLOOKUP($A284&amp;$B284,data!$A:$U,5,FALSE)</f>
        <v>120</v>
      </c>
      <c r="S284" s="3">
        <f ca="1">VLOOKUP($A284&amp;$B284,data!$A:$U,6,FALSE)</f>
        <v>1</v>
      </c>
      <c r="T284" s="3">
        <f ca="1">VLOOKUP($A284&amp;$B284,data!$A:$U,7,FALSE)</f>
        <v>119</v>
      </c>
    </row>
    <row r="285" spans="1:20" ht="13" x14ac:dyDescent="0.15">
      <c r="A285" s="3" t="s">
        <v>21</v>
      </c>
      <c r="B285" s="3" t="s">
        <v>533</v>
      </c>
      <c r="C285" s="10">
        <f t="shared" ca="1" si="0"/>
        <v>0.61875000000000002</v>
      </c>
      <c r="D285" s="5">
        <f ca="1">VLOOKUP($A285&amp;$B285,data!$A:$U,20,FALSE)</f>
        <v>44305.5108564814</v>
      </c>
      <c r="E285" s="3">
        <f ca="1">VLOOKUP($A285&amp;$B285,data!$A:$U,21,FALSE)</f>
        <v>0</v>
      </c>
      <c r="F285" s="3">
        <f ca="1">VLOOKUP($A285&amp;$B285,data!$A:$U,17,FALSE)</f>
        <v>2</v>
      </c>
      <c r="G285" s="3">
        <f ca="1">VLOOKUP($A285&amp;$B285,data!$A:$U,18,FALSE)</f>
        <v>0</v>
      </c>
      <c r="H285" s="3">
        <f ca="1">VLOOKUP($A285&amp;$B285,data!$A:$U,19,FALSE)</f>
        <v>2</v>
      </c>
      <c r="I285" s="3">
        <f ca="1">VLOOKUP($A285&amp;$B285,data!$A:$U,14,FALSE)</f>
        <v>9</v>
      </c>
      <c r="J285" s="3">
        <f ca="1">VLOOKUP($A285&amp;$B285,data!$A:$U,15,FALSE)</f>
        <v>0</v>
      </c>
      <c r="K285" s="3">
        <f ca="1">VLOOKUP($A285&amp;$B285,data!$A:$U,16,FALSE)</f>
        <v>0</v>
      </c>
      <c r="L285" s="3">
        <f ca="1">VLOOKUP($A285&amp;$B285,data!$A:$U,8,FALSE)</f>
        <v>24</v>
      </c>
      <c r="M285" s="3">
        <f ca="1">VLOOKUP($A285&amp;$B285,data!$A:$U,9,FALSE)</f>
        <v>0</v>
      </c>
      <c r="N285" s="3">
        <f ca="1">VLOOKUP($A285&amp;$B285,data!$A:$U,10,FALSE)</f>
        <v>0</v>
      </c>
      <c r="O285" s="3">
        <f ca="1">VLOOKUP($A285&amp;$B285,data!$A:$U,11,FALSE)</f>
        <v>47</v>
      </c>
      <c r="P285" s="3">
        <f ca="1">VLOOKUP($A285&amp;$B285,data!$A:$U,12,FALSE)</f>
        <v>0</v>
      </c>
      <c r="Q285" s="3">
        <f ca="1">VLOOKUP($A285&amp;$B285,data!$A:$U,13,FALSE)</f>
        <v>19</v>
      </c>
      <c r="R285" s="3">
        <f ca="1">VLOOKUP($A285&amp;$B285,data!$A:$U,5,FALSE)</f>
        <v>80</v>
      </c>
      <c r="S285" s="3">
        <f ca="1">VLOOKUP($A285&amp;$B285,data!$A:$U,6,FALSE)</f>
        <v>0</v>
      </c>
      <c r="T285" s="3">
        <f ca="1">VLOOKUP($A285&amp;$B285,data!$A:$U,7,FALSE)</f>
        <v>80</v>
      </c>
    </row>
    <row r="286" spans="1:20" ht="13" x14ac:dyDescent="0.15">
      <c r="A286" s="3" t="s">
        <v>21</v>
      </c>
      <c r="B286" s="3" t="s">
        <v>1072</v>
      </c>
      <c r="C286" s="10">
        <f t="shared" ca="1" si="0"/>
        <v>0.98</v>
      </c>
      <c r="D286" s="5">
        <f ca="1">VLOOKUP($A286&amp;$B286,data!$A:$U,20,FALSE)</f>
        <v>44305.435300925899</v>
      </c>
      <c r="E286" s="3" t="str">
        <f ca="1">VLOOKUP($A286&amp;$B286,data!$A:$U,21,FALSE)</f>
        <v>Nil cases</v>
      </c>
      <c r="F286" s="3">
        <f ca="1">VLOOKUP($A286&amp;$B286,data!$A:$U,17,FALSE)</f>
        <v>0</v>
      </c>
      <c r="G286" s="3">
        <f ca="1">VLOOKUP($A286&amp;$B286,data!$A:$U,18,FALSE)</f>
        <v>0</v>
      </c>
      <c r="H286" s="3">
        <f ca="1">VLOOKUP($A286&amp;$B286,data!$A:$U,19,FALSE)</f>
        <v>0</v>
      </c>
      <c r="I286" s="3">
        <f ca="1">VLOOKUP($A286&amp;$B286,data!$A:$U,14,FALSE)</f>
        <v>10</v>
      </c>
      <c r="J286" s="3">
        <f ca="1">VLOOKUP($A286&amp;$B286,data!$A:$U,15,FALSE)</f>
        <v>3</v>
      </c>
      <c r="K286" s="3">
        <f ca="1">VLOOKUP($A286&amp;$B286,data!$A:$U,16,FALSE)</f>
        <v>7</v>
      </c>
      <c r="L286" s="3">
        <f ca="1">VLOOKUP($A286&amp;$B286,data!$A:$U,8,FALSE)</f>
        <v>70</v>
      </c>
      <c r="M286" s="3">
        <f ca="1">VLOOKUP($A286&amp;$B286,data!$A:$U,9,FALSE)</f>
        <v>0</v>
      </c>
      <c r="N286" s="3">
        <f ca="1">VLOOKUP($A286&amp;$B286,data!$A:$U,10,FALSE)</f>
        <v>70</v>
      </c>
      <c r="O286" s="3">
        <f ca="1">VLOOKUP($A286&amp;$B286,data!$A:$U,11,FALSE)</f>
        <v>0</v>
      </c>
      <c r="P286" s="3">
        <f ca="1">VLOOKUP($A286&amp;$B286,data!$A:$U,12,FALSE)</f>
        <v>0</v>
      </c>
      <c r="Q286" s="3">
        <f ca="1">VLOOKUP($A286&amp;$B286,data!$A:$U,13,FALSE)</f>
        <v>0</v>
      </c>
      <c r="R286" s="3">
        <f ca="1">VLOOKUP($A286&amp;$B286,data!$A:$U,5,FALSE)</f>
        <v>70</v>
      </c>
      <c r="S286" s="3">
        <f ca="1">VLOOKUP($A286&amp;$B286,data!$A:$U,6,FALSE)</f>
        <v>0</v>
      </c>
      <c r="T286" s="3">
        <f ca="1">VLOOKUP($A286&amp;$B286,data!$A:$U,7,FALSE)</f>
        <v>70</v>
      </c>
    </row>
    <row r="287" spans="1:20" ht="13" x14ac:dyDescent="0.15">
      <c r="A287" s="3" t="s">
        <v>21</v>
      </c>
      <c r="B287" s="3" t="s">
        <v>1077</v>
      </c>
      <c r="C287" s="10">
        <f t="shared" ca="1" si="0"/>
        <v>0.90540540540540537</v>
      </c>
      <c r="D287" s="5">
        <f ca="1">VLOOKUP($A287&amp;$B287,data!$A:$U,20,FALSE)</f>
        <v>44305.374618055503</v>
      </c>
      <c r="E287" s="3" t="str">
        <f ca="1">VLOOKUP($A287&amp;$B287,data!$A:$U,21,FALSE)</f>
        <v>Sent on 19.04.2021 at 09:00AM</v>
      </c>
      <c r="F287" s="3">
        <f ca="1">VLOOKUP($A287&amp;$B287,data!$A:$U,17,FALSE)</f>
        <v>6</v>
      </c>
      <c r="G287" s="3">
        <f ca="1">VLOOKUP($A287&amp;$B287,data!$A:$U,18,FALSE)</f>
        <v>0</v>
      </c>
      <c r="H287" s="3">
        <f ca="1">VLOOKUP($A287&amp;$B287,data!$A:$U,19,FALSE)</f>
        <v>6</v>
      </c>
      <c r="I287" s="3">
        <f ca="1">VLOOKUP($A287&amp;$B287,data!$A:$U,14,FALSE)</f>
        <v>3</v>
      </c>
      <c r="J287" s="3">
        <f ca="1">VLOOKUP($A287&amp;$B287,data!$A:$U,15,FALSE)</f>
        <v>0</v>
      </c>
      <c r="K287" s="3">
        <f ca="1">VLOOKUP($A287&amp;$B287,data!$A:$U,16,FALSE)</f>
        <v>3</v>
      </c>
      <c r="L287" s="3">
        <f ca="1">VLOOKUP($A287&amp;$B287,data!$A:$U,8,FALSE)</f>
        <v>40</v>
      </c>
      <c r="M287" s="3">
        <f ca="1">VLOOKUP($A287&amp;$B287,data!$A:$U,9,FALSE)</f>
        <v>7</v>
      </c>
      <c r="N287" s="3">
        <f ca="1">VLOOKUP($A287&amp;$B287,data!$A:$U,10,FALSE)</f>
        <v>33</v>
      </c>
      <c r="O287" s="3">
        <f ca="1">VLOOKUP($A287&amp;$B287,data!$A:$U,11,FALSE)</f>
        <v>35</v>
      </c>
      <c r="P287" s="3">
        <f ca="1">VLOOKUP($A287&amp;$B287,data!$A:$U,12,FALSE)</f>
        <v>0</v>
      </c>
      <c r="Q287" s="3">
        <f ca="1">VLOOKUP($A287&amp;$B287,data!$A:$U,13,FALSE)</f>
        <v>35</v>
      </c>
      <c r="R287" s="3">
        <f ca="1">VLOOKUP($A287&amp;$B287,data!$A:$U,5,FALSE)</f>
        <v>70</v>
      </c>
      <c r="S287" s="3">
        <f ca="1">VLOOKUP($A287&amp;$B287,data!$A:$U,6,FALSE)</f>
        <v>7</v>
      </c>
      <c r="T287" s="3">
        <f ca="1">VLOOKUP($A287&amp;$B287,data!$A:$U,7,FALSE)</f>
        <v>63</v>
      </c>
    </row>
    <row r="288" spans="1:20" ht="13" x14ac:dyDescent="0.15">
      <c r="A288" s="3" t="s">
        <v>21</v>
      </c>
      <c r="B288" s="3" t="s">
        <v>1063</v>
      </c>
      <c r="C288" s="10">
        <f t="shared" ca="1" si="0"/>
        <v>1</v>
      </c>
      <c r="D288" s="5">
        <f ca="1">VLOOKUP($A288&amp;$B288,data!$A:$U,20,FALSE)</f>
        <v>44305.503912036998</v>
      </c>
      <c r="E288" s="3" t="str">
        <f ca="1">VLOOKUP($A288&amp;$B288,data!$A:$U,21,FALSE)</f>
        <v>Nil</v>
      </c>
      <c r="F288" s="3">
        <f ca="1">VLOOKUP($A288&amp;$B288,data!$A:$U,17,FALSE)</f>
        <v>3</v>
      </c>
      <c r="G288" s="3">
        <f ca="1">VLOOKUP($A288&amp;$B288,data!$A:$U,18,FALSE)</f>
        <v>0</v>
      </c>
      <c r="H288" s="3">
        <f ca="1">VLOOKUP($A288&amp;$B288,data!$A:$U,19,FALSE)</f>
        <v>3</v>
      </c>
      <c r="I288" s="3">
        <f ca="1">VLOOKUP($A288&amp;$B288,data!$A:$U,14,FALSE)</f>
        <v>12</v>
      </c>
      <c r="J288" s="3">
        <f ca="1">VLOOKUP($A288&amp;$B288,data!$A:$U,15,FALSE)</f>
        <v>0</v>
      </c>
      <c r="K288" s="3">
        <f ca="1">VLOOKUP($A288&amp;$B288,data!$A:$U,16,FALSE)</f>
        <v>12</v>
      </c>
      <c r="L288" s="3">
        <f ca="1">VLOOKUP($A288&amp;$B288,data!$A:$U,8,FALSE)</f>
        <v>60</v>
      </c>
      <c r="M288" s="3">
        <f ca="1">VLOOKUP($A288&amp;$B288,data!$A:$U,9,FALSE)</f>
        <v>0</v>
      </c>
      <c r="N288" s="3">
        <f ca="1">VLOOKUP($A288&amp;$B288,data!$A:$U,10,FALSE)</f>
        <v>60</v>
      </c>
      <c r="O288" s="3">
        <f ca="1">VLOOKUP($A288&amp;$B288,data!$A:$U,11,FALSE)</f>
        <v>0</v>
      </c>
      <c r="P288" s="3">
        <f ca="1">VLOOKUP($A288&amp;$B288,data!$A:$U,12,FALSE)</f>
        <v>0</v>
      </c>
      <c r="Q288" s="3">
        <f ca="1">VLOOKUP($A288&amp;$B288,data!$A:$U,13,FALSE)</f>
        <v>0</v>
      </c>
      <c r="R288" s="3">
        <f ca="1">VLOOKUP($A288&amp;$B288,data!$A:$U,5,FALSE)</f>
        <v>60</v>
      </c>
      <c r="S288" s="3">
        <f ca="1">VLOOKUP($A288&amp;$B288,data!$A:$U,6,FALSE)</f>
        <v>0</v>
      </c>
      <c r="T288" s="3">
        <f ca="1">VLOOKUP($A288&amp;$B288,data!$A:$U,7,FALSE)</f>
        <v>60</v>
      </c>
    </row>
    <row r="289" spans="1:20" ht="13" x14ac:dyDescent="0.15">
      <c r="A289" s="3" t="s">
        <v>21</v>
      </c>
      <c r="B289" s="3" t="s">
        <v>508</v>
      </c>
      <c r="C289" s="10">
        <f t="shared" ca="1" si="0"/>
        <v>0.44090909090909092</v>
      </c>
      <c r="D289" s="5">
        <f ca="1">VLOOKUP($A289&amp;$B289,data!$A:$U,20,FALSE)</f>
        <v>44305.451990740701</v>
      </c>
      <c r="E289" s="3" t="str">
        <f ca="1">VLOOKUP($A289&amp;$B289,data!$A:$U,21,FALSE)</f>
        <v>Nil</v>
      </c>
      <c r="F289" s="3">
        <f ca="1">VLOOKUP($A289&amp;$B289,data!$A:$U,17,FALSE)</f>
        <v>10</v>
      </c>
      <c r="G289" s="3">
        <f ca="1">VLOOKUP($A289&amp;$B289,data!$A:$U,18,FALSE)</f>
        <v>7</v>
      </c>
      <c r="H289" s="3">
        <f ca="1">VLOOKUP($A289&amp;$B289,data!$A:$U,19,FALSE)</f>
        <v>3</v>
      </c>
      <c r="I289" s="3">
        <f ca="1">VLOOKUP($A289&amp;$B289,data!$A:$U,14,FALSE)</f>
        <v>20</v>
      </c>
      <c r="J289" s="3">
        <f ca="1">VLOOKUP($A289&amp;$B289,data!$A:$U,15,FALSE)</f>
        <v>1</v>
      </c>
      <c r="K289" s="3">
        <f ca="1">VLOOKUP($A289&amp;$B289,data!$A:$U,16,FALSE)</f>
        <v>2</v>
      </c>
      <c r="L289" s="3">
        <f ca="1">VLOOKUP($A289&amp;$B289,data!$A:$U,8,FALSE)</f>
        <v>85</v>
      </c>
      <c r="M289" s="3">
        <f ca="1">VLOOKUP($A289&amp;$B289,data!$A:$U,9,FALSE)</f>
        <v>20</v>
      </c>
      <c r="N289" s="3">
        <f ca="1">VLOOKUP($A289&amp;$B289,data!$A:$U,10,FALSE)</f>
        <v>65</v>
      </c>
      <c r="O289" s="3">
        <f ca="1">VLOOKUP($A289&amp;$B289,data!$A:$U,11,FALSE)</f>
        <v>20</v>
      </c>
      <c r="P289" s="3">
        <f ca="1">VLOOKUP($A289&amp;$B289,data!$A:$U,12,FALSE)</f>
        <v>0</v>
      </c>
      <c r="Q289" s="3">
        <f ca="1">VLOOKUP($A289&amp;$B289,data!$A:$U,13,FALSE)</f>
        <v>0</v>
      </c>
      <c r="R289" s="3">
        <f ca="1">VLOOKUP($A289&amp;$B289,data!$A:$U,5,FALSE)</f>
        <v>95</v>
      </c>
      <c r="S289" s="3">
        <f ca="1">VLOOKUP($A289&amp;$B289,data!$A:$U,6,FALSE)</f>
        <v>65</v>
      </c>
      <c r="T289" s="3">
        <f ca="1">VLOOKUP($A289&amp;$B289,data!$A:$U,7,FALSE)</f>
        <v>30</v>
      </c>
    </row>
    <row r="290" spans="1:20" ht="13" x14ac:dyDescent="0.15">
      <c r="A290" s="3" t="s">
        <v>21</v>
      </c>
      <c r="B290" s="3" t="s">
        <v>1058</v>
      </c>
      <c r="C290" s="10">
        <f t="shared" ca="1" si="0"/>
        <v>1</v>
      </c>
      <c r="D290" s="5">
        <f ca="1">VLOOKUP($A290&amp;$B290,data!$A:$U,20,FALSE)</f>
        <v>44305.592592592497</v>
      </c>
      <c r="E290" s="3" t="str">
        <f ca="1">VLOOKUP($A290&amp;$B290,data!$A:$U,21,FALSE)</f>
        <v>Nil</v>
      </c>
      <c r="F290" s="3">
        <f ca="1">VLOOKUP($A290&amp;$B290,data!$A:$U,17,FALSE)</f>
        <v>2</v>
      </c>
      <c r="G290" s="3">
        <f ca="1">VLOOKUP($A290&amp;$B290,data!$A:$U,18,FALSE)</f>
        <v>0</v>
      </c>
      <c r="H290" s="3">
        <f ca="1">VLOOKUP($A290&amp;$B290,data!$A:$U,19,FALSE)</f>
        <v>2</v>
      </c>
      <c r="I290" s="3">
        <f ca="1">VLOOKUP($A290&amp;$B290,data!$A:$U,14,FALSE)</f>
        <v>3</v>
      </c>
      <c r="J290" s="3">
        <f ca="1">VLOOKUP($A290&amp;$B290,data!$A:$U,15,FALSE)</f>
        <v>0</v>
      </c>
      <c r="K290" s="3">
        <f ca="1">VLOOKUP($A290&amp;$B290,data!$A:$U,16,FALSE)</f>
        <v>3</v>
      </c>
      <c r="L290" s="3">
        <f ca="1">VLOOKUP($A290&amp;$B290,data!$A:$U,8,FALSE)</f>
        <v>43</v>
      </c>
      <c r="M290" s="3">
        <f ca="1">VLOOKUP($A290&amp;$B290,data!$A:$U,9,FALSE)</f>
        <v>0</v>
      </c>
      <c r="N290" s="3">
        <f ca="1">VLOOKUP($A290&amp;$B290,data!$A:$U,10,FALSE)</f>
        <v>43</v>
      </c>
      <c r="O290" s="3">
        <f ca="1">VLOOKUP($A290&amp;$B290,data!$A:$U,11,FALSE)</f>
        <v>0</v>
      </c>
      <c r="P290" s="3">
        <f ca="1">VLOOKUP($A290&amp;$B290,data!$A:$U,12,FALSE)</f>
        <v>0</v>
      </c>
      <c r="Q290" s="3">
        <f ca="1">VLOOKUP($A290&amp;$B290,data!$A:$U,13,FALSE)</f>
        <v>0</v>
      </c>
      <c r="R290" s="3">
        <f ca="1">VLOOKUP($A290&amp;$B290,data!$A:$U,5,FALSE)</f>
        <v>43</v>
      </c>
      <c r="S290" s="3">
        <f ca="1">VLOOKUP($A290&amp;$B290,data!$A:$U,6,FALSE)</f>
        <v>0</v>
      </c>
      <c r="T290" s="3">
        <f ca="1">VLOOKUP($A290&amp;$B290,data!$A:$U,7,FALSE)</f>
        <v>43</v>
      </c>
    </row>
    <row r="291" spans="1:20" ht="13" x14ac:dyDescent="0.15">
      <c r="A291" s="3" t="s">
        <v>21</v>
      </c>
      <c r="B291" s="3" t="s">
        <v>518</v>
      </c>
      <c r="C291" s="10">
        <f t="shared" ca="1" si="0"/>
        <v>0.54285714285714282</v>
      </c>
      <c r="D291" s="5">
        <f ca="1">VLOOKUP($A291&amp;$B291,data!$A:$U,20,FALSE)</f>
        <v>44305.505254629599</v>
      </c>
      <c r="E291" s="3">
        <f ca="1">VLOOKUP($A291&amp;$B291,data!$A:$U,21,FALSE)</f>
        <v>0</v>
      </c>
      <c r="F291" s="3">
        <f ca="1">VLOOKUP($A291&amp;$B291,data!$A:$U,17,FALSE)</f>
        <v>7</v>
      </c>
      <c r="G291" s="3">
        <f ca="1">VLOOKUP($A291&amp;$B291,data!$A:$U,18,FALSE)</f>
        <v>0</v>
      </c>
      <c r="H291" s="3">
        <f ca="1">VLOOKUP($A291&amp;$B291,data!$A:$U,19,FALSE)</f>
        <v>7</v>
      </c>
      <c r="I291" s="3">
        <f ca="1">VLOOKUP($A291&amp;$B291,data!$A:$U,14,FALSE)</f>
        <v>20</v>
      </c>
      <c r="J291" s="3">
        <f ca="1">VLOOKUP($A291&amp;$B291,data!$A:$U,15,FALSE)</f>
        <v>0</v>
      </c>
      <c r="K291" s="3">
        <f ca="1">VLOOKUP($A291&amp;$B291,data!$A:$U,16,FALSE)</f>
        <v>20</v>
      </c>
      <c r="L291" s="3">
        <f ca="1">VLOOKUP($A291&amp;$B291,data!$A:$U,8,FALSE)</f>
        <v>60</v>
      </c>
      <c r="M291" s="3">
        <f ca="1">VLOOKUP($A291&amp;$B291,data!$A:$U,9,FALSE)</f>
        <v>32</v>
      </c>
      <c r="N291" s="3">
        <f ca="1">VLOOKUP($A291&amp;$B291,data!$A:$U,10,FALSE)</f>
        <v>28</v>
      </c>
      <c r="O291" s="3">
        <f ca="1">VLOOKUP($A291&amp;$B291,data!$A:$U,11,FALSE)</f>
        <v>0</v>
      </c>
      <c r="P291" s="3">
        <f ca="1">VLOOKUP($A291&amp;$B291,data!$A:$U,12,FALSE)</f>
        <v>0</v>
      </c>
      <c r="Q291" s="3">
        <f ca="1">VLOOKUP($A291&amp;$B291,data!$A:$U,13,FALSE)</f>
        <v>0</v>
      </c>
      <c r="R291" s="3">
        <f ca="1">VLOOKUP($A291&amp;$B291,data!$A:$U,5,FALSE)</f>
        <v>60</v>
      </c>
      <c r="S291" s="3">
        <f ca="1">VLOOKUP($A291&amp;$B291,data!$A:$U,6,FALSE)</f>
        <v>32</v>
      </c>
      <c r="T291" s="3">
        <f ca="1">VLOOKUP($A291&amp;$B291,data!$A:$U,7,FALSE)</f>
        <v>28</v>
      </c>
    </row>
    <row r="292" spans="1:20" ht="13" x14ac:dyDescent="0.15">
      <c r="A292" s="3" t="s">
        <v>21</v>
      </c>
      <c r="B292" s="3" t="s">
        <v>1073</v>
      </c>
      <c r="C292" s="10">
        <f t="shared" ca="1" si="0"/>
        <v>0.97619047619047616</v>
      </c>
      <c r="D292" s="5">
        <f ca="1">VLOOKUP($A292&amp;$B292,data!$A:$U,20,FALSE)</f>
        <v>44305.503194444398</v>
      </c>
      <c r="E292" s="3" t="str">
        <f ca="1">VLOOKUP($A292&amp;$B292,data!$A:$U,21,FALSE)</f>
        <v>Nil</v>
      </c>
      <c r="F292" s="3">
        <f ca="1">VLOOKUP($A292&amp;$B292,data!$A:$U,17,FALSE)</f>
        <v>1</v>
      </c>
      <c r="G292" s="3">
        <f ca="1">VLOOKUP($A292&amp;$B292,data!$A:$U,18,FALSE)</f>
        <v>0</v>
      </c>
      <c r="H292" s="3">
        <f ca="1">VLOOKUP($A292&amp;$B292,data!$A:$U,19,FALSE)</f>
        <v>1</v>
      </c>
      <c r="I292" s="3">
        <f ca="1">VLOOKUP($A292&amp;$B292,data!$A:$U,14,FALSE)</f>
        <v>4</v>
      </c>
      <c r="J292" s="3">
        <f ca="1">VLOOKUP($A292&amp;$B292,data!$A:$U,15,FALSE)</f>
        <v>0</v>
      </c>
      <c r="K292" s="3">
        <f ca="1">VLOOKUP($A292&amp;$B292,data!$A:$U,16,FALSE)</f>
        <v>4</v>
      </c>
      <c r="L292" s="3">
        <f ca="1">VLOOKUP($A292&amp;$B292,data!$A:$U,8,FALSE)</f>
        <v>36</v>
      </c>
      <c r="M292" s="3">
        <f ca="1">VLOOKUP($A292&amp;$B292,data!$A:$U,9,FALSE)</f>
        <v>1</v>
      </c>
      <c r="N292" s="3">
        <f ca="1">VLOOKUP($A292&amp;$B292,data!$A:$U,10,FALSE)</f>
        <v>35</v>
      </c>
      <c r="O292" s="3">
        <f ca="1">VLOOKUP($A292&amp;$B292,data!$A:$U,11,FALSE)</f>
        <v>4</v>
      </c>
      <c r="P292" s="3">
        <f ca="1">VLOOKUP($A292&amp;$B292,data!$A:$U,12,FALSE)</f>
        <v>0</v>
      </c>
      <c r="Q292" s="3">
        <f ca="1">VLOOKUP($A292&amp;$B292,data!$A:$U,13,FALSE)</f>
        <v>4</v>
      </c>
      <c r="R292" s="3">
        <f ca="1">VLOOKUP($A292&amp;$B292,data!$A:$U,5,FALSE)</f>
        <v>40</v>
      </c>
      <c r="S292" s="3">
        <f ca="1">VLOOKUP($A292&amp;$B292,data!$A:$U,6,FALSE)</f>
        <v>1</v>
      </c>
      <c r="T292" s="3">
        <f ca="1">VLOOKUP($A292&amp;$B292,data!$A:$U,7,FALSE)</f>
        <v>39</v>
      </c>
    </row>
    <row r="293" spans="1:20" ht="13" x14ac:dyDescent="0.15">
      <c r="A293" s="3" t="s">
        <v>21</v>
      </c>
      <c r="B293" s="3" t="s">
        <v>1082</v>
      </c>
      <c r="C293" s="10">
        <f t="shared" ca="1" si="0"/>
        <v>0.85</v>
      </c>
      <c r="D293" s="5">
        <f ca="1">VLOOKUP($A293&amp;$B293,data!$A:$U,20,FALSE)</f>
        <v>44305.502581018503</v>
      </c>
      <c r="E293" s="3" t="str">
        <f ca="1">VLOOKUP($A293&amp;$B293,data!$A:$U,21,FALSE)</f>
        <v>Nil</v>
      </c>
      <c r="F293" s="3">
        <f ca="1">VLOOKUP($A293&amp;$B293,data!$A:$U,17,FALSE)</f>
        <v>2</v>
      </c>
      <c r="G293" s="3">
        <f ca="1">VLOOKUP($A293&amp;$B293,data!$A:$U,18,FALSE)</f>
        <v>0</v>
      </c>
      <c r="H293" s="3">
        <f ca="1">VLOOKUP($A293&amp;$B293,data!$A:$U,19,FALSE)</f>
        <v>2</v>
      </c>
      <c r="I293" s="3">
        <f ca="1">VLOOKUP($A293&amp;$B293,data!$A:$U,14,FALSE)</f>
        <v>10</v>
      </c>
      <c r="J293" s="3">
        <f ca="1">VLOOKUP($A293&amp;$B293,data!$A:$U,15,FALSE)</f>
        <v>0</v>
      </c>
      <c r="K293" s="3">
        <f ca="1">VLOOKUP($A293&amp;$B293,data!$A:$U,16,FALSE)</f>
        <v>10</v>
      </c>
      <c r="L293" s="3">
        <f ca="1">VLOOKUP($A293&amp;$B293,data!$A:$U,8,FALSE)</f>
        <v>40</v>
      </c>
      <c r="M293" s="3">
        <f ca="1">VLOOKUP($A293&amp;$B293,data!$A:$U,9,FALSE)</f>
        <v>2</v>
      </c>
      <c r="N293" s="3">
        <f ca="1">VLOOKUP($A293&amp;$B293,data!$A:$U,10,FALSE)</f>
        <v>38</v>
      </c>
      <c r="O293" s="3">
        <f ca="1">VLOOKUP($A293&amp;$B293,data!$A:$U,11,FALSE)</f>
        <v>5</v>
      </c>
      <c r="P293" s="3">
        <f ca="1">VLOOKUP($A293&amp;$B293,data!$A:$U,12,FALSE)</f>
        <v>0</v>
      </c>
      <c r="Q293" s="3">
        <f ca="1">VLOOKUP($A293&amp;$B293,data!$A:$U,13,FALSE)</f>
        <v>5</v>
      </c>
      <c r="R293" s="3">
        <f ca="1">VLOOKUP($A293&amp;$B293,data!$A:$U,5,FALSE)</f>
        <v>45</v>
      </c>
      <c r="S293" s="3">
        <f ca="1">VLOOKUP($A293&amp;$B293,data!$A:$U,6,FALSE)</f>
        <v>13</v>
      </c>
      <c r="T293" s="3">
        <f ca="1">VLOOKUP($A293&amp;$B293,data!$A:$U,7,FALSE)</f>
        <v>32</v>
      </c>
    </row>
    <row r="294" spans="1:20" ht="13" x14ac:dyDescent="0.15">
      <c r="A294" s="3" t="s">
        <v>21</v>
      </c>
      <c r="B294" s="3" t="s">
        <v>773</v>
      </c>
      <c r="C294" s="10">
        <f t="shared" ca="1" si="0"/>
        <v>0.78378378378378377</v>
      </c>
      <c r="D294" s="5">
        <f ca="1">VLOOKUP($A294&amp;$B294,data!$A:$U,20,FALSE)</f>
        <v>44305.419050925899</v>
      </c>
      <c r="E294" s="3">
        <f ca="1">VLOOKUP($A294&amp;$B294,data!$A:$U,21,FALSE)</f>
        <v>0</v>
      </c>
      <c r="F294" s="3">
        <f ca="1">VLOOKUP($A294&amp;$B294,data!$A:$U,17,FALSE)</f>
        <v>2</v>
      </c>
      <c r="G294" s="3">
        <f ca="1">VLOOKUP($A294&amp;$B294,data!$A:$U,18,FALSE)</f>
        <v>0</v>
      </c>
      <c r="H294" s="3">
        <f ca="1">VLOOKUP($A294&amp;$B294,data!$A:$U,19,FALSE)</f>
        <v>2</v>
      </c>
      <c r="I294" s="3">
        <f ca="1">VLOOKUP($A294&amp;$B294,data!$A:$U,14,FALSE)</f>
        <v>2</v>
      </c>
      <c r="J294" s="3">
        <f ca="1">VLOOKUP($A294&amp;$B294,data!$A:$U,15,FALSE)</f>
        <v>0</v>
      </c>
      <c r="K294" s="3">
        <f ca="1">VLOOKUP($A294&amp;$B294,data!$A:$U,16,FALSE)</f>
        <v>2</v>
      </c>
      <c r="L294" s="3">
        <f ca="1">VLOOKUP($A294&amp;$B294,data!$A:$U,8,FALSE)</f>
        <v>15</v>
      </c>
      <c r="M294" s="3">
        <f ca="1">VLOOKUP($A294&amp;$B294,data!$A:$U,9,FALSE)</f>
        <v>6</v>
      </c>
      <c r="N294" s="3">
        <f ca="1">VLOOKUP($A294&amp;$B294,data!$A:$U,10,FALSE)</f>
        <v>9</v>
      </c>
      <c r="O294" s="3">
        <f ca="1">VLOOKUP($A294&amp;$B294,data!$A:$U,11,FALSE)</f>
        <v>20</v>
      </c>
      <c r="P294" s="3">
        <f ca="1">VLOOKUP($A294&amp;$B294,data!$A:$U,12,FALSE)</f>
        <v>0</v>
      </c>
      <c r="Q294" s="3">
        <f ca="1">VLOOKUP($A294&amp;$B294,data!$A:$U,13,FALSE)</f>
        <v>20</v>
      </c>
      <c r="R294" s="3">
        <f ca="1">VLOOKUP($A294&amp;$B294,data!$A:$U,5,FALSE)</f>
        <v>37</v>
      </c>
      <c r="S294" s="3">
        <f ca="1">VLOOKUP($A294&amp;$B294,data!$A:$U,6,FALSE)</f>
        <v>10</v>
      </c>
      <c r="T294" s="3">
        <f ca="1">VLOOKUP($A294&amp;$B294,data!$A:$U,7,FALSE)</f>
        <v>27</v>
      </c>
    </row>
    <row r="295" spans="1:20" ht="13" x14ac:dyDescent="0.15">
      <c r="A295" s="3" t="s">
        <v>21</v>
      </c>
      <c r="B295" s="3" t="s">
        <v>523</v>
      </c>
      <c r="C295" s="10">
        <f t="shared" ca="1" si="0"/>
        <v>0.65714285714285714</v>
      </c>
      <c r="D295" s="5">
        <f ca="1">VLOOKUP($A295&amp;$B295,data!$A:$U,20,FALSE)</f>
        <v>44305.4295949074</v>
      </c>
      <c r="E295" s="3" t="str">
        <f ca="1">VLOOKUP($A295&amp;$B295,data!$A:$U,21,FALSE)</f>
        <v>nil</v>
      </c>
      <c r="F295" s="3">
        <f ca="1">VLOOKUP($A295&amp;$B295,data!$A:$U,17,FALSE)</f>
        <v>1</v>
      </c>
      <c r="G295" s="3">
        <f ca="1">VLOOKUP($A295&amp;$B295,data!$A:$U,18,FALSE)</f>
        <v>0</v>
      </c>
      <c r="H295" s="3">
        <f ca="1">VLOOKUP($A295&amp;$B295,data!$A:$U,19,FALSE)</f>
        <v>1</v>
      </c>
      <c r="I295" s="3">
        <f ca="1">VLOOKUP($A295&amp;$B295,data!$A:$U,14,FALSE)</f>
        <v>10</v>
      </c>
      <c r="J295" s="3">
        <f ca="1">VLOOKUP($A295&amp;$B295,data!$A:$U,15,FALSE)</f>
        <v>1</v>
      </c>
      <c r="K295" s="3">
        <f ca="1">VLOOKUP($A295&amp;$B295,data!$A:$U,16,FALSE)</f>
        <v>7</v>
      </c>
      <c r="L295" s="3">
        <f ca="1">VLOOKUP($A295&amp;$B295,data!$A:$U,8,FALSE)</f>
        <v>5</v>
      </c>
      <c r="M295" s="3">
        <f ca="1">VLOOKUP($A295&amp;$B295,data!$A:$U,9,FALSE)</f>
        <v>0</v>
      </c>
      <c r="N295" s="3">
        <f ca="1">VLOOKUP($A295&amp;$B295,data!$A:$U,10,FALSE)</f>
        <v>17</v>
      </c>
      <c r="O295" s="3">
        <f ca="1">VLOOKUP($A295&amp;$B295,data!$A:$U,11,FALSE)</f>
        <v>5</v>
      </c>
      <c r="P295" s="3">
        <f ca="1">VLOOKUP($A295&amp;$B295,data!$A:$U,12,FALSE)</f>
        <v>4</v>
      </c>
      <c r="Q295" s="3">
        <f ca="1">VLOOKUP($A295&amp;$B295,data!$A:$U,13,FALSE)</f>
        <v>3</v>
      </c>
      <c r="R295" s="3">
        <f ca="1">VLOOKUP($A295&amp;$B295,data!$A:$U,5,FALSE)</f>
        <v>50</v>
      </c>
      <c r="S295" s="3">
        <f ca="1">VLOOKUP($A295&amp;$B295,data!$A:$U,6,FALSE)</f>
        <v>31</v>
      </c>
      <c r="T295" s="3">
        <f ca="1">VLOOKUP($A295&amp;$B295,data!$A:$U,7,FALSE)</f>
        <v>19</v>
      </c>
    </row>
    <row r="296" spans="1:20" ht="13" x14ac:dyDescent="0.15">
      <c r="A296" s="3" t="s">
        <v>21</v>
      </c>
      <c r="B296" s="3" t="s">
        <v>884</v>
      </c>
      <c r="C296" s="10">
        <f t="shared" ca="1" si="0"/>
        <v>0.65909090909090906</v>
      </c>
      <c r="D296" s="5">
        <f ca="1">VLOOKUP($A296&amp;$B296,data!$A:$U,20,FALSE)</f>
        <v>44305.433194444398</v>
      </c>
      <c r="E296" s="3">
        <f ca="1">VLOOKUP($A296&amp;$B296,data!$A:$U,21,FALSE)</f>
        <v>0</v>
      </c>
      <c r="F296" s="3">
        <f ca="1">VLOOKUP($A296&amp;$B296,data!$A:$U,17,FALSE)</f>
        <v>3</v>
      </c>
      <c r="G296" s="3">
        <f ca="1">VLOOKUP($A296&amp;$B296,data!$A:$U,18,FALSE)</f>
        <v>0</v>
      </c>
      <c r="H296" s="3">
        <f ca="1">VLOOKUP($A296&amp;$B296,data!$A:$U,19,FALSE)</f>
        <v>3</v>
      </c>
      <c r="I296" s="3">
        <f ca="1">VLOOKUP($A296&amp;$B296,data!$A:$U,14,FALSE)</f>
        <v>5</v>
      </c>
      <c r="J296" s="3">
        <f ca="1">VLOOKUP($A296&amp;$B296,data!$A:$U,15,FALSE)</f>
        <v>0</v>
      </c>
      <c r="K296" s="3">
        <f ca="1">VLOOKUP($A296&amp;$B296,data!$A:$U,16,FALSE)</f>
        <v>5</v>
      </c>
      <c r="L296" s="3">
        <f ca="1">VLOOKUP($A296&amp;$B296,data!$A:$U,8,FALSE)</f>
        <v>11</v>
      </c>
      <c r="M296" s="3">
        <f ca="1">VLOOKUP($A296&amp;$B296,data!$A:$U,9,FALSE)</f>
        <v>0</v>
      </c>
      <c r="N296" s="3">
        <f ca="1">VLOOKUP($A296&amp;$B296,data!$A:$U,10,FALSE)</f>
        <v>11</v>
      </c>
      <c r="O296" s="3">
        <f ca="1">VLOOKUP($A296&amp;$B296,data!$A:$U,11,FALSE)</f>
        <v>3</v>
      </c>
      <c r="P296" s="3">
        <f ca="1">VLOOKUP($A296&amp;$B296,data!$A:$U,12,FALSE)</f>
        <v>0</v>
      </c>
      <c r="Q296" s="3">
        <f ca="1">VLOOKUP($A296&amp;$B296,data!$A:$U,13,FALSE)</f>
        <v>0</v>
      </c>
      <c r="R296" s="3">
        <f ca="1">VLOOKUP($A296&amp;$B296,data!$A:$U,5,FALSE)</f>
        <v>25</v>
      </c>
      <c r="S296" s="3">
        <f ca="1">VLOOKUP($A296&amp;$B296,data!$A:$U,6,FALSE)</f>
        <v>12</v>
      </c>
      <c r="T296" s="3">
        <f ca="1">VLOOKUP($A296&amp;$B296,data!$A:$U,7,FALSE)</f>
        <v>13</v>
      </c>
    </row>
    <row r="297" spans="1:20" ht="13" x14ac:dyDescent="0.15">
      <c r="A297" s="3" t="s">
        <v>21</v>
      </c>
      <c r="B297" s="3" t="s">
        <v>1068</v>
      </c>
      <c r="C297" s="10">
        <f t="shared" ca="1" si="0"/>
        <v>0.59375</v>
      </c>
      <c r="D297" s="5">
        <f ca="1">VLOOKUP($A297&amp;$B297,data!$A:$U,20,FALSE)</f>
        <v>44305.7228703703</v>
      </c>
      <c r="E297" s="3" t="str">
        <f ca="1">VLOOKUP($A297&amp;$B297,data!$A:$U,21,FALSE)</f>
        <v>Nil</v>
      </c>
      <c r="F297" s="3">
        <f ca="1">VLOOKUP($A297&amp;$B297,data!$A:$U,17,FALSE)</f>
        <v>2</v>
      </c>
      <c r="G297" s="3">
        <f ca="1">VLOOKUP($A297&amp;$B297,data!$A:$U,18,FALSE)</f>
        <v>0</v>
      </c>
      <c r="H297" s="3">
        <f ca="1">VLOOKUP($A297&amp;$B297,data!$A:$U,19,FALSE)</f>
        <v>2</v>
      </c>
      <c r="I297" s="3">
        <f ca="1">VLOOKUP($A297&amp;$B297,data!$A:$U,14,FALSE)</f>
        <v>6</v>
      </c>
      <c r="J297" s="3">
        <f ca="1">VLOOKUP($A297&amp;$B297,data!$A:$U,15,FALSE)</f>
        <v>0</v>
      </c>
      <c r="K297" s="3">
        <f ca="1">VLOOKUP($A297&amp;$B297,data!$A:$U,16,FALSE)</f>
        <v>6</v>
      </c>
      <c r="L297" s="3">
        <f ca="1">VLOOKUP($A297&amp;$B297,data!$A:$U,8,FALSE)</f>
        <v>30</v>
      </c>
      <c r="M297" s="3">
        <f ca="1">VLOOKUP($A297&amp;$B297,data!$A:$U,9,FALSE)</f>
        <v>2</v>
      </c>
      <c r="N297" s="3">
        <f ca="1">VLOOKUP($A297&amp;$B297,data!$A:$U,10,FALSE)</f>
        <v>28</v>
      </c>
      <c r="O297" s="3">
        <f ca="1">VLOOKUP($A297&amp;$B297,data!$A:$U,11,FALSE)</f>
        <v>30</v>
      </c>
      <c r="P297" s="3">
        <f ca="1">VLOOKUP($A297&amp;$B297,data!$A:$U,12,FALSE)</f>
        <v>0</v>
      </c>
      <c r="Q297" s="3">
        <f ca="1">VLOOKUP($A297&amp;$B297,data!$A:$U,13,FALSE)</f>
        <v>0</v>
      </c>
      <c r="R297" s="3">
        <f ca="1">VLOOKUP($A297&amp;$B297,data!$A:$U,5,FALSE)</f>
        <v>30</v>
      </c>
      <c r="S297" s="3">
        <f ca="1">VLOOKUP($A297&amp;$B297,data!$A:$U,6,FALSE)</f>
        <v>7</v>
      </c>
      <c r="T297" s="3">
        <f ca="1">VLOOKUP($A297&amp;$B297,data!$A:$U,7,FALSE)</f>
        <v>23</v>
      </c>
    </row>
    <row r="298" spans="1:20" ht="13" x14ac:dyDescent="0.15">
      <c r="A298" s="3" t="s">
        <v>21</v>
      </c>
      <c r="B298" s="3" t="s">
        <v>875</v>
      </c>
      <c r="C298" s="10">
        <f t="shared" ca="1" si="0"/>
        <v>0.189873417721519</v>
      </c>
      <c r="D298" s="5">
        <f ca="1">VLOOKUP($A298&amp;$B298,data!$A:$U,20,FALSE)</f>
        <v>44305.452326388797</v>
      </c>
      <c r="E298" s="3">
        <f ca="1">VLOOKUP($A298&amp;$B298,data!$A:$U,21,FALSE)</f>
        <v>0</v>
      </c>
      <c r="F298" s="3">
        <f ca="1">VLOOKUP($A298&amp;$B298,data!$A:$U,17,FALSE)</f>
        <v>2</v>
      </c>
      <c r="G298" s="3">
        <f ca="1">VLOOKUP($A298&amp;$B298,data!$A:$U,18,FALSE)</f>
        <v>0</v>
      </c>
      <c r="H298" s="3">
        <f ca="1">VLOOKUP($A298&amp;$B298,data!$A:$U,19,FALSE)</f>
        <v>2</v>
      </c>
      <c r="I298" s="3">
        <f ca="1">VLOOKUP($A298&amp;$B298,data!$A:$U,14,FALSE)</f>
        <v>4</v>
      </c>
      <c r="J298" s="3">
        <f ca="1">VLOOKUP($A298&amp;$B298,data!$A:$U,15,FALSE)</f>
        <v>0</v>
      </c>
      <c r="K298" s="3">
        <f ca="1">VLOOKUP($A298&amp;$B298,data!$A:$U,16,FALSE)</f>
        <v>4</v>
      </c>
      <c r="L298" s="3">
        <f ca="1">VLOOKUP($A298&amp;$B298,data!$A:$U,8,FALSE)</f>
        <v>25</v>
      </c>
      <c r="M298" s="3">
        <f ca="1">VLOOKUP($A298&amp;$B298,data!$A:$U,9,FALSE)</f>
        <v>0</v>
      </c>
      <c r="N298" s="3">
        <f ca="1">VLOOKUP($A298&amp;$B298,data!$A:$U,10,FALSE)</f>
        <v>0</v>
      </c>
      <c r="O298" s="3">
        <f ca="1">VLOOKUP($A298&amp;$B298,data!$A:$U,11,FALSE)</f>
        <v>25</v>
      </c>
      <c r="P298" s="3">
        <f ca="1">VLOOKUP($A298&amp;$B298,data!$A:$U,12,FALSE)</f>
        <v>0</v>
      </c>
      <c r="Q298" s="3">
        <f ca="1">VLOOKUP($A298&amp;$B298,data!$A:$U,13,FALSE)</f>
        <v>0</v>
      </c>
      <c r="R298" s="3">
        <f ca="1">VLOOKUP($A298&amp;$B298,data!$A:$U,5,FALSE)</f>
        <v>25</v>
      </c>
      <c r="S298" s="3">
        <f ca="1">VLOOKUP($A298&amp;$B298,data!$A:$U,6,FALSE)</f>
        <v>14</v>
      </c>
      <c r="T298" s="3">
        <f ca="1">VLOOKUP($A298&amp;$B298,data!$A:$U,7,FALSE)</f>
        <v>11</v>
      </c>
    </row>
    <row r="299" spans="1:20" ht="13" x14ac:dyDescent="0.15">
      <c r="A299" s="3" t="s">
        <v>21</v>
      </c>
      <c r="B299" s="3" t="s">
        <v>692</v>
      </c>
      <c r="C299" s="10">
        <f t="shared" ca="1" si="0"/>
        <v>0.25</v>
      </c>
      <c r="D299" s="5">
        <f ca="1">VLOOKUP($A299&amp;$B299,data!$A:$U,20,FALSE)</f>
        <v>44305.552662037</v>
      </c>
      <c r="E299" s="3" t="str">
        <f ca="1">VLOOKUP($A299&amp;$B299,data!$A:$U,21,FALSE)</f>
        <v>19.04.2021</v>
      </c>
      <c r="F299" s="3">
        <f ca="1">VLOOKUP($A299&amp;$B299,data!$A:$U,17,FALSE)</f>
        <v>3</v>
      </c>
      <c r="G299" s="3">
        <f ca="1">VLOOKUP($A299&amp;$B299,data!$A:$U,18,FALSE)</f>
        <v>0</v>
      </c>
      <c r="H299" s="3">
        <f ca="1">VLOOKUP($A299&amp;$B299,data!$A:$U,19,FALSE)</f>
        <v>3</v>
      </c>
      <c r="I299" s="3">
        <f ca="1">VLOOKUP($A299&amp;$B299,data!$A:$U,14,FALSE)</f>
        <v>6</v>
      </c>
      <c r="J299" s="3">
        <f ca="1">VLOOKUP($A299&amp;$B299,data!$A:$U,15,FALSE)</f>
        <v>0</v>
      </c>
      <c r="K299" s="3">
        <f ca="1">VLOOKUP($A299&amp;$B299,data!$A:$U,16,FALSE)</f>
        <v>6</v>
      </c>
      <c r="L299" s="3">
        <f ca="1">VLOOKUP($A299&amp;$B299,data!$A:$U,8,FALSE)</f>
        <v>34</v>
      </c>
      <c r="M299" s="3">
        <f ca="1">VLOOKUP($A299&amp;$B299,data!$A:$U,9,FALSE)</f>
        <v>30</v>
      </c>
      <c r="N299" s="3">
        <f ca="1">VLOOKUP($A299&amp;$B299,data!$A:$U,10,FALSE)</f>
        <v>4</v>
      </c>
      <c r="O299" s="3">
        <f ca="1">VLOOKUP($A299&amp;$B299,data!$A:$U,11,FALSE)</f>
        <v>0</v>
      </c>
      <c r="P299" s="3">
        <f ca="1">VLOOKUP($A299&amp;$B299,data!$A:$U,12,FALSE)</f>
        <v>0</v>
      </c>
      <c r="Q299" s="3">
        <f ca="1">VLOOKUP($A299&amp;$B299,data!$A:$U,13,FALSE)</f>
        <v>0</v>
      </c>
      <c r="R299" s="3">
        <f ca="1">VLOOKUP($A299&amp;$B299,data!$A:$U,5,FALSE)</f>
        <v>40</v>
      </c>
      <c r="S299" s="3">
        <f ca="1">VLOOKUP($A299&amp;$B299,data!$A:$U,6,FALSE)</f>
        <v>30</v>
      </c>
      <c r="T299" s="3">
        <f ca="1">VLOOKUP($A299&amp;$B299,data!$A:$U,7,FALSE)</f>
        <v>10</v>
      </c>
    </row>
    <row r="300" spans="1:20" ht="13" x14ac:dyDescent="0.15">
      <c r="A300" s="3" t="s">
        <v>21</v>
      </c>
      <c r="B300" s="3" t="s">
        <v>529</v>
      </c>
      <c r="C300" s="10">
        <f t="shared" ca="1" si="0"/>
        <v>8.8888888888888892E-2</v>
      </c>
      <c r="D300" s="5">
        <f ca="1">VLOOKUP($A300&amp;$B300,data!$A:$U,20,FALSE)</f>
        <v>44305.428333333301</v>
      </c>
      <c r="E300" s="3" t="str">
        <f ca="1">VLOOKUP($A300&amp;$B300,data!$A:$U,21,FALSE)</f>
        <v>19-04-21</v>
      </c>
      <c r="F300" s="3">
        <f ca="1">VLOOKUP($A300&amp;$B300,data!$A:$U,17,FALSE)</f>
        <v>2</v>
      </c>
      <c r="G300" s="3">
        <f ca="1">VLOOKUP($A300&amp;$B300,data!$A:$U,18,FALSE)</f>
        <v>0</v>
      </c>
      <c r="H300" s="3">
        <f ca="1">VLOOKUP($A300&amp;$B300,data!$A:$U,19,FALSE)</f>
        <v>2</v>
      </c>
      <c r="I300" s="3">
        <f ca="1">VLOOKUP($A300&amp;$B300,data!$A:$U,14,FALSE)</f>
        <v>4</v>
      </c>
      <c r="J300" s="3">
        <f ca="1">VLOOKUP($A300&amp;$B300,data!$A:$U,15,FALSE)</f>
        <v>4</v>
      </c>
      <c r="K300" s="3">
        <f ca="1">VLOOKUP($A300&amp;$B300,data!$A:$U,16,FALSE)</f>
        <v>4</v>
      </c>
      <c r="L300" s="3">
        <f ca="1">VLOOKUP($A300&amp;$B300,data!$A:$U,8,FALSE)</f>
        <v>29</v>
      </c>
      <c r="M300" s="3">
        <f ca="1">VLOOKUP($A300&amp;$B300,data!$A:$U,9,FALSE)</f>
        <v>27</v>
      </c>
      <c r="N300" s="3">
        <f ca="1">VLOOKUP($A300&amp;$B300,data!$A:$U,10,FALSE)</f>
        <v>2</v>
      </c>
      <c r="O300" s="3">
        <f ca="1">VLOOKUP($A300&amp;$B300,data!$A:$U,11,FALSE)</f>
        <v>57</v>
      </c>
      <c r="P300" s="3">
        <f ca="1">VLOOKUP($A300&amp;$B300,data!$A:$U,12,FALSE)</f>
        <v>53</v>
      </c>
      <c r="Q300" s="3">
        <f ca="1">VLOOKUP($A300&amp;$B300,data!$A:$U,13,FALSE)</f>
        <v>4</v>
      </c>
      <c r="R300" s="3">
        <f ca="1">VLOOKUP($A300&amp;$B300,data!$A:$U,5,FALSE)</f>
        <v>90</v>
      </c>
      <c r="S300" s="3">
        <f ca="1">VLOOKUP($A300&amp;$B300,data!$A:$U,6,FALSE)</f>
        <v>84</v>
      </c>
      <c r="T300" s="3">
        <f ca="1">VLOOKUP($A300&amp;$B300,data!$A:$U,7,FALSE)</f>
        <v>6</v>
      </c>
    </row>
    <row r="301" spans="1:20" ht="13" x14ac:dyDescent="0.15">
      <c r="A301" s="3" t="s">
        <v>21</v>
      </c>
      <c r="B301" s="3" t="s">
        <v>498</v>
      </c>
      <c r="C301" s="10">
        <f t="shared" ca="1" si="0"/>
        <v>0.13043478260869565</v>
      </c>
      <c r="D301" s="5">
        <f ca="1">VLOOKUP($A301&amp;$B301,data!$A:$U,20,FALSE)</f>
        <v>44305.517974536997</v>
      </c>
      <c r="E301" s="3">
        <f ca="1">VLOOKUP($A301&amp;$B301,data!$A:$U,21,FALSE)</f>
        <v>0</v>
      </c>
      <c r="F301" s="3">
        <f ca="1">VLOOKUP($A301&amp;$B301,data!$A:$U,17,FALSE)</f>
        <v>2</v>
      </c>
      <c r="G301" s="3">
        <f ca="1">VLOOKUP($A301&amp;$B301,data!$A:$U,18,FALSE)</f>
        <v>0</v>
      </c>
      <c r="H301" s="3">
        <f ca="1">VLOOKUP($A301&amp;$B301,data!$A:$U,19,FALSE)</f>
        <v>2</v>
      </c>
      <c r="I301" s="3">
        <f ca="1">VLOOKUP($A301&amp;$B301,data!$A:$U,14,FALSE)</f>
        <v>8</v>
      </c>
      <c r="J301" s="3">
        <f ca="1">VLOOKUP($A301&amp;$B301,data!$A:$U,15,FALSE)</f>
        <v>8</v>
      </c>
      <c r="K301" s="3">
        <f ca="1">VLOOKUP($A301&amp;$B301,data!$A:$U,16,FALSE)</f>
        <v>0</v>
      </c>
      <c r="L301" s="3">
        <f ca="1">VLOOKUP($A301&amp;$B301,data!$A:$U,8,FALSE)</f>
        <v>43</v>
      </c>
      <c r="M301" s="3">
        <f ca="1">VLOOKUP($A301&amp;$B301,data!$A:$U,9,FALSE)</f>
        <v>43</v>
      </c>
      <c r="N301" s="3">
        <f ca="1">VLOOKUP($A301&amp;$B301,data!$A:$U,10,FALSE)</f>
        <v>0</v>
      </c>
      <c r="O301" s="3">
        <f ca="1">VLOOKUP($A301&amp;$B301,data!$A:$U,11,FALSE)</f>
        <v>64</v>
      </c>
      <c r="P301" s="3">
        <f ca="1">VLOOKUP($A301&amp;$B301,data!$A:$U,12,FALSE)</f>
        <v>0</v>
      </c>
      <c r="Q301" s="3">
        <f ca="1">VLOOKUP($A301&amp;$B301,data!$A:$U,13,FALSE)</f>
        <v>15</v>
      </c>
      <c r="R301" s="3">
        <f ca="1">VLOOKUP($A301&amp;$B301,data!$A:$U,5,FALSE)</f>
        <v>115</v>
      </c>
      <c r="S301" s="3">
        <f ca="1">VLOOKUP($A301&amp;$B301,data!$A:$U,6,FALSE)</f>
        <v>100</v>
      </c>
      <c r="T301" s="3">
        <f ca="1">VLOOKUP($A301&amp;$B301,data!$A:$U,7,FALSE)</f>
        <v>15</v>
      </c>
    </row>
    <row r="302" spans="1:20" ht="13" x14ac:dyDescent="0.15">
      <c r="A302" s="3" t="s">
        <v>21</v>
      </c>
      <c r="B302" s="3" t="s">
        <v>883</v>
      </c>
      <c r="C302" s="10">
        <f t="shared" ca="1" si="0"/>
        <v>1</v>
      </c>
      <c r="D302" s="5">
        <f ca="1">VLOOKUP($A302&amp;$B302,data!$A:$U,20,FALSE)</f>
        <v>44305.503587962899</v>
      </c>
      <c r="E302" s="3" t="str">
        <f ca="1">VLOOKUP($A302&amp;$B302,data!$A:$U,21,FALSE)</f>
        <v>Nil</v>
      </c>
      <c r="F302" s="3">
        <f ca="1">VLOOKUP($A302&amp;$B302,data!$A:$U,17,FALSE)</f>
        <v>0</v>
      </c>
      <c r="G302" s="3">
        <f ca="1">VLOOKUP($A302&amp;$B302,data!$A:$U,18,FALSE)</f>
        <v>0</v>
      </c>
      <c r="H302" s="3">
        <f ca="1">VLOOKUP($A302&amp;$B302,data!$A:$U,19,FALSE)</f>
        <v>0</v>
      </c>
      <c r="I302" s="3">
        <f ca="1">VLOOKUP($A302&amp;$B302,data!$A:$U,14,FALSE)</f>
        <v>1</v>
      </c>
      <c r="J302" s="3">
        <f ca="1">VLOOKUP($A302&amp;$B302,data!$A:$U,15,FALSE)</f>
        <v>0</v>
      </c>
      <c r="K302" s="3">
        <f ca="1">VLOOKUP($A302&amp;$B302,data!$A:$U,16,FALSE)</f>
        <v>1</v>
      </c>
      <c r="L302" s="3">
        <f ca="1">VLOOKUP($A302&amp;$B302,data!$A:$U,8,FALSE)</f>
        <v>4</v>
      </c>
      <c r="M302" s="3">
        <f ca="1">VLOOKUP($A302&amp;$B302,data!$A:$U,9,FALSE)</f>
        <v>0</v>
      </c>
      <c r="N302" s="3">
        <f ca="1">VLOOKUP($A302&amp;$B302,data!$A:$U,10,FALSE)</f>
        <v>4</v>
      </c>
      <c r="O302" s="3">
        <f ca="1">VLOOKUP($A302&amp;$B302,data!$A:$U,11,FALSE)</f>
        <v>5</v>
      </c>
      <c r="P302" s="3">
        <f ca="1">VLOOKUP($A302&amp;$B302,data!$A:$U,12,FALSE)</f>
        <v>0</v>
      </c>
      <c r="Q302" s="3">
        <f ca="1">VLOOKUP($A302&amp;$B302,data!$A:$U,13,FALSE)</f>
        <v>5</v>
      </c>
      <c r="R302" s="3">
        <f ca="1">VLOOKUP($A302&amp;$B302,data!$A:$U,5,FALSE)</f>
        <v>10</v>
      </c>
      <c r="S302" s="3">
        <f ca="1">VLOOKUP($A302&amp;$B302,data!$A:$U,6,FALSE)</f>
        <v>0</v>
      </c>
      <c r="T302" s="3">
        <f ca="1">VLOOKUP($A302&amp;$B302,data!$A:$U,7,FALSE)</f>
        <v>10</v>
      </c>
    </row>
    <row r="303" spans="1:20" ht="13" x14ac:dyDescent="0.15">
      <c r="A303" s="3" t="s">
        <v>21</v>
      </c>
      <c r="B303" s="3" t="s">
        <v>992</v>
      </c>
      <c r="C303" s="10">
        <f t="shared" ca="1" si="0"/>
        <v>0.26666666666666666</v>
      </c>
      <c r="D303" s="5">
        <f ca="1">VLOOKUP($A303&amp;$B303,data!$A:$U,20,FALSE)</f>
        <v>44305.3478703703</v>
      </c>
      <c r="E303" s="3">
        <f ca="1">VLOOKUP($A303&amp;$B303,data!$A:$U,21,FALSE)</f>
        <v>0</v>
      </c>
      <c r="F303" s="3">
        <f ca="1">VLOOKUP($A303&amp;$B303,data!$A:$U,17,FALSE)</f>
        <v>8</v>
      </c>
      <c r="G303" s="3">
        <f ca="1">VLOOKUP($A303&amp;$B303,data!$A:$U,18,FALSE)</f>
        <v>0</v>
      </c>
      <c r="H303" s="3">
        <f ca="1">VLOOKUP($A303&amp;$B303,data!$A:$U,19,FALSE)</f>
        <v>8</v>
      </c>
      <c r="I303" s="3">
        <f ca="1">VLOOKUP($A303&amp;$B303,data!$A:$U,14,FALSE)</f>
        <v>10</v>
      </c>
      <c r="J303" s="3">
        <f ca="1">VLOOKUP($A303&amp;$B303,data!$A:$U,15,FALSE)</f>
        <v>0</v>
      </c>
      <c r="K303" s="3">
        <f ca="1">VLOOKUP($A303&amp;$B303,data!$A:$U,16,FALSE)</f>
        <v>0</v>
      </c>
      <c r="L303" s="3">
        <f ca="1">VLOOKUP($A303&amp;$B303,data!$A:$U,8,FALSE)</f>
        <v>7</v>
      </c>
      <c r="M303" s="3">
        <f ca="1">VLOOKUP($A303&amp;$B303,data!$A:$U,9,FALSE)</f>
        <v>0</v>
      </c>
      <c r="N303" s="3">
        <f ca="1">VLOOKUP($A303&amp;$B303,data!$A:$U,10,FALSE)</f>
        <v>7</v>
      </c>
      <c r="O303" s="3">
        <f ca="1">VLOOKUP($A303&amp;$B303,data!$A:$U,11,FALSE)</f>
        <v>18</v>
      </c>
      <c r="P303" s="3">
        <f ca="1">VLOOKUP($A303&amp;$B303,data!$A:$U,12,FALSE)</f>
        <v>17</v>
      </c>
      <c r="Q303" s="3">
        <f ca="1">VLOOKUP($A303&amp;$B303,data!$A:$U,13,FALSE)</f>
        <v>1</v>
      </c>
      <c r="R303" s="3">
        <f ca="1">VLOOKUP($A303&amp;$B303,data!$A:$U,5,FALSE)</f>
        <v>25</v>
      </c>
      <c r="S303" s="3">
        <f ca="1">VLOOKUP($A303&amp;$B303,data!$A:$U,6,FALSE)</f>
        <v>17</v>
      </c>
      <c r="T303" s="3">
        <f ca="1">VLOOKUP($A303&amp;$B303,data!$A:$U,7,FALSE)</f>
        <v>8</v>
      </c>
    </row>
    <row r="304" spans="1:20" ht="13" x14ac:dyDescent="0.15">
      <c r="A304" s="3" t="s">
        <v>21</v>
      </c>
      <c r="B304" s="3" t="s">
        <v>878</v>
      </c>
      <c r="C304" s="10">
        <f t="shared" ca="1" si="0"/>
        <v>0.5</v>
      </c>
      <c r="D304" s="5">
        <f ca="1">VLOOKUP($A304&amp;$B304,data!$A:$U,20,FALSE)</f>
        <v>44305.414652777697</v>
      </c>
      <c r="E304" s="3">
        <f ca="1">VLOOKUP($A304&amp;$B304,data!$A:$U,21,FALSE)</f>
        <v>0</v>
      </c>
      <c r="F304" s="3">
        <f ca="1">VLOOKUP($A304&amp;$B304,data!$A:$U,17,FALSE)</f>
        <v>1</v>
      </c>
      <c r="G304" s="3">
        <f ca="1">VLOOKUP($A304&amp;$B304,data!$A:$U,18,FALSE)</f>
        <v>0</v>
      </c>
      <c r="H304" s="3">
        <f ca="1">VLOOKUP($A304&amp;$B304,data!$A:$U,19,FALSE)</f>
        <v>1</v>
      </c>
      <c r="I304" s="3">
        <f ca="1">VLOOKUP($A304&amp;$B304,data!$A:$U,14,FALSE)</f>
        <v>0</v>
      </c>
      <c r="J304" s="3">
        <f ca="1">VLOOKUP($A304&amp;$B304,data!$A:$U,15,FALSE)</f>
        <v>0</v>
      </c>
      <c r="K304" s="3">
        <f ca="1">VLOOKUP($A304&amp;$B304,data!$A:$U,16,FALSE)</f>
        <v>0</v>
      </c>
      <c r="L304" s="3">
        <f ca="1">VLOOKUP($A304&amp;$B304,data!$A:$U,8,FALSE)</f>
        <v>4</v>
      </c>
      <c r="M304" s="3">
        <f ca="1">VLOOKUP($A304&amp;$B304,data!$A:$U,9,FALSE)</f>
        <v>0</v>
      </c>
      <c r="N304" s="3">
        <f ca="1">VLOOKUP($A304&amp;$B304,data!$A:$U,10,FALSE)</f>
        <v>4</v>
      </c>
      <c r="O304" s="3">
        <f ca="1">VLOOKUP($A304&amp;$B304,data!$A:$U,11,FALSE)</f>
        <v>10</v>
      </c>
      <c r="P304" s="3">
        <f ca="1">VLOOKUP($A304&amp;$B304,data!$A:$U,12,FALSE)</f>
        <v>0</v>
      </c>
      <c r="Q304" s="3">
        <f ca="1">VLOOKUP($A304&amp;$B304,data!$A:$U,13,FALSE)</f>
        <v>3</v>
      </c>
      <c r="R304" s="3">
        <f ca="1">VLOOKUP($A304&amp;$B304,data!$A:$U,5,FALSE)</f>
        <v>14</v>
      </c>
      <c r="S304" s="3">
        <f ca="1">VLOOKUP($A304&amp;$B304,data!$A:$U,6,FALSE)</f>
        <v>7</v>
      </c>
      <c r="T304" s="3">
        <f ca="1">VLOOKUP($A304&amp;$B304,data!$A:$U,7,FALSE)</f>
        <v>7</v>
      </c>
    </row>
    <row r="305" spans="1:20" ht="13" x14ac:dyDescent="0.15">
      <c r="A305" s="3" t="s">
        <v>21</v>
      </c>
      <c r="B305" s="3" t="s">
        <v>1181</v>
      </c>
      <c r="C305" s="10">
        <f t="shared" ca="1" si="0"/>
        <v>0.88888888888888884</v>
      </c>
      <c r="D305" s="5">
        <f ca="1">VLOOKUP($A305&amp;$B305,data!$A:$U,20,FALSE)</f>
        <v>44305.4745833333</v>
      </c>
      <c r="E305" s="3" t="str">
        <f ca="1">VLOOKUP($A305&amp;$B305,data!$A:$U,21,FALSE)</f>
        <v>Here with Updating our Hospital bed details</v>
      </c>
      <c r="F305" s="3">
        <f ca="1">VLOOKUP($A305&amp;$B305,data!$A:$U,17,FALSE)</f>
        <v>2</v>
      </c>
      <c r="G305" s="3">
        <f ca="1">VLOOKUP($A305&amp;$B305,data!$A:$U,18,FALSE)</f>
        <v>0</v>
      </c>
      <c r="H305" s="3">
        <f ca="1">VLOOKUP($A305&amp;$B305,data!$A:$U,19,FALSE)</f>
        <v>2</v>
      </c>
      <c r="I305" s="3">
        <f ca="1">VLOOKUP($A305&amp;$B305,data!$A:$U,14,FALSE)</f>
        <v>2</v>
      </c>
      <c r="J305" s="3">
        <f ca="1">VLOOKUP($A305&amp;$B305,data!$A:$U,15,FALSE)</f>
        <v>0</v>
      </c>
      <c r="K305" s="3">
        <f ca="1">VLOOKUP($A305&amp;$B305,data!$A:$U,16,FALSE)</f>
        <v>2</v>
      </c>
      <c r="L305" s="3">
        <f ca="1">VLOOKUP($A305&amp;$B305,data!$A:$U,8,FALSE)</f>
        <v>10</v>
      </c>
      <c r="M305" s="3">
        <f ca="1">VLOOKUP($A305&amp;$B305,data!$A:$U,9,FALSE)</f>
        <v>0</v>
      </c>
      <c r="N305" s="3">
        <f ca="1">VLOOKUP($A305&amp;$B305,data!$A:$U,10,FALSE)</f>
        <v>10</v>
      </c>
      <c r="O305" s="3">
        <f ca="1">VLOOKUP($A305&amp;$B305,data!$A:$U,11,FALSE)</f>
        <v>3</v>
      </c>
      <c r="P305" s="3">
        <f ca="1">VLOOKUP($A305&amp;$B305,data!$A:$U,12,FALSE)</f>
        <v>0</v>
      </c>
      <c r="Q305" s="3">
        <f ca="1">VLOOKUP($A305&amp;$B305,data!$A:$U,13,FALSE)</f>
        <v>3</v>
      </c>
      <c r="R305" s="3">
        <f ca="1">VLOOKUP($A305&amp;$B305,data!$A:$U,5,FALSE)</f>
        <v>12</v>
      </c>
      <c r="S305" s="3">
        <f ca="1">VLOOKUP($A305&amp;$B305,data!$A:$U,6,FALSE)</f>
        <v>3</v>
      </c>
      <c r="T305" s="3">
        <f ca="1">VLOOKUP($A305&amp;$B305,data!$A:$U,7,FALSE)</f>
        <v>9</v>
      </c>
    </row>
    <row r="306" spans="1:20" ht="13" x14ac:dyDescent="0.15">
      <c r="A306" s="3" t="s">
        <v>21</v>
      </c>
      <c r="B306" s="3" t="s">
        <v>503</v>
      </c>
      <c r="C306" s="10">
        <f t="shared" ca="1" si="0"/>
        <v>0</v>
      </c>
      <c r="D306" s="5">
        <f ca="1">VLOOKUP($A306&amp;$B306,data!$A:$U,20,FALSE)</f>
        <v>44305.527592592502</v>
      </c>
      <c r="E306" s="3" t="str">
        <f ca="1">VLOOKUP($A306&amp;$B306,data!$A:$U,21,FALSE)</f>
        <v>Nil</v>
      </c>
      <c r="F306" s="3">
        <f ca="1">VLOOKUP($A306&amp;$B306,data!$A:$U,17,FALSE)</f>
        <v>5</v>
      </c>
      <c r="G306" s="3">
        <f ca="1">VLOOKUP($A306&amp;$B306,data!$A:$U,18,FALSE)</f>
        <v>4</v>
      </c>
      <c r="H306" s="3">
        <f ca="1">VLOOKUP($A306&amp;$B306,data!$A:$U,19,FALSE)</f>
        <v>1</v>
      </c>
      <c r="I306" s="3">
        <f ca="1">VLOOKUP($A306&amp;$B306,data!$A:$U,14,FALSE)</f>
        <v>7</v>
      </c>
      <c r="J306" s="3">
        <f ca="1">VLOOKUP($A306&amp;$B306,data!$A:$U,15,FALSE)</f>
        <v>7</v>
      </c>
      <c r="K306" s="3">
        <f ca="1">VLOOKUP($A306&amp;$B306,data!$A:$U,16,FALSE)</f>
        <v>0</v>
      </c>
      <c r="L306" s="3">
        <f ca="1">VLOOKUP($A306&amp;$B306,data!$A:$U,8,FALSE)</f>
        <v>33</v>
      </c>
      <c r="M306" s="3">
        <f ca="1">VLOOKUP($A306&amp;$B306,data!$A:$U,9,FALSE)</f>
        <v>33</v>
      </c>
      <c r="N306" s="3">
        <f ca="1">VLOOKUP($A306&amp;$B306,data!$A:$U,10,FALSE)</f>
        <v>0</v>
      </c>
      <c r="O306" s="3">
        <f ca="1">VLOOKUP($A306&amp;$B306,data!$A:$U,11,FALSE)</f>
        <v>0</v>
      </c>
      <c r="P306" s="3">
        <f ca="1">VLOOKUP($A306&amp;$B306,data!$A:$U,12,FALSE)</f>
        <v>0</v>
      </c>
      <c r="Q306" s="3">
        <f ca="1">VLOOKUP($A306&amp;$B306,data!$A:$U,13,FALSE)</f>
        <v>0</v>
      </c>
      <c r="R306" s="3">
        <f ca="1">VLOOKUP($A306&amp;$B306,data!$A:$U,5,FALSE)</f>
        <v>40</v>
      </c>
      <c r="S306" s="3">
        <f ca="1">VLOOKUP($A306&amp;$B306,data!$A:$U,6,FALSE)</f>
        <v>40</v>
      </c>
      <c r="T306" s="3">
        <f ca="1">VLOOKUP($A306&amp;$B306,data!$A:$U,7,FALSE)</f>
        <v>0</v>
      </c>
    </row>
    <row r="307" spans="1:20" ht="13" x14ac:dyDescent="0.15">
      <c r="A307" s="3" t="s">
        <v>21</v>
      </c>
      <c r="B307" s="3" t="s">
        <v>528</v>
      </c>
      <c r="C307" s="10">
        <f t="shared" ca="1" si="0"/>
        <v>0.32467532467532467</v>
      </c>
      <c r="D307" s="5">
        <f ca="1">VLOOKUP($A307&amp;$B307,data!$A:$U,20,FALSE)</f>
        <v>44304.429884259203</v>
      </c>
      <c r="E307" s="3">
        <f ca="1">VLOOKUP($A307&amp;$B307,data!$A:$U,21,FALSE)</f>
        <v>0</v>
      </c>
      <c r="F307" s="3">
        <f ca="1">VLOOKUP($A307&amp;$B307,data!$A:$U,17,FALSE)</f>
        <v>0</v>
      </c>
      <c r="G307" s="3">
        <f ca="1">VLOOKUP($A307&amp;$B307,data!$A:$U,18,FALSE)</f>
        <v>0</v>
      </c>
      <c r="H307" s="3">
        <f ca="1">VLOOKUP($A307&amp;$B307,data!$A:$U,19,FALSE)</f>
        <v>0</v>
      </c>
      <c r="I307" s="3">
        <f ca="1">VLOOKUP($A307&amp;$B307,data!$A:$U,14,FALSE)</f>
        <v>0</v>
      </c>
      <c r="J307" s="3">
        <f ca="1">VLOOKUP($A307&amp;$B307,data!$A:$U,15,FALSE)</f>
        <v>0</v>
      </c>
      <c r="K307" s="3">
        <f ca="1">VLOOKUP($A307&amp;$B307,data!$A:$U,16,FALSE)</f>
        <v>0</v>
      </c>
      <c r="L307" s="3">
        <f ca="1">VLOOKUP($A307&amp;$B307,data!$A:$U,8,FALSE)</f>
        <v>32</v>
      </c>
      <c r="M307" s="3">
        <f ca="1">VLOOKUP($A307&amp;$B307,data!$A:$U,9,FALSE)</f>
        <v>8</v>
      </c>
      <c r="N307" s="3">
        <f ca="1">VLOOKUP($A307&amp;$B307,data!$A:$U,10,FALSE)</f>
        <v>22</v>
      </c>
      <c r="O307" s="3">
        <f ca="1">VLOOKUP($A307&amp;$B307,data!$A:$U,11,FALSE)</f>
        <v>0</v>
      </c>
      <c r="P307" s="3">
        <f ca="1">VLOOKUP($A307&amp;$B307,data!$A:$U,12,FALSE)</f>
        <v>0</v>
      </c>
      <c r="Q307" s="3">
        <f ca="1">VLOOKUP($A307&amp;$B307,data!$A:$U,13,FALSE)</f>
        <v>0</v>
      </c>
      <c r="R307" s="3">
        <f ca="1">VLOOKUP($A307&amp;$B307,data!$A:$U,5,FALSE)</f>
        <v>45</v>
      </c>
      <c r="S307" s="3">
        <f ca="1">VLOOKUP($A307&amp;$B307,data!$A:$U,6,FALSE)</f>
        <v>38</v>
      </c>
      <c r="T307" s="3">
        <f ca="1">VLOOKUP($A307&amp;$B307,data!$A:$U,7,FALSE)</f>
        <v>3</v>
      </c>
    </row>
    <row r="308" spans="1:20" ht="13" x14ac:dyDescent="0.15">
      <c r="A308" s="3" t="s">
        <v>21</v>
      </c>
      <c r="B308" s="3" t="s">
        <v>513</v>
      </c>
      <c r="C308" s="10">
        <f t="shared" ca="1" si="0"/>
        <v>6.25E-2</v>
      </c>
      <c r="D308" s="5">
        <f ca="1">VLOOKUP($A308&amp;$B308,data!$A:$U,20,FALSE)</f>
        <v>44305.403981481402</v>
      </c>
      <c r="E308" s="3">
        <f ca="1">VLOOKUP($A308&amp;$B308,data!$A:$U,21,FALSE)</f>
        <v>0</v>
      </c>
      <c r="F308" s="3">
        <f ca="1">VLOOKUP($A308&amp;$B308,data!$A:$U,17,FALSE)</f>
        <v>2</v>
      </c>
      <c r="G308" s="3">
        <f ca="1">VLOOKUP($A308&amp;$B308,data!$A:$U,18,FALSE)</f>
        <v>0</v>
      </c>
      <c r="H308" s="3">
        <f ca="1">VLOOKUP($A308&amp;$B308,data!$A:$U,19,FALSE)</f>
        <v>2</v>
      </c>
      <c r="I308" s="3">
        <f ca="1">VLOOKUP($A308&amp;$B308,data!$A:$U,14,FALSE)</f>
        <v>3</v>
      </c>
      <c r="J308" s="3">
        <f ca="1">VLOOKUP($A308&amp;$B308,data!$A:$U,15,FALSE)</f>
        <v>2</v>
      </c>
      <c r="K308" s="3">
        <f ca="1">VLOOKUP($A308&amp;$B308,data!$A:$U,16,FALSE)</f>
        <v>1</v>
      </c>
      <c r="L308" s="3">
        <f ca="1">VLOOKUP($A308&amp;$B308,data!$A:$U,8,FALSE)</f>
        <v>19</v>
      </c>
      <c r="M308" s="3">
        <f ca="1">VLOOKUP($A308&amp;$B308,data!$A:$U,9,FALSE)</f>
        <v>18</v>
      </c>
      <c r="N308" s="3">
        <f ca="1">VLOOKUP($A308&amp;$B308,data!$A:$U,10,FALSE)</f>
        <v>1</v>
      </c>
      <c r="O308" s="3">
        <f ca="1">VLOOKUP($A308&amp;$B308,data!$A:$U,11,FALSE)</f>
        <v>11</v>
      </c>
      <c r="P308" s="3">
        <f ca="1">VLOOKUP($A308&amp;$B308,data!$A:$U,12,FALSE)</f>
        <v>11</v>
      </c>
      <c r="Q308" s="3">
        <f ca="1">VLOOKUP($A308&amp;$B308,data!$A:$U,13,FALSE)</f>
        <v>0</v>
      </c>
      <c r="R308" s="3">
        <f ca="1">VLOOKUP($A308&amp;$B308,data!$A:$U,5,FALSE)</f>
        <v>31</v>
      </c>
      <c r="S308" s="3">
        <f ca="1">VLOOKUP($A308&amp;$B308,data!$A:$U,6,FALSE)</f>
        <v>29</v>
      </c>
      <c r="T308" s="3">
        <f ca="1">VLOOKUP($A308&amp;$B308,data!$A:$U,7,FALSE)</f>
        <v>2</v>
      </c>
    </row>
    <row r="309" spans="1:20" ht="13" x14ac:dyDescent="0.15">
      <c r="A309" s="3" t="s">
        <v>21</v>
      </c>
      <c r="B309" s="3" t="s">
        <v>1143</v>
      </c>
      <c r="C309" s="10">
        <f t="shared" ca="1" si="0"/>
        <v>0</v>
      </c>
      <c r="D309" s="5">
        <f ca="1">VLOOKUP($A309&amp;$B309,data!$A:$U,20,FALSE)</f>
        <v>44305.502858796201</v>
      </c>
      <c r="E309" s="3" t="str">
        <f ca="1">VLOOKUP($A309&amp;$B309,data!$A:$U,21,FALSE)</f>
        <v>Nil.</v>
      </c>
      <c r="F309" s="3">
        <f ca="1">VLOOKUP($A309&amp;$B309,data!$A:$U,17,FALSE)</f>
        <v>0</v>
      </c>
      <c r="G309" s="3">
        <f ca="1">VLOOKUP($A309&amp;$B309,data!$A:$U,18,FALSE)</f>
        <v>0</v>
      </c>
      <c r="H309" s="3">
        <f ca="1">VLOOKUP($A309&amp;$B309,data!$A:$U,19,FALSE)</f>
        <v>0</v>
      </c>
      <c r="I309" s="3">
        <f ca="1">VLOOKUP($A309&amp;$B309,data!$A:$U,14,FALSE)</f>
        <v>0</v>
      </c>
      <c r="J309" s="3">
        <f ca="1">VLOOKUP($A309&amp;$B309,data!$A:$U,15,FALSE)</f>
        <v>0</v>
      </c>
      <c r="K309" s="3">
        <f ca="1">VLOOKUP($A309&amp;$B309,data!$A:$U,16,FALSE)</f>
        <v>0</v>
      </c>
      <c r="L309" s="3">
        <f ca="1">VLOOKUP($A309&amp;$B309,data!$A:$U,8,FALSE)</f>
        <v>0</v>
      </c>
      <c r="M309" s="3">
        <f ca="1">VLOOKUP($A309&amp;$B309,data!$A:$U,9,FALSE)</f>
        <v>0</v>
      </c>
      <c r="N309" s="3">
        <f ca="1">VLOOKUP($A309&amp;$B309,data!$A:$U,10,FALSE)</f>
        <v>0</v>
      </c>
      <c r="O309" s="3">
        <f ca="1">VLOOKUP($A309&amp;$B309,data!$A:$U,11,FALSE)</f>
        <v>0</v>
      </c>
      <c r="P309" s="3">
        <f ca="1">VLOOKUP($A309&amp;$B309,data!$A:$U,12,FALSE)</f>
        <v>0</v>
      </c>
      <c r="Q309" s="3">
        <f ca="1">VLOOKUP($A309&amp;$B309,data!$A:$U,13,FALSE)</f>
        <v>0</v>
      </c>
      <c r="R309" s="3">
        <f ca="1">VLOOKUP($A309&amp;$B309,data!$A:$U,5,FALSE)</f>
        <v>6</v>
      </c>
      <c r="S309" s="3">
        <f ca="1">VLOOKUP($A309&amp;$B309,data!$A:$U,6,FALSE)</f>
        <v>3</v>
      </c>
      <c r="T309" s="3">
        <f ca="1">VLOOKUP($A309&amp;$B309,data!$A:$U,7,FALSE)</f>
        <v>0</v>
      </c>
    </row>
    <row r="310" spans="1:20" ht="13" x14ac:dyDescent="0.15">
      <c r="A310" s="3" t="s">
        <v>22</v>
      </c>
      <c r="B310" s="3" t="s">
        <v>799</v>
      </c>
      <c r="C310" s="10">
        <f t="shared" ca="1" si="0"/>
        <v>0.96363636363636362</v>
      </c>
      <c r="D310" s="5">
        <f ca="1">VLOOKUP($A310&amp;$B310,data!$A:$U,20,FALSE)</f>
        <v>44305.417488425897</v>
      </c>
      <c r="E310" s="3" t="str">
        <f ca="1">VLOOKUP($A310&amp;$B310,data!$A:$U,21,FALSE)</f>
        <v>Updated</v>
      </c>
      <c r="F310" s="3">
        <f ca="1">VLOOKUP($A310&amp;$B310,data!$A:$U,17,FALSE)</f>
        <v>1</v>
      </c>
      <c r="G310" s="3">
        <f ca="1">VLOOKUP($A310&amp;$B310,data!$A:$U,18,FALSE)</f>
        <v>0</v>
      </c>
      <c r="H310" s="3">
        <f ca="1">VLOOKUP($A310&amp;$B310,data!$A:$U,19,FALSE)</f>
        <v>1</v>
      </c>
      <c r="I310" s="3">
        <f ca="1">VLOOKUP($A310&amp;$B310,data!$A:$U,14,FALSE)</f>
        <v>10</v>
      </c>
      <c r="J310" s="3">
        <f ca="1">VLOOKUP($A310&amp;$B310,data!$A:$U,15,FALSE)</f>
        <v>0</v>
      </c>
      <c r="K310" s="3">
        <f ca="1">VLOOKUP($A310&amp;$B310,data!$A:$U,16,FALSE)</f>
        <v>10</v>
      </c>
      <c r="L310" s="3">
        <f ca="1">VLOOKUP($A310&amp;$B310,data!$A:$U,8,FALSE)</f>
        <v>10</v>
      </c>
      <c r="M310" s="3">
        <f ca="1">VLOOKUP($A310&amp;$B310,data!$A:$U,9,FALSE)</f>
        <v>1</v>
      </c>
      <c r="N310" s="3">
        <f ca="1">VLOOKUP($A310&amp;$B310,data!$A:$U,10,FALSE)</f>
        <v>9</v>
      </c>
      <c r="O310" s="3">
        <f ca="1">VLOOKUP($A310&amp;$B310,data!$A:$U,11,FALSE)</f>
        <v>40</v>
      </c>
      <c r="P310" s="3">
        <f ca="1">VLOOKUP($A310&amp;$B310,data!$A:$U,12,FALSE)</f>
        <v>1</v>
      </c>
      <c r="Q310" s="3">
        <f ca="1">VLOOKUP($A310&amp;$B310,data!$A:$U,13,FALSE)</f>
        <v>39</v>
      </c>
      <c r="R310" s="3">
        <f ca="1">VLOOKUP($A310&amp;$B310,data!$A:$U,5,FALSE)</f>
        <v>50</v>
      </c>
      <c r="S310" s="3">
        <f ca="1">VLOOKUP($A310&amp;$B310,data!$A:$U,6,FALSE)</f>
        <v>2</v>
      </c>
      <c r="T310" s="3">
        <f ca="1">VLOOKUP($A310&amp;$B310,data!$A:$U,7,FALSE)</f>
        <v>48</v>
      </c>
    </row>
    <row r="311" spans="1:20" ht="13" x14ac:dyDescent="0.15">
      <c r="A311" s="3" t="s">
        <v>22</v>
      </c>
      <c r="B311" s="3" t="s">
        <v>983</v>
      </c>
      <c r="C311" s="10">
        <f t="shared" ca="1" si="0"/>
        <v>0.7</v>
      </c>
      <c r="D311" s="5">
        <f ca="1">VLOOKUP($A311&amp;$B311,data!$A:$U,20,FALSE)</f>
        <v>44305.3461226851</v>
      </c>
      <c r="E311" s="3" t="str">
        <f ca="1">VLOOKUP($A311&amp;$B311,data!$A:$U,21,FALSE)</f>
        <v>19/04/2021</v>
      </c>
      <c r="F311" s="3">
        <f ca="1">VLOOKUP($A311&amp;$B311,data!$A:$U,17,FALSE)</f>
        <v>4</v>
      </c>
      <c r="G311" s="3">
        <f ca="1">VLOOKUP($A311&amp;$B311,data!$A:$U,18,FALSE)</f>
        <v>0</v>
      </c>
      <c r="H311" s="3">
        <f ca="1">VLOOKUP($A311&amp;$B311,data!$A:$U,19,FALSE)</f>
        <v>4</v>
      </c>
      <c r="I311" s="3">
        <f ca="1">VLOOKUP($A311&amp;$B311,data!$A:$U,14,FALSE)</f>
        <v>9</v>
      </c>
      <c r="J311" s="3">
        <f ca="1">VLOOKUP($A311&amp;$B311,data!$A:$U,15,FALSE)</f>
        <v>0</v>
      </c>
      <c r="K311" s="3">
        <f ca="1">VLOOKUP($A311&amp;$B311,data!$A:$U,16,FALSE)</f>
        <v>9</v>
      </c>
      <c r="L311" s="3">
        <f ca="1">VLOOKUP($A311&amp;$B311,data!$A:$U,8,FALSE)</f>
        <v>31</v>
      </c>
      <c r="M311" s="3">
        <f ca="1">VLOOKUP($A311&amp;$B311,data!$A:$U,9,FALSE)</f>
        <v>12</v>
      </c>
      <c r="N311" s="3">
        <f ca="1">VLOOKUP($A311&amp;$B311,data!$A:$U,10,FALSE)</f>
        <v>19</v>
      </c>
      <c r="O311" s="3">
        <f ca="1">VLOOKUP($A311&amp;$B311,data!$A:$U,11,FALSE)</f>
        <v>0</v>
      </c>
      <c r="P311" s="3">
        <f ca="1">VLOOKUP($A311&amp;$B311,data!$A:$U,12,FALSE)</f>
        <v>0</v>
      </c>
      <c r="Q311" s="3">
        <f ca="1">VLOOKUP($A311&amp;$B311,data!$A:$U,13,FALSE)</f>
        <v>0</v>
      </c>
      <c r="R311" s="3">
        <f ca="1">VLOOKUP($A311&amp;$B311,data!$A:$U,5,FALSE)</f>
        <v>40</v>
      </c>
      <c r="S311" s="3">
        <f ca="1">VLOOKUP($A311&amp;$B311,data!$A:$U,6,FALSE)</f>
        <v>12</v>
      </c>
      <c r="T311" s="3">
        <f ca="1">VLOOKUP($A311&amp;$B311,data!$A:$U,7,FALSE)</f>
        <v>28</v>
      </c>
    </row>
    <row r="312" spans="1:20" ht="13" x14ac:dyDescent="0.15">
      <c r="A312" s="3" t="s">
        <v>22</v>
      </c>
      <c r="B312" s="3" t="s">
        <v>542</v>
      </c>
      <c r="C312" s="10">
        <f t="shared" ca="1" si="0"/>
        <v>0.83750000000000002</v>
      </c>
      <c r="D312" s="5">
        <f ca="1">VLOOKUP($A312&amp;$B312,data!$A:$U,20,FALSE)</f>
        <v>44305.403611111098</v>
      </c>
      <c r="E312" s="3" t="str">
        <f ca="1">VLOOKUP($A312&amp;$B312,data!$A:$U,21,FALSE)</f>
        <v>19/04/2021 Positive - 8 Suspected-2 Total=10</v>
      </c>
      <c r="F312" s="3">
        <f ca="1">VLOOKUP($A312&amp;$B312,data!$A:$U,17,FALSE)</f>
        <v>4</v>
      </c>
      <c r="G312" s="3">
        <f ca="1">VLOOKUP($A312&amp;$B312,data!$A:$U,18,FALSE)</f>
        <v>0</v>
      </c>
      <c r="H312" s="3">
        <f ca="1">VLOOKUP($A312&amp;$B312,data!$A:$U,19,FALSE)</f>
        <v>4</v>
      </c>
      <c r="I312" s="3">
        <f ca="1">VLOOKUP($A312&amp;$B312,data!$A:$U,14,FALSE)</f>
        <v>5</v>
      </c>
      <c r="J312" s="3">
        <f ca="1">VLOOKUP($A312&amp;$B312,data!$A:$U,15,FALSE)</f>
        <v>0</v>
      </c>
      <c r="K312" s="3">
        <f ca="1">VLOOKUP($A312&amp;$B312,data!$A:$U,16,FALSE)</f>
        <v>5</v>
      </c>
      <c r="L312" s="3">
        <f ca="1">VLOOKUP($A312&amp;$B312,data!$A:$U,8,FALSE)</f>
        <v>35</v>
      </c>
      <c r="M312" s="3">
        <f ca="1">VLOOKUP($A312&amp;$B312,data!$A:$U,9,FALSE)</f>
        <v>3</v>
      </c>
      <c r="N312" s="3">
        <f ca="1">VLOOKUP($A312&amp;$B312,data!$A:$U,10,FALSE)</f>
        <v>32</v>
      </c>
      <c r="O312" s="3">
        <f ca="1">VLOOKUP($A312&amp;$B312,data!$A:$U,11,FALSE)</f>
        <v>0</v>
      </c>
      <c r="P312" s="3">
        <f ca="1">VLOOKUP($A312&amp;$B312,data!$A:$U,12,FALSE)</f>
        <v>0</v>
      </c>
      <c r="Q312" s="3">
        <f ca="1">VLOOKUP($A312&amp;$B312,data!$A:$U,13,FALSE)</f>
        <v>0</v>
      </c>
      <c r="R312" s="3">
        <f ca="1">VLOOKUP($A312&amp;$B312,data!$A:$U,5,FALSE)</f>
        <v>40</v>
      </c>
      <c r="S312" s="3">
        <f ca="1">VLOOKUP($A312&amp;$B312,data!$A:$U,6,FALSE)</f>
        <v>10</v>
      </c>
      <c r="T312" s="3">
        <f ca="1">VLOOKUP($A312&amp;$B312,data!$A:$U,7,FALSE)</f>
        <v>30</v>
      </c>
    </row>
    <row r="313" spans="1:20" ht="13" x14ac:dyDescent="0.15">
      <c r="A313" s="3" t="s">
        <v>22</v>
      </c>
      <c r="B313" s="3" t="s">
        <v>777</v>
      </c>
      <c r="C313" s="10">
        <f t="shared" ca="1" si="0"/>
        <v>1</v>
      </c>
      <c r="D313" s="5">
        <f ca="1">VLOOKUP($A313&amp;$B313,data!$A:$U,20,FALSE)</f>
        <v>44305.444942129601</v>
      </c>
      <c r="E313" s="3" t="str">
        <f ca="1">VLOOKUP($A313&amp;$B313,data!$A:$U,21,FALSE)</f>
        <v>19-04-2021</v>
      </c>
      <c r="F313" s="3">
        <f ca="1">VLOOKUP($A313&amp;$B313,data!$A:$U,17,FALSE)</f>
        <v>1</v>
      </c>
      <c r="G313" s="3">
        <f ca="1">VLOOKUP($A313&amp;$B313,data!$A:$U,18,FALSE)</f>
        <v>0</v>
      </c>
      <c r="H313" s="3">
        <f ca="1">VLOOKUP($A313&amp;$B313,data!$A:$U,19,FALSE)</f>
        <v>1</v>
      </c>
      <c r="I313" s="3">
        <f ca="1">VLOOKUP($A313&amp;$B313,data!$A:$U,14,FALSE)</f>
        <v>0</v>
      </c>
      <c r="J313" s="3">
        <f ca="1">VLOOKUP($A313&amp;$B313,data!$A:$U,15,FALSE)</f>
        <v>0</v>
      </c>
      <c r="K313" s="3">
        <f ca="1">VLOOKUP($A313&amp;$B313,data!$A:$U,16,FALSE)</f>
        <v>0</v>
      </c>
      <c r="L313" s="3">
        <f ca="1">VLOOKUP($A313&amp;$B313,data!$A:$U,8,FALSE)</f>
        <v>8</v>
      </c>
      <c r="M313" s="3">
        <f ca="1">VLOOKUP($A313&amp;$B313,data!$A:$U,9,FALSE)</f>
        <v>0</v>
      </c>
      <c r="N313" s="3">
        <f ca="1">VLOOKUP($A313&amp;$B313,data!$A:$U,10,FALSE)</f>
        <v>8</v>
      </c>
      <c r="O313" s="3">
        <f ca="1">VLOOKUP($A313&amp;$B313,data!$A:$U,11,FALSE)</f>
        <v>10</v>
      </c>
      <c r="P313" s="3">
        <f ca="1">VLOOKUP($A313&amp;$B313,data!$A:$U,12,FALSE)</f>
        <v>0</v>
      </c>
      <c r="Q313" s="3">
        <f ca="1">VLOOKUP($A313&amp;$B313,data!$A:$U,13,FALSE)</f>
        <v>10</v>
      </c>
      <c r="R313" s="3">
        <f ca="1">VLOOKUP($A313&amp;$B313,data!$A:$U,5,FALSE)</f>
        <v>18</v>
      </c>
      <c r="S313" s="3">
        <f ca="1">VLOOKUP($A313&amp;$B313,data!$A:$U,6,FALSE)</f>
        <v>0</v>
      </c>
      <c r="T313" s="3">
        <f ca="1">VLOOKUP($A313&amp;$B313,data!$A:$U,7,FALSE)</f>
        <v>18</v>
      </c>
    </row>
    <row r="314" spans="1:20" ht="13" x14ac:dyDescent="0.15">
      <c r="A314" s="3" t="s">
        <v>22</v>
      </c>
      <c r="B314" s="3" t="s">
        <v>779</v>
      </c>
      <c r="C314" s="10">
        <f t="shared" ca="1" si="0"/>
        <v>0.48148148148148145</v>
      </c>
      <c r="D314" s="5">
        <f ca="1">VLOOKUP($A314&amp;$B314,data!$A:$U,20,FALSE)</f>
        <v>44305.362581018497</v>
      </c>
      <c r="E314" s="3" t="str">
        <f ca="1">VLOOKUP($A314&amp;$B314,data!$A:$U,21,FALSE)</f>
        <v>19.04.2021</v>
      </c>
      <c r="F314" s="3">
        <f ca="1">VLOOKUP($A314&amp;$B314,data!$A:$U,17,FALSE)</f>
        <v>1</v>
      </c>
      <c r="G314" s="3">
        <f ca="1">VLOOKUP($A314&amp;$B314,data!$A:$U,18,FALSE)</f>
        <v>0</v>
      </c>
      <c r="H314" s="3">
        <f ca="1">VLOOKUP($A314&amp;$B314,data!$A:$U,19,FALSE)</f>
        <v>0</v>
      </c>
      <c r="I314" s="3">
        <f ca="1">VLOOKUP($A314&amp;$B314,data!$A:$U,14,FALSE)</f>
        <v>1</v>
      </c>
      <c r="J314" s="3">
        <f ca="1">VLOOKUP($A314&amp;$B314,data!$A:$U,15,FALSE)</f>
        <v>0</v>
      </c>
      <c r="K314" s="3">
        <f ca="1">VLOOKUP($A314&amp;$B314,data!$A:$U,16,FALSE)</f>
        <v>0</v>
      </c>
      <c r="L314" s="3">
        <f ca="1">VLOOKUP($A314&amp;$B314,data!$A:$U,8,FALSE)</f>
        <v>9</v>
      </c>
      <c r="M314" s="3">
        <f ca="1">VLOOKUP($A314&amp;$B314,data!$A:$U,9,FALSE)</f>
        <v>9</v>
      </c>
      <c r="N314" s="3">
        <f ca="1">VLOOKUP($A314&amp;$B314,data!$A:$U,10,FALSE)</f>
        <v>0</v>
      </c>
      <c r="O314" s="3">
        <f ca="1">VLOOKUP($A314&amp;$B314,data!$A:$U,11,FALSE)</f>
        <v>4</v>
      </c>
      <c r="P314" s="3">
        <f ca="1">VLOOKUP($A314&amp;$B314,data!$A:$U,12,FALSE)</f>
        <v>0</v>
      </c>
      <c r="Q314" s="3">
        <f ca="1">VLOOKUP($A314&amp;$B314,data!$A:$U,13,FALSE)</f>
        <v>0</v>
      </c>
      <c r="R314" s="3">
        <f ca="1">VLOOKUP($A314&amp;$B314,data!$A:$U,5,FALSE)</f>
        <v>13</v>
      </c>
      <c r="S314" s="3">
        <f ca="1">VLOOKUP($A314&amp;$B314,data!$A:$U,6,FALSE)</f>
        <v>0</v>
      </c>
      <c r="T314" s="3">
        <f ca="1">VLOOKUP($A314&amp;$B314,data!$A:$U,7,FALSE)</f>
        <v>13</v>
      </c>
    </row>
    <row r="315" spans="1:20" ht="13" x14ac:dyDescent="0.15">
      <c r="A315" s="3" t="s">
        <v>22</v>
      </c>
      <c r="B315" s="3" t="s">
        <v>978</v>
      </c>
      <c r="C315" s="10">
        <f t="shared" ca="1" si="0"/>
        <v>3.0303030303030304E-2</v>
      </c>
      <c r="D315" s="5">
        <f ca="1">VLOOKUP($A315&amp;$B315,data!$A:$U,20,FALSE)</f>
        <v>44305.378530092501</v>
      </c>
      <c r="E315" s="3" t="str">
        <f ca="1">VLOOKUP($A315&amp;$B315,data!$A:$U,21,FALSE)</f>
        <v>Updated .1</v>
      </c>
      <c r="F315" s="3">
        <f ca="1">VLOOKUP($A315&amp;$B315,data!$A:$U,17,FALSE)</f>
        <v>1</v>
      </c>
      <c r="G315" s="3">
        <f ca="1">VLOOKUP($A315&amp;$B315,data!$A:$U,18,FALSE)</f>
        <v>0</v>
      </c>
      <c r="H315" s="3">
        <f ca="1">VLOOKUP($A315&amp;$B315,data!$A:$U,19,FALSE)</f>
        <v>1</v>
      </c>
      <c r="I315" s="3">
        <f ca="1">VLOOKUP($A315&amp;$B315,data!$A:$U,14,FALSE)</f>
        <v>2</v>
      </c>
      <c r="J315" s="3">
        <f ca="1">VLOOKUP($A315&amp;$B315,data!$A:$U,15,FALSE)</f>
        <v>0</v>
      </c>
      <c r="K315" s="3">
        <f ca="1">VLOOKUP($A315&amp;$B315,data!$A:$U,16,FALSE)</f>
        <v>2</v>
      </c>
      <c r="L315" s="3">
        <f ca="1">VLOOKUP($A315&amp;$B315,data!$A:$U,8,FALSE)</f>
        <v>32</v>
      </c>
      <c r="M315" s="3">
        <f ca="1">VLOOKUP($A315&amp;$B315,data!$A:$U,9,FALSE)</f>
        <v>32</v>
      </c>
      <c r="N315" s="3">
        <f ca="1">VLOOKUP($A315&amp;$B315,data!$A:$U,10,FALSE)</f>
        <v>0</v>
      </c>
      <c r="O315" s="3">
        <f ca="1">VLOOKUP($A315&amp;$B315,data!$A:$U,11,FALSE)</f>
        <v>0</v>
      </c>
      <c r="P315" s="3">
        <f ca="1">VLOOKUP($A315&amp;$B315,data!$A:$U,12,FALSE)</f>
        <v>0</v>
      </c>
      <c r="Q315" s="3">
        <f ca="1">VLOOKUP($A315&amp;$B315,data!$A:$U,13,FALSE)</f>
        <v>0</v>
      </c>
      <c r="R315" s="3">
        <f ca="1">VLOOKUP($A315&amp;$B315,data!$A:$U,5,FALSE)</f>
        <v>32</v>
      </c>
      <c r="S315" s="3">
        <f ca="1">VLOOKUP($A315&amp;$B315,data!$A:$U,6,FALSE)</f>
        <v>32</v>
      </c>
      <c r="T315" s="3">
        <f ca="1">VLOOKUP($A315&amp;$B315,data!$A:$U,7,FALSE)</f>
        <v>0</v>
      </c>
    </row>
    <row r="316" spans="1:20" ht="13" x14ac:dyDescent="0.15">
      <c r="A316" s="3" t="s">
        <v>23</v>
      </c>
      <c r="B316" s="3" t="s">
        <v>888</v>
      </c>
      <c r="C316" s="10">
        <f t="shared" ca="1" si="0"/>
        <v>0.94285714285714284</v>
      </c>
      <c r="D316" s="5">
        <f ca="1">VLOOKUP($A316&amp;$B316,data!$A:$U,20,FALSE)</f>
        <v>44305.401134259198</v>
      </c>
      <c r="E316" s="3" t="str">
        <f ca="1">VLOOKUP($A316&amp;$B316,data!$A:$U,21,FALSE)</f>
        <v>.</v>
      </c>
      <c r="F316" s="3">
        <f ca="1">VLOOKUP($A316&amp;$B316,data!$A:$U,17,FALSE)</f>
        <v>1</v>
      </c>
      <c r="G316" s="3">
        <f ca="1">VLOOKUP($A316&amp;$B316,data!$A:$U,18,FALSE)</f>
        <v>0</v>
      </c>
      <c r="H316" s="3">
        <f ca="1">VLOOKUP($A316&amp;$B316,data!$A:$U,19,FALSE)</f>
        <v>1</v>
      </c>
      <c r="I316" s="3">
        <f ca="1">VLOOKUP($A316&amp;$B316,data!$A:$U,14,FALSE)</f>
        <v>4</v>
      </c>
      <c r="J316" s="3">
        <f ca="1">VLOOKUP($A316&amp;$B316,data!$A:$U,15,FALSE)</f>
        <v>0</v>
      </c>
      <c r="K316" s="3">
        <f ca="1">VLOOKUP($A316&amp;$B316,data!$A:$U,16,FALSE)</f>
        <v>4</v>
      </c>
      <c r="L316" s="3">
        <f ca="1">VLOOKUP($A316&amp;$B316,data!$A:$U,8,FALSE)</f>
        <v>29</v>
      </c>
      <c r="M316" s="3">
        <f ca="1">VLOOKUP($A316&amp;$B316,data!$A:$U,9,FALSE)</f>
        <v>2</v>
      </c>
      <c r="N316" s="3">
        <f ca="1">VLOOKUP($A316&amp;$B316,data!$A:$U,10,FALSE)</f>
        <v>27</v>
      </c>
      <c r="O316" s="3">
        <f ca="1">VLOOKUP($A316&amp;$B316,data!$A:$U,11,FALSE)</f>
        <v>2</v>
      </c>
      <c r="P316" s="3">
        <f ca="1">VLOOKUP($A316&amp;$B316,data!$A:$U,12,FALSE)</f>
        <v>0</v>
      </c>
      <c r="Q316" s="3">
        <f ca="1">VLOOKUP($A316&amp;$B316,data!$A:$U,13,FALSE)</f>
        <v>2</v>
      </c>
      <c r="R316" s="3">
        <f ca="1">VLOOKUP($A316&amp;$B316,data!$A:$U,5,FALSE)</f>
        <v>35</v>
      </c>
      <c r="S316" s="3">
        <f ca="1">VLOOKUP($A316&amp;$B316,data!$A:$U,6,FALSE)</f>
        <v>2</v>
      </c>
      <c r="T316" s="3">
        <f ca="1">VLOOKUP($A316&amp;$B316,data!$A:$U,7,FALSE)</f>
        <v>33</v>
      </c>
    </row>
    <row r="317" spans="1:20" ht="13" x14ac:dyDescent="0.15">
      <c r="A317" s="3" t="s">
        <v>23</v>
      </c>
      <c r="B317" s="3" t="s">
        <v>892</v>
      </c>
      <c r="C317" s="10" t="e">
        <f t="shared" ca="1" si="0"/>
        <v>#DIV/0!</v>
      </c>
      <c r="D317" s="5">
        <f ca="1">VLOOKUP($A317&amp;$B317,data!$A:$U,20,FALSE)</f>
        <v>44305.400925925896</v>
      </c>
      <c r="E317" s="3" t="str">
        <f ca="1">VLOOKUP($A317&amp;$B317,data!$A:$U,21,FALSE)</f>
        <v>.</v>
      </c>
      <c r="F317" s="3">
        <f ca="1">VLOOKUP($A317&amp;$B317,data!$A:$U,17,FALSE)</f>
        <v>0</v>
      </c>
      <c r="G317" s="3">
        <f ca="1">VLOOKUP($A317&amp;$B317,data!$A:$U,18,FALSE)</f>
        <v>0</v>
      </c>
      <c r="H317" s="3">
        <f ca="1">VLOOKUP($A317&amp;$B317,data!$A:$U,19,FALSE)</f>
        <v>0</v>
      </c>
      <c r="I317" s="3">
        <f ca="1">VLOOKUP($A317&amp;$B317,data!$A:$U,14,FALSE)</f>
        <v>0</v>
      </c>
      <c r="J317" s="3">
        <f ca="1">VLOOKUP($A317&amp;$B317,data!$A:$U,15,FALSE)</f>
        <v>0</v>
      </c>
      <c r="K317" s="3">
        <f ca="1">VLOOKUP($A317&amp;$B317,data!$A:$U,16,FALSE)</f>
        <v>0</v>
      </c>
      <c r="L317" s="3">
        <f ca="1">VLOOKUP($A317&amp;$B317,data!$A:$U,8,FALSE)</f>
        <v>0</v>
      </c>
      <c r="M317" s="3">
        <f ca="1">VLOOKUP($A317&amp;$B317,data!$A:$U,9,FALSE)</f>
        <v>0</v>
      </c>
      <c r="N317" s="3">
        <f ca="1">VLOOKUP($A317&amp;$B317,data!$A:$U,10,FALSE)</f>
        <v>0</v>
      </c>
      <c r="O317" s="3">
        <f ca="1">VLOOKUP($A317&amp;$B317,data!$A:$U,11,FALSE)</f>
        <v>0</v>
      </c>
      <c r="P317" s="3">
        <f ca="1">VLOOKUP($A317&amp;$B317,data!$A:$U,12,FALSE)</f>
        <v>0</v>
      </c>
      <c r="Q317" s="3">
        <f ca="1">VLOOKUP($A317&amp;$B317,data!$A:$U,13,FALSE)</f>
        <v>0</v>
      </c>
      <c r="R317" s="3">
        <f ca="1">VLOOKUP($A317&amp;$B317,data!$A:$U,5,FALSE)</f>
        <v>0</v>
      </c>
      <c r="S317" s="3">
        <f ca="1">VLOOKUP($A317&amp;$B317,data!$A:$U,6,FALSE)</f>
        <v>0</v>
      </c>
      <c r="T317" s="3">
        <f ca="1">VLOOKUP($A317&amp;$B317,data!$A:$U,7,FALSE)</f>
        <v>0</v>
      </c>
    </row>
    <row r="318" spans="1:20" ht="13" x14ac:dyDescent="0.15">
      <c r="A318" s="3" t="s">
        <v>23</v>
      </c>
      <c r="B318" s="3" t="s">
        <v>1113</v>
      </c>
      <c r="C318" s="10" t="e">
        <f t="shared" ca="1" si="0"/>
        <v>#DIV/0!</v>
      </c>
      <c r="D318" s="5">
        <f ca="1">VLOOKUP($A318&amp;$B318,data!$A:$U,20,FALSE)</f>
        <v>44305.4013425925</v>
      </c>
      <c r="E318" s="3" t="str">
        <f ca="1">VLOOKUP($A318&amp;$B318,data!$A:$U,21,FALSE)</f>
        <v>.</v>
      </c>
      <c r="F318" s="3">
        <f ca="1">VLOOKUP($A318&amp;$B318,data!$A:$U,17,FALSE)</f>
        <v>0</v>
      </c>
      <c r="G318" s="3">
        <f ca="1">VLOOKUP($A318&amp;$B318,data!$A:$U,18,FALSE)</f>
        <v>0</v>
      </c>
      <c r="H318" s="3">
        <f ca="1">VLOOKUP($A318&amp;$B318,data!$A:$U,19,FALSE)</f>
        <v>0</v>
      </c>
      <c r="I318" s="3">
        <f ca="1">VLOOKUP($A318&amp;$B318,data!$A:$U,14,FALSE)</f>
        <v>0</v>
      </c>
      <c r="J318" s="3">
        <f ca="1">VLOOKUP($A318&amp;$B318,data!$A:$U,15,FALSE)</f>
        <v>0</v>
      </c>
      <c r="K318" s="3">
        <f ca="1">VLOOKUP($A318&amp;$B318,data!$A:$U,16,FALSE)</f>
        <v>0</v>
      </c>
      <c r="L318" s="3">
        <f ca="1">VLOOKUP($A318&amp;$B318,data!$A:$U,8,FALSE)</f>
        <v>0</v>
      </c>
      <c r="M318" s="3">
        <f ca="1">VLOOKUP($A318&amp;$B318,data!$A:$U,9,FALSE)</f>
        <v>0</v>
      </c>
      <c r="N318" s="3">
        <f ca="1">VLOOKUP($A318&amp;$B318,data!$A:$U,10,FALSE)</f>
        <v>0</v>
      </c>
      <c r="O318" s="3">
        <f ca="1">VLOOKUP($A318&amp;$B318,data!$A:$U,11,FALSE)</f>
        <v>0</v>
      </c>
      <c r="P318" s="3">
        <f ca="1">VLOOKUP($A318&amp;$B318,data!$A:$U,12,FALSE)</f>
        <v>0</v>
      </c>
      <c r="Q318" s="3">
        <f ca="1">VLOOKUP($A318&amp;$B318,data!$A:$U,13,FALSE)</f>
        <v>0</v>
      </c>
      <c r="R318" s="3">
        <f ca="1">VLOOKUP($A318&amp;$B318,data!$A:$U,5,FALSE)</f>
        <v>0</v>
      </c>
      <c r="S318" s="3">
        <f ca="1">VLOOKUP($A318&amp;$B318,data!$A:$U,6,FALSE)</f>
        <v>0</v>
      </c>
      <c r="T318" s="3">
        <f ca="1">VLOOKUP($A318&amp;$B318,data!$A:$U,7,FALSE)</f>
        <v>0</v>
      </c>
    </row>
    <row r="319" spans="1:20" ht="13" x14ac:dyDescent="0.15">
      <c r="A319" s="3" t="s">
        <v>24</v>
      </c>
      <c r="B319" s="3" t="s">
        <v>898</v>
      </c>
      <c r="C319" s="10">
        <f t="shared" ca="1" si="0"/>
        <v>1</v>
      </c>
      <c r="D319" s="5">
        <f ca="1">VLOOKUP($A319&amp;$B319,data!$A:$U,20,FALSE)</f>
        <v>44305.5074537037</v>
      </c>
      <c r="E319" s="3" t="str">
        <f ca="1">VLOOKUP($A319&amp;$B319,data!$A:$U,21,FALSE)</f>
        <v>0 positive case.</v>
      </c>
      <c r="F319" s="3">
        <f ca="1">VLOOKUP($A319&amp;$B319,data!$A:$U,17,FALSE)</f>
        <v>3</v>
      </c>
      <c r="G319" s="3">
        <f ca="1">VLOOKUP($A319&amp;$B319,data!$A:$U,18,FALSE)</f>
        <v>0</v>
      </c>
      <c r="H319" s="3">
        <f ca="1">VLOOKUP($A319&amp;$B319,data!$A:$U,19,FALSE)</f>
        <v>3</v>
      </c>
      <c r="I319" s="3">
        <f ca="1">VLOOKUP($A319&amp;$B319,data!$A:$U,14,FALSE)</f>
        <v>5</v>
      </c>
      <c r="J319" s="3">
        <f ca="1">VLOOKUP($A319&amp;$B319,data!$A:$U,15,FALSE)</f>
        <v>0</v>
      </c>
      <c r="K319" s="3">
        <f ca="1">VLOOKUP($A319&amp;$B319,data!$A:$U,16,FALSE)</f>
        <v>5</v>
      </c>
      <c r="L319" s="3">
        <f ca="1">VLOOKUP($A319&amp;$B319,data!$A:$U,8,FALSE)</f>
        <v>15</v>
      </c>
      <c r="M319" s="3">
        <f ca="1">VLOOKUP($A319&amp;$B319,data!$A:$U,9,FALSE)</f>
        <v>0</v>
      </c>
      <c r="N319" s="3">
        <f ca="1">VLOOKUP($A319&amp;$B319,data!$A:$U,10,FALSE)</f>
        <v>15</v>
      </c>
      <c r="O319" s="3">
        <f ca="1">VLOOKUP($A319&amp;$B319,data!$A:$U,11,FALSE)</f>
        <v>10</v>
      </c>
      <c r="P319" s="3">
        <f ca="1">VLOOKUP($A319&amp;$B319,data!$A:$U,12,FALSE)</f>
        <v>0</v>
      </c>
      <c r="Q319" s="3">
        <f ca="1">VLOOKUP($A319&amp;$B319,data!$A:$U,13,FALSE)</f>
        <v>10</v>
      </c>
      <c r="R319" s="3">
        <f ca="1">VLOOKUP($A319&amp;$B319,data!$A:$U,5,FALSE)</f>
        <v>30</v>
      </c>
      <c r="S319" s="3">
        <f ca="1">VLOOKUP($A319&amp;$B319,data!$A:$U,6,FALSE)</f>
        <v>0</v>
      </c>
      <c r="T319" s="3">
        <f ca="1">VLOOKUP($A319&amp;$B319,data!$A:$U,7,FALSE)</f>
        <v>30</v>
      </c>
    </row>
    <row r="320" spans="1:20" ht="13" x14ac:dyDescent="0.15">
      <c r="A320" s="3" t="s">
        <v>24</v>
      </c>
      <c r="B320" s="3" t="s">
        <v>893</v>
      </c>
      <c r="C320" s="10">
        <f t="shared" ca="1" si="0"/>
        <v>0.42372881355932202</v>
      </c>
      <c r="D320" s="5">
        <f ca="1">VLOOKUP($A320&amp;$B320,data!$A:$U,20,FALSE)</f>
        <v>44305.393055555498</v>
      </c>
      <c r="E320" s="3" t="str">
        <f ca="1">VLOOKUP($A320&amp;$B320,data!$A:$U,21,FALSE)</f>
        <v>Total positive case - 17 Total sari case - 17</v>
      </c>
      <c r="F320" s="3">
        <f ca="1">VLOOKUP($A320&amp;$B320,data!$A:$U,17,FALSE)</f>
        <v>2</v>
      </c>
      <c r="G320" s="3">
        <f ca="1">VLOOKUP($A320&amp;$B320,data!$A:$U,18,FALSE)</f>
        <v>0</v>
      </c>
      <c r="H320" s="3">
        <f ca="1">VLOOKUP($A320&amp;$B320,data!$A:$U,19,FALSE)</f>
        <v>2</v>
      </c>
      <c r="I320" s="3">
        <f ca="1">VLOOKUP($A320&amp;$B320,data!$A:$U,14,FALSE)</f>
        <v>9</v>
      </c>
      <c r="J320" s="3">
        <f ca="1">VLOOKUP($A320&amp;$B320,data!$A:$U,15,FALSE)</f>
        <v>0</v>
      </c>
      <c r="K320" s="3">
        <f ca="1">VLOOKUP($A320&amp;$B320,data!$A:$U,16,FALSE)</f>
        <v>9</v>
      </c>
      <c r="L320" s="3">
        <f ca="1">VLOOKUP($A320&amp;$B320,data!$A:$U,8,FALSE)</f>
        <v>20</v>
      </c>
      <c r="M320" s="3">
        <f ca="1">VLOOKUP($A320&amp;$B320,data!$A:$U,9,FALSE)</f>
        <v>4</v>
      </c>
      <c r="N320" s="3">
        <f ca="1">VLOOKUP($A320&amp;$B320,data!$A:$U,10,FALSE)</f>
        <v>16</v>
      </c>
      <c r="O320" s="3">
        <f ca="1">VLOOKUP($A320&amp;$B320,data!$A:$U,11,FALSE)</f>
        <v>30</v>
      </c>
      <c r="P320" s="3">
        <f ca="1">VLOOKUP($A320&amp;$B320,data!$A:$U,12,FALSE)</f>
        <v>30</v>
      </c>
      <c r="Q320" s="3">
        <f ca="1">VLOOKUP($A320&amp;$B320,data!$A:$U,13,FALSE)</f>
        <v>0</v>
      </c>
      <c r="R320" s="3">
        <f ca="1">VLOOKUP($A320&amp;$B320,data!$A:$U,5,FALSE)</f>
        <v>59</v>
      </c>
      <c r="S320" s="3">
        <f ca="1">VLOOKUP($A320&amp;$B320,data!$A:$U,6,FALSE)</f>
        <v>34</v>
      </c>
      <c r="T320" s="3">
        <f ca="1">VLOOKUP($A320&amp;$B320,data!$A:$U,7,FALSE)</f>
        <v>25</v>
      </c>
    </row>
    <row r="321" spans="1:20" ht="13" x14ac:dyDescent="0.15">
      <c r="A321" s="3" t="s">
        <v>24</v>
      </c>
      <c r="B321" s="3" t="s">
        <v>1013</v>
      </c>
      <c r="C321" s="10">
        <f t="shared" ca="1" si="0"/>
        <v>0.8571428571428571</v>
      </c>
      <c r="D321" s="5">
        <f ca="1">VLOOKUP($A321&amp;$B321,data!$A:$U,20,FALSE)</f>
        <v>44305.249826388797</v>
      </c>
      <c r="E321" s="3" t="str">
        <f ca="1">VLOOKUP($A321&amp;$B321,data!$A:$U,21,FALSE)</f>
        <v>patients all are stable</v>
      </c>
      <c r="F321" s="3">
        <f ca="1">VLOOKUP($A321&amp;$B321,data!$A:$U,17,FALSE)</f>
        <v>2</v>
      </c>
      <c r="G321" s="3">
        <f ca="1">VLOOKUP($A321&amp;$B321,data!$A:$U,18,FALSE)</f>
        <v>0</v>
      </c>
      <c r="H321" s="3">
        <f ca="1">VLOOKUP($A321&amp;$B321,data!$A:$U,19,FALSE)</f>
        <v>2</v>
      </c>
      <c r="I321" s="3">
        <f ca="1">VLOOKUP($A321&amp;$B321,data!$A:$U,14,FALSE)</f>
        <v>10</v>
      </c>
      <c r="J321" s="3">
        <f ca="1">VLOOKUP($A321&amp;$B321,data!$A:$U,15,FALSE)</f>
        <v>0</v>
      </c>
      <c r="K321" s="3">
        <f ca="1">VLOOKUP($A321&amp;$B321,data!$A:$U,16,FALSE)</f>
        <v>10</v>
      </c>
      <c r="L321" s="3">
        <f ca="1">VLOOKUP($A321&amp;$B321,data!$A:$U,8,FALSE)</f>
        <v>20</v>
      </c>
      <c r="M321" s="3">
        <f ca="1">VLOOKUP($A321&amp;$B321,data!$A:$U,9,FALSE)</f>
        <v>1</v>
      </c>
      <c r="N321" s="3">
        <f ca="1">VLOOKUP($A321&amp;$B321,data!$A:$U,10,FALSE)</f>
        <v>18</v>
      </c>
      <c r="O321" s="3">
        <f ca="1">VLOOKUP($A321&amp;$B321,data!$A:$U,11,FALSE)</f>
        <v>3</v>
      </c>
      <c r="P321" s="3">
        <f ca="1">VLOOKUP($A321&amp;$B321,data!$A:$U,12,FALSE)</f>
        <v>0</v>
      </c>
      <c r="Q321" s="3">
        <f ca="1">VLOOKUP($A321&amp;$B321,data!$A:$U,13,FALSE)</f>
        <v>0</v>
      </c>
      <c r="R321" s="3">
        <f ca="1">VLOOKUP($A321&amp;$B321,data!$A:$U,5,FALSE)</f>
        <v>30</v>
      </c>
      <c r="S321" s="3">
        <f ca="1">VLOOKUP($A321&amp;$B321,data!$A:$U,6,FALSE)</f>
        <v>4</v>
      </c>
      <c r="T321" s="3">
        <f ca="1">VLOOKUP($A321&amp;$B321,data!$A:$U,7,FALSE)</f>
        <v>26</v>
      </c>
    </row>
    <row r="322" spans="1:20" ht="13" x14ac:dyDescent="0.15">
      <c r="A322" s="3" t="s">
        <v>24</v>
      </c>
      <c r="B322" s="3" t="s">
        <v>1017</v>
      </c>
      <c r="C322" s="10">
        <f t="shared" ca="1" si="0"/>
        <v>0.42666666666666669</v>
      </c>
      <c r="D322" s="5">
        <f ca="1">VLOOKUP($A322&amp;$B322,data!$A:$U,20,FALSE)</f>
        <v>44305.3353935185</v>
      </c>
      <c r="E322" s="3" t="str">
        <f ca="1">VLOOKUP($A322&amp;$B322,data!$A:$U,21,FALSE)</f>
        <v>Updated 19.04.2021</v>
      </c>
      <c r="F322" s="3">
        <f ca="1">VLOOKUP($A322&amp;$B322,data!$A:$U,17,FALSE)</f>
        <v>2</v>
      </c>
      <c r="G322" s="3">
        <f ca="1">VLOOKUP($A322&amp;$B322,data!$A:$U,18,FALSE)</f>
        <v>0</v>
      </c>
      <c r="H322" s="3">
        <f ca="1">VLOOKUP($A322&amp;$B322,data!$A:$U,19,FALSE)</f>
        <v>2</v>
      </c>
      <c r="I322" s="3">
        <f ca="1">VLOOKUP($A322&amp;$B322,data!$A:$U,14,FALSE)</f>
        <v>5</v>
      </c>
      <c r="J322" s="3">
        <f ca="1">VLOOKUP($A322&amp;$B322,data!$A:$U,15,FALSE)</f>
        <v>0</v>
      </c>
      <c r="K322" s="3">
        <f ca="1">VLOOKUP($A322&amp;$B322,data!$A:$U,16,FALSE)</f>
        <v>5</v>
      </c>
      <c r="L322" s="3">
        <f ca="1">VLOOKUP($A322&amp;$B322,data!$A:$U,8,FALSE)</f>
        <v>15</v>
      </c>
      <c r="M322" s="3">
        <f ca="1">VLOOKUP($A322&amp;$B322,data!$A:$U,9,FALSE)</f>
        <v>8</v>
      </c>
      <c r="N322" s="3">
        <f ca="1">VLOOKUP($A322&amp;$B322,data!$A:$U,10,FALSE)</f>
        <v>7</v>
      </c>
      <c r="O322" s="3">
        <f ca="1">VLOOKUP($A322&amp;$B322,data!$A:$U,11,FALSE)</f>
        <v>20</v>
      </c>
      <c r="P322" s="3">
        <f ca="1">VLOOKUP($A322&amp;$B322,data!$A:$U,12,FALSE)</f>
        <v>15</v>
      </c>
      <c r="Q322" s="3">
        <f ca="1">VLOOKUP($A322&amp;$B322,data!$A:$U,13,FALSE)</f>
        <v>5</v>
      </c>
      <c r="R322" s="3">
        <f ca="1">VLOOKUP($A322&amp;$B322,data!$A:$U,5,FALSE)</f>
        <v>35</v>
      </c>
      <c r="S322" s="3">
        <f ca="1">VLOOKUP($A322&amp;$B322,data!$A:$U,6,FALSE)</f>
        <v>23</v>
      </c>
      <c r="T322" s="3">
        <f ca="1">VLOOKUP($A322&amp;$B322,data!$A:$U,7,FALSE)</f>
        <v>15</v>
      </c>
    </row>
    <row r="323" spans="1:20" ht="13" x14ac:dyDescent="0.15">
      <c r="A323" s="3" t="s">
        <v>24</v>
      </c>
      <c r="B323" s="3" t="s">
        <v>545</v>
      </c>
      <c r="C323" s="10">
        <f t="shared" ca="1" si="0"/>
        <v>0.64634146341463417</v>
      </c>
      <c r="D323" s="5">
        <f ca="1">VLOOKUP($A323&amp;$B323,data!$A:$U,20,FALSE)</f>
        <v>44305.354583333297</v>
      </c>
      <c r="E323" s="3" t="str">
        <f ca="1">VLOOKUP($A323&amp;$B323,data!$A:$U,21,FALSE)</f>
        <v>COVID-19 POSITIVE:15/SUSPECTED:15 TOTAL OCCUPIED BEDs :30 VACANT :18</v>
      </c>
      <c r="F323" s="3">
        <f ca="1">VLOOKUP($A323&amp;$B323,data!$A:$U,17,FALSE)</f>
        <v>12</v>
      </c>
      <c r="G323" s="3">
        <f ca="1">VLOOKUP($A323&amp;$B323,data!$A:$U,18,FALSE)</f>
        <v>1</v>
      </c>
      <c r="H323" s="3">
        <f ca="1">VLOOKUP($A323&amp;$B323,data!$A:$U,19,FALSE)</f>
        <v>11</v>
      </c>
      <c r="I323" s="3">
        <f ca="1">VLOOKUP($A323&amp;$B323,data!$A:$U,14,FALSE)</f>
        <v>20</v>
      </c>
      <c r="J323" s="3">
        <f ca="1">VLOOKUP($A323&amp;$B323,data!$A:$U,15,FALSE)</f>
        <v>15</v>
      </c>
      <c r="K323" s="3">
        <f ca="1">VLOOKUP($A323&amp;$B323,data!$A:$U,16,FALSE)</f>
        <v>6</v>
      </c>
      <c r="L323" s="3">
        <f ca="1">VLOOKUP($A323&amp;$B323,data!$A:$U,8,FALSE)</f>
        <v>48</v>
      </c>
      <c r="M323" s="3">
        <f ca="1">VLOOKUP($A323&amp;$B323,data!$A:$U,9,FALSE)</f>
        <v>6</v>
      </c>
      <c r="N323" s="3">
        <f ca="1">VLOOKUP($A323&amp;$B323,data!$A:$U,10,FALSE)</f>
        <v>42</v>
      </c>
      <c r="O323" s="3">
        <f ca="1">VLOOKUP($A323&amp;$B323,data!$A:$U,11,FALSE)</f>
        <v>48</v>
      </c>
      <c r="P323" s="3">
        <f ca="1">VLOOKUP($A323&amp;$B323,data!$A:$U,12,FALSE)</f>
        <v>8</v>
      </c>
      <c r="Q323" s="3">
        <f ca="1">VLOOKUP($A323&amp;$B323,data!$A:$U,13,FALSE)</f>
        <v>40</v>
      </c>
      <c r="R323" s="3">
        <f ca="1">VLOOKUP($A323&amp;$B323,data!$A:$U,5,FALSE)</f>
        <v>48</v>
      </c>
      <c r="S323" s="3">
        <f ca="1">VLOOKUP($A323&amp;$B323,data!$A:$U,6,FALSE)</f>
        <v>30</v>
      </c>
      <c r="T323" s="3">
        <f ca="1">VLOOKUP($A323&amp;$B323,data!$A:$U,7,FALSE)</f>
        <v>18</v>
      </c>
    </row>
    <row r="324" spans="1:20" ht="13" x14ac:dyDescent="0.15">
      <c r="A324" s="3" t="s">
        <v>24</v>
      </c>
      <c r="B324" s="3" t="s">
        <v>902</v>
      </c>
      <c r="C324" s="10">
        <f t="shared" ca="1" si="0"/>
        <v>0.52500000000000002</v>
      </c>
      <c r="D324" s="5">
        <f ca="1">VLOOKUP($A324&amp;$B324,data!$A:$U,20,FALSE)</f>
        <v>44305.309513888802</v>
      </c>
      <c r="E324" s="3" t="str">
        <f ca="1">VLOOKUP($A324&amp;$B324,data!$A:$U,21,FALSE)</f>
        <v>Updated on 19</v>
      </c>
      <c r="F324" s="3">
        <f ca="1">VLOOKUP($A324&amp;$B324,data!$A:$U,17,FALSE)</f>
        <v>1</v>
      </c>
      <c r="G324" s="3">
        <f ca="1">VLOOKUP($A324&amp;$B324,data!$A:$U,18,FALSE)</f>
        <v>0</v>
      </c>
      <c r="H324" s="3">
        <f ca="1">VLOOKUP($A324&amp;$B324,data!$A:$U,19,FALSE)</f>
        <v>1</v>
      </c>
      <c r="I324" s="3">
        <f ca="1">VLOOKUP($A324&amp;$B324,data!$A:$U,14,FALSE)</f>
        <v>1</v>
      </c>
      <c r="J324" s="3">
        <f ca="1">VLOOKUP($A324&amp;$B324,data!$A:$U,15,FALSE)</f>
        <v>0</v>
      </c>
      <c r="K324" s="3">
        <f ca="1">VLOOKUP($A324&amp;$B324,data!$A:$U,16,FALSE)</f>
        <v>1</v>
      </c>
      <c r="L324" s="3">
        <f ca="1">VLOOKUP($A324&amp;$B324,data!$A:$U,8,FALSE)</f>
        <v>9</v>
      </c>
      <c r="M324" s="3">
        <f ca="1">VLOOKUP($A324&amp;$B324,data!$A:$U,9,FALSE)</f>
        <v>4</v>
      </c>
      <c r="N324" s="3">
        <f ca="1">VLOOKUP($A324&amp;$B324,data!$A:$U,10,FALSE)</f>
        <v>5</v>
      </c>
      <c r="O324" s="3">
        <f ca="1">VLOOKUP($A324&amp;$B324,data!$A:$U,11,FALSE)</f>
        <v>10</v>
      </c>
      <c r="P324" s="3">
        <f ca="1">VLOOKUP($A324&amp;$B324,data!$A:$U,12,FALSE)</f>
        <v>5</v>
      </c>
      <c r="Q324" s="3">
        <f ca="1">VLOOKUP($A324&amp;$B324,data!$A:$U,13,FALSE)</f>
        <v>5</v>
      </c>
      <c r="R324" s="3">
        <f ca="1">VLOOKUP($A324&amp;$B324,data!$A:$U,5,FALSE)</f>
        <v>20</v>
      </c>
      <c r="S324" s="3">
        <f ca="1">VLOOKUP($A324&amp;$B324,data!$A:$U,6,FALSE)</f>
        <v>0</v>
      </c>
      <c r="T324" s="3">
        <f ca="1">VLOOKUP($A324&amp;$B324,data!$A:$U,7,FALSE)</f>
        <v>10</v>
      </c>
    </row>
    <row r="325" spans="1:20" ht="13" x14ac:dyDescent="0.15">
      <c r="A325" s="3" t="s">
        <v>24</v>
      </c>
      <c r="B325" s="3" t="s">
        <v>550</v>
      </c>
      <c r="C325" s="10">
        <f t="shared" ca="1" si="0"/>
        <v>1.9047619047619049E-2</v>
      </c>
      <c r="D325" s="5">
        <f ca="1">VLOOKUP($A325&amp;$B325,data!$A:$U,20,FALSE)</f>
        <v>44305.458888888803</v>
      </c>
      <c r="E325" s="3" t="str">
        <f ca="1">VLOOKUP($A325&amp;$B325,data!$A:$U,21,FALSE)</f>
        <v>Positive-83, SARI-20</v>
      </c>
      <c r="F325" s="3">
        <f ca="1">VLOOKUP($A325&amp;$B325,data!$A:$U,17,FALSE)</f>
        <v>2</v>
      </c>
      <c r="G325" s="3">
        <f ca="1">VLOOKUP($A325&amp;$B325,data!$A:$U,18,FALSE)</f>
        <v>0</v>
      </c>
      <c r="H325" s="3">
        <f ca="1">VLOOKUP($A325&amp;$B325,data!$A:$U,19,FALSE)</f>
        <v>2</v>
      </c>
      <c r="I325" s="3">
        <f ca="1">VLOOKUP($A325&amp;$B325,data!$A:$U,14,FALSE)</f>
        <v>30</v>
      </c>
      <c r="J325" s="3">
        <f ca="1">VLOOKUP($A325&amp;$B325,data!$A:$U,15,FALSE)</f>
        <v>30</v>
      </c>
      <c r="K325" s="3">
        <f ca="1">VLOOKUP($A325&amp;$B325,data!$A:$U,16,FALSE)</f>
        <v>0</v>
      </c>
      <c r="L325" s="3">
        <f ca="1">VLOOKUP($A325&amp;$B325,data!$A:$U,8,FALSE)</f>
        <v>20</v>
      </c>
      <c r="M325" s="3">
        <f ca="1">VLOOKUP($A325&amp;$B325,data!$A:$U,9,FALSE)</f>
        <v>18</v>
      </c>
      <c r="N325" s="3">
        <f ca="1">VLOOKUP($A325&amp;$B325,data!$A:$U,10,FALSE)</f>
        <v>2</v>
      </c>
      <c r="O325" s="3">
        <f ca="1">VLOOKUP($A325&amp;$B325,data!$A:$U,11,FALSE)</f>
        <v>55</v>
      </c>
      <c r="P325" s="3">
        <f ca="1">VLOOKUP($A325&amp;$B325,data!$A:$U,12,FALSE)</f>
        <v>55</v>
      </c>
      <c r="Q325" s="3">
        <f ca="1">VLOOKUP($A325&amp;$B325,data!$A:$U,13,FALSE)</f>
        <v>0</v>
      </c>
      <c r="R325" s="3">
        <f ca="1">VLOOKUP($A325&amp;$B325,data!$A:$U,5,FALSE)</f>
        <v>105</v>
      </c>
      <c r="S325" s="3">
        <f ca="1">VLOOKUP($A325&amp;$B325,data!$A:$U,6,FALSE)</f>
        <v>103</v>
      </c>
      <c r="T325" s="3">
        <f ca="1">VLOOKUP($A325&amp;$B325,data!$A:$U,7,FALSE)</f>
        <v>2</v>
      </c>
    </row>
    <row r="326" spans="1:20" ht="13" x14ac:dyDescent="0.15">
      <c r="A326" s="3" t="s">
        <v>24</v>
      </c>
      <c r="B326" s="3" t="s">
        <v>1213</v>
      </c>
      <c r="C326" s="10">
        <f t="shared" ca="1" si="0"/>
        <v>0.7857142857142857</v>
      </c>
      <c r="D326" s="5">
        <f ca="1">VLOOKUP($A326&amp;$B326,data!$A:$U,20,FALSE)</f>
        <v>44305.698888888801</v>
      </c>
      <c r="E326" s="3" t="str">
        <f ca="1">VLOOKUP($A326&amp;$B326,data!$A:$U,21,FALSE)</f>
        <v>sari cases 6 positive 3</v>
      </c>
      <c r="F326" s="3">
        <f ca="1">VLOOKUP($A326&amp;$B326,data!$A:$U,17,FALSE)</f>
        <v>1</v>
      </c>
      <c r="G326" s="3">
        <f ca="1">VLOOKUP($A326&amp;$B326,data!$A:$U,18,FALSE)</f>
        <v>0</v>
      </c>
      <c r="H326" s="3">
        <f ca="1">VLOOKUP($A326&amp;$B326,data!$A:$U,19,FALSE)</f>
        <v>1</v>
      </c>
      <c r="I326" s="3">
        <f ca="1">VLOOKUP($A326&amp;$B326,data!$A:$U,14,FALSE)</f>
        <v>2</v>
      </c>
      <c r="J326" s="3">
        <f ca="1">VLOOKUP($A326&amp;$B326,data!$A:$U,15,FALSE)</f>
        <v>0</v>
      </c>
      <c r="K326" s="3">
        <f ca="1">VLOOKUP($A326&amp;$B326,data!$A:$U,16,FALSE)</f>
        <v>2</v>
      </c>
      <c r="L326" s="3">
        <f ca="1">VLOOKUP($A326&amp;$B326,data!$A:$U,8,FALSE)</f>
        <v>20</v>
      </c>
      <c r="M326" s="3">
        <f ca="1">VLOOKUP($A326&amp;$B326,data!$A:$U,9,FALSE)</f>
        <v>0</v>
      </c>
      <c r="N326" s="3">
        <f ca="1">VLOOKUP($A326&amp;$B326,data!$A:$U,10,FALSE)</f>
        <v>20</v>
      </c>
      <c r="O326" s="3">
        <f ca="1">VLOOKUP($A326&amp;$B326,data!$A:$U,11,FALSE)</f>
        <v>0</v>
      </c>
      <c r="P326" s="3">
        <f ca="1">VLOOKUP($A326&amp;$B326,data!$A:$U,12,FALSE)</f>
        <v>0</v>
      </c>
      <c r="Q326" s="3">
        <f ca="1">VLOOKUP($A326&amp;$B326,data!$A:$U,13,FALSE)</f>
        <v>0</v>
      </c>
      <c r="R326" s="3">
        <f ca="1">VLOOKUP($A326&amp;$B326,data!$A:$U,5,FALSE)</f>
        <v>20</v>
      </c>
      <c r="S326" s="3">
        <f ca="1">VLOOKUP($A326&amp;$B326,data!$A:$U,6,FALSE)</f>
        <v>9</v>
      </c>
      <c r="T326" s="3">
        <f ca="1">VLOOKUP($A326&amp;$B326,data!$A:$U,7,FALSE)</f>
        <v>11</v>
      </c>
    </row>
    <row r="327" spans="1:20" ht="13" x14ac:dyDescent="0.15">
      <c r="A327" s="3" t="s">
        <v>24</v>
      </c>
      <c r="B327" s="3" t="s">
        <v>1221</v>
      </c>
      <c r="C327" s="10" t="e">
        <f t="shared" ca="1" si="0"/>
        <v>#DIV/0!</v>
      </c>
      <c r="D327" s="5">
        <f ca="1">VLOOKUP($A327&amp;$B327,data!$A:$U,20,FALSE)</f>
        <v>44304.546145833301</v>
      </c>
      <c r="E327" s="3"/>
      <c r="F327" s="3"/>
      <c r="G327" s="3"/>
      <c r="H327" s="3">
        <f ca="1">VLOOKUP($A327&amp;$B327,data!$A:$U,19,FALSE)</f>
        <v>0</v>
      </c>
      <c r="I327" s="3"/>
      <c r="J327" s="3"/>
      <c r="K327" s="3">
        <f ca="1">VLOOKUP($A327&amp;$B327,data!$A:$U,16,FALSE)</f>
        <v>0</v>
      </c>
      <c r="L327" s="3"/>
      <c r="M327" s="3"/>
      <c r="N327" s="3">
        <f ca="1">VLOOKUP($A327&amp;$B327,data!$A:$U,10,FALSE)</f>
        <v>0</v>
      </c>
      <c r="O327" s="3"/>
      <c r="P327" s="3"/>
      <c r="Q327" s="3">
        <f ca="1">VLOOKUP($A327&amp;$B327,data!$A:$U,13,FALSE)</f>
        <v>0</v>
      </c>
      <c r="R327" s="3"/>
      <c r="S327" s="3"/>
      <c r="T327" s="3">
        <f ca="1">VLOOKUP($A327&amp;$B327,data!$A:$U,7,FALSE)</f>
        <v>0</v>
      </c>
    </row>
    <row r="328" spans="1:20" ht="13" x14ac:dyDescent="0.15">
      <c r="A328" s="3" t="s">
        <v>25</v>
      </c>
      <c r="B328" s="3" t="s">
        <v>909</v>
      </c>
      <c r="C328" s="10">
        <f t="shared" ca="1" si="0"/>
        <v>0.88</v>
      </c>
      <c r="D328" s="5">
        <f ca="1">VLOOKUP($A328&amp;$B328,data!$A:$U,20,FALSE)</f>
        <v>44305.291689814803</v>
      </c>
      <c r="E328" s="3" t="str">
        <f ca="1">VLOOKUP($A328&amp;$B328,data!$A:$U,21,FALSE)</f>
        <v>Covid care center</v>
      </c>
      <c r="F328" s="3">
        <f ca="1">VLOOKUP($A328&amp;$B328,data!$A:$U,17,FALSE)</f>
        <v>0</v>
      </c>
      <c r="G328" s="3">
        <f ca="1">VLOOKUP($A328&amp;$B328,data!$A:$U,18,FALSE)</f>
        <v>0</v>
      </c>
      <c r="H328" s="3">
        <f ca="1">VLOOKUP($A328&amp;$B328,data!$A:$U,19,FALSE)</f>
        <v>0</v>
      </c>
      <c r="I328" s="3">
        <f ca="1">VLOOKUP($A328&amp;$B328,data!$A:$U,14,FALSE)</f>
        <v>0</v>
      </c>
      <c r="J328" s="3">
        <f ca="1">VLOOKUP($A328&amp;$B328,data!$A:$U,15,FALSE)</f>
        <v>0</v>
      </c>
      <c r="K328" s="3">
        <f ca="1">VLOOKUP($A328&amp;$B328,data!$A:$U,16,FALSE)</f>
        <v>0</v>
      </c>
      <c r="L328" s="3">
        <f ca="1">VLOOKUP($A328&amp;$B328,data!$A:$U,8,FALSE)</f>
        <v>25</v>
      </c>
      <c r="M328" s="3">
        <f ca="1">VLOOKUP($A328&amp;$B328,data!$A:$U,9,FALSE)</f>
        <v>1</v>
      </c>
      <c r="N328" s="3">
        <f ca="1">VLOOKUP($A328&amp;$B328,data!$A:$U,10,FALSE)</f>
        <v>24</v>
      </c>
      <c r="O328" s="3">
        <f ca="1">VLOOKUP($A328&amp;$B328,data!$A:$U,11,FALSE)</f>
        <v>0</v>
      </c>
      <c r="P328" s="3">
        <f ca="1">VLOOKUP($A328&amp;$B328,data!$A:$U,12,FALSE)</f>
        <v>0</v>
      </c>
      <c r="Q328" s="3">
        <f ca="1">VLOOKUP($A328&amp;$B328,data!$A:$U,13,FALSE)</f>
        <v>0</v>
      </c>
      <c r="R328" s="3">
        <f ca="1">VLOOKUP($A328&amp;$B328,data!$A:$U,5,FALSE)</f>
        <v>25</v>
      </c>
      <c r="S328" s="3">
        <f ca="1">VLOOKUP($A328&amp;$B328,data!$A:$U,6,FALSE)</f>
        <v>5</v>
      </c>
      <c r="T328" s="3">
        <f ca="1">VLOOKUP($A328&amp;$B328,data!$A:$U,7,FALSE)</f>
        <v>20</v>
      </c>
    </row>
    <row r="329" spans="1:20" ht="13" x14ac:dyDescent="0.15">
      <c r="A329" s="3" t="s">
        <v>25</v>
      </c>
      <c r="B329" s="3" t="s">
        <v>908</v>
      </c>
      <c r="C329" s="10">
        <f t="shared" ca="1" si="0"/>
        <v>1.0384615384615385</v>
      </c>
      <c r="D329" s="5">
        <f ca="1">VLOOKUP($A329&amp;$B329,data!$A:$U,20,FALSE)</f>
        <v>44305.290231481398</v>
      </c>
      <c r="E329" s="3" t="str">
        <f ca="1">VLOOKUP($A329&amp;$B329,data!$A:$U,21,FALSE)</f>
        <v>Covid care centre theni</v>
      </c>
      <c r="F329" s="3">
        <f ca="1">VLOOKUP($A329&amp;$B329,data!$A:$U,17,FALSE)</f>
        <v>1</v>
      </c>
      <c r="G329" s="3">
        <f ca="1">VLOOKUP($A329&amp;$B329,data!$A:$U,18,FALSE)</f>
        <v>0</v>
      </c>
      <c r="H329" s="3">
        <f ca="1">VLOOKUP($A329&amp;$B329,data!$A:$U,19,FALSE)</f>
        <v>0</v>
      </c>
      <c r="I329" s="3">
        <f ca="1">VLOOKUP($A329&amp;$B329,data!$A:$U,14,FALSE)</f>
        <v>2</v>
      </c>
      <c r="J329" s="3">
        <f ca="1">VLOOKUP($A329&amp;$B329,data!$A:$U,15,FALSE)</f>
        <v>0</v>
      </c>
      <c r="K329" s="3">
        <f ca="1">VLOOKUP($A329&amp;$B329,data!$A:$U,16,FALSE)</f>
        <v>2</v>
      </c>
      <c r="L329" s="3">
        <f ca="1">VLOOKUP($A329&amp;$B329,data!$A:$U,8,FALSE)</f>
        <v>2</v>
      </c>
      <c r="M329" s="3">
        <f ca="1">VLOOKUP($A329&amp;$B329,data!$A:$U,9,FALSE)</f>
        <v>0</v>
      </c>
      <c r="N329" s="3">
        <f ca="1">VLOOKUP($A329&amp;$B329,data!$A:$U,10,FALSE)</f>
        <v>2</v>
      </c>
      <c r="O329" s="3">
        <f ca="1">VLOOKUP($A329&amp;$B329,data!$A:$U,11,FALSE)</f>
        <v>7</v>
      </c>
      <c r="P329" s="3">
        <f ca="1">VLOOKUP($A329&amp;$B329,data!$A:$U,12,FALSE)</f>
        <v>0</v>
      </c>
      <c r="Q329" s="3">
        <f ca="1">VLOOKUP($A329&amp;$B329,data!$A:$U,13,FALSE)</f>
        <v>8</v>
      </c>
      <c r="R329" s="3">
        <f ca="1">VLOOKUP($A329&amp;$B329,data!$A:$U,5,FALSE)</f>
        <v>15</v>
      </c>
      <c r="S329" s="3">
        <f ca="1">VLOOKUP($A329&amp;$B329,data!$A:$U,6,FALSE)</f>
        <v>0</v>
      </c>
      <c r="T329" s="3">
        <f ca="1">VLOOKUP($A329&amp;$B329,data!$A:$U,7,FALSE)</f>
        <v>15</v>
      </c>
    </row>
    <row r="330" spans="1:20" ht="13" x14ac:dyDescent="0.15">
      <c r="A330" s="3" t="s">
        <v>25</v>
      </c>
      <c r="B330" s="3" t="s">
        <v>907</v>
      </c>
      <c r="C330" s="10">
        <f t="shared" ca="1" si="0"/>
        <v>0.91666666666666663</v>
      </c>
      <c r="D330" s="5">
        <f ca="1">VLOOKUP($A330&amp;$B330,data!$A:$U,20,FALSE)</f>
        <v>44305.298055555497</v>
      </c>
      <c r="E330" s="3" t="str">
        <f ca="1">VLOOKUP($A330&amp;$B330,data!$A:$U,21,FALSE)</f>
        <v>Nil</v>
      </c>
      <c r="F330" s="3">
        <f ca="1">VLOOKUP($A330&amp;$B330,data!$A:$U,17,FALSE)</f>
        <v>0</v>
      </c>
      <c r="G330" s="3">
        <f ca="1">VLOOKUP($A330&amp;$B330,data!$A:$U,18,FALSE)</f>
        <v>0</v>
      </c>
      <c r="H330" s="3">
        <f ca="1">VLOOKUP($A330&amp;$B330,data!$A:$U,19,FALSE)</f>
        <v>0</v>
      </c>
      <c r="I330" s="3">
        <f ca="1">VLOOKUP($A330&amp;$B330,data!$A:$U,14,FALSE)</f>
        <v>0</v>
      </c>
      <c r="J330" s="3">
        <f ca="1">VLOOKUP($A330&amp;$B330,data!$A:$U,15,FALSE)</f>
        <v>0</v>
      </c>
      <c r="K330" s="3">
        <f ca="1">VLOOKUP($A330&amp;$B330,data!$A:$U,16,FALSE)</f>
        <v>0</v>
      </c>
      <c r="L330" s="3">
        <f ca="1">VLOOKUP($A330&amp;$B330,data!$A:$U,8,FALSE)</f>
        <v>10</v>
      </c>
      <c r="M330" s="3">
        <f ca="1">VLOOKUP($A330&amp;$B330,data!$A:$U,9,FALSE)</f>
        <v>1</v>
      </c>
      <c r="N330" s="3">
        <f ca="1">VLOOKUP($A330&amp;$B330,data!$A:$U,10,FALSE)</f>
        <v>9</v>
      </c>
      <c r="O330" s="3">
        <f ca="1">VLOOKUP($A330&amp;$B330,data!$A:$U,11,FALSE)</f>
        <v>2</v>
      </c>
      <c r="P330" s="3">
        <f ca="1">VLOOKUP($A330&amp;$B330,data!$A:$U,12,FALSE)</f>
        <v>0</v>
      </c>
      <c r="Q330" s="3">
        <f ca="1">VLOOKUP($A330&amp;$B330,data!$A:$U,13,FALSE)</f>
        <v>2</v>
      </c>
      <c r="R330" s="3">
        <f ca="1">VLOOKUP($A330&amp;$B330,data!$A:$U,5,FALSE)</f>
        <v>12</v>
      </c>
      <c r="S330" s="3">
        <f ca="1">VLOOKUP($A330&amp;$B330,data!$A:$U,6,FALSE)</f>
        <v>1</v>
      </c>
      <c r="T330" s="3">
        <f ca="1">VLOOKUP($A330&amp;$B330,data!$A:$U,7,FALSE)</f>
        <v>11</v>
      </c>
    </row>
    <row r="331" spans="1:20" ht="13" x14ac:dyDescent="0.15">
      <c r="A331" s="3" t="s">
        <v>25</v>
      </c>
      <c r="B331" s="3" t="s">
        <v>906</v>
      </c>
      <c r="C331" s="10">
        <f t="shared" ca="1" si="0"/>
        <v>0</v>
      </c>
      <c r="D331" s="5">
        <f ca="1">VLOOKUP($A331&amp;$B331,data!$A:$U,20,FALSE)</f>
        <v>44305.290706018503</v>
      </c>
      <c r="E331" s="3" t="str">
        <f ca="1">VLOOKUP($A331&amp;$B331,data!$A:$U,21,FALSE)</f>
        <v>Covid center theni</v>
      </c>
      <c r="F331" s="3">
        <f ca="1">VLOOKUP($A331&amp;$B331,data!$A:$U,17,FALSE)</f>
        <v>0</v>
      </c>
      <c r="G331" s="3">
        <f ca="1">VLOOKUP($A331&amp;$B331,data!$A:$U,18,FALSE)</f>
        <v>0</v>
      </c>
      <c r="H331" s="3">
        <f ca="1">VLOOKUP($A331&amp;$B331,data!$A:$U,19,FALSE)</f>
        <v>0</v>
      </c>
      <c r="I331" s="3">
        <f ca="1">VLOOKUP($A331&amp;$B331,data!$A:$U,14,FALSE)</f>
        <v>3</v>
      </c>
      <c r="J331" s="3">
        <f ca="1">VLOOKUP($A331&amp;$B331,data!$A:$U,15,FALSE)</f>
        <v>0</v>
      </c>
      <c r="K331" s="3">
        <f ca="1">VLOOKUP($A331&amp;$B331,data!$A:$U,16,FALSE)</f>
        <v>0</v>
      </c>
      <c r="L331" s="3">
        <f ca="1">VLOOKUP($A331&amp;$B331,data!$A:$U,8,FALSE)</f>
        <v>10</v>
      </c>
      <c r="M331" s="3">
        <f ca="1">VLOOKUP($A331&amp;$B331,data!$A:$U,9,FALSE)</f>
        <v>0</v>
      </c>
      <c r="N331" s="3">
        <f ca="1">VLOOKUP($A331&amp;$B331,data!$A:$U,10,FALSE)</f>
        <v>0</v>
      </c>
      <c r="O331" s="3">
        <f ca="1">VLOOKUP($A331&amp;$B331,data!$A:$U,11,FALSE)</f>
        <v>10</v>
      </c>
      <c r="P331" s="3">
        <f ca="1">VLOOKUP($A331&amp;$B331,data!$A:$U,12,FALSE)</f>
        <v>0</v>
      </c>
      <c r="Q331" s="3">
        <f ca="1">VLOOKUP($A331&amp;$B331,data!$A:$U,13,FALSE)</f>
        <v>0</v>
      </c>
      <c r="R331" s="3">
        <f ca="1">VLOOKUP($A331&amp;$B331,data!$A:$U,5,FALSE)</f>
        <v>10</v>
      </c>
      <c r="S331" s="3">
        <f ca="1">VLOOKUP($A331&amp;$B331,data!$A:$U,6,FALSE)</f>
        <v>0</v>
      </c>
      <c r="T331" s="3">
        <f ca="1">VLOOKUP($A331&amp;$B331,data!$A:$U,7,FALSE)</f>
        <v>0</v>
      </c>
    </row>
    <row r="332" spans="1:20" ht="13" x14ac:dyDescent="0.15">
      <c r="A332" s="3" t="s">
        <v>26</v>
      </c>
      <c r="B332" s="3" t="s">
        <v>445</v>
      </c>
      <c r="C332" s="10">
        <f t="shared" ca="1" si="0"/>
        <v>1</v>
      </c>
      <c r="D332" s="5">
        <f ca="1">VLOOKUP($A332&amp;$B332,data!$A:$U,20,FALSE)</f>
        <v>44305.362048611103</v>
      </c>
      <c r="E332" s="3" t="str">
        <f ca="1">VLOOKUP($A332&amp;$B332,data!$A:$U,21,FALSE)</f>
        <v>19.04.2021</v>
      </c>
      <c r="F332" s="3">
        <f ca="1">VLOOKUP($A332&amp;$B332,data!$A:$U,17,FALSE)</f>
        <v>0</v>
      </c>
      <c r="G332" s="3">
        <f ca="1">VLOOKUP($A332&amp;$B332,data!$A:$U,18,FALSE)</f>
        <v>0</v>
      </c>
      <c r="H332" s="3">
        <f ca="1">VLOOKUP($A332&amp;$B332,data!$A:$U,19,FALSE)</f>
        <v>0</v>
      </c>
      <c r="I332" s="3">
        <f ca="1">VLOOKUP($A332&amp;$B332,data!$A:$U,14,FALSE)</f>
        <v>0</v>
      </c>
      <c r="J332" s="3">
        <f ca="1">VLOOKUP($A332&amp;$B332,data!$A:$U,15,FALSE)</f>
        <v>0</v>
      </c>
      <c r="K332" s="3">
        <f ca="1">VLOOKUP($A332&amp;$B332,data!$A:$U,16,FALSE)</f>
        <v>0</v>
      </c>
      <c r="L332" s="3">
        <f ca="1">VLOOKUP($A332&amp;$B332,data!$A:$U,8,FALSE)</f>
        <v>4</v>
      </c>
      <c r="M332" s="3">
        <f ca="1">VLOOKUP($A332&amp;$B332,data!$A:$U,9,FALSE)</f>
        <v>0</v>
      </c>
      <c r="N332" s="3">
        <f ca="1">VLOOKUP($A332&amp;$B332,data!$A:$U,10,FALSE)</f>
        <v>4</v>
      </c>
      <c r="O332" s="3">
        <f ca="1">VLOOKUP($A332&amp;$B332,data!$A:$U,11,FALSE)</f>
        <v>8</v>
      </c>
      <c r="P332" s="3">
        <f ca="1">VLOOKUP($A332&amp;$B332,data!$A:$U,12,FALSE)</f>
        <v>0</v>
      </c>
      <c r="Q332" s="3">
        <f ca="1">VLOOKUP($A332&amp;$B332,data!$A:$U,13,FALSE)</f>
        <v>8</v>
      </c>
      <c r="R332" s="3">
        <f ca="1">VLOOKUP($A332&amp;$B332,data!$A:$U,5,FALSE)</f>
        <v>12</v>
      </c>
      <c r="S332" s="3">
        <f ca="1">VLOOKUP($A332&amp;$B332,data!$A:$U,6,FALSE)</f>
        <v>0</v>
      </c>
      <c r="T332" s="3">
        <f ca="1">VLOOKUP($A332&amp;$B332,data!$A:$U,7,FALSE)</f>
        <v>12</v>
      </c>
    </row>
    <row r="333" spans="1:20" ht="13" x14ac:dyDescent="0.15">
      <c r="A333" s="3" t="s">
        <v>26</v>
      </c>
      <c r="B333" s="3" t="s">
        <v>446</v>
      </c>
      <c r="C333" s="10">
        <f t="shared" ca="1" si="0"/>
        <v>3.3333333333333333E-2</v>
      </c>
      <c r="D333" s="5">
        <f ca="1">VLOOKUP($A333&amp;$B333,data!$A:$U,20,FALSE)</f>
        <v>44305.4293287037</v>
      </c>
      <c r="E333" s="3" t="str">
        <f ca="1">VLOOKUP($A333&amp;$B333,data!$A:$U,21,FALSE)</f>
        <v>19.04.2021</v>
      </c>
      <c r="F333" s="3">
        <f ca="1">VLOOKUP($A333&amp;$B333,data!$A:$U,17,FALSE)</f>
        <v>2</v>
      </c>
      <c r="G333" s="3">
        <f ca="1">VLOOKUP($A333&amp;$B333,data!$A:$U,18,FALSE)</f>
        <v>0</v>
      </c>
      <c r="H333" s="3">
        <f ca="1">VLOOKUP($A333&amp;$B333,data!$A:$U,19,FALSE)</f>
        <v>2</v>
      </c>
      <c r="I333" s="3">
        <f ca="1">VLOOKUP($A333&amp;$B333,data!$A:$U,14,FALSE)</f>
        <v>0</v>
      </c>
      <c r="J333" s="3">
        <f ca="1">VLOOKUP($A333&amp;$B333,data!$A:$U,15,FALSE)</f>
        <v>0</v>
      </c>
      <c r="K333" s="3">
        <f ca="1">VLOOKUP($A333&amp;$B333,data!$A:$U,16,FALSE)</f>
        <v>0</v>
      </c>
      <c r="L333" s="3">
        <f ca="1">VLOOKUP($A333&amp;$B333,data!$A:$U,8,FALSE)</f>
        <v>0</v>
      </c>
      <c r="M333" s="3">
        <f ca="1">VLOOKUP($A333&amp;$B333,data!$A:$U,9,FALSE)</f>
        <v>0</v>
      </c>
      <c r="N333" s="3">
        <f ca="1">VLOOKUP($A333&amp;$B333,data!$A:$U,10,FALSE)</f>
        <v>0</v>
      </c>
      <c r="O333" s="3">
        <f ca="1">VLOOKUP($A333&amp;$B333,data!$A:$U,11,FALSE)</f>
        <v>15</v>
      </c>
      <c r="P333" s="3">
        <f ca="1">VLOOKUP($A333&amp;$B333,data!$A:$U,12,FALSE)</f>
        <v>15</v>
      </c>
      <c r="Q333" s="3">
        <f ca="1">VLOOKUP($A333&amp;$B333,data!$A:$U,13,FALSE)</f>
        <v>0</v>
      </c>
      <c r="R333" s="3">
        <f ca="1">VLOOKUP($A333&amp;$B333,data!$A:$U,5,FALSE)</f>
        <v>15</v>
      </c>
      <c r="S333" s="3">
        <f ca="1">VLOOKUP($A333&amp;$B333,data!$A:$U,6,FALSE)</f>
        <v>14</v>
      </c>
      <c r="T333" s="3">
        <f ca="1">VLOOKUP($A333&amp;$B333,data!$A:$U,7,FALSE)</f>
        <v>1</v>
      </c>
    </row>
    <row r="334" spans="1:20" ht="13" x14ac:dyDescent="0.15">
      <c r="A334" s="3" t="s">
        <v>26</v>
      </c>
      <c r="B334" s="3" t="s">
        <v>451</v>
      </c>
      <c r="C334" s="10" t="e">
        <f t="shared" ca="1" si="0"/>
        <v>#DIV/0!</v>
      </c>
      <c r="D334" s="5">
        <f ca="1">VLOOKUP($A334&amp;$B334,data!$A:$U,20,FALSE)</f>
        <v>44305.4355208333</v>
      </c>
      <c r="E334" s="3" t="str">
        <f ca="1">VLOOKUP($A334&amp;$B334,data!$A:$U,21,FALSE)</f>
        <v>19/04/2021</v>
      </c>
      <c r="F334" s="3">
        <f ca="1">VLOOKUP($A334&amp;$B334,data!$A:$U,17,FALSE)</f>
        <v>0</v>
      </c>
      <c r="G334" s="3">
        <f ca="1">VLOOKUP($A334&amp;$B334,data!$A:$U,18,FALSE)</f>
        <v>0</v>
      </c>
      <c r="H334" s="3">
        <f ca="1">VLOOKUP($A334&amp;$B334,data!$A:$U,19,FALSE)</f>
        <v>0</v>
      </c>
      <c r="I334" s="3">
        <f ca="1">VLOOKUP($A334&amp;$B334,data!$A:$U,14,FALSE)</f>
        <v>0</v>
      </c>
      <c r="J334" s="3">
        <f ca="1">VLOOKUP($A334&amp;$B334,data!$A:$U,15,FALSE)</f>
        <v>0</v>
      </c>
      <c r="K334" s="3">
        <f ca="1">VLOOKUP($A334&amp;$B334,data!$A:$U,16,FALSE)</f>
        <v>0</v>
      </c>
      <c r="L334" s="3">
        <f ca="1">VLOOKUP($A334&amp;$B334,data!$A:$U,8,FALSE)</f>
        <v>0</v>
      </c>
      <c r="M334" s="3">
        <f ca="1">VLOOKUP($A334&amp;$B334,data!$A:$U,9,FALSE)</f>
        <v>0</v>
      </c>
      <c r="N334" s="3">
        <f ca="1">VLOOKUP($A334&amp;$B334,data!$A:$U,10,FALSE)</f>
        <v>0</v>
      </c>
      <c r="O334" s="3">
        <f ca="1">VLOOKUP($A334&amp;$B334,data!$A:$U,11,FALSE)</f>
        <v>0</v>
      </c>
      <c r="P334" s="3">
        <f ca="1">VLOOKUP($A334&amp;$B334,data!$A:$U,12,FALSE)</f>
        <v>0</v>
      </c>
      <c r="Q334" s="3">
        <f ca="1">VLOOKUP($A334&amp;$B334,data!$A:$U,13,FALSE)</f>
        <v>0</v>
      </c>
      <c r="R334" s="3">
        <f ca="1">VLOOKUP($A334&amp;$B334,data!$A:$U,5,FALSE)</f>
        <v>0</v>
      </c>
      <c r="S334" s="3">
        <f ca="1">VLOOKUP($A334&amp;$B334,data!$A:$U,6,FALSE)</f>
        <v>0</v>
      </c>
      <c r="T334" s="3">
        <f ca="1">VLOOKUP($A334&amp;$B334,data!$A:$U,7,FALSE)</f>
        <v>0</v>
      </c>
    </row>
    <row r="335" spans="1:20" ht="13" x14ac:dyDescent="0.15">
      <c r="A335" s="3" t="s">
        <v>27</v>
      </c>
      <c r="B335" s="3" t="s">
        <v>629</v>
      </c>
      <c r="C335" s="10">
        <f t="shared" ca="1" si="0"/>
        <v>0.5</v>
      </c>
      <c r="D335" s="5">
        <f ca="1">VLOOKUP($A335&amp;$B335,data!$A:$U,20,FALSE)</f>
        <v>44305.412245370302</v>
      </c>
      <c r="E335" s="3" t="str">
        <f ca="1">VLOOKUP($A335&amp;$B335,data!$A:$U,21,FALSE)</f>
        <v>Nil</v>
      </c>
      <c r="F335" s="3">
        <f ca="1">VLOOKUP($A335&amp;$B335,data!$A:$U,17,FALSE)</f>
        <v>0</v>
      </c>
      <c r="G335" s="3">
        <f ca="1">VLOOKUP($A335&amp;$B335,data!$A:$U,18,FALSE)</f>
        <v>0</v>
      </c>
      <c r="H335" s="3">
        <f ca="1">VLOOKUP($A335&amp;$B335,data!$A:$U,19,FALSE)</f>
        <v>0</v>
      </c>
      <c r="I335" s="3">
        <f ca="1">VLOOKUP($A335&amp;$B335,data!$A:$U,14,FALSE)</f>
        <v>20</v>
      </c>
      <c r="J335" s="3">
        <f ca="1">VLOOKUP($A335&amp;$B335,data!$A:$U,15,FALSE)</f>
        <v>3</v>
      </c>
      <c r="K335" s="3">
        <f ca="1">VLOOKUP($A335&amp;$B335,data!$A:$U,16,FALSE)</f>
        <v>17</v>
      </c>
      <c r="L335" s="3">
        <f ca="1">VLOOKUP($A335&amp;$B335,data!$A:$U,8,FALSE)</f>
        <v>90</v>
      </c>
      <c r="M335" s="3">
        <f ca="1">VLOOKUP($A335&amp;$B335,data!$A:$U,9,FALSE)</f>
        <v>18</v>
      </c>
      <c r="N335" s="3">
        <f ca="1">VLOOKUP($A335&amp;$B335,data!$A:$U,10,FALSE)</f>
        <v>72</v>
      </c>
      <c r="O335" s="3">
        <f ca="1">VLOOKUP($A335&amp;$B335,data!$A:$U,11,FALSE)</f>
        <v>90</v>
      </c>
      <c r="P335" s="3">
        <f ca="1">VLOOKUP($A335&amp;$B335,data!$A:$U,12,FALSE)</f>
        <v>79</v>
      </c>
      <c r="Q335" s="3">
        <f ca="1">VLOOKUP($A335&amp;$B335,data!$A:$U,13,FALSE)</f>
        <v>11</v>
      </c>
      <c r="R335" s="3">
        <f ca="1">VLOOKUP($A335&amp;$B335,data!$A:$U,5,FALSE)</f>
        <v>200</v>
      </c>
      <c r="S335" s="3">
        <f ca="1">VLOOKUP($A335&amp;$B335,data!$A:$U,6,FALSE)</f>
        <v>100</v>
      </c>
      <c r="T335" s="3">
        <f ca="1">VLOOKUP($A335&amp;$B335,data!$A:$U,7,FALSE)</f>
        <v>100</v>
      </c>
    </row>
    <row r="336" spans="1:20" ht="13" x14ac:dyDescent="0.15">
      <c r="A336" s="3" t="s">
        <v>27</v>
      </c>
      <c r="B336" s="3" t="s">
        <v>608</v>
      </c>
      <c r="C336" s="10">
        <f t="shared" ca="1" si="0"/>
        <v>0.77777777777777779</v>
      </c>
      <c r="D336" s="5">
        <f ca="1">VLOOKUP($A336&amp;$B336,data!$A:$U,20,FALSE)</f>
        <v>44305.384409722203</v>
      </c>
      <c r="E336" s="3" t="str">
        <f ca="1">VLOOKUP($A336&amp;$B336,data!$A:$U,21,FALSE)</f>
        <v>Nil</v>
      </c>
      <c r="F336" s="3">
        <f ca="1">VLOOKUP($A336&amp;$B336,data!$A:$U,17,FALSE)</f>
        <v>2</v>
      </c>
      <c r="G336" s="3">
        <f ca="1">VLOOKUP($A336&amp;$B336,data!$A:$U,18,FALSE)</f>
        <v>0</v>
      </c>
      <c r="H336" s="3">
        <f ca="1">VLOOKUP($A336&amp;$B336,data!$A:$U,19,FALSE)</f>
        <v>2</v>
      </c>
      <c r="I336" s="3">
        <f ca="1">VLOOKUP($A336&amp;$B336,data!$A:$U,14,FALSE)</f>
        <v>20</v>
      </c>
      <c r="J336" s="3">
        <f ca="1">VLOOKUP($A336&amp;$B336,data!$A:$U,15,FALSE)</f>
        <v>0</v>
      </c>
      <c r="K336" s="3">
        <f ca="1">VLOOKUP($A336&amp;$B336,data!$A:$U,16,FALSE)</f>
        <v>20</v>
      </c>
      <c r="L336" s="3">
        <f ca="1">VLOOKUP($A336&amp;$B336,data!$A:$U,8,FALSE)</f>
        <v>10</v>
      </c>
      <c r="M336" s="3">
        <f ca="1">VLOOKUP($A336&amp;$B336,data!$A:$U,9,FALSE)</f>
        <v>2</v>
      </c>
      <c r="N336" s="3">
        <f ca="1">VLOOKUP($A336&amp;$B336,data!$A:$U,10,FALSE)</f>
        <v>8</v>
      </c>
      <c r="O336" s="3">
        <f ca="1">VLOOKUP($A336&amp;$B336,data!$A:$U,11,FALSE)</f>
        <v>20</v>
      </c>
      <c r="P336" s="3">
        <f ca="1">VLOOKUP($A336&amp;$B336,data!$A:$U,12,FALSE)</f>
        <v>8</v>
      </c>
      <c r="Q336" s="3">
        <f ca="1">VLOOKUP($A336&amp;$B336,data!$A:$U,13,FALSE)</f>
        <v>12</v>
      </c>
      <c r="R336" s="3">
        <f ca="1">VLOOKUP($A336&amp;$B336,data!$A:$U,5,FALSE)</f>
        <v>40</v>
      </c>
      <c r="S336" s="3">
        <f ca="1">VLOOKUP($A336&amp;$B336,data!$A:$U,6,FALSE)</f>
        <v>10</v>
      </c>
      <c r="T336" s="3">
        <f ca="1">VLOOKUP($A336&amp;$B336,data!$A:$U,7,FALSE)</f>
        <v>30</v>
      </c>
    </row>
    <row r="337" spans="1:20" ht="13" x14ac:dyDescent="0.15">
      <c r="A337" s="3" t="s">
        <v>27</v>
      </c>
      <c r="B337" s="3" t="s">
        <v>920</v>
      </c>
      <c r="C337" s="10">
        <f t="shared" ca="1" si="0"/>
        <v>0.8833333333333333</v>
      </c>
      <c r="D337" s="5">
        <f ca="1">VLOOKUP($A337&amp;$B337,data!$A:$U,20,FALSE)</f>
        <v>44305.398587962904</v>
      </c>
      <c r="E337" s="3">
        <f ca="1">VLOOKUP($A337&amp;$B337,data!$A:$U,21,FALSE)</f>
        <v>0</v>
      </c>
      <c r="F337" s="3">
        <f ca="1">VLOOKUP($A337&amp;$B337,data!$A:$U,17,FALSE)</f>
        <v>2</v>
      </c>
      <c r="G337" s="3">
        <f ca="1">VLOOKUP($A337&amp;$B337,data!$A:$U,18,FALSE)</f>
        <v>0</v>
      </c>
      <c r="H337" s="3">
        <f ca="1">VLOOKUP($A337&amp;$B337,data!$A:$U,19,FALSE)</f>
        <v>2</v>
      </c>
      <c r="I337" s="3">
        <f ca="1">VLOOKUP($A337&amp;$B337,data!$A:$U,14,FALSE)</f>
        <v>2</v>
      </c>
      <c r="J337" s="3">
        <f ca="1">VLOOKUP($A337&amp;$B337,data!$A:$U,15,FALSE)</f>
        <v>0</v>
      </c>
      <c r="K337" s="3">
        <f ca="1">VLOOKUP($A337&amp;$B337,data!$A:$U,16,FALSE)</f>
        <v>2</v>
      </c>
      <c r="L337" s="3">
        <f ca="1">VLOOKUP($A337&amp;$B337,data!$A:$U,8,FALSE)</f>
        <v>24</v>
      </c>
      <c r="M337" s="3">
        <f ca="1">VLOOKUP($A337&amp;$B337,data!$A:$U,9,FALSE)</f>
        <v>1</v>
      </c>
      <c r="N337" s="3">
        <f ca="1">VLOOKUP($A337&amp;$B337,data!$A:$U,10,FALSE)</f>
        <v>23</v>
      </c>
      <c r="O337" s="3">
        <f ca="1">VLOOKUP($A337&amp;$B337,data!$A:$U,11,FALSE)</f>
        <v>4</v>
      </c>
      <c r="P337" s="3">
        <f ca="1">VLOOKUP($A337&amp;$B337,data!$A:$U,12,FALSE)</f>
        <v>0</v>
      </c>
      <c r="Q337" s="3">
        <f ca="1">VLOOKUP($A337&amp;$B337,data!$A:$U,13,FALSE)</f>
        <v>4</v>
      </c>
      <c r="R337" s="3">
        <f ca="1">VLOOKUP($A337&amp;$B337,data!$A:$U,5,FALSE)</f>
        <v>30</v>
      </c>
      <c r="S337" s="3">
        <f ca="1">VLOOKUP($A337&amp;$B337,data!$A:$U,6,FALSE)</f>
        <v>6</v>
      </c>
      <c r="T337" s="3">
        <f ca="1">VLOOKUP($A337&amp;$B337,data!$A:$U,7,FALSE)</f>
        <v>24</v>
      </c>
    </row>
    <row r="338" spans="1:20" ht="13" x14ac:dyDescent="0.15">
      <c r="A338" s="3" t="s">
        <v>27</v>
      </c>
      <c r="B338" s="3" t="s">
        <v>611</v>
      </c>
      <c r="C338" s="10">
        <f t="shared" ca="1" si="0"/>
        <v>1</v>
      </c>
      <c r="D338" s="5">
        <f ca="1">VLOOKUP($A338&amp;$B338,data!$A:$U,20,FALSE)</f>
        <v>44305.382129629601</v>
      </c>
      <c r="E338" s="3" t="str">
        <f ca="1">VLOOKUP($A338&amp;$B338,data!$A:$U,21,FALSE)</f>
        <v>Nil</v>
      </c>
      <c r="F338" s="3">
        <f ca="1">VLOOKUP($A338&amp;$B338,data!$A:$U,17,FALSE)</f>
        <v>2</v>
      </c>
      <c r="G338" s="3">
        <f ca="1">VLOOKUP($A338&amp;$B338,data!$A:$U,18,FALSE)</f>
        <v>0</v>
      </c>
      <c r="H338" s="3">
        <f ca="1">VLOOKUP($A338&amp;$B338,data!$A:$U,19,FALSE)</f>
        <v>2</v>
      </c>
      <c r="I338" s="3">
        <f ca="1">VLOOKUP($A338&amp;$B338,data!$A:$U,14,FALSE)</f>
        <v>2</v>
      </c>
      <c r="J338" s="3">
        <f ca="1">VLOOKUP($A338&amp;$B338,data!$A:$U,15,FALSE)</f>
        <v>0</v>
      </c>
      <c r="K338" s="3">
        <f ca="1">VLOOKUP($A338&amp;$B338,data!$A:$U,16,FALSE)</f>
        <v>2</v>
      </c>
      <c r="L338" s="3">
        <f ca="1">VLOOKUP($A338&amp;$B338,data!$A:$U,8,FALSE)</f>
        <v>2</v>
      </c>
      <c r="M338" s="3">
        <f ca="1">VLOOKUP($A338&amp;$B338,data!$A:$U,9,FALSE)</f>
        <v>0</v>
      </c>
      <c r="N338" s="3">
        <f ca="1">VLOOKUP($A338&amp;$B338,data!$A:$U,10,FALSE)</f>
        <v>2</v>
      </c>
      <c r="O338" s="3">
        <f ca="1">VLOOKUP($A338&amp;$B338,data!$A:$U,11,FALSE)</f>
        <v>22</v>
      </c>
      <c r="P338" s="3">
        <f ca="1">VLOOKUP($A338&amp;$B338,data!$A:$U,12,FALSE)</f>
        <v>0</v>
      </c>
      <c r="Q338" s="3">
        <f ca="1">VLOOKUP($A338&amp;$B338,data!$A:$U,13,FALSE)</f>
        <v>22</v>
      </c>
      <c r="R338" s="3">
        <f ca="1">VLOOKUP($A338&amp;$B338,data!$A:$U,5,FALSE)</f>
        <v>26</v>
      </c>
      <c r="S338" s="3">
        <f ca="1">VLOOKUP($A338&amp;$B338,data!$A:$U,6,FALSE)</f>
        <v>0</v>
      </c>
      <c r="T338" s="3">
        <f ca="1">VLOOKUP($A338&amp;$B338,data!$A:$U,7,FALSE)</f>
        <v>26</v>
      </c>
    </row>
    <row r="339" spans="1:20" ht="13" x14ac:dyDescent="0.15">
      <c r="A339" s="3" t="s">
        <v>27</v>
      </c>
      <c r="B339" s="3" t="s">
        <v>926</v>
      </c>
      <c r="C339" s="10">
        <f t="shared" ca="1" si="0"/>
        <v>1</v>
      </c>
      <c r="D339" s="5">
        <f ca="1">VLOOKUP($A339&amp;$B339,data!$A:$U,20,FALSE)</f>
        <v>44305.365231481403</v>
      </c>
      <c r="E339" s="3">
        <f ca="1">VLOOKUP($A339&amp;$B339,data!$A:$U,21,FALSE)</f>
        <v>0</v>
      </c>
      <c r="F339" s="3">
        <f ca="1">VLOOKUP($A339&amp;$B339,data!$A:$U,17,FALSE)</f>
        <v>1</v>
      </c>
      <c r="G339" s="3">
        <f ca="1">VLOOKUP($A339&amp;$B339,data!$A:$U,18,FALSE)</f>
        <v>0</v>
      </c>
      <c r="H339" s="3">
        <f ca="1">VLOOKUP($A339&amp;$B339,data!$A:$U,19,FALSE)</f>
        <v>1</v>
      </c>
      <c r="I339" s="3">
        <f ca="1">VLOOKUP($A339&amp;$B339,data!$A:$U,14,FALSE)</f>
        <v>2</v>
      </c>
      <c r="J339" s="3">
        <f ca="1">VLOOKUP($A339&amp;$B339,data!$A:$U,15,FALSE)</f>
        <v>0</v>
      </c>
      <c r="K339" s="3">
        <f ca="1">VLOOKUP($A339&amp;$B339,data!$A:$U,16,FALSE)</f>
        <v>2</v>
      </c>
      <c r="L339" s="3">
        <f ca="1">VLOOKUP($A339&amp;$B339,data!$A:$U,8,FALSE)</f>
        <v>18</v>
      </c>
      <c r="M339" s="3">
        <f ca="1">VLOOKUP($A339&amp;$B339,data!$A:$U,9,FALSE)</f>
        <v>0</v>
      </c>
      <c r="N339" s="3">
        <f ca="1">VLOOKUP($A339&amp;$B339,data!$A:$U,10,FALSE)</f>
        <v>18</v>
      </c>
      <c r="O339" s="3">
        <f ca="1">VLOOKUP($A339&amp;$B339,data!$A:$U,11,FALSE)</f>
        <v>2</v>
      </c>
      <c r="P339" s="3">
        <f ca="1">VLOOKUP($A339&amp;$B339,data!$A:$U,12,FALSE)</f>
        <v>0</v>
      </c>
      <c r="Q339" s="3">
        <f ca="1">VLOOKUP($A339&amp;$B339,data!$A:$U,13,FALSE)</f>
        <v>2</v>
      </c>
      <c r="R339" s="3">
        <f ca="1">VLOOKUP($A339&amp;$B339,data!$A:$U,5,FALSE)</f>
        <v>20</v>
      </c>
      <c r="S339" s="3">
        <f ca="1">VLOOKUP($A339&amp;$B339,data!$A:$U,6,FALSE)</f>
        <v>0</v>
      </c>
      <c r="T339" s="3">
        <f ca="1">VLOOKUP($A339&amp;$B339,data!$A:$U,7,FALSE)</f>
        <v>20</v>
      </c>
    </row>
    <row r="340" spans="1:20" ht="13" x14ac:dyDescent="0.15">
      <c r="A340" s="3" t="s">
        <v>27</v>
      </c>
      <c r="B340" s="3" t="s">
        <v>620</v>
      </c>
      <c r="C340" s="10">
        <f t="shared" ca="1" si="0"/>
        <v>0.31</v>
      </c>
      <c r="D340" s="5">
        <f ca="1">VLOOKUP($A340&amp;$B340,data!$A:$U,20,FALSE)</f>
        <v>44305.380312499998</v>
      </c>
      <c r="E340" s="3">
        <f ca="1">VLOOKUP($A340&amp;$B340,data!$A:$U,21,FALSE)</f>
        <v>0</v>
      </c>
      <c r="F340" s="3">
        <f ca="1">VLOOKUP($A340&amp;$B340,data!$A:$U,17,FALSE)</f>
        <v>4</v>
      </c>
      <c r="G340" s="3">
        <f ca="1">VLOOKUP($A340&amp;$B340,data!$A:$U,18,FALSE)</f>
        <v>2</v>
      </c>
      <c r="H340" s="3">
        <f ca="1">VLOOKUP($A340&amp;$B340,data!$A:$U,19,FALSE)</f>
        <v>2</v>
      </c>
      <c r="I340" s="3">
        <f ca="1">VLOOKUP($A340&amp;$B340,data!$A:$U,14,FALSE)</f>
        <v>10</v>
      </c>
      <c r="J340" s="3">
        <f ca="1">VLOOKUP($A340&amp;$B340,data!$A:$U,15,FALSE)</f>
        <v>7</v>
      </c>
      <c r="K340" s="3">
        <f ca="1">VLOOKUP($A340&amp;$B340,data!$A:$U,16,FALSE)</f>
        <v>3</v>
      </c>
      <c r="L340" s="3">
        <f ca="1">VLOOKUP($A340&amp;$B340,data!$A:$U,8,FALSE)</f>
        <v>30</v>
      </c>
      <c r="M340" s="3">
        <f ca="1">VLOOKUP($A340&amp;$B340,data!$A:$U,9,FALSE)</f>
        <v>23</v>
      </c>
      <c r="N340" s="3">
        <f ca="1">VLOOKUP($A340&amp;$B340,data!$A:$U,10,FALSE)</f>
        <v>7</v>
      </c>
      <c r="O340" s="3">
        <f ca="1">VLOOKUP($A340&amp;$B340,data!$A:$U,11,FALSE)</f>
        <v>10</v>
      </c>
      <c r="P340" s="3">
        <f ca="1">VLOOKUP($A340&amp;$B340,data!$A:$U,12,FALSE)</f>
        <v>5</v>
      </c>
      <c r="Q340" s="3">
        <f ca="1">VLOOKUP($A340&amp;$B340,data!$A:$U,13,FALSE)</f>
        <v>5</v>
      </c>
      <c r="R340" s="3">
        <f ca="1">VLOOKUP($A340&amp;$B340,data!$A:$U,5,FALSE)</f>
        <v>50</v>
      </c>
      <c r="S340" s="3">
        <f ca="1">VLOOKUP($A340&amp;$B340,data!$A:$U,6,FALSE)</f>
        <v>34</v>
      </c>
      <c r="T340" s="3">
        <f ca="1">VLOOKUP($A340&amp;$B340,data!$A:$U,7,FALSE)</f>
        <v>16</v>
      </c>
    </row>
    <row r="341" spans="1:20" ht="13" x14ac:dyDescent="0.15">
      <c r="A341" s="3" t="s">
        <v>27</v>
      </c>
      <c r="B341" s="3" t="s">
        <v>635</v>
      </c>
      <c r="C341" s="10">
        <f t="shared" ca="1" si="0"/>
        <v>0.43243243243243246</v>
      </c>
      <c r="D341" s="5">
        <f ca="1">VLOOKUP($A341&amp;$B341,data!$A:$U,20,FALSE)</f>
        <v>44305.405624999999</v>
      </c>
      <c r="E341" s="3" t="str">
        <f ca="1">VLOOKUP($A341&amp;$B341,data!$A:$U,21,FALSE)</f>
        <v>Nil</v>
      </c>
      <c r="F341" s="3">
        <f ca="1">VLOOKUP($A341&amp;$B341,data!$A:$U,17,FALSE)</f>
        <v>2</v>
      </c>
      <c r="G341" s="3">
        <f ca="1">VLOOKUP($A341&amp;$B341,data!$A:$U,18,FALSE)</f>
        <v>0</v>
      </c>
      <c r="H341" s="3">
        <f ca="1">VLOOKUP($A341&amp;$B341,data!$A:$U,19,FALSE)</f>
        <v>2</v>
      </c>
      <c r="I341" s="3">
        <f ca="1">VLOOKUP($A341&amp;$B341,data!$A:$U,14,FALSE)</f>
        <v>8</v>
      </c>
      <c r="J341" s="3">
        <f ca="1">VLOOKUP($A341&amp;$B341,data!$A:$U,15,FALSE)</f>
        <v>6</v>
      </c>
      <c r="K341" s="3">
        <f ca="1">VLOOKUP($A341&amp;$B341,data!$A:$U,16,FALSE)</f>
        <v>2</v>
      </c>
      <c r="L341" s="3">
        <f ca="1">VLOOKUP($A341&amp;$B341,data!$A:$U,8,FALSE)</f>
        <v>15</v>
      </c>
      <c r="M341" s="3">
        <f ca="1">VLOOKUP($A341&amp;$B341,data!$A:$U,9,FALSE)</f>
        <v>11</v>
      </c>
      <c r="N341" s="3">
        <f ca="1">VLOOKUP($A341&amp;$B341,data!$A:$U,10,FALSE)</f>
        <v>4</v>
      </c>
      <c r="O341" s="3">
        <f ca="1">VLOOKUP($A341&amp;$B341,data!$A:$U,11,FALSE)</f>
        <v>18</v>
      </c>
      <c r="P341" s="3">
        <f ca="1">VLOOKUP($A341&amp;$B341,data!$A:$U,12,FALSE)</f>
        <v>7</v>
      </c>
      <c r="Q341" s="3">
        <f ca="1">VLOOKUP($A341&amp;$B341,data!$A:$U,13,FALSE)</f>
        <v>11</v>
      </c>
      <c r="R341" s="3">
        <f ca="1">VLOOKUP($A341&amp;$B341,data!$A:$U,5,FALSE)</f>
        <v>33</v>
      </c>
      <c r="S341" s="3">
        <f ca="1">VLOOKUP($A341&amp;$B341,data!$A:$U,6,FALSE)</f>
        <v>18</v>
      </c>
      <c r="T341" s="3">
        <f ca="1">VLOOKUP($A341&amp;$B341,data!$A:$U,7,FALSE)</f>
        <v>15</v>
      </c>
    </row>
    <row r="342" spans="1:20" ht="13" x14ac:dyDescent="0.15">
      <c r="A342" s="3" t="s">
        <v>27</v>
      </c>
      <c r="B342" s="3" t="s">
        <v>780</v>
      </c>
      <c r="C342" s="10">
        <f t="shared" ca="1" si="0"/>
        <v>3.0303030303030304E-2</v>
      </c>
      <c r="D342" s="5">
        <f ca="1">VLOOKUP($A342&amp;$B342,data!$A:$U,20,FALSE)</f>
        <v>44305.463726851798</v>
      </c>
      <c r="E342" s="3">
        <f ca="1">VLOOKUP($A342&amp;$B342,data!$A:$U,21,FALSE)</f>
        <v>0</v>
      </c>
      <c r="F342" s="3">
        <f ca="1">VLOOKUP($A342&amp;$B342,data!$A:$U,17,FALSE)</f>
        <v>1</v>
      </c>
      <c r="G342" s="3">
        <f ca="1">VLOOKUP($A342&amp;$B342,data!$A:$U,18,FALSE)</f>
        <v>0</v>
      </c>
      <c r="H342" s="3">
        <f ca="1">VLOOKUP($A342&amp;$B342,data!$A:$U,19,FALSE)</f>
        <v>1</v>
      </c>
      <c r="I342" s="3">
        <f ca="1">VLOOKUP($A342&amp;$B342,data!$A:$U,14,FALSE)</f>
        <v>3</v>
      </c>
      <c r="J342" s="3">
        <f ca="1">VLOOKUP($A342&amp;$B342,data!$A:$U,15,FALSE)</f>
        <v>2</v>
      </c>
      <c r="K342" s="3">
        <f ca="1">VLOOKUP($A342&amp;$B342,data!$A:$U,16,FALSE)</f>
        <v>1</v>
      </c>
      <c r="L342" s="3">
        <f ca="1">VLOOKUP($A342&amp;$B342,data!$A:$U,8,FALSE)</f>
        <v>15</v>
      </c>
      <c r="M342" s="3">
        <f ca="1">VLOOKUP($A342&amp;$B342,data!$A:$U,9,FALSE)</f>
        <v>15</v>
      </c>
      <c r="N342" s="3">
        <f ca="1">VLOOKUP($A342&amp;$B342,data!$A:$U,10,FALSE)</f>
        <v>0</v>
      </c>
      <c r="O342" s="3">
        <f ca="1">VLOOKUP($A342&amp;$B342,data!$A:$U,11,FALSE)</f>
        <v>0</v>
      </c>
      <c r="P342" s="3">
        <f ca="1">VLOOKUP($A342&amp;$B342,data!$A:$U,12,FALSE)</f>
        <v>0</v>
      </c>
      <c r="Q342" s="3">
        <f ca="1">VLOOKUP($A342&amp;$B342,data!$A:$U,13,FALSE)</f>
        <v>0</v>
      </c>
      <c r="R342" s="3">
        <f ca="1">VLOOKUP($A342&amp;$B342,data!$A:$U,5,FALSE)</f>
        <v>15</v>
      </c>
      <c r="S342" s="3">
        <f ca="1">VLOOKUP($A342&amp;$B342,data!$A:$U,6,FALSE)</f>
        <v>15</v>
      </c>
      <c r="T342" s="3">
        <f ca="1">VLOOKUP($A342&amp;$B342,data!$A:$U,7,FALSE)</f>
        <v>0</v>
      </c>
    </row>
    <row r="343" spans="1:20" ht="13" x14ac:dyDescent="0.15">
      <c r="A343" s="3" t="s">
        <v>27</v>
      </c>
      <c r="B343" s="3" t="s">
        <v>969</v>
      </c>
      <c r="C343" s="10">
        <f t="shared" ca="1" si="0"/>
        <v>1</v>
      </c>
      <c r="D343" s="5">
        <f ca="1">VLOOKUP($A343&amp;$B343,data!$A:$U,20,FALSE)</f>
        <v>44305.363981481401</v>
      </c>
      <c r="E343" s="3">
        <f ca="1">VLOOKUP($A343&amp;$B343,data!$A:$U,21,FALSE)</f>
        <v>0</v>
      </c>
      <c r="F343" s="3">
        <f ca="1">VLOOKUP($A343&amp;$B343,data!$A:$U,17,FALSE)</f>
        <v>5</v>
      </c>
      <c r="G343" s="3">
        <f ca="1">VLOOKUP($A343&amp;$B343,data!$A:$U,18,FALSE)</f>
        <v>0</v>
      </c>
      <c r="H343" s="3">
        <f ca="1">VLOOKUP($A343&amp;$B343,data!$A:$U,19,FALSE)</f>
        <v>5</v>
      </c>
      <c r="I343" s="3">
        <f ca="1">VLOOKUP($A343&amp;$B343,data!$A:$U,14,FALSE)</f>
        <v>2</v>
      </c>
      <c r="J343" s="3">
        <f ca="1">VLOOKUP($A343&amp;$B343,data!$A:$U,15,FALSE)</f>
        <v>0</v>
      </c>
      <c r="K343" s="3">
        <f ca="1">VLOOKUP($A343&amp;$B343,data!$A:$U,16,FALSE)</f>
        <v>2</v>
      </c>
      <c r="L343" s="3">
        <f ca="1">VLOOKUP($A343&amp;$B343,data!$A:$U,8,FALSE)</f>
        <v>10</v>
      </c>
      <c r="M343" s="3">
        <f ca="1">VLOOKUP($A343&amp;$B343,data!$A:$U,9,FALSE)</f>
        <v>0</v>
      </c>
      <c r="N343" s="3">
        <f ca="1">VLOOKUP($A343&amp;$B343,data!$A:$U,10,FALSE)</f>
        <v>10</v>
      </c>
      <c r="O343" s="3">
        <f ca="1">VLOOKUP($A343&amp;$B343,data!$A:$U,11,FALSE)</f>
        <v>3</v>
      </c>
      <c r="P343" s="3">
        <f ca="1">VLOOKUP($A343&amp;$B343,data!$A:$U,12,FALSE)</f>
        <v>0</v>
      </c>
      <c r="Q343" s="3">
        <f ca="1">VLOOKUP($A343&amp;$B343,data!$A:$U,13,FALSE)</f>
        <v>3</v>
      </c>
      <c r="R343" s="3">
        <f ca="1">VLOOKUP($A343&amp;$B343,data!$A:$U,5,FALSE)</f>
        <v>15</v>
      </c>
      <c r="S343" s="3">
        <f ca="1">VLOOKUP($A343&amp;$B343,data!$A:$U,6,FALSE)</f>
        <v>0</v>
      </c>
      <c r="T343" s="3">
        <f ca="1">VLOOKUP($A343&amp;$B343,data!$A:$U,7,FALSE)</f>
        <v>15</v>
      </c>
    </row>
    <row r="344" spans="1:20" ht="13" x14ac:dyDescent="0.15">
      <c r="A344" s="3" t="s">
        <v>27</v>
      </c>
      <c r="B344" s="3" t="s">
        <v>915</v>
      </c>
      <c r="C344" s="10">
        <f t="shared" ca="1" si="0"/>
        <v>0.8666666666666667</v>
      </c>
      <c r="D344" s="5">
        <f ca="1">VLOOKUP($A344&amp;$B344,data!$A:$U,20,FALSE)</f>
        <v>44305.335821759203</v>
      </c>
      <c r="E344" s="3" t="str">
        <f ca="1">VLOOKUP($A344&amp;$B344,data!$A:$U,21,FALSE)</f>
        <v>CT POSITIVE.</v>
      </c>
      <c r="F344" s="3">
        <f ca="1">VLOOKUP($A344&amp;$B344,data!$A:$U,17,FALSE)</f>
        <v>1</v>
      </c>
      <c r="G344" s="3">
        <f ca="1">VLOOKUP($A344&amp;$B344,data!$A:$U,18,FALSE)</f>
        <v>0</v>
      </c>
      <c r="H344" s="3">
        <f ca="1">VLOOKUP($A344&amp;$B344,data!$A:$U,19,FALSE)</f>
        <v>1</v>
      </c>
      <c r="I344" s="3">
        <f ca="1">VLOOKUP($A344&amp;$B344,data!$A:$U,14,FALSE)</f>
        <v>1</v>
      </c>
      <c r="J344" s="3">
        <f ca="1">VLOOKUP($A344&amp;$B344,data!$A:$U,15,FALSE)</f>
        <v>1</v>
      </c>
      <c r="K344" s="3">
        <f ca="1">VLOOKUP($A344&amp;$B344,data!$A:$U,16,FALSE)</f>
        <v>0</v>
      </c>
      <c r="L344" s="3">
        <f ca="1">VLOOKUP($A344&amp;$B344,data!$A:$U,8,FALSE)</f>
        <v>6</v>
      </c>
      <c r="M344" s="3">
        <f ca="1">VLOOKUP($A344&amp;$B344,data!$A:$U,9,FALSE)</f>
        <v>0</v>
      </c>
      <c r="N344" s="3">
        <f ca="1">VLOOKUP($A344&amp;$B344,data!$A:$U,10,FALSE)</f>
        <v>6</v>
      </c>
      <c r="O344" s="3">
        <f ca="1">VLOOKUP($A344&amp;$B344,data!$A:$U,11,FALSE)</f>
        <v>8</v>
      </c>
      <c r="P344" s="3">
        <f ca="1">VLOOKUP($A344&amp;$B344,data!$A:$U,12,FALSE)</f>
        <v>1</v>
      </c>
      <c r="Q344" s="3">
        <f ca="1">VLOOKUP($A344&amp;$B344,data!$A:$U,13,FALSE)</f>
        <v>7</v>
      </c>
      <c r="R344" s="3">
        <f ca="1">VLOOKUP($A344&amp;$B344,data!$A:$U,5,FALSE)</f>
        <v>15</v>
      </c>
      <c r="S344" s="3">
        <f ca="1">VLOOKUP($A344&amp;$B344,data!$A:$U,6,FALSE)</f>
        <v>2</v>
      </c>
      <c r="T344" s="3">
        <f ca="1">VLOOKUP($A344&amp;$B344,data!$A:$U,7,FALSE)</f>
        <v>13</v>
      </c>
    </row>
    <row r="345" spans="1:20" ht="13" x14ac:dyDescent="0.15">
      <c r="A345" s="3" t="s">
        <v>27</v>
      </c>
      <c r="B345" s="3" t="s">
        <v>1199</v>
      </c>
      <c r="C345" s="10">
        <f t="shared" ca="1" si="0"/>
        <v>0.7</v>
      </c>
      <c r="D345" s="5">
        <f ca="1">VLOOKUP($A345&amp;$B345,data!$A:$U,20,FALSE)</f>
        <v>44305.481608796297</v>
      </c>
      <c r="E345" s="3" t="str">
        <f ca="1">VLOOKUP($A345&amp;$B345,data!$A:$U,21,FALSE)</f>
        <v>COVID-19-3 Sari, Ili &amp; Ct Chest Positive -6.</v>
      </c>
      <c r="F345" s="3">
        <f ca="1">VLOOKUP($A345&amp;$B345,data!$A:$U,17,FALSE)</f>
        <v>1</v>
      </c>
      <c r="G345" s="3">
        <f ca="1">VLOOKUP($A345&amp;$B345,data!$A:$U,18,FALSE)</f>
        <v>0</v>
      </c>
      <c r="H345" s="3">
        <f ca="1">VLOOKUP($A345&amp;$B345,data!$A:$U,19,FALSE)</f>
        <v>1</v>
      </c>
      <c r="I345" s="3">
        <f ca="1">VLOOKUP($A345&amp;$B345,data!$A:$U,14,FALSE)</f>
        <v>6</v>
      </c>
      <c r="J345" s="3">
        <f ca="1">VLOOKUP($A345&amp;$B345,data!$A:$U,15,FALSE)</f>
        <v>0</v>
      </c>
      <c r="K345" s="3">
        <f ca="1">VLOOKUP($A345&amp;$B345,data!$A:$U,16,FALSE)</f>
        <v>6</v>
      </c>
      <c r="L345" s="3">
        <f ca="1">VLOOKUP($A345&amp;$B345,data!$A:$U,8,FALSE)</f>
        <v>12</v>
      </c>
      <c r="M345" s="3">
        <f ca="1">VLOOKUP($A345&amp;$B345,data!$A:$U,9,FALSE)</f>
        <v>3</v>
      </c>
      <c r="N345" s="3">
        <f ca="1">VLOOKUP($A345&amp;$B345,data!$A:$U,10,FALSE)</f>
        <v>9</v>
      </c>
      <c r="O345" s="3">
        <f ca="1">VLOOKUP($A345&amp;$B345,data!$A:$U,11,FALSE)</f>
        <v>2</v>
      </c>
      <c r="P345" s="3">
        <f ca="1">VLOOKUP($A345&amp;$B345,data!$A:$U,12,FALSE)</f>
        <v>0</v>
      </c>
      <c r="Q345" s="3">
        <f ca="1">VLOOKUP($A345&amp;$B345,data!$A:$U,13,FALSE)</f>
        <v>2</v>
      </c>
      <c r="R345" s="3">
        <f ca="1">VLOOKUP($A345&amp;$B345,data!$A:$U,5,FALSE)</f>
        <v>20</v>
      </c>
      <c r="S345" s="3">
        <f ca="1">VLOOKUP($A345&amp;$B345,data!$A:$U,6,FALSE)</f>
        <v>3</v>
      </c>
      <c r="T345" s="3">
        <f ca="1">VLOOKUP($A345&amp;$B345,data!$A:$U,7,FALSE)</f>
        <v>11</v>
      </c>
    </row>
    <row r="346" spans="1:20" ht="13" x14ac:dyDescent="0.15">
      <c r="A346" s="3" t="s">
        <v>27</v>
      </c>
      <c r="B346" s="3" t="s">
        <v>604</v>
      </c>
      <c r="C346" s="10">
        <f t="shared" ca="1" si="0"/>
        <v>0.4</v>
      </c>
      <c r="D346" s="5">
        <f ca="1">VLOOKUP($A346&amp;$B346,data!$A:$U,20,FALSE)</f>
        <v>44305.464687500003</v>
      </c>
      <c r="E346" s="3" t="str">
        <f ca="1">VLOOKUP($A346&amp;$B346,data!$A:$U,21,FALSE)</f>
        <v>1 VENTILATOR 1 HIF 9 O2 SUPPORT 4 NON-02 SUPPORT</v>
      </c>
      <c r="F346" s="3">
        <f ca="1">VLOOKUP($A346&amp;$B346,data!$A:$U,17,FALSE)</f>
        <v>6</v>
      </c>
      <c r="G346" s="3">
        <f ca="1">VLOOKUP($A346&amp;$B346,data!$A:$U,18,FALSE)</f>
        <v>1</v>
      </c>
      <c r="H346" s="3">
        <f ca="1">VLOOKUP($A346&amp;$B346,data!$A:$U,19,FALSE)</f>
        <v>5</v>
      </c>
      <c r="I346" s="3">
        <f ca="1">VLOOKUP($A346&amp;$B346,data!$A:$U,14,FALSE)</f>
        <v>6</v>
      </c>
      <c r="J346" s="3">
        <f ca="1">VLOOKUP($A346&amp;$B346,data!$A:$U,15,FALSE)</f>
        <v>2</v>
      </c>
      <c r="K346" s="3">
        <f ca="1">VLOOKUP($A346&amp;$B346,data!$A:$U,16,FALSE)</f>
        <v>4</v>
      </c>
      <c r="L346" s="3">
        <f ca="1">VLOOKUP($A346&amp;$B346,data!$A:$U,8,FALSE)</f>
        <v>11</v>
      </c>
      <c r="M346" s="3">
        <f ca="1">VLOOKUP($A346&amp;$B346,data!$A:$U,9,FALSE)</f>
        <v>9</v>
      </c>
      <c r="N346" s="3">
        <f ca="1">VLOOKUP($A346&amp;$B346,data!$A:$U,10,FALSE)</f>
        <v>0</v>
      </c>
      <c r="O346" s="3">
        <f ca="1">VLOOKUP($A346&amp;$B346,data!$A:$U,11,FALSE)</f>
        <v>8</v>
      </c>
      <c r="P346" s="3">
        <f ca="1">VLOOKUP($A346&amp;$B346,data!$A:$U,12,FALSE)</f>
        <v>4</v>
      </c>
      <c r="Q346" s="3">
        <f ca="1">VLOOKUP($A346&amp;$B346,data!$A:$U,13,FALSE)</f>
        <v>6</v>
      </c>
      <c r="R346" s="3">
        <f ca="1">VLOOKUP($A346&amp;$B346,data!$A:$U,5,FALSE)</f>
        <v>25</v>
      </c>
      <c r="S346" s="3">
        <f ca="1">VLOOKUP($A346&amp;$B346,data!$A:$U,6,FALSE)</f>
        <v>15</v>
      </c>
      <c r="T346" s="3">
        <f ca="1">VLOOKUP($A346&amp;$B346,data!$A:$U,7,FALSE)</f>
        <v>10</v>
      </c>
    </row>
    <row r="347" spans="1:20" ht="13" x14ac:dyDescent="0.15">
      <c r="A347" s="3" t="s">
        <v>27</v>
      </c>
      <c r="B347" s="3" t="s">
        <v>935</v>
      </c>
      <c r="C347" s="10">
        <f t="shared" ca="1" si="0"/>
        <v>0.57499999999999996</v>
      </c>
      <c r="D347" s="5">
        <f ca="1">VLOOKUP($A347&amp;$B347,data!$A:$U,20,FALSE)</f>
        <v>44305.439537036997</v>
      </c>
      <c r="E347" s="3" t="str">
        <f ca="1">VLOOKUP($A347&amp;$B347,data!$A:$U,21,FALSE)</f>
        <v>Nil</v>
      </c>
      <c r="F347" s="3">
        <f ca="1">VLOOKUP($A347&amp;$B347,data!$A:$U,17,FALSE)</f>
        <v>6</v>
      </c>
      <c r="G347" s="3">
        <f ca="1">VLOOKUP($A347&amp;$B347,data!$A:$U,18,FALSE)</f>
        <v>0</v>
      </c>
      <c r="H347" s="3">
        <f ca="1">VLOOKUP($A347&amp;$B347,data!$A:$U,19,FALSE)</f>
        <v>6</v>
      </c>
      <c r="I347" s="3">
        <f ca="1">VLOOKUP($A347&amp;$B347,data!$A:$U,14,FALSE)</f>
        <v>5</v>
      </c>
      <c r="J347" s="3">
        <f ca="1">VLOOKUP($A347&amp;$B347,data!$A:$U,15,FALSE)</f>
        <v>3</v>
      </c>
      <c r="K347" s="3">
        <f ca="1">VLOOKUP($A347&amp;$B347,data!$A:$U,16,FALSE)</f>
        <v>2</v>
      </c>
      <c r="L347" s="3">
        <f ca="1">VLOOKUP($A347&amp;$B347,data!$A:$U,8,FALSE)</f>
        <v>15</v>
      </c>
      <c r="M347" s="3">
        <f ca="1">VLOOKUP($A347&amp;$B347,data!$A:$U,9,FALSE)</f>
        <v>6</v>
      </c>
      <c r="N347" s="3">
        <f ca="1">VLOOKUP($A347&amp;$B347,data!$A:$U,10,FALSE)</f>
        <v>9</v>
      </c>
      <c r="O347" s="3">
        <f ca="1">VLOOKUP($A347&amp;$B347,data!$A:$U,11,FALSE)</f>
        <v>0</v>
      </c>
      <c r="P347" s="3">
        <f ca="1">VLOOKUP($A347&amp;$B347,data!$A:$U,12,FALSE)</f>
        <v>0</v>
      </c>
      <c r="Q347" s="3">
        <f ca="1">VLOOKUP($A347&amp;$B347,data!$A:$U,13,FALSE)</f>
        <v>0</v>
      </c>
      <c r="R347" s="3">
        <f ca="1">VLOOKUP($A347&amp;$B347,data!$A:$U,5,FALSE)</f>
        <v>20</v>
      </c>
      <c r="S347" s="3">
        <f ca="1">VLOOKUP($A347&amp;$B347,data!$A:$U,6,FALSE)</f>
        <v>8</v>
      </c>
      <c r="T347" s="3">
        <f ca="1">VLOOKUP($A347&amp;$B347,data!$A:$U,7,FALSE)</f>
        <v>12</v>
      </c>
    </row>
    <row r="348" spans="1:20" ht="13" x14ac:dyDescent="0.15">
      <c r="A348" s="3" t="s">
        <v>27</v>
      </c>
      <c r="B348" s="3" t="s">
        <v>625</v>
      </c>
      <c r="C348" s="10">
        <f t="shared" ca="1" si="0"/>
        <v>0.02</v>
      </c>
      <c r="D348" s="5">
        <f ca="1">VLOOKUP($A348&amp;$B348,data!$A:$U,20,FALSE)</f>
        <v>44305.327210648102</v>
      </c>
      <c r="E348" s="3" t="str">
        <f ca="1">VLOOKUP($A348&amp;$B348,data!$A:$U,21,FALSE)</f>
        <v>Nil</v>
      </c>
      <c r="F348" s="3">
        <f ca="1">VLOOKUP($A348&amp;$B348,data!$A:$U,17,FALSE)</f>
        <v>7</v>
      </c>
      <c r="G348" s="3">
        <f ca="1">VLOOKUP($A348&amp;$B348,data!$A:$U,18,FALSE)</f>
        <v>0</v>
      </c>
      <c r="H348" s="3">
        <f ca="1">VLOOKUP($A348&amp;$B348,data!$A:$U,19,FALSE)</f>
        <v>7</v>
      </c>
      <c r="I348" s="3">
        <f ca="1">VLOOKUP($A348&amp;$B348,data!$A:$U,14,FALSE)</f>
        <v>7</v>
      </c>
      <c r="J348" s="3">
        <f ca="1">VLOOKUP($A348&amp;$B348,data!$A:$U,15,FALSE)</f>
        <v>6</v>
      </c>
      <c r="K348" s="3">
        <f ca="1">VLOOKUP($A348&amp;$B348,data!$A:$U,16,FALSE)</f>
        <v>1</v>
      </c>
      <c r="L348" s="3">
        <f ca="1">VLOOKUP($A348&amp;$B348,data!$A:$U,8,FALSE)</f>
        <v>26</v>
      </c>
      <c r="M348" s="3">
        <f ca="1">VLOOKUP($A348&amp;$B348,data!$A:$U,9,FALSE)</f>
        <v>26</v>
      </c>
      <c r="N348" s="3">
        <f ca="1">VLOOKUP($A348&amp;$B348,data!$A:$U,10,FALSE)</f>
        <v>0</v>
      </c>
      <c r="O348" s="3">
        <f ca="1">VLOOKUP($A348&amp;$B348,data!$A:$U,11,FALSE)</f>
        <v>17</v>
      </c>
      <c r="P348" s="3">
        <f ca="1">VLOOKUP($A348&amp;$B348,data!$A:$U,12,FALSE)</f>
        <v>17</v>
      </c>
      <c r="Q348" s="3">
        <f ca="1">VLOOKUP($A348&amp;$B348,data!$A:$U,13,FALSE)</f>
        <v>0</v>
      </c>
      <c r="R348" s="3">
        <f ca="1">VLOOKUP($A348&amp;$B348,data!$A:$U,5,FALSE)</f>
        <v>50</v>
      </c>
      <c r="S348" s="3">
        <f ca="1">VLOOKUP($A348&amp;$B348,data!$A:$U,6,FALSE)</f>
        <v>49</v>
      </c>
      <c r="T348" s="3">
        <f ca="1">VLOOKUP($A348&amp;$B348,data!$A:$U,7,FALSE)</f>
        <v>1</v>
      </c>
    </row>
    <row r="349" spans="1:20" ht="13" x14ac:dyDescent="0.15">
      <c r="A349" s="3" t="s">
        <v>27</v>
      </c>
      <c r="B349" s="3" t="s">
        <v>639</v>
      </c>
      <c r="C349" s="10">
        <f t="shared" ca="1" si="0"/>
        <v>0.1111111111111111</v>
      </c>
      <c r="D349" s="5">
        <f ca="1">VLOOKUP($A349&amp;$B349,data!$A:$U,20,FALSE)</f>
        <v>44305.352534722202</v>
      </c>
      <c r="E349" s="3" t="str">
        <f ca="1">VLOOKUP($A349&amp;$B349,data!$A:$U,21,FALSE)</f>
        <v>Nil</v>
      </c>
      <c r="F349" s="3">
        <f ca="1">VLOOKUP($A349&amp;$B349,data!$A:$U,17,FALSE)</f>
        <v>2</v>
      </c>
      <c r="G349" s="3">
        <f ca="1">VLOOKUP($A349&amp;$B349,data!$A:$U,18,FALSE)</f>
        <v>0</v>
      </c>
      <c r="H349" s="3">
        <f ca="1">VLOOKUP($A349&amp;$B349,data!$A:$U,19,FALSE)</f>
        <v>2</v>
      </c>
      <c r="I349" s="3">
        <f ca="1">VLOOKUP($A349&amp;$B349,data!$A:$U,14,FALSE)</f>
        <v>8</v>
      </c>
      <c r="J349" s="3">
        <f ca="1">VLOOKUP($A349&amp;$B349,data!$A:$U,15,FALSE)</f>
        <v>5</v>
      </c>
      <c r="K349" s="3">
        <f ca="1">VLOOKUP($A349&amp;$B349,data!$A:$U,16,FALSE)</f>
        <v>3</v>
      </c>
      <c r="L349" s="3">
        <f ca="1">VLOOKUP($A349&amp;$B349,data!$A:$U,8,FALSE)</f>
        <v>28</v>
      </c>
      <c r="M349" s="3">
        <f ca="1">VLOOKUP($A349&amp;$B349,data!$A:$U,9,FALSE)</f>
        <v>26</v>
      </c>
      <c r="N349" s="3">
        <f ca="1">VLOOKUP($A349&amp;$B349,data!$A:$U,10,FALSE)</f>
        <v>2</v>
      </c>
      <c r="O349" s="3">
        <f ca="1">VLOOKUP($A349&amp;$B349,data!$A:$U,11,FALSE)</f>
        <v>9</v>
      </c>
      <c r="P349" s="3">
        <f ca="1">VLOOKUP($A349&amp;$B349,data!$A:$U,12,FALSE)</f>
        <v>9</v>
      </c>
      <c r="Q349" s="3">
        <f ca="1">VLOOKUP($A349&amp;$B349,data!$A:$U,13,FALSE)</f>
        <v>0</v>
      </c>
      <c r="R349" s="3">
        <f ca="1">VLOOKUP($A349&amp;$B349,data!$A:$U,5,FALSE)</f>
        <v>45</v>
      </c>
      <c r="S349" s="3">
        <f ca="1">VLOOKUP($A349&amp;$B349,data!$A:$U,6,FALSE)</f>
        <v>40</v>
      </c>
      <c r="T349" s="3">
        <f ca="1">VLOOKUP($A349&amp;$B349,data!$A:$U,7,FALSE)</f>
        <v>5</v>
      </c>
    </row>
    <row r="350" spans="1:20" ht="13" x14ac:dyDescent="0.15">
      <c r="A350" s="3" t="s">
        <v>27</v>
      </c>
      <c r="B350" s="3" t="s">
        <v>925</v>
      </c>
      <c r="C350" s="10">
        <f t="shared" ca="1" si="0"/>
        <v>7.1428571428571425E-2</v>
      </c>
      <c r="D350" s="5">
        <f ca="1">VLOOKUP($A350&amp;$B350,data!$A:$U,20,FALSE)</f>
        <v>44305.421481481397</v>
      </c>
      <c r="E350" s="3" t="str">
        <f ca="1">VLOOKUP($A350&amp;$B350,data!$A:$U,21,FALSE)</f>
        <v>Nil</v>
      </c>
      <c r="F350" s="3">
        <f ca="1">VLOOKUP($A350&amp;$B350,data!$A:$U,17,FALSE)</f>
        <v>0</v>
      </c>
      <c r="G350" s="3">
        <f ca="1">VLOOKUP($A350&amp;$B350,data!$A:$U,18,FALSE)</f>
        <v>0</v>
      </c>
      <c r="H350" s="3">
        <f ca="1">VLOOKUP($A350&amp;$B350,data!$A:$U,19,FALSE)</f>
        <v>0</v>
      </c>
      <c r="I350" s="3">
        <f ca="1">VLOOKUP($A350&amp;$B350,data!$A:$U,14,FALSE)</f>
        <v>0</v>
      </c>
      <c r="J350" s="3">
        <f ca="1">VLOOKUP($A350&amp;$B350,data!$A:$U,15,FALSE)</f>
        <v>0</v>
      </c>
      <c r="K350" s="3">
        <f ca="1">VLOOKUP($A350&amp;$B350,data!$A:$U,16,FALSE)</f>
        <v>0</v>
      </c>
      <c r="L350" s="3">
        <f ca="1">VLOOKUP($A350&amp;$B350,data!$A:$U,8,FALSE)</f>
        <v>11</v>
      </c>
      <c r="M350" s="3">
        <f ca="1">VLOOKUP($A350&amp;$B350,data!$A:$U,9,FALSE)</f>
        <v>11</v>
      </c>
      <c r="N350" s="3">
        <f ca="1">VLOOKUP($A350&amp;$B350,data!$A:$U,10,FALSE)</f>
        <v>0</v>
      </c>
      <c r="O350" s="3">
        <f ca="1">VLOOKUP($A350&amp;$B350,data!$A:$U,11,FALSE)</f>
        <v>3</v>
      </c>
      <c r="P350" s="3">
        <f ca="1">VLOOKUP($A350&amp;$B350,data!$A:$U,12,FALSE)</f>
        <v>2</v>
      </c>
      <c r="Q350" s="3">
        <f ca="1">VLOOKUP($A350&amp;$B350,data!$A:$U,13,FALSE)</f>
        <v>1</v>
      </c>
      <c r="R350" s="3">
        <f ca="1">VLOOKUP($A350&amp;$B350,data!$A:$U,5,FALSE)</f>
        <v>14</v>
      </c>
      <c r="S350" s="3">
        <f ca="1">VLOOKUP($A350&amp;$B350,data!$A:$U,6,FALSE)</f>
        <v>13</v>
      </c>
      <c r="T350" s="3">
        <f ca="1">VLOOKUP($A350&amp;$B350,data!$A:$U,7,FALSE)</f>
        <v>1</v>
      </c>
    </row>
    <row r="351" spans="1:20" ht="13" x14ac:dyDescent="0.15">
      <c r="A351" s="3" t="s">
        <v>27</v>
      </c>
      <c r="B351" s="3" t="s">
        <v>931</v>
      </c>
      <c r="C351" s="10">
        <f t="shared" ca="1" si="0"/>
        <v>0.12121212121212122</v>
      </c>
      <c r="D351" s="5">
        <f ca="1">VLOOKUP($A351&amp;$B351,data!$A:$U,20,FALSE)</f>
        <v>44305.446562500001</v>
      </c>
      <c r="E351" s="3">
        <f ca="1">VLOOKUP($A351&amp;$B351,data!$A:$U,21,FALSE)</f>
        <v>0</v>
      </c>
      <c r="F351" s="3">
        <f ca="1">VLOOKUP($A351&amp;$B351,data!$A:$U,17,FALSE)</f>
        <v>4</v>
      </c>
      <c r="G351" s="3">
        <f ca="1">VLOOKUP($A351&amp;$B351,data!$A:$U,18,FALSE)</f>
        <v>3</v>
      </c>
      <c r="H351" s="3">
        <f ca="1">VLOOKUP($A351&amp;$B351,data!$A:$U,19,FALSE)</f>
        <v>1</v>
      </c>
      <c r="I351" s="3">
        <f ca="1">VLOOKUP($A351&amp;$B351,data!$A:$U,14,FALSE)</f>
        <v>4</v>
      </c>
      <c r="J351" s="3">
        <f ca="1">VLOOKUP($A351&amp;$B351,data!$A:$U,15,FALSE)</f>
        <v>3</v>
      </c>
      <c r="K351" s="3">
        <f ca="1">VLOOKUP($A351&amp;$B351,data!$A:$U,16,FALSE)</f>
        <v>1</v>
      </c>
      <c r="L351" s="3">
        <f ca="1">VLOOKUP($A351&amp;$B351,data!$A:$U,8,FALSE)</f>
        <v>29</v>
      </c>
      <c r="M351" s="3">
        <f ca="1">VLOOKUP($A351&amp;$B351,data!$A:$U,9,FALSE)</f>
        <v>26</v>
      </c>
      <c r="N351" s="3">
        <f ca="1">VLOOKUP($A351&amp;$B351,data!$A:$U,10,FALSE)</f>
        <v>3</v>
      </c>
      <c r="O351" s="3">
        <f ca="1">VLOOKUP($A351&amp;$B351,data!$A:$U,11,FALSE)</f>
        <v>0</v>
      </c>
      <c r="P351" s="3">
        <f ca="1">VLOOKUP($A351&amp;$B351,data!$A:$U,12,FALSE)</f>
        <v>0</v>
      </c>
      <c r="Q351" s="3">
        <f ca="1">VLOOKUP($A351&amp;$B351,data!$A:$U,13,FALSE)</f>
        <v>0</v>
      </c>
      <c r="R351" s="3">
        <f ca="1">VLOOKUP($A351&amp;$B351,data!$A:$U,5,FALSE)</f>
        <v>33</v>
      </c>
      <c r="S351" s="3">
        <f ca="1">VLOOKUP($A351&amp;$B351,data!$A:$U,6,FALSE)</f>
        <v>29</v>
      </c>
      <c r="T351" s="3">
        <f ca="1">VLOOKUP($A351&amp;$B351,data!$A:$U,7,FALSE)</f>
        <v>4</v>
      </c>
    </row>
    <row r="352" spans="1:20" ht="13" x14ac:dyDescent="0.15">
      <c r="A352" s="3" t="s">
        <v>27</v>
      </c>
      <c r="B352" s="3" t="s">
        <v>630</v>
      </c>
      <c r="C352" s="10">
        <f t="shared" ca="1" si="0"/>
        <v>0</v>
      </c>
      <c r="D352" s="5">
        <f ca="1">VLOOKUP($A352&amp;$B352,data!$A:$U,20,FALSE)</f>
        <v>44305.483078703699</v>
      </c>
      <c r="E352" s="3" t="str">
        <f ca="1">VLOOKUP($A352&amp;$B352,data!$A:$U,21,FALSE)</f>
        <v>Nil</v>
      </c>
      <c r="F352" s="3">
        <f ca="1">VLOOKUP($A352&amp;$B352,data!$A:$U,17,FALSE)</f>
        <v>4</v>
      </c>
      <c r="G352" s="3">
        <f ca="1">VLOOKUP($A352&amp;$B352,data!$A:$U,18,FALSE)</f>
        <v>0</v>
      </c>
      <c r="H352" s="3">
        <f ca="1">VLOOKUP($A352&amp;$B352,data!$A:$U,19,FALSE)</f>
        <v>4</v>
      </c>
      <c r="I352" s="3">
        <f ca="1">VLOOKUP($A352&amp;$B352,data!$A:$U,14,FALSE)</f>
        <v>5</v>
      </c>
      <c r="J352" s="3">
        <f ca="1">VLOOKUP($A352&amp;$B352,data!$A:$U,15,FALSE)</f>
        <v>5</v>
      </c>
      <c r="K352" s="3">
        <f ca="1">VLOOKUP($A352&amp;$B352,data!$A:$U,16,FALSE)</f>
        <v>0</v>
      </c>
      <c r="L352" s="3">
        <f ca="1">VLOOKUP($A352&amp;$B352,data!$A:$U,8,FALSE)</f>
        <v>15</v>
      </c>
      <c r="M352" s="3">
        <f ca="1">VLOOKUP($A352&amp;$B352,data!$A:$U,9,FALSE)</f>
        <v>15</v>
      </c>
      <c r="N352" s="3">
        <f ca="1">VLOOKUP($A352&amp;$B352,data!$A:$U,10,FALSE)</f>
        <v>0</v>
      </c>
      <c r="O352" s="3">
        <f ca="1">VLOOKUP($A352&amp;$B352,data!$A:$U,11,FALSE)</f>
        <v>0</v>
      </c>
      <c r="P352" s="3">
        <f ca="1">VLOOKUP($A352&amp;$B352,data!$A:$U,12,FALSE)</f>
        <v>0</v>
      </c>
      <c r="Q352" s="3">
        <f ca="1">VLOOKUP($A352&amp;$B352,data!$A:$U,13,FALSE)</f>
        <v>0</v>
      </c>
      <c r="R352" s="3">
        <f ca="1">VLOOKUP($A352&amp;$B352,data!$A:$U,5,FALSE)</f>
        <v>20</v>
      </c>
      <c r="S352" s="3">
        <f ca="1">VLOOKUP($A352&amp;$B352,data!$A:$U,6,FALSE)</f>
        <v>20</v>
      </c>
      <c r="T352" s="3">
        <f ca="1">VLOOKUP($A352&amp;$B352,data!$A:$U,7,FALSE)</f>
        <v>0</v>
      </c>
    </row>
    <row r="353" spans="1:20" ht="13" x14ac:dyDescent="0.15">
      <c r="A353" s="3" t="s">
        <v>27</v>
      </c>
      <c r="B353" s="3" t="s">
        <v>697</v>
      </c>
      <c r="C353" s="10">
        <f t="shared" ca="1" si="0"/>
        <v>0.14285714285714285</v>
      </c>
      <c r="D353" s="5">
        <f ca="1">VLOOKUP($A353&amp;$B353,data!$A:$U,20,FALSE)</f>
        <v>44305.668287036999</v>
      </c>
      <c r="E353" s="3" t="str">
        <f ca="1">VLOOKUP($A353&amp;$B353,data!$A:$U,21,FALSE)</f>
        <v>Nil</v>
      </c>
      <c r="F353" s="3">
        <f ca="1">VLOOKUP($A353&amp;$B353,data!$A:$U,17,FALSE)</f>
        <v>0</v>
      </c>
      <c r="G353" s="3">
        <f ca="1">VLOOKUP($A353&amp;$B353,data!$A:$U,18,FALSE)</f>
        <v>0</v>
      </c>
      <c r="H353" s="3">
        <f ca="1">VLOOKUP($A353&amp;$B353,data!$A:$U,19,FALSE)</f>
        <v>0</v>
      </c>
      <c r="I353" s="3">
        <f ca="1">VLOOKUP($A353&amp;$B353,data!$A:$U,14,FALSE)</f>
        <v>0</v>
      </c>
      <c r="J353" s="3">
        <f ca="1">VLOOKUP($A353&amp;$B353,data!$A:$U,15,FALSE)</f>
        <v>0</v>
      </c>
      <c r="K353" s="3">
        <f ca="1">VLOOKUP($A353&amp;$B353,data!$A:$U,16,FALSE)</f>
        <v>0</v>
      </c>
      <c r="L353" s="3">
        <f ca="1">VLOOKUP($A353&amp;$B353,data!$A:$U,8,FALSE)</f>
        <v>14</v>
      </c>
      <c r="M353" s="3">
        <f ca="1">VLOOKUP($A353&amp;$B353,data!$A:$U,9,FALSE)</f>
        <v>11</v>
      </c>
      <c r="N353" s="3">
        <f ca="1">VLOOKUP($A353&amp;$B353,data!$A:$U,10,FALSE)</f>
        <v>3</v>
      </c>
      <c r="O353" s="3">
        <f ca="1">VLOOKUP($A353&amp;$B353,data!$A:$U,11,FALSE)</f>
        <v>14</v>
      </c>
      <c r="P353" s="3">
        <f ca="1">VLOOKUP($A353&amp;$B353,data!$A:$U,12,FALSE)</f>
        <v>0</v>
      </c>
      <c r="Q353" s="3">
        <f ca="1">VLOOKUP($A353&amp;$B353,data!$A:$U,13,FALSE)</f>
        <v>0</v>
      </c>
      <c r="R353" s="3">
        <f ca="1">VLOOKUP($A353&amp;$B353,data!$A:$U,5,FALSE)</f>
        <v>14</v>
      </c>
      <c r="S353" s="3">
        <f ca="1">VLOOKUP($A353&amp;$B353,data!$A:$U,6,FALSE)</f>
        <v>11</v>
      </c>
      <c r="T353" s="3">
        <f ca="1">VLOOKUP($A353&amp;$B353,data!$A:$U,7,FALSE)</f>
        <v>3</v>
      </c>
    </row>
    <row r="354" spans="1:20" ht="13" x14ac:dyDescent="0.15">
      <c r="A354" s="3" t="s">
        <v>27</v>
      </c>
      <c r="B354" s="3" t="s">
        <v>616</v>
      </c>
      <c r="C354" s="10">
        <f t="shared" ca="1" si="0"/>
        <v>0</v>
      </c>
      <c r="D354" s="5">
        <f ca="1">VLOOKUP($A354&amp;$B354,data!$A:$U,20,FALSE)</f>
        <v>44305.363749999997</v>
      </c>
      <c r="E354" s="3" t="str">
        <f ca="1">VLOOKUP($A354&amp;$B354,data!$A:$U,21,FALSE)</f>
        <v>Nil</v>
      </c>
      <c r="F354" s="3">
        <f ca="1">VLOOKUP($A354&amp;$B354,data!$A:$U,17,FALSE)</f>
        <v>10</v>
      </c>
      <c r="G354" s="3">
        <f ca="1">VLOOKUP($A354&amp;$B354,data!$A:$U,18,FALSE)</f>
        <v>0</v>
      </c>
      <c r="H354" s="3">
        <f ca="1">VLOOKUP($A354&amp;$B354,data!$A:$U,19,FALSE)</f>
        <v>10</v>
      </c>
      <c r="I354" s="3">
        <f ca="1">VLOOKUP($A354&amp;$B354,data!$A:$U,14,FALSE)</f>
        <v>16</v>
      </c>
      <c r="J354" s="3">
        <f ca="1">VLOOKUP($A354&amp;$B354,data!$A:$U,15,FALSE)</f>
        <v>16</v>
      </c>
      <c r="K354" s="3">
        <f ca="1">VLOOKUP($A354&amp;$B354,data!$A:$U,16,FALSE)</f>
        <v>0</v>
      </c>
      <c r="L354" s="3">
        <f ca="1">VLOOKUP($A354&amp;$B354,data!$A:$U,8,FALSE)</f>
        <v>21</v>
      </c>
      <c r="M354" s="3">
        <f ca="1">VLOOKUP($A354&amp;$B354,data!$A:$U,9,FALSE)</f>
        <v>21</v>
      </c>
      <c r="N354" s="3">
        <f ca="1">VLOOKUP($A354&amp;$B354,data!$A:$U,10,FALSE)</f>
        <v>0</v>
      </c>
      <c r="O354" s="3">
        <f ca="1">VLOOKUP($A354&amp;$B354,data!$A:$U,11,FALSE)</f>
        <v>30</v>
      </c>
      <c r="P354" s="3">
        <f ca="1">VLOOKUP($A354&amp;$B354,data!$A:$U,12,FALSE)</f>
        <v>30</v>
      </c>
      <c r="Q354" s="3">
        <f ca="1">VLOOKUP($A354&amp;$B354,data!$A:$U,13,FALSE)</f>
        <v>0</v>
      </c>
      <c r="R354" s="3">
        <f ca="1">VLOOKUP($A354&amp;$B354,data!$A:$U,5,FALSE)</f>
        <v>67</v>
      </c>
      <c r="S354" s="3">
        <f ca="1">VLOOKUP($A354&amp;$B354,data!$A:$U,6,FALSE)</f>
        <v>67</v>
      </c>
      <c r="T354" s="3">
        <f ca="1">VLOOKUP($A354&amp;$B354,data!$A:$U,7,FALSE)</f>
        <v>0</v>
      </c>
    </row>
    <row r="355" spans="1:20" ht="13" x14ac:dyDescent="0.15">
      <c r="A355" s="3" t="s">
        <v>27</v>
      </c>
      <c r="B355" s="3" t="s">
        <v>939</v>
      </c>
      <c r="C355" s="10">
        <f t="shared" ca="1" si="0"/>
        <v>0</v>
      </c>
      <c r="D355" s="5">
        <f ca="1">VLOOKUP($A355&amp;$B355,data!$A:$U,20,FALSE)</f>
        <v>44305.421550925901</v>
      </c>
      <c r="E355" s="3" t="str">
        <f ca="1">VLOOKUP($A355&amp;$B355,data!$A:$U,21,FALSE)</f>
        <v>Nil</v>
      </c>
      <c r="F355" s="3">
        <f ca="1">VLOOKUP($A355&amp;$B355,data!$A:$U,17,FALSE)</f>
        <v>2</v>
      </c>
      <c r="G355" s="3">
        <f ca="1">VLOOKUP($A355&amp;$B355,data!$A:$U,18,FALSE)</f>
        <v>0</v>
      </c>
      <c r="H355" s="3">
        <f ca="1">VLOOKUP($A355&amp;$B355,data!$A:$U,19,FALSE)</f>
        <v>2</v>
      </c>
      <c r="I355" s="3">
        <f ca="1">VLOOKUP($A355&amp;$B355,data!$A:$U,14,FALSE)</f>
        <v>5</v>
      </c>
      <c r="J355" s="3">
        <f ca="1">VLOOKUP($A355&amp;$B355,data!$A:$U,15,FALSE)</f>
        <v>5</v>
      </c>
      <c r="K355" s="3">
        <f ca="1">VLOOKUP($A355&amp;$B355,data!$A:$U,16,FALSE)</f>
        <v>0</v>
      </c>
      <c r="L355" s="3">
        <f ca="1">VLOOKUP($A355&amp;$B355,data!$A:$U,8,FALSE)</f>
        <v>15</v>
      </c>
      <c r="M355" s="3">
        <f ca="1">VLOOKUP($A355&amp;$B355,data!$A:$U,9,FALSE)</f>
        <v>15</v>
      </c>
      <c r="N355" s="3">
        <f ca="1">VLOOKUP($A355&amp;$B355,data!$A:$U,10,FALSE)</f>
        <v>0</v>
      </c>
      <c r="O355" s="3">
        <f ca="1">VLOOKUP($A355&amp;$B355,data!$A:$U,11,FALSE)</f>
        <v>2</v>
      </c>
      <c r="P355" s="3">
        <f ca="1">VLOOKUP($A355&amp;$B355,data!$A:$U,12,FALSE)</f>
        <v>2</v>
      </c>
      <c r="Q355" s="3">
        <f ca="1">VLOOKUP($A355&amp;$B355,data!$A:$U,13,FALSE)</f>
        <v>0</v>
      </c>
      <c r="R355" s="3">
        <f ca="1">VLOOKUP($A355&amp;$B355,data!$A:$U,5,FALSE)</f>
        <v>22</v>
      </c>
      <c r="S355" s="3">
        <f ca="1">VLOOKUP($A355&amp;$B355,data!$A:$U,6,FALSE)</f>
        <v>22</v>
      </c>
      <c r="T355" s="3">
        <f ca="1">VLOOKUP($A355&amp;$B355,data!$A:$U,7,FALSE)</f>
        <v>0</v>
      </c>
    </row>
    <row r="356" spans="1:20" ht="13" x14ac:dyDescent="0.15">
      <c r="A356" s="3" t="s">
        <v>28</v>
      </c>
      <c r="B356" s="3" t="s">
        <v>595</v>
      </c>
      <c r="C356" s="10">
        <f t="shared" ca="1" si="0"/>
        <v>1</v>
      </c>
      <c r="D356" s="5">
        <f ca="1">VLOOKUP($A356&amp;$B356,data!$A:$U,20,FALSE)</f>
        <v>44305.366631944402</v>
      </c>
      <c r="E356" s="3" t="str">
        <f ca="1">VLOOKUP($A356&amp;$B356,data!$A:$U,21,FALSE)</f>
        <v>Updated on 19.04.2021</v>
      </c>
      <c r="F356" s="3">
        <f ca="1">VLOOKUP($A356&amp;$B356,data!$A:$U,17,FALSE)</f>
        <v>1</v>
      </c>
      <c r="G356" s="3">
        <f ca="1">VLOOKUP($A356&amp;$B356,data!$A:$U,18,FALSE)</f>
        <v>0</v>
      </c>
      <c r="H356" s="3">
        <f ca="1">VLOOKUP($A356&amp;$B356,data!$A:$U,19,FALSE)</f>
        <v>1</v>
      </c>
      <c r="I356" s="3">
        <f ca="1">VLOOKUP($A356&amp;$B356,data!$A:$U,14,FALSE)</f>
        <v>5</v>
      </c>
      <c r="J356" s="3">
        <f ca="1">VLOOKUP($A356&amp;$B356,data!$A:$U,15,FALSE)</f>
        <v>0</v>
      </c>
      <c r="K356" s="3">
        <f ca="1">VLOOKUP($A356&amp;$B356,data!$A:$U,16,FALSE)</f>
        <v>5</v>
      </c>
      <c r="L356" s="3">
        <f ca="1">VLOOKUP($A356&amp;$B356,data!$A:$U,8,FALSE)</f>
        <v>30</v>
      </c>
      <c r="M356" s="3">
        <f ca="1">VLOOKUP($A356&amp;$B356,data!$A:$U,9,FALSE)</f>
        <v>0</v>
      </c>
      <c r="N356" s="3">
        <f ca="1">VLOOKUP($A356&amp;$B356,data!$A:$U,10,FALSE)</f>
        <v>30</v>
      </c>
      <c r="O356" s="3">
        <f ca="1">VLOOKUP($A356&amp;$B356,data!$A:$U,11,FALSE)</f>
        <v>0</v>
      </c>
      <c r="P356" s="3">
        <f ca="1">VLOOKUP($A356&amp;$B356,data!$A:$U,12,FALSE)</f>
        <v>0</v>
      </c>
      <c r="Q356" s="3">
        <f ca="1">VLOOKUP($A356&amp;$B356,data!$A:$U,13,FALSE)</f>
        <v>0</v>
      </c>
      <c r="R356" s="3">
        <f ca="1">VLOOKUP($A356&amp;$B356,data!$A:$U,5,FALSE)</f>
        <v>30</v>
      </c>
      <c r="S356" s="3">
        <f ca="1">VLOOKUP($A356&amp;$B356,data!$A:$U,6,FALSE)</f>
        <v>0</v>
      </c>
      <c r="T356" s="3">
        <f ca="1">VLOOKUP($A356&amp;$B356,data!$A:$U,7,FALSE)</f>
        <v>30</v>
      </c>
    </row>
    <row r="357" spans="1:20" ht="13" x14ac:dyDescent="0.15">
      <c r="A357" s="3" t="s">
        <v>28</v>
      </c>
      <c r="B357" s="3" t="s">
        <v>1119</v>
      </c>
      <c r="C357" s="10">
        <f t="shared" ca="1" si="0"/>
        <v>1</v>
      </c>
      <c r="D357" s="5">
        <f ca="1">VLOOKUP($A357&amp;$B357,data!$A:$U,20,FALSE)</f>
        <v>44305.3664236111</v>
      </c>
      <c r="E357" s="3" t="str">
        <f ca="1">VLOOKUP($A357&amp;$B357,data!$A:$U,21,FALSE)</f>
        <v>updated 19.04.2021</v>
      </c>
      <c r="F357" s="3">
        <f ca="1">VLOOKUP($A357&amp;$B357,data!$A:$U,17,FALSE)</f>
        <v>0</v>
      </c>
      <c r="G357" s="3">
        <f ca="1">VLOOKUP($A357&amp;$B357,data!$A:$U,18,FALSE)</f>
        <v>0</v>
      </c>
      <c r="H357" s="3">
        <f ca="1">VLOOKUP($A357&amp;$B357,data!$A:$U,19,FALSE)</f>
        <v>0</v>
      </c>
      <c r="I357" s="3">
        <f ca="1">VLOOKUP($A357&amp;$B357,data!$A:$U,14,FALSE)</f>
        <v>4</v>
      </c>
      <c r="J357" s="3">
        <f ca="1">VLOOKUP($A357&amp;$B357,data!$A:$U,15,FALSE)</f>
        <v>0</v>
      </c>
      <c r="K357" s="3">
        <f ca="1">VLOOKUP($A357&amp;$B357,data!$A:$U,16,FALSE)</f>
        <v>4</v>
      </c>
      <c r="L357" s="3">
        <f ca="1">VLOOKUP($A357&amp;$B357,data!$A:$U,8,FALSE)</f>
        <v>15</v>
      </c>
      <c r="M357" s="3">
        <f ca="1">VLOOKUP($A357&amp;$B357,data!$A:$U,9,FALSE)</f>
        <v>0</v>
      </c>
      <c r="N357" s="3">
        <f ca="1">VLOOKUP($A357&amp;$B357,data!$A:$U,10,FALSE)</f>
        <v>15</v>
      </c>
      <c r="O357" s="3">
        <f ca="1">VLOOKUP($A357&amp;$B357,data!$A:$U,11,FALSE)</f>
        <v>0</v>
      </c>
      <c r="P357" s="3">
        <f ca="1">VLOOKUP($A357&amp;$B357,data!$A:$U,12,FALSE)</f>
        <v>0</v>
      </c>
      <c r="Q357" s="3">
        <f ca="1">VLOOKUP($A357&amp;$B357,data!$A:$U,13,FALSE)</f>
        <v>0</v>
      </c>
      <c r="R357" s="3">
        <f ca="1">VLOOKUP($A357&amp;$B357,data!$A:$U,5,FALSE)</f>
        <v>15</v>
      </c>
      <c r="S357" s="3">
        <f ca="1">VLOOKUP($A357&amp;$B357,data!$A:$U,6,FALSE)</f>
        <v>0</v>
      </c>
      <c r="T357" s="3">
        <f ca="1">VLOOKUP($A357&amp;$B357,data!$A:$U,7,FALSE)</f>
        <v>15</v>
      </c>
    </row>
    <row r="358" spans="1:20" ht="13" x14ac:dyDescent="0.15">
      <c r="A358" s="3" t="s">
        <v>28</v>
      </c>
      <c r="B358" s="3" t="s">
        <v>600</v>
      </c>
      <c r="C358" s="10">
        <f t="shared" ca="1" si="0"/>
        <v>0.33333333333333331</v>
      </c>
      <c r="D358" s="5">
        <f ca="1">VLOOKUP($A358&amp;$B358,data!$A:$U,20,FALSE)</f>
        <v>44305.299837962899</v>
      </c>
      <c r="E358" s="3" t="str">
        <f ca="1">VLOOKUP($A358&amp;$B358,data!$A:$U,21,FALSE)</f>
        <v>Updated</v>
      </c>
      <c r="F358" s="3">
        <f ca="1">VLOOKUP($A358&amp;$B358,data!$A:$U,17,FALSE)</f>
        <v>1</v>
      </c>
      <c r="G358" s="3">
        <f ca="1">VLOOKUP($A358&amp;$B358,data!$A:$U,18,FALSE)</f>
        <v>0</v>
      </c>
      <c r="H358" s="3">
        <f ca="1">VLOOKUP($A358&amp;$B358,data!$A:$U,19,FALSE)</f>
        <v>1</v>
      </c>
      <c r="I358" s="3">
        <f ca="1">VLOOKUP($A358&amp;$B358,data!$A:$U,14,FALSE)</f>
        <v>0</v>
      </c>
      <c r="J358" s="3">
        <f ca="1">VLOOKUP($A358&amp;$B358,data!$A:$U,15,FALSE)</f>
        <v>0</v>
      </c>
      <c r="K358" s="3">
        <f ca="1">VLOOKUP($A358&amp;$B358,data!$A:$U,16,FALSE)</f>
        <v>0</v>
      </c>
      <c r="L358" s="3">
        <f ca="1">VLOOKUP($A358&amp;$B358,data!$A:$U,8,FALSE)</f>
        <v>30</v>
      </c>
      <c r="M358" s="3">
        <f ca="1">VLOOKUP($A358&amp;$B358,data!$A:$U,9,FALSE)</f>
        <v>20</v>
      </c>
      <c r="N358" s="3">
        <f ca="1">VLOOKUP($A358&amp;$B358,data!$A:$U,10,FALSE)</f>
        <v>10</v>
      </c>
      <c r="O358" s="3">
        <f ca="1">VLOOKUP($A358&amp;$B358,data!$A:$U,11,FALSE)</f>
        <v>0</v>
      </c>
      <c r="P358" s="3">
        <f ca="1">VLOOKUP($A358&amp;$B358,data!$A:$U,12,FALSE)</f>
        <v>0</v>
      </c>
      <c r="Q358" s="3">
        <f ca="1">VLOOKUP($A358&amp;$B358,data!$A:$U,13,FALSE)</f>
        <v>0</v>
      </c>
      <c r="R358" s="3">
        <f ca="1">VLOOKUP($A358&amp;$B358,data!$A:$U,5,FALSE)</f>
        <v>30</v>
      </c>
      <c r="S358" s="3">
        <f ca="1">VLOOKUP($A358&amp;$B358,data!$A:$U,6,FALSE)</f>
        <v>20</v>
      </c>
      <c r="T358" s="3">
        <f ca="1">VLOOKUP($A358&amp;$B358,data!$A:$U,7,FALSE)</f>
        <v>10</v>
      </c>
    </row>
    <row r="359" spans="1:20" ht="13" x14ac:dyDescent="0.15">
      <c r="A359" s="3" t="s">
        <v>28</v>
      </c>
      <c r="B359" s="3" t="s">
        <v>1130</v>
      </c>
      <c r="C359" s="10">
        <f t="shared" ca="1" si="0"/>
        <v>0.73333333333333328</v>
      </c>
      <c r="D359" s="5">
        <f ca="1">VLOOKUP($A359&amp;$B359,data!$A:$U,20,FALSE)</f>
        <v>44305.326851851802</v>
      </c>
      <c r="E359" s="3" t="str">
        <f ca="1">VLOOKUP($A359&amp;$B359,data!$A:$U,21,FALSE)</f>
        <v>19.04.2021</v>
      </c>
      <c r="F359" s="3">
        <f ca="1">VLOOKUP($A359&amp;$B359,data!$A:$U,17,FALSE)</f>
        <v>0</v>
      </c>
      <c r="G359" s="3">
        <f ca="1">VLOOKUP($A359&amp;$B359,data!$A:$U,18,FALSE)</f>
        <v>0</v>
      </c>
      <c r="H359" s="3">
        <f ca="1">VLOOKUP($A359&amp;$B359,data!$A:$U,19,FALSE)</f>
        <v>0</v>
      </c>
      <c r="I359" s="3">
        <f ca="1">VLOOKUP($A359&amp;$B359,data!$A:$U,14,FALSE)</f>
        <v>0</v>
      </c>
      <c r="J359" s="3">
        <f ca="1">VLOOKUP($A359&amp;$B359,data!$A:$U,15,FALSE)</f>
        <v>0</v>
      </c>
      <c r="K359" s="3">
        <f ca="1">VLOOKUP($A359&amp;$B359,data!$A:$U,16,FALSE)</f>
        <v>0</v>
      </c>
      <c r="L359" s="3">
        <f ca="1">VLOOKUP($A359&amp;$B359,data!$A:$U,8,FALSE)</f>
        <v>15</v>
      </c>
      <c r="M359" s="3">
        <f ca="1">VLOOKUP($A359&amp;$B359,data!$A:$U,9,FALSE)</f>
        <v>1</v>
      </c>
      <c r="N359" s="3">
        <f ca="1">VLOOKUP($A359&amp;$B359,data!$A:$U,10,FALSE)</f>
        <v>14</v>
      </c>
      <c r="O359" s="3">
        <f ca="1">VLOOKUP($A359&amp;$B359,data!$A:$U,11,FALSE)</f>
        <v>0</v>
      </c>
      <c r="P359" s="3">
        <f ca="1">VLOOKUP($A359&amp;$B359,data!$A:$U,12,FALSE)</f>
        <v>0</v>
      </c>
      <c r="Q359" s="3">
        <f ca="1">VLOOKUP($A359&amp;$B359,data!$A:$U,13,FALSE)</f>
        <v>0</v>
      </c>
      <c r="R359" s="3">
        <f ca="1">VLOOKUP($A359&amp;$B359,data!$A:$U,5,FALSE)</f>
        <v>15</v>
      </c>
      <c r="S359" s="3">
        <f ca="1">VLOOKUP($A359&amp;$B359,data!$A:$U,6,FALSE)</f>
        <v>7</v>
      </c>
      <c r="T359" s="3">
        <f ca="1">VLOOKUP($A359&amp;$B359,data!$A:$U,7,FALSE)</f>
        <v>8</v>
      </c>
    </row>
    <row r="360" spans="1:20" ht="13" x14ac:dyDescent="0.15">
      <c r="A360" s="3" t="s">
        <v>29</v>
      </c>
      <c r="B360" s="3" t="s">
        <v>573</v>
      </c>
      <c r="C360" s="10">
        <f t="shared" ca="1" si="0"/>
        <v>0.74285714285714288</v>
      </c>
      <c r="D360" s="5">
        <f ca="1">VLOOKUP($A360&amp;$B360,data!$A:$U,20,FALSE)</f>
        <v>44305.365416666602</v>
      </c>
      <c r="E360" s="3" t="str">
        <f ca="1">VLOOKUP($A360&amp;$B360,data!$A:$U,21,FALSE)</f>
        <v>19.04.2021</v>
      </c>
      <c r="F360" s="3">
        <f ca="1">VLOOKUP($A360&amp;$B360,data!$A:$U,17,FALSE)</f>
        <v>1</v>
      </c>
      <c r="G360" s="3">
        <f ca="1">VLOOKUP($A360&amp;$B360,data!$A:$U,18,FALSE)</f>
        <v>0</v>
      </c>
      <c r="H360" s="3">
        <f ca="1">VLOOKUP($A360&amp;$B360,data!$A:$U,19,FALSE)</f>
        <v>1</v>
      </c>
      <c r="I360" s="3">
        <f ca="1">VLOOKUP($A360&amp;$B360,data!$A:$U,14,FALSE)</f>
        <v>2</v>
      </c>
      <c r="J360" s="3">
        <f ca="1">VLOOKUP($A360&amp;$B360,data!$A:$U,15,FALSE)</f>
        <v>0</v>
      </c>
      <c r="K360" s="3">
        <f ca="1">VLOOKUP($A360&amp;$B360,data!$A:$U,16,FALSE)</f>
        <v>2</v>
      </c>
      <c r="L360" s="3">
        <f ca="1">VLOOKUP($A360&amp;$B360,data!$A:$U,8,FALSE)</f>
        <v>28</v>
      </c>
      <c r="M360" s="3">
        <f ca="1">VLOOKUP($A360&amp;$B360,data!$A:$U,9,FALSE)</f>
        <v>4</v>
      </c>
      <c r="N360" s="3">
        <f ca="1">VLOOKUP($A360&amp;$B360,data!$A:$U,10,FALSE)</f>
        <v>24</v>
      </c>
      <c r="O360" s="3">
        <f ca="1">VLOOKUP($A360&amp;$B360,data!$A:$U,11,FALSE)</f>
        <v>5</v>
      </c>
      <c r="P360" s="3">
        <f ca="1">VLOOKUP($A360&amp;$B360,data!$A:$U,12,FALSE)</f>
        <v>5</v>
      </c>
      <c r="Q360" s="3">
        <f ca="1">VLOOKUP($A360&amp;$B360,data!$A:$U,13,FALSE)</f>
        <v>0</v>
      </c>
      <c r="R360" s="3">
        <f ca="1">VLOOKUP($A360&amp;$B360,data!$A:$U,5,FALSE)</f>
        <v>35</v>
      </c>
      <c r="S360" s="3">
        <f ca="1">VLOOKUP($A360&amp;$B360,data!$A:$U,6,FALSE)</f>
        <v>9</v>
      </c>
      <c r="T360" s="3">
        <f ca="1">VLOOKUP($A360&amp;$B360,data!$A:$U,7,FALSE)</f>
        <v>26</v>
      </c>
    </row>
    <row r="361" spans="1:20" ht="13" x14ac:dyDescent="0.15">
      <c r="A361" s="3" t="s">
        <v>29</v>
      </c>
      <c r="B361" s="3" t="s">
        <v>785</v>
      </c>
      <c r="C361" s="10">
        <f t="shared" ca="1" si="0"/>
        <v>1</v>
      </c>
      <c r="D361" s="5">
        <f ca="1">VLOOKUP($A361&amp;$B361,data!$A:$U,20,FALSE)</f>
        <v>44305.4159837962</v>
      </c>
      <c r="E361" s="3" t="str">
        <f ca="1">VLOOKUP($A361&amp;$B361,data!$A:$U,21,FALSE)</f>
        <v>Nil..</v>
      </c>
      <c r="F361" s="3">
        <f ca="1">VLOOKUP($A361&amp;$B361,data!$A:$U,17,FALSE)</f>
        <v>1</v>
      </c>
      <c r="G361" s="3">
        <f ca="1">VLOOKUP($A361&amp;$B361,data!$A:$U,18,FALSE)</f>
        <v>0</v>
      </c>
      <c r="H361" s="3">
        <f ca="1">VLOOKUP($A361&amp;$B361,data!$A:$U,19,FALSE)</f>
        <v>1</v>
      </c>
      <c r="I361" s="3">
        <f ca="1">VLOOKUP($A361&amp;$B361,data!$A:$U,14,FALSE)</f>
        <v>1</v>
      </c>
      <c r="J361" s="3">
        <f ca="1">VLOOKUP($A361&amp;$B361,data!$A:$U,15,FALSE)</f>
        <v>0</v>
      </c>
      <c r="K361" s="3">
        <f ca="1">VLOOKUP($A361&amp;$B361,data!$A:$U,16,FALSE)</f>
        <v>1</v>
      </c>
      <c r="L361" s="3">
        <f ca="1">VLOOKUP($A361&amp;$B361,data!$A:$U,8,FALSE)</f>
        <v>6</v>
      </c>
      <c r="M361" s="3">
        <f ca="1">VLOOKUP($A361&amp;$B361,data!$A:$U,9,FALSE)</f>
        <v>0</v>
      </c>
      <c r="N361" s="3">
        <f ca="1">VLOOKUP($A361&amp;$B361,data!$A:$U,10,FALSE)</f>
        <v>6</v>
      </c>
      <c r="O361" s="3">
        <f ca="1">VLOOKUP($A361&amp;$B361,data!$A:$U,11,FALSE)</f>
        <v>11</v>
      </c>
      <c r="P361" s="3">
        <f ca="1">VLOOKUP($A361&amp;$B361,data!$A:$U,12,FALSE)</f>
        <v>0</v>
      </c>
      <c r="Q361" s="3">
        <f ca="1">VLOOKUP($A361&amp;$B361,data!$A:$U,13,FALSE)</f>
        <v>11</v>
      </c>
      <c r="R361" s="3">
        <f ca="1">VLOOKUP($A361&amp;$B361,data!$A:$U,5,FALSE)</f>
        <v>18</v>
      </c>
      <c r="S361" s="3">
        <f ca="1">VLOOKUP($A361&amp;$B361,data!$A:$U,6,FALSE)</f>
        <v>0</v>
      </c>
      <c r="T361" s="3">
        <f ca="1">VLOOKUP($A361&amp;$B361,data!$A:$U,7,FALSE)</f>
        <v>18</v>
      </c>
    </row>
    <row r="362" spans="1:20" ht="13" x14ac:dyDescent="0.15">
      <c r="A362" s="3" t="s">
        <v>29</v>
      </c>
      <c r="B362" s="3" t="s">
        <v>949</v>
      </c>
      <c r="C362" s="10">
        <f t="shared" ca="1" si="0"/>
        <v>0.66666666666666663</v>
      </c>
      <c r="D362" s="5">
        <f ca="1">VLOOKUP($A362&amp;$B362,data!$A:$U,20,FALSE)</f>
        <v>44305.3340046296</v>
      </c>
      <c r="E362" s="3" t="str">
        <f ca="1">VLOOKUP($A362&amp;$B362,data!$A:$U,21,FALSE)</f>
        <v>19.04.2021.</v>
      </c>
      <c r="F362" s="3">
        <f ca="1">VLOOKUP($A362&amp;$B362,data!$A:$U,17,FALSE)</f>
        <v>1</v>
      </c>
      <c r="G362" s="3">
        <f ca="1">VLOOKUP($A362&amp;$B362,data!$A:$U,18,FALSE)</f>
        <v>0</v>
      </c>
      <c r="H362" s="3">
        <f ca="1">VLOOKUP($A362&amp;$B362,data!$A:$U,19,FALSE)</f>
        <v>1</v>
      </c>
      <c r="I362" s="3">
        <f ca="1">VLOOKUP($A362&amp;$B362,data!$A:$U,14,FALSE)</f>
        <v>5</v>
      </c>
      <c r="J362" s="3">
        <f ca="1">VLOOKUP($A362&amp;$B362,data!$A:$U,15,FALSE)</f>
        <v>0</v>
      </c>
      <c r="K362" s="3">
        <f ca="1">VLOOKUP($A362&amp;$B362,data!$A:$U,16,FALSE)</f>
        <v>5</v>
      </c>
      <c r="L362" s="3">
        <f ca="1">VLOOKUP($A362&amp;$B362,data!$A:$U,8,FALSE)</f>
        <v>5</v>
      </c>
      <c r="M362" s="3">
        <f ca="1">VLOOKUP($A362&amp;$B362,data!$A:$U,9,FALSE)</f>
        <v>0</v>
      </c>
      <c r="N362" s="3">
        <f ca="1">VLOOKUP($A362&amp;$B362,data!$A:$U,10,FALSE)</f>
        <v>5</v>
      </c>
      <c r="O362" s="3">
        <f ca="1">VLOOKUP($A362&amp;$B362,data!$A:$U,11,FALSE)</f>
        <v>5</v>
      </c>
      <c r="P362" s="3">
        <f ca="1">VLOOKUP($A362&amp;$B362,data!$A:$U,12,FALSE)</f>
        <v>5</v>
      </c>
      <c r="Q362" s="3">
        <f ca="1">VLOOKUP($A362&amp;$B362,data!$A:$U,13,FALSE)</f>
        <v>0</v>
      </c>
      <c r="R362" s="3">
        <f ca="1">VLOOKUP($A362&amp;$B362,data!$A:$U,5,FALSE)</f>
        <v>15</v>
      </c>
      <c r="S362" s="3">
        <f ca="1">VLOOKUP($A362&amp;$B362,data!$A:$U,6,FALSE)</f>
        <v>5</v>
      </c>
      <c r="T362" s="3">
        <f ca="1">VLOOKUP($A362&amp;$B362,data!$A:$U,7,FALSE)</f>
        <v>10</v>
      </c>
    </row>
    <row r="363" spans="1:20" ht="13" x14ac:dyDescent="0.15">
      <c r="A363" s="3" t="s">
        <v>29</v>
      </c>
      <c r="B363" s="3" t="s">
        <v>578</v>
      </c>
      <c r="C363" s="10">
        <f t="shared" ca="1" si="0"/>
        <v>0.4</v>
      </c>
      <c r="D363" s="5">
        <f ca="1">VLOOKUP($A363&amp;$B363,data!$A:$U,20,FALSE)</f>
        <v>44305.397245370303</v>
      </c>
      <c r="E363" s="3" t="str">
        <f ca="1">VLOOKUP($A363&amp;$B363,data!$A:$U,21,FALSE)</f>
        <v>SRI HOSPITALS.</v>
      </c>
      <c r="F363" s="3">
        <f ca="1">VLOOKUP($A363&amp;$B363,data!$A:$U,17,FALSE)</f>
        <v>1</v>
      </c>
      <c r="G363" s="3">
        <f ca="1">VLOOKUP($A363&amp;$B363,data!$A:$U,18,FALSE)</f>
        <v>0</v>
      </c>
      <c r="H363" s="3">
        <f ca="1">VLOOKUP($A363&amp;$B363,data!$A:$U,19,FALSE)</f>
        <v>1</v>
      </c>
      <c r="I363" s="3">
        <f ca="1">VLOOKUP($A363&amp;$B363,data!$A:$U,14,FALSE)</f>
        <v>4</v>
      </c>
      <c r="J363" s="3">
        <f ca="1">VLOOKUP($A363&amp;$B363,data!$A:$U,15,FALSE)</f>
        <v>2</v>
      </c>
      <c r="K363" s="3">
        <f ca="1">VLOOKUP($A363&amp;$B363,data!$A:$U,16,FALSE)</f>
        <v>2</v>
      </c>
      <c r="L363" s="3">
        <f ca="1">VLOOKUP($A363&amp;$B363,data!$A:$U,8,FALSE)</f>
        <v>21</v>
      </c>
      <c r="M363" s="3">
        <f ca="1">VLOOKUP($A363&amp;$B363,data!$A:$U,9,FALSE)</f>
        <v>14</v>
      </c>
      <c r="N363" s="3">
        <f ca="1">VLOOKUP($A363&amp;$B363,data!$A:$U,10,FALSE)</f>
        <v>7</v>
      </c>
      <c r="O363" s="3">
        <f ca="1">VLOOKUP($A363&amp;$B363,data!$A:$U,11,FALSE)</f>
        <v>0</v>
      </c>
      <c r="P363" s="3">
        <f ca="1">VLOOKUP($A363&amp;$B363,data!$A:$U,12,FALSE)</f>
        <v>0</v>
      </c>
      <c r="Q363" s="3">
        <f ca="1">VLOOKUP($A363&amp;$B363,data!$A:$U,13,FALSE)</f>
        <v>0</v>
      </c>
      <c r="R363" s="3">
        <f ca="1">VLOOKUP($A363&amp;$B363,data!$A:$U,5,FALSE)</f>
        <v>25</v>
      </c>
      <c r="S363" s="3">
        <f ca="1">VLOOKUP($A363&amp;$B363,data!$A:$U,6,FALSE)</f>
        <v>14</v>
      </c>
      <c r="T363" s="3">
        <f ca="1">VLOOKUP($A363&amp;$B363,data!$A:$U,7,FALSE)</f>
        <v>11</v>
      </c>
    </row>
    <row r="364" spans="1:20" ht="13" x14ac:dyDescent="0.15">
      <c r="A364" s="3" t="s">
        <v>29</v>
      </c>
      <c r="B364" s="3" t="s">
        <v>954</v>
      </c>
      <c r="C364" s="10">
        <f t="shared" ca="1" si="0"/>
        <v>0.3125</v>
      </c>
      <c r="D364" s="5">
        <f ca="1">VLOOKUP($A364&amp;$B364,data!$A:$U,20,FALSE)</f>
        <v>44305.311527777703</v>
      </c>
      <c r="E364" s="3">
        <f ca="1">VLOOKUP($A364&amp;$B364,data!$A:$U,21,FALSE)</f>
        <v>0</v>
      </c>
      <c r="F364" s="3">
        <f ca="1">VLOOKUP($A364&amp;$B364,data!$A:$U,17,FALSE)</f>
        <v>0</v>
      </c>
      <c r="G364" s="3">
        <f ca="1">VLOOKUP($A364&amp;$B364,data!$A:$U,18,FALSE)</f>
        <v>0</v>
      </c>
      <c r="H364" s="3">
        <f ca="1">VLOOKUP($A364&amp;$B364,data!$A:$U,19,FALSE)</f>
        <v>0</v>
      </c>
      <c r="I364" s="3">
        <f ca="1">VLOOKUP($A364&amp;$B364,data!$A:$U,14,FALSE)</f>
        <v>3</v>
      </c>
      <c r="J364" s="3">
        <f ca="1">VLOOKUP($A364&amp;$B364,data!$A:$U,15,FALSE)</f>
        <v>0</v>
      </c>
      <c r="K364" s="3">
        <f ca="1">VLOOKUP($A364&amp;$B364,data!$A:$U,16,FALSE)</f>
        <v>3</v>
      </c>
      <c r="L364" s="3">
        <f ca="1">VLOOKUP($A364&amp;$B364,data!$A:$U,8,FALSE)</f>
        <v>13</v>
      </c>
      <c r="M364" s="3">
        <f ca="1">VLOOKUP($A364&amp;$B364,data!$A:$U,9,FALSE)</f>
        <v>11</v>
      </c>
      <c r="N364" s="3">
        <f ca="1">VLOOKUP($A364&amp;$B364,data!$A:$U,10,FALSE)</f>
        <v>2</v>
      </c>
      <c r="O364" s="3">
        <f ca="1">VLOOKUP($A364&amp;$B364,data!$A:$U,11,FALSE)</f>
        <v>0</v>
      </c>
      <c r="P364" s="3">
        <f ca="1">VLOOKUP($A364&amp;$B364,data!$A:$U,12,FALSE)</f>
        <v>0</v>
      </c>
      <c r="Q364" s="3">
        <f ca="1">VLOOKUP($A364&amp;$B364,data!$A:$U,13,FALSE)</f>
        <v>0</v>
      </c>
      <c r="R364" s="3">
        <f ca="1">VLOOKUP($A364&amp;$B364,data!$A:$U,5,FALSE)</f>
        <v>16</v>
      </c>
      <c r="S364" s="3">
        <f ca="1">VLOOKUP($A364&amp;$B364,data!$A:$U,6,FALSE)</f>
        <v>11</v>
      </c>
      <c r="T364" s="3">
        <f ca="1">VLOOKUP($A364&amp;$B364,data!$A:$U,7,FALSE)</f>
        <v>5</v>
      </c>
    </row>
    <row r="365" spans="1:20" ht="13" x14ac:dyDescent="0.15">
      <c r="A365" s="3" t="s">
        <v>29</v>
      </c>
      <c r="B365" s="3" t="s">
        <v>643</v>
      </c>
      <c r="C365" s="10">
        <f t="shared" ca="1" si="0"/>
        <v>0</v>
      </c>
      <c r="D365" s="5">
        <f ca="1">VLOOKUP($A365&amp;$B365,data!$A:$U,20,FALSE)</f>
        <v>44305.577141203699</v>
      </c>
      <c r="E365" s="3" t="str">
        <f ca="1">VLOOKUP($A365&amp;$B365,data!$A:$U,21,FALSE)</f>
        <v>.</v>
      </c>
      <c r="F365" s="3">
        <f ca="1">VLOOKUP($A365&amp;$B365,data!$A:$U,17,FALSE)</f>
        <v>1</v>
      </c>
      <c r="G365" s="3">
        <f ca="1">VLOOKUP($A365&amp;$B365,data!$A:$U,18,FALSE)</f>
        <v>0</v>
      </c>
      <c r="H365" s="3">
        <f ca="1">VLOOKUP($A365&amp;$B365,data!$A:$U,19,FALSE)</f>
        <v>1</v>
      </c>
      <c r="I365" s="3">
        <f ca="1">VLOOKUP($A365&amp;$B365,data!$A:$U,14,FALSE)</f>
        <v>3</v>
      </c>
      <c r="J365" s="3">
        <f ca="1">VLOOKUP($A365&amp;$B365,data!$A:$U,15,FALSE)</f>
        <v>3</v>
      </c>
      <c r="K365" s="3">
        <f ca="1">VLOOKUP($A365&amp;$B365,data!$A:$U,16,FALSE)</f>
        <v>0</v>
      </c>
      <c r="L365" s="3">
        <f ca="1">VLOOKUP($A365&amp;$B365,data!$A:$U,8,FALSE)</f>
        <v>14</v>
      </c>
      <c r="M365" s="3">
        <f ca="1">VLOOKUP($A365&amp;$B365,data!$A:$U,9,FALSE)</f>
        <v>14</v>
      </c>
      <c r="N365" s="3">
        <f ca="1">VLOOKUP($A365&amp;$B365,data!$A:$U,10,FALSE)</f>
        <v>0</v>
      </c>
      <c r="O365" s="3">
        <f ca="1">VLOOKUP($A365&amp;$B365,data!$A:$U,11,FALSE)</f>
        <v>4</v>
      </c>
      <c r="P365" s="3">
        <f ca="1">VLOOKUP($A365&amp;$B365,data!$A:$U,12,FALSE)</f>
        <v>4</v>
      </c>
      <c r="Q365" s="3">
        <f ca="1">VLOOKUP($A365&amp;$B365,data!$A:$U,13,FALSE)</f>
        <v>0</v>
      </c>
      <c r="R365" s="3">
        <f ca="1">VLOOKUP($A365&amp;$B365,data!$A:$U,5,FALSE)</f>
        <v>21</v>
      </c>
      <c r="S365" s="3">
        <f ca="1">VLOOKUP($A365&amp;$B365,data!$A:$U,6,FALSE)</f>
        <v>21</v>
      </c>
      <c r="T365" s="3">
        <f ca="1">VLOOKUP($A365&amp;$B365,data!$A:$U,7,FALSE)</f>
        <v>0</v>
      </c>
    </row>
    <row r="366" spans="1:20" ht="13" x14ac:dyDescent="0.15">
      <c r="A366" s="3" t="s">
        <v>29</v>
      </c>
      <c r="B366" s="3" t="s">
        <v>944</v>
      </c>
      <c r="C366" s="10">
        <f t="shared" ca="1" si="0"/>
        <v>0.22222222222222221</v>
      </c>
      <c r="D366" s="5">
        <f ca="1">VLOOKUP($A366&amp;$B366,data!$A:$U,20,FALSE)</f>
        <v>44305.4178703703</v>
      </c>
      <c r="E366" s="3" t="str">
        <f ca="1">VLOOKUP($A366&amp;$B366,data!$A:$U,21,FALSE)</f>
        <v>RT-PCR positive Cases: 14 Suspected SARI Cases: 3</v>
      </c>
      <c r="F366" s="3">
        <f ca="1">VLOOKUP($A366&amp;$B366,data!$A:$U,17,FALSE)</f>
        <v>1</v>
      </c>
      <c r="G366" s="3">
        <f ca="1">VLOOKUP($A366&amp;$B366,data!$A:$U,18,FALSE)</f>
        <v>0</v>
      </c>
      <c r="H366" s="3">
        <f ca="1">VLOOKUP($A366&amp;$B366,data!$A:$U,19,FALSE)</f>
        <v>1</v>
      </c>
      <c r="I366" s="3">
        <f ca="1">VLOOKUP($A366&amp;$B366,data!$A:$U,14,FALSE)</f>
        <v>4</v>
      </c>
      <c r="J366" s="3">
        <f ca="1">VLOOKUP($A366&amp;$B366,data!$A:$U,15,FALSE)</f>
        <v>4</v>
      </c>
      <c r="K366" s="3">
        <f ca="1">VLOOKUP($A366&amp;$B366,data!$A:$U,16,FALSE)</f>
        <v>0</v>
      </c>
      <c r="L366" s="3">
        <f ca="1">VLOOKUP($A366&amp;$B366,data!$A:$U,8,FALSE)</f>
        <v>8</v>
      </c>
      <c r="M366" s="3">
        <f ca="1">VLOOKUP($A366&amp;$B366,data!$A:$U,9,FALSE)</f>
        <v>8</v>
      </c>
      <c r="N366" s="3">
        <f ca="1">VLOOKUP($A366&amp;$B366,data!$A:$U,10,FALSE)</f>
        <v>0</v>
      </c>
      <c r="O366" s="3">
        <f ca="1">VLOOKUP($A366&amp;$B366,data!$A:$U,11,FALSE)</f>
        <v>2</v>
      </c>
      <c r="P366" s="3">
        <f ca="1">VLOOKUP($A366&amp;$B366,data!$A:$U,12,FALSE)</f>
        <v>2</v>
      </c>
      <c r="Q366" s="3">
        <f ca="1">VLOOKUP($A366&amp;$B366,data!$A:$U,13,FALSE)</f>
        <v>0</v>
      </c>
      <c r="R366" s="3">
        <f ca="1">VLOOKUP($A366&amp;$B366,data!$A:$U,5,FALSE)</f>
        <v>22</v>
      </c>
      <c r="S366" s="3">
        <f ca="1">VLOOKUP($A366&amp;$B366,data!$A:$U,6,FALSE)</f>
        <v>14</v>
      </c>
      <c r="T366" s="3">
        <f ca="1">VLOOKUP($A366&amp;$B366,data!$A:$U,7,FALSE)</f>
        <v>8</v>
      </c>
    </row>
    <row r="367" spans="1:20" ht="13" x14ac:dyDescent="0.15">
      <c r="A367" s="3" t="s">
        <v>29</v>
      </c>
      <c r="B367" s="3" t="s">
        <v>948</v>
      </c>
      <c r="C367" s="10" t="e">
        <f t="shared" ca="1" si="0"/>
        <v>#DIV/0!</v>
      </c>
      <c r="D367" s="5">
        <f ca="1">VLOOKUP($A367&amp;$B367,data!$A:$U,20,FALSE)</f>
        <v>44305.332037036998</v>
      </c>
      <c r="E367" s="3" t="str">
        <f ca="1">VLOOKUP($A367&amp;$B367,data!$A:$U,21,FALSE)</f>
        <v>Temporarily stopped as per JDHS Instruction.</v>
      </c>
      <c r="F367" s="3">
        <f ca="1">VLOOKUP($A367&amp;$B367,data!$A:$U,17,FALSE)</f>
        <v>0</v>
      </c>
      <c r="G367" s="3">
        <f ca="1">VLOOKUP($A367&amp;$B367,data!$A:$U,18,FALSE)</f>
        <v>0</v>
      </c>
      <c r="H367" s="3">
        <f ca="1">VLOOKUP($A367&amp;$B367,data!$A:$U,19,FALSE)</f>
        <v>0</v>
      </c>
      <c r="I367" s="3">
        <f ca="1">VLOOKUP($A367&amp;$B367,data!$A:$U,14,FALSE)</f>
        <v>0</v>
      </c>
      <c r="J367" s="3">
        <f ca="1">VLOOKUP($A367&amp;$B367,data!$A:$U,15,FALSE)</f>
        <v>0</v>
      </c>
      <c r="K367" s="3">
        <f ca="1">VLOOKUP($A367&amp;$B367,data!$A:$U,16,FALSE)</f>
        <v>0</v>
      </c>
      <c r="L367" s="3">
        <f ca="1">VLOOKUP($A367&amp;$B367,data!$A:$U,8,FALSE)</f>
        <v>0</v>
      </c>
      <c r="M367" s="3">
        <f ca="1">VLOOKUP($A367&amp;$B367,data!$A:$U,9,FALSE)</f>
        <v>0</v>
      </c>
      <c r="N367" s="3">
        <f ca="1">VLOOKUP($A367&amp;$B367,data!$A:$U,10,FALSE)</f>
        <v>0</v>
      </c>
      <c r="O367" s="3">
        <f ca="1">VLOOKUP($A367&amp;$B367,data!$A:$U,11,FALSE)</f>
        <v>0</v>
      </c>
      <c r="P367" s="3">
        <f ca="1">VLOOKUP($A367&amp;$B367,data!$A:$U,12,FALSE)</f>
        <v>0</v>
      </c>
      <c r="Q367" s="3">
        <f ca="1">VLOOKUP($A367&amp;$B367,data!$A:$U,13,FALSE)</f>
        <v>0</v>
      </c>
      <c r="R367" s="3">
        <f ca="1">VLOOKUP($A367&amp;$B367,data!$A:$U,5,FALSE)</f>
        <v>0</v>
      </c>
      <c r="S367" s="3">
        <f ca="1">VLOOKUP($A367&amp;$B367,data!$A:$U,6,FALSE)</f>
        <v>0</v>
      </c>
      <c r="T367" s="3">
        <f ca="1">VLOOKUP($A367&amp;$B367,data!$A:$U,7,FALSE)</f>
        <v>0</v>
      </c>
    </row>
    <row r="368" spans="1:20" ht="13" x14ac:dyDescent="0.15">
      <c r="A368" s="3" t="s">
        <v>29</v>
      </c>
      <c r="B368" s="3" t="s">
        <v>955</v>
      </c>
      <c r="C368" s="10" t="e">
        <f t="shared" ca="1" si="0"/>
        <v>#DIV/0!</v>
      </c>
      <c r="D368" s="5">
        <f ca="1">VLOOKUP($A368&amp;$B368,data!$A:$U,20,FALSE)</f>
        <v>44305.333472222199</v>
      </c>
      <c r="E368" s="3" t="str">
        <f ca="1">VLOOKUP($A368&amp;$B368,data!$A:$U,21,FALSE)</f>
        <v>temporarily closed.</v>
      </c>
      <c r="F368" s="3">
        <f ca="1">VLOOKUP($A368&amp;$B368,data!$A:$U,17,FALSE)</f>
        <v>0</v>
      </c>
      <c r="G368" s="3">
        <f ca="1">VLOOKUP($A368&amp;$B368,data!$A:$U,18,FALSE)</f>
        <v>0</v>
      </c>
      <c r="H368" s="3">
        <f ca="1">VLOOKUP($A368&amp;$B368,data!$A:$U,19,FALSE)</f>
        <v>0</v>
      </c>
      <c r="I368" s="3">
        <f ca="1">VLOOKUP($A368&amp;$B368,data!$A:$U,14,FALSE)</f>
        <v>0</v>
      </c>
      <c r="J368" s="3">
        <f ca="1">VLOOKUP($A368&amp;$B368,data!$A:$U,15,FALSE)</f>
        <v>0</v>
      </c>
      <c r="K368" s="3">
        <f ca="1">VLOOKUP($A368&amp;$B368,data!$A:$U,16,FALSE)</f>
        <v>0</v>
      </c>
      <c r="L368" s="3">
        <f ca="1">VLOOKUP($A368&amp;$B368,data!$A:$U,8,FALSE)</f>
        <v>0</v>
      </c>
      <c r="M368" s="3">
        <f ca="1">VLOOKUP($A368&amp;$B368,data!$A:$U,9,FALSE)</f>
        <v>0</v>
      </c>
      <c r="N368" s="3">
        <f ca="1">VLOOKUP($A368&amp;$B368,data!$A:$U,10,FALSE)</f>
        <v>0</v>
      </c>
      <c r="O368" s="3">
        <f ca="1">VLOOKUP($A368&amp;$B368,data!$A:$U,11,FALSE)</f>
        <v>0</v>
      </c>
      <c r="P368" s="3">
        <f ca="1">VLOOKUP($A368&amp;$B368,data!$A:$U,12,FALSE)</f>
        <v>0</v>
      </c>
      <c r="Q368" s="3">
        <f ca="1">VLOOKUP($A368&amp;$B368,data!$A:$U,13,FALSE)</f>
        <v>0</v>
      </c>
      <c r="R368" s="3">
        <f ca="1">VLOOKUP($A368&amp;$B368,data!$A:$U,5,FALSE)</f>
        <v>0</v>
      </c>
      <c r="S368" s="3">
        <f ca="1">VLOOKUP($A368&amp;$B368,data!$A:$U,6,FALSE)</f>
        <v>0</v>
      </c>
      <c r="T368" s="3">
        <f ca="1">VLOOKUP($A368&amp;$B368,data!$A:$U,7,FALSE)</f>
        <v>0</v>
      </c>
    </row>
    <row r="369" spans="1:20" ht="13" x14ac:dyDescent="0.15">
      <c r="A369" s="3" t="s">
        <v>30</v>
      </c>
      <c r="B369" s="3" t="s">
        <v>587</v>
      </c>
      <c r="C369" s="10">
        <f t="shared" ca="1" si="0"/>
        <v>0.42222222222222222</v>
      </c>
      <c r="D369" s="5">
        <f ca="1">VLOOKUP($A369&amp;$B369,data!$A:$U,20,FALSE)</f>
        <v>44305.405150462902</v>
      </c>
      <c r="E369" s="3">
        <f ca="1">VLOOKUP($A369&amp;$B369,data!$A:$U,21,FALSE)</f>
        <v>0</v>
      </c>
      <c r="F369" s="3">
        <f ca="1">VLOOKUP($A369&amp;$B369,data!$A:$U,17,FALSE)</f>
        <v>0</v>
      </c>
      <c r="G369" s="3">
        <f ca="1">VLOOKUP($A369&amp;$B369,data!$A:$U,18,FALSE)</f>
        <v>0</v>
      </c>
      <c r="H369" s="3">
        <f ca="1">VLOOKUP($A369&amp;$B369,data!$A:$U,19,FALSE)</f>
        <v>0</v>
      </c>
      <c r="I369" s="3">
        <f ca="1">VLOOKUP($A369&amp;$B369,data!$A:$U,14,FALSE)</f>
        <v>0</v>
      </c>
      <c r="J369" s="3">
        <f ca="1">VLOOKUP($A369&amp;$B369,data!$A:$U,15,FALSE)</f>
        <v>0</v>
      </c>
      <c r="K369" s="3">
        <f ca="1">VLOOKUP($A369&amp;$B369,data!$A:$U,16,FALSE)</f>
        <v>0</v>
      </c>
      <c r="L369" s="3">
        <f ca="1">VLOOKUP($A369&amp;$B369,data!$A:$U,8,FALSE)</f>
        <v>30</v>
      </c>
      <c r="M369" s="3">
        <f ca="1">VLOOKUP($A369&amp;$B369,data!$A:$U,9,FALSE)</f>
        <v>11</v>
      </c>
      <c r="N369" s="3">
        <f ca="1">VLOOKUP($A369&amp;$B369,data!$A:$U,10,FALSE)</f>
        <v>19</v>
      </c>
      <c r="O369" s="3">
        <f ca="1">VLOOKUP($A369&amp;$B369,data!$A:$U,11,FALSE)</f>
        <v>30</v>
      </c>
      <c r="P369" s="3">
        <f ca="1">VLOOKUP($A369&amp;$B369,data!$A:$U,12,FALSE)</f>
        <v>0</v>
      </c>
      <c r="Q369" s="3">
        <f ca="1">VLOOKUP($A369&amp;$B369,data!$A:$U,13,FALSE)</f>
        <v>0</v>
      </c>
      <c r="R369" s="3">
        <f ca="1">VLOOKUP($A369&amp;$B369,data!$A:$U,5,FALSE)</f>
        <v>30</v>
      </c>
      <c r="S369" s="3">
        <f ca="1">VLOOKUP($A369&amp;$B369,data!$A:$U,6,FALSE)</f>
        <v>11</v>
      </c>
      <c r="T369" s="3">
        <f ca="1">VLOOKUP($A369&amp;$B369,data!$A:$U,7,FALSE)</f>
        <v>19</v>
      </c>
    </row>
    <row r="370" spans="1:20" ht="13" x14ac:dyDescent="0.15">
      <c r="A370" s="3" t="s">
        <v>30</v>
      </c>
      <c r="B370" s="3" t="s">
        <v>589</v>
      </c>
      <c r="C370" s="10">
        <f t="shared" ca="1" si="0"/>
        <v>0.48076923076923078</v>
      </c>
      <c r="D370" s="5">
        <f ca="1">VLOOKUP($A370&amp;$B370,data!$A:$U,20,FALSE)</f>
        <v>44304.5379398148</v>
      </c>
      <c r="E370" s="3" t="str">
        <f ca="1">VLOOKUP($A370&amp;$B370,data!$A:$U,21,FALSE)</f>
        <v>28 positive cases &amp; 5 Suspected Cases 18/04/2021</v>
      </c>
      <c r="F370" s="3">
        <f ca="1">VLOOKUP($A370&amp;$B370,data!$A:$U,17,FALSE)</f>
        <v>3</v>
      </c>
      <c r="G370" s="3">
        <f ca="1">VLOOKUP($A370&amp;$B370,data!$A:$U,18,FALSE)</f>
        <v>3</v>
      </c>
      <c r="H370" s="3">
        <f ca="1">VLOOKUP($A370&amp;$B370,data!$A:$U,19,FALSE)</f>
        <v>0</v>
      </c>
      <c r="I370" s="3">
        <f ca="1">VLOOKUP($A370&amp;$B370,data!$A:$U,14,FALSE)</f>
        <v>3</v>
      </c>
      <c r="J370" s="3">
        <f ca="1">VLOOKUP($A370&amp;$B370,data!$A:$U,15,FALSE)</f>
        <v>3</v>
      </c>
      <c r="K370" s="3">
        <f ca="1">VLOOKUP($A370&amp;$B370,data!$A:$U,16,FALSE)</f>
        <v>0</v>
      </c>
      <c r="L370" s="3">
        <f ca="1">VLOOKUP($A370&amp;$B370,data!$A:$U,8,FALSE)</f>
        <v>37</v>
      </c>
      <c r="M370" s="3">
        <f ca="1">VLOOKUP($A370&amp;$B370,data!$A:$U,9,FALSE)</f>
        <v>18</v>
      </c>
      <c r="N370" s="3">
        <f ca="1">VLOOKUP($A370&amp;$B370,data!$A:$U,10,FALSE)</f>
        <v>19</v>
      </c>
      <c r="O370" s="3">
        <f ca="1">VLOOKUP($A370&amp;$B370,data!$A:$U,11,FALSE)</f>
        <v>12</v>
      </c>
      <c r="P370" s="3">
        <f ca="1">VLOOKUP($A370&amp;$B370,data!$A:$U,12,FALSE)</f>
        <v>0</v>
      </c>
      <c r="Q370" s="3">
        <f ca="1">VLOOKUP($A370&amp;$B370,data!$A:$U,13,FALSE)</f>
        <v>7</v>
      </c>
      <c r="R370" s="3">
        <f ca="1">VLOOKUP($A370&amp;$B370,data!$A:$U,5,FALSE)</f>
        <v>52</v>
      </c>
      <c r="S370" s="3">
        <f ca="1">VLOOKUP($A370&amp;$B370,data!$A:$U,6,FALSE)</f>
        <v>28</v>
      </c>
      <c r="T370" s="3">
        <f ca="1">VLOOKUP($A370&amp;$B370,data!$A:$U,7,FALSE)</f>
        <v>24</v>
      </c>
    </row>
    <row r="371" spans="1:20" ht="13" x14ac:dyDescent="0.15">
      <c r="A371" s="3" t="s">
        <v>30</v>
      </c>
      <c r="B371" s="3" t="s">
        <v>1194</v>
      </c>
      <c r="C371" s="10">
        <f t="shared" ca="1" si="0"/>
        <v>0.32258064516129031</v>
      </c>
      <c r="D371" s="5">
        <f ca="1">VLOOKUP($A371&amp;$B371,data!$A:$U,20,FALSE)</f>
        <v>44305.72</v>
      </c>
      <c r="E371" s="3" t="str">
        <f ca="1">VLOOKUP($A371&amp;$B371,data!$A:$U,21,FALSE)</f>
        <v>11 Active cases</v>
      </c>
      <c r="F371" s="3">
        <f ca="1">VLOOKUP($A371&amp;$B371,data!$A:$U,17,FALSE)</f>
        <v>5</v>
      </c>
      <c r="G371" s="3">
        <f ca="1">VLOOKUP($A371&amp;$B371,data!$A:$U,18,FALSE)</f>
        <v>0</v>
      </c>
      <c r="H371" s="3">
        <f ca="1">VLOOKUP($A371&amp;$B371,data!$A:$U,19,FALSE)</f>
        <v>5</v>
      </c>
      <c r="I371" s="3">
        <f ca="1">VLOOKUP($A371&amp;$B371,data!$A:$U,14,FALSE)</f>
        <v>5</v>
      </c>
      <c r="J371" s="3">
        <f ca="1">VLOOKUP($A371&amp;$B371,data!$A:$U,15,FALSE)</f>
        <v>2</v>
      </c>
      <c r="K371" s="3">
        <f ca="1">VLOOKUP($A371&amp;$B371,data!$A:$U,16,FALSE)</f>
        <v>3</v>
      </c>
      <c r="L371" s="3">
        <f ca="1">VLOOKUP($A371&amp;$B371,data!$A:$U,8,FALSE)</f>
        <v>10</v>
      </c>
      <c r="M371" s="3">
        <f ca="1">VLOOKUP($A371&amp;$B371,data!$A:$U,9,FALSE)</f>
        <v>5</v>
      </c>
      <c r="N371" s="3">
        <f ca="1">VLOOKUP($A371&amp;$B371,data!$A:$U,10,FALSE)</f>
        <v>5</v>
      </c>
      <c r="O371" s="3">
        <f ca="1">VLOOKUP($A371&amp;$B371,data!$A:$U,11,FALSE)</f>
        <v>3</v>
      </c>
      <c r="P371" s="3">
        <f ca="1">VLOOKUP($A371&amp;$B371,data!$A:$U,12,FALSE)</f>
        <v>3</v>
      </c>
      <c r="Q371" s="3">
        <f ca="1">VLOOKUP($A371&amp;$B371,data!$A:$U,13,FALSE)</f>
        <v>0</v>
      </c>
      <c r="R371" s="3">
        <f ca="1">VLOOKUP($A371&amp;$B371,data!$A:$U,5,FALSE)</f>
        <v>13</v>
      </c>
      <c r="S371" s="3">
        <f ca="1">VLOOKUP($A371&amp;$B371,data!$A:$U,6,FALSE)</f>
        <v>11</v>
      </c>
      <c r="T371" s="3">
        <f ca="1">VLOOKUP($A371&amp;$B371,data!$A:$U,7,FALSE)</f>
        <v>2</v>
      </c>
    </row>
    <row r="372" spans="1:20" ht="13" x14ac:dyDescent="0.15">
      <c r="A372" s="3" t="s">
        <v>30</v>
      </c>
      <c r="B372" s="3" t="s">
        <v>911</v>
      </c>
      <c r="C372" s="10">
        <f t="shared" ca="1" si="0"/>
        <v>8.9285714285714288E-2</v>
      </c>
      <c r="D372" s="5">
        <f ca="1">VLOOKUP($A372&amp;$B372,data!$A:$U,20,FALSE)</f>
        <v>44305.439305555497</v>
      </c>
      <c r="E372" s="3" t="str">
        <f ca="1">VLOOKUP($A372&amp;$B372,data!$A:$U,21,FALSE)</f>
        <v>25 positive and 1 susupected cases</v>
      </c>
      <c r="F372" s="3">
        <f ca="1">VLOOKUP($A372&amp;$B372,data!$A:$U,17,FALSE)</f>
        <v>3</v>
      </c>
      <c r="G372" s="3">
        <f ca="1">VLOOKUP($A372&amp;$B372,data!$A:$U,18,FALSE)</f>
        <v>0</v>
      </c>
      <c r="H372" s="3">
        <f ca="1">VLOOKUP($A372&amp;$B372,data!$A:$U,19,FALSE)</f>
        <v>3</v>
      </c>
      <c r="I372" s="3">
        <f ca="1">VLOOKUP($A372&amp;$B372,data!$A:$U,14,FALSE)</f>
        <v>11</v>
      </c>
      <c r="J372" s="3">
        <f ca="1">VLOOKUP($A372&amp;$B372,data!$A:$U,15,FALSE)</f>
        <v>11</v>
      </c>
      <c r="K372" s="3">
        <f ca="1">VLOOKUP($A372&amp;$B372,data!$A:$U,16,FALSE)</f>
        <v>0</v>
      </c>
      <c r="L372" s="3">
        <f ca="1">VLOOKUP($A372&amp;$B372,data!$A:$U,8,FALSE)</f>
        <v>10</v>
      </c>
      <c r="M372" s="3">
        <f ca="1">VLOOKUP($A372&amp;$B372,data!$A:$U,9,FALSE)</f>
        <v>10</v>
      </c>
      <c r="N372" s="3">
        <f ca="1">VLOOKUP($A372&amp;$B372,data!$A:$U,10,FALSE)</f>
        <v>0</v>
      </c>
      <c r="O372" s="3">
        <f ca="1">VLOOKUP($A372&amp;$B372,data!$A:$U,11,FALSE)</f>
        <v>7</v>
      </c>
      <c r="P372" s="3">
        <f ca="1">VLOOKUP($A372&amp;$B372,data!$A:$U,12,FALSE)</f>
        <v>0</v>
      </c>
      <c r="Q372" s="3">
        <f ca="1">VLOOKUP($A372&amp;$B372,data!$A:$U,13,FALSE)</f>
        <v>2</v>
      </c>
      <c r="R372" s="3">
        <f ca="1">VLOOKUP($A372&amp;$B372,data!$A:$U,5,FALSE)</f>
        <v>28</v>
      </c>
      <c r="S372" s="3">
        <f ca="1">VLOOKUP($A372&amp;$B372,data!$A:$U,6,FALSE)</f>
        <v>25</v>
      </c>
      <c r="T372" s="3">
        <f ca="1">VLOOKUP($A372&amp;$B372,data!$A:$U,7,FALSE)</f>
        <v>3</v>
      </c>
    </row>
    <row r="373" spans="1:20" ht="13" x14ac:dyDescent="0.15">
      <c r="A373" s="3" t="s">
        <v>30</v>
      </c>
      <c r="B373" s="3" t="s">
        <v>582</v>
      </c>
      <c r="C373" s="10">
        <f t="shared" ca="1" si="0"/>
        <v>0</v>
      </c>
      <c r="D373" s="5">
        <f ca="1">VLOOKUP($A373&amp;$B373,data!$A:$U,20,FALSE)</f>
        <v>44305.356435185102</v>
      </c>
      <c r="E373" s="3" t="str">
        <f ca="1">VLOOKUP($A373&amp;$B373,data!$A:$U,21,FALSE)</f>
        <v>Positive - 26, Suspected - 4 19-4-2021</v>
      </c>
      <c r="F373" s="3">
        <f ca="1">VLOOKUP($A373&amp;$B373,data!$A:$U,17,FALSE)</f>
        <v>2</v>
      </c>
      <c r="G373" s="3">
        <f ca="1">VLOOKUP($A373&amp;$B373,data!$A:$U,18,FALSE)</f>
        <v>0</v>
      </c>
      <c r="H373" s="3">
        <f ca="1">VLOOKUP($A373&amp;$B373,data!$A:$U,19,FALSE)</f>
        <v>2</v>
      </c>
      <c r="I373" s="3">
        <f ca="1">VLOOKUP($A373&amp;$B373,data!$A:$U,14,FALSE)</f>
        <v>3</v>
      </c>
      <c r="J373" s="3">
        <f ca="1">VLOOKUP($A373&amp;$B373,data!$A:$U,15,FALSE)</f>
        <v>3</v>
      </c>
      <c r="K373" s="3">
        <f ca="1">VLOOKUP($A373&amp;$B373,data!$A:$U,16,FALSE)</f>
        <v>0</v>
      </c>
      <c r="L373" s="3">
        <f ca="1">VLOOKUP($A373&amp;$B373,data!$A:$U,8,FALSE)</f>
        <v>15</v>
      </c>
      <c r="M373" s="3">
        <f ca="1">VLOOKUP($A373&amp;$B373,data!$A:$U,9,FALSE)</f>
        <v>15</v>
      </c>
      <c r="N373" s="3">
        <f ca="1">VLOOKUP($A373&amp;$B373,data!$A:$U,10,FALSE)</f>
        <v>0</v>
      </c>
      <c r="O373" s="3">
        <f ca="1">VLOOKUP($A373&amp;$B373,data!$A:$U,11,FALSE)</f>
        <v>12</v>
      </c>
      <c r="P373" s="3">
        <f ca="1">VLOOKUP($A373&amp;$B373,data!$A:$U,12,FALSE)</f>
        <v>12</v>
      </c>
      <c r="Q373" s="3">
        <f ca="1">VLOOKUP($A373&amp;$B373,data!$A:$U,13,FALSE)</f>
        <v>0</v>
      </c>
      <c r="R373" s="3">
        <f ca="1">VLOOKUP($A373&amp;$B373,data!$A:$U,5,FALSE)</f>
        <v>26</v>
      </c>
      <c r="S373" s="3">
        <f ca="1">VLOOKUP($A373&amp;$B373,data!$A:$U,6,FALSE)</f>
        <v>26</v>
      </c>
      <c r="T373" s="3">
        <f ca="1">VLOOKUP($A373&amp;$B373,data!$A:$U,7,FALSE)</f>
        <v>0</v>
      </c>
    </row>
    <row r="374" spans="1:20" ht="13" x14ac:dyDescent="0.15">
      <c r="A374" s="3" t="s">
        <v>30</v>
      </c>
      <c r="B374" s="3" t="s">
        <v>588</v>
      </c>
      <c r="C374" s="10">
        <f t="shared" ca="1" si="0"/>
        <v>0</v>
      </c>
      <c r="D374" s="5">
        <f ca="1">VLOOKUP($A374&amp;$B374,data!$A:$U,20,FALSE)</f>
        <v>44305.266226851803</v>
      </c>
      <c r="E374" s="3">
        <f ca="1">VLOOKUP($A374&amp;$B374,data!$A:$U,21,FALSE)</f>
        <v>0</v>
      </c>
      <c r="F374" s="3">
        <f ca="1">VLOOKUP($A374&amp;$B374,data!$A:$U,17,FALSE)</f>
        <v>0</v>
      </c>
      <c r="G374" s="3">
        <f ca="1">VLOOKUP($A374&amp;$B374,data!$A:$U,18,FALSE)</f>
        <v>0</v>
      </c>
      <c r="H374" s="3">
        <f ca="1">VLOOKUP($A374&amp;$B374,data!$A:$U,19,FALSE)</f>
        <v>0</v>
      </c>
      <c r="I374" s="3">
        <f ca="1">VLOOKUP($A374&amp;$B374,data!$A:$U,14,FALSE)</f>
        <v>0</v>
      </c>
      <c r="J374" s="3">
        <f ca="1">VLOOKUP($A374&amp;$B374,data!$A:$U,15,FALSE)</f>
        <v>0</v>
      </c>
      <c r="K374" s="3">
        <f ca="1">VLOOKUP($A374&amp;$B374,data!$A:$U,16,FALSE)</f>
        <v>0</v>
      </c>
      <c r="L374" s="3">
        <f ca="1">VLOOKUP($A374&amp;$B374,data!$A:$U,8,FALSE)</f>
        <v>15</v>
      </c>
      <c r="M374" s="3">
        <f ca="1">VLOOKUP($A374&amp;$B374,data!$A:$U,9,FALSE)</f>
        <v>15</v>
      </c>
      <c r="N374" s="3">
        <f ca="1">VLOOKUP($A374&amp;$B374,data!$A:$U,10,FALSE)</f>
        <v>0</v>
      </c>
      <c r="O374" s="3">
        <f ca="1">VLOOKUP($A374&amp;$B374,data!$A:$U,11,FALSE)</f>
        <v>15</v>
      </c>
      <c r="P374" s="3">
        <f ca="1">VLOOKUP($A374&amp;$B374,data!$A:$U,12,FALSE)</f>
        <v>15</v>
      </c>
      <c r="Q374" s="3">
        <f ca="1">VLOOKUP($A374&amp;$B374,data!$A:$U,13,FALSE)</f>
        <v>0</v>
      </c>
      <c r="R374" s="3">
        <f ca="1">VLOOKUP($A374&amp;$B374,data!$A:$U,5,FALSE)</f>
        <v>30</v>
      </c>
      <c r="S374" s="3">
        <f ca="1">VLOOKUP($A374&amp;$B374,data!$A:$U,6,FALSE)</f>
        <v>30</v>
      </c>
      <c r="T374" s="3">
        <f ca="1">VLOOKUP($A374&amp;$B374,data!$A:$U,7,FALSE)</f>
        <v>0</v>
      </c>
    </row>
    <row r="375" spans="1:20" ht="13" x14ac:dyDescent="0.15">
      <c r="A375" s="3" t="s">
        <v>30</v>
      </c>
      <c r="B375" s="3" t="s">
        <v>910</v>
      </c>
      <c r="C375" s="10" t="e">
        <f t="shared" ca="1" si="0"/>
        <v>#DIV/0!</v>
      </c>
      <c r="D375" s="5">
        <f ca="1">VLOOKUP($A375&amp;$B375,data!$A:$U,20,FALSE)</f>
        <v>44305.375578703701</v>
      </c>
      <c r="E375" s="3">
        <f ca="1">VLOOKUP($A375&amp;$B375,data!$A:$U,21,FALSE)</f>
        <v>0</v>
      </c>
      <c r="F375" s="3">
        <f ca="1">VLOOKUP($A375&amp;$B375,data!$A:$U,17,FALSE)</f>
        <v>0</v>
      </c>
      <c r="G375" s="3">
        <f ca="1">VLOOKUP($A375&amp;$B375,data!$A:$U,18,FALSE)</f>
        <v>0</v>
      </c>
      <c r="H375" s="3">
        <f ca="1">VLOOKUP($A375&amp;$B375,data!$A:$U,19,FALSE)</f>
        <v>0</v>
      </c>
      <c r="I375" s="3">
        <f ca="1">VLOOKUP($A375&amp;$B375,data!$A:$U,14,FALSE)</f>
        <v>0</v>
      </c>
      <c r="J375" s="3">
        <f ca="1">VLOOKUP($A375&amp;$B375,data!$A:$U,15,FALSE)</f>
        <v>0</v>
      </c>
      <c r="K375" s="3">
        <f ca="1">VLOOKUP($A375&amp;$B375,data!$A:$U,16,FALSE)</f>
        <v>0</v>
      </c>
      <c r="L375" s="3">
        <f ca="1">VLOOKUP($A375&amp;$B375,data!$A:$U,8,FALSE)</f>
        <v>0</v>
      </c>
      <c r="M375" s="3">
        <f ca="1">VLOOKUP($A375&amp;$B375,data!$A:$U,9,FALSE)</f>
        <v>0</v>
      </c>
      <c r="N375" s="3">
        <f ca="1">VLOOKUP($A375&amp;$B375,data!$A:$U,10,FALSE)</f>
        <v>0</v>
      </c>
      <c r="O375" s="3">
        <f ca="1">VLOOKUP($A375&amp;$B375,data!$A:$U,11,FALSE)</f>
        <v>0</v>
      </c>
      <c r="P375" s="3">
        <f ca="1">VLOOKUP($A375&amp;$B375,data!$A:$U,12,FALSE)</f>
        <v>0</v>
      </c>
      <c r="Q375" s="3">
        <f ca="1">VLOOKUP($A375&amp;$B375,data!$A:$U,13,FALSE)</f>
        <v>0</v>
      </c>
      <c r="R375" s="3">
        <f ca="1">VLOOKUP($A375&amp;$B375,data!$A:$U,5,FALSE)</f>
        <v>0</v>
      </c>
      <c r="S375" s="3">
        <f ca="1">VLOOKUP($A375&amp;$B375,data!$A:$U,6,FALSE)</f>
        <v>0</v>
      </c>
      <c r="T375" s="3">
        <f ca="1">VLOOKUP($A375&amp;$B375,data!$A:$U,7,FALSE)</f>
        <v>0</v>
      </c>
    </row>
    <row r="376" spans="1:20" ht="13" x14ac:dyDescent="0.15">
      <c r="A376" s="3" t="s">
        <v>30</v>
      </c>
      <c r="B376" s="3" t="s">
        <v>1159</v>
      </c>
      <c r="C376" s="10">
        <f t="shared" ca="1" si="0"/>
        <v>7.1428571428571425E-2</v>
      </c>
      <c r="D376" s="5">
        <f ca="1">VLOOKUP($A376&amp;$B376,data!$A:$U,20,FALSE)</f>
        <v>44305.487534722197</v>
      </c>
      <c r="E376" s="3">
        <f ca="1">VLOOKUP($A376&amp;$B376,data!$A:$U,21,FALSE)</f>
        <v>0</v>
      </c>
      <c r="F376" s="3">
        <f ca="1">VLOOKUP($A376&amp;$B376,data!$A:$U,17,FALSE)</f>
        <v>1</v>
      </c>
      <c r="G376" s="3">
        <f ca="1">VLOOKUP($A376&amp;$B376,data!$A:$U,18,FALSE)</f>
        <v>0</v>
      </c>
      <c r="H376" s="3">
        <f ca="1">VLOOKUP($A376&amp;$B376,data!$A:$U,19,FALSE)</f>
        <v>1</v>
      </c>
      <c r="I376" s="3">
        <f ca="1">VLOOKUP($A376&amp;$B376,data!$A:$U,14,FALSE)</f>
        <v>6</v>
      </c>
      <c r="J376" s="3">
        <f ca="1">VLOOKUP($A376&amp;$B376,data!$A:$U,15,FALSE)</f>
        <v>4</v>
      </c>
      <c r="K376" s="3">
        <f ca="1">VLOOKUP($A376&amp;$B376,data!$A:$U,16,FALSE)</f>
        <v>2</v>
      </c>
      <c r="L376" s="3">
        <f ca="1">VLOOKUP($A376&amp;$B376,data!$A:$U,8,FALSE)</f>
        <v>8</v>
      </c>
      <c r="M376" s="3">
        <f ca="1">VLOOKUP($A376&amp;$B376,data!$A:$U,9,FALSE)</f>
        <v>8</v>
      </c>
      <c r="N376" s="3">
        <f ca="1">VLOOKUP($A376&amp;$B376,data!$A:$U,10,FALSE)</f>
        <v>0</v>
      </c>
      <c r="O376" s="3">
        <f ca="1">VLOOKUP($A376&amp;$B376,data!$A:$U,11,FALSE)</f>
        <v>0</v>
      </c>
      <c r="P376" s="3">
        <f ca="1">VLOOKUP($A376&amp;$B376,data!$A:$U,12,FALSE)</f>
        <v>0</v>
      </c>
      <c r="Q376" s="3">
        <f ca="1">VLOOKUP($A376&amp;$B376,data!$A:$U,13,FALSE)</f>
        <v>0</v>
      </c>
      <c r="R376" s="3">
        <f ca="1">VLOOKUP($A376&amp;$B376,data!$A:$U,5,FALSE)</f>
        <v>14</v>
      </c>
      <c r="S376" s="3">
        <f ca="1">VLOOKUP($A376&amp;$B376,data!$A:$U,6,FALSE)</f>
        <v>14</v>
      </c>
      <c r="T376" s="3">
        <f ca="1">VLOOKUP($A376&amp;$B376,data!$A:$U,7,FALSE)</f>
        <v>0</v>
      </c>
    </row>
    <row r="377" spans="1:20" ht="13" x14ac:dyDescent="0.15">
      <c r="A377" s="3" t="s">
        <v>31</v>
      </c>
      <c r="B377" s="3" t="s">
        <v>1204</v>
      </c>
      <c r="C377" s="10">
        <f t="shared" ca="1" si="0"/>
        <v>0.5892857142857143</v>
      </c>
      <c r="D377" s="5">
        <f ca="1">VLOOKUP($A377&amp;$B377,data!$A:$U,20,FALSE)</f>
        <v>44305.653159722198</v>
      </c>
      <c r="E377" s="3">
        <f ca="1">VLOOKUP($A377&amp;$B377,data!$A:$U,21,FALSE)</f>
        <v>0</v>
      </c>
      <c r="F377" s="3">
        <f ca="1">VLOOKUP($A377&amp;$B377,data!$A:$U,17,FALSE)</f>
        <v>3</v>
      </c>
      <c r="G377" s="3">
        <f ca="1">VLOOKUP($A377&amp;$B377,data!$A:$U,18,FALSE)</f>
        <v>0</v>
      </c>
      <c r="H377" s="3">
        <f ca="1">VLOOKUP($A377&amp;$B377,data!$A:$U,19,FALSE)</f>
        <v>3</v>
      </c>
      <c r="I377" s="3">
        <f ca="1">VLOOKUP($A377&amp;$B377,data!$A:$U,14,FALSE)</f>
        <v>8</v>
      </c>
      <c r="J377" s="3">
        <f ca="1">VLOOKUP($A377&amp;$B377,data!$A:$U,15,FALSE)</f>
        <v>4</v>
      </c>
      <c r="K377" s="3">
        <f ca="1">VLOOKUP($A377&amp;$B377,data!$A:$U,16,FALSE)</f>
        <v>4</v>
      </c>
      <c r="L377" s="3">
        <f ca="1">VLOOKUP($A377&amp;$B377,data!$A:$U,8,FALSE)</f>
        <v>18</v>
      </c>
      <c r="M377" s="3">
        <f ca="1">VLOOKUP($A377&amp;$B377,data!$A:$U,9,FALSE)</f>
        <v>0</v>
      </c>
      <c r="N377" s="3">
        <f ca="1">VLOOKUP($A377&amp;$B377,data!$A:$U,10,FALSE)</f>
        <v>10</v>
      </c>
      <c r="O377" s="3">
        <f ca="1">VLOOKUP($A377&amp;$B377,data!$A:$U,11,FALSE)</f>
        <v>0</v>
      </c>
      <c r="P377" s="3">
        <f ca="1">VLOOKUP($A377&amp;$B377,data!$A:$U,12,FALSE)</f>
        <v>0</v>
      </c>
      <c r="Q377" s="3">
        <f ca="1">VLOOKUP($A377&amp;$B377,data!$A:$U,13,FALSE)</f>
        <v>0</v>
      </c>
      <c r="R377" s="3">
        <f ca="1">VLOOKUP($A377&amp;$B377,data!$A:$U,5,FALSE)</f>
        <v>30</v>
      </c>
      <c r="S377" s="3">
        <f ca="1">VLOOKUP($A377&amp;$B377,data!$A:$U,6,FALSE)</f>
        <v>11</v>
      </c>
      <c r="T377" s="3">
        <f ca="1">VLOOKUP($A377&amp;$B377,data!$A:$U,7,FALSE)</f>
        <v>19</v>
      </c>
    </row>
    <row r="378" spans="1:20" ht="13" x14ac:dyDescent="0.15">
      <c r="A378" s="3" t="s">
        <v>31</v>
      </c>
      <c r="B378" s="3" t="s">
        <v>590</v>
      </c>
      <c r="C378" s="10">
        <f t="shared" ca="1" si="0"/>
        <v>8.6538461538461536E-2</v>
      </c>
      <c r="D378" s="5">
        <f ca="1">VLOOKUP($A378&amp;$B378,data!$A:$U,20,FALSE)</f>
        <v>44305.675856481401</v>
      </c>
      <c r="E378" s="3" t="str">
        <f ca="1">VLOOKUP($A378&amp;$B378,data!$A:$U,21,FALSE)</f>
        <v>NILL</v>
      </c>
      <c r="F378" s="3">
        <f ca="1">VLOOKUP($A378&amp;$B378,data!$A:$U,17,FALSE)</f>
        <v>10</v>
      </c>
      <c r="G378" s="3">
        <f ca="1">VLOOKUP($A378&amp;$B378,data!$A:$U,18,FALSE)</f>
        <v>4</v>
      </c>
      <c r="H378" s="3">
        <f ca="1">VLOOKUP($A378&amp;$B378,data!$A:$U,19,FALSE)</f>
        <v>6</v>
      </c>
      <c r="I378" s="3">
        <f ca="1">VLOOKUP($A378&amp;$B378,data!$A:$U,14,FALSE)</f>
        <v>10</v>
      </c>
      <c r="J378" s="3">
        <f ca="1">VLOOKUP($A378&amp;$B378,data!$A:$U,15,FALSE)</f>
        <v>8</v>
      </c>
      <c r="K378" s="3">
        <f ca="1">VLOOKUP($A378&amp;$B378,data!$A:$U,16,FALSE)</f>
        <v>2</v>
      </c>
      <c r="L378" s="3">
        <f ca="1">VLOOKUP($A378&amp;$B378,data!$A:$U,8,FALSE)</f>
        <v>10</v>
      </c>
      <c r="M378" s="3">
        <f ca="1">VLOOKUP($A378&amp;$B378,data!$A:$U,9,FALSE)</f>
        <v>10</v>
      </c>
      <c r="N378" s="3">
        <f ca="1">VLOOKUP($A378&amp;$B378,data!$A:$U,10,FALSE)</f>
        <v>0</v>
      </c>
      <c r="O378" s="3">
        <f ca="1">VLOOKUP($A378&amp;$B378,data!$A:$U,11,FALSE)</f>
        <v>37</v>
      </c>
      <c r="P378" s="3">
        <f ca="1">VLOOKUP($A378&amp;$B378,data!$A:$U,12,FALSE)</f>
        <v>40</v>
      </c>
      <c r="Q378" s="3">
        <f ca="1">VLOOKUP($A378&amp;$B378,data!$A:$U,13,FALSE)</f>
        <v>0</v>
      </c>
      <c r="R378" s="3">
        <f ca="1">VLOOKUP($A378&amp;$B378,data!$A:$U,5,FALSE)</f>
        <v>47</v>
      </c>
      <c r="S378" s="3">
        <f ca="1">VLOOKUP($A378&amp;$B378,data!$A:$U,6,FALSE)</f>
        <v>40</v>
      </c>
      <c r="T378" s="3">
        <f ca="1">VLOOKUP($A378&amp;$B378,data!$A:$U,7,FALSE)</f>
        <v>7</v>
      </c>
    </row>
    <row r="379" spans="1:20" ht="13" x14ac:dyDescent="0.15">
      <c r="A379" s="3" t="s">
        <v>32</v>
      </c>
      <c r="B379" s="3" t="s">
        <v>558</v>
      </c>
      <c r="C379" s="10">
        <f t="shared" ca="1" si="0"/>
        <v>1</v>
      </c>
      <c r="D379" s="5">
        <f ca="1">VLOOKUP($A379&amp;$B379,data!$A:$U,20,FALSE)</f>
        <v>44305.300578703696</v>
      </c>
      <c r="E379" s="3">
        <f ca="1">VLOOKUP($A379&amp;$B379,data!$A:$U,21,FALSE)</f>
        <v>0</v>
      </c>
      <c r="F379" s="3">
        <f ca="1">VLOOKUP($A379&amp;$B379,data!$A:$U,17,FALSE)</f>
        <v>0</v>
      </c>
      <c r="G379" s="3">
        <f ca="1">VLOOKUP($A379&amp;$B379,data!$A:$U,18,FALSE)</f>
        <v>0</v>
      </c>
      <c r="H379" s="3">
        <f ca="1">VLOOKUP($A379&amp;$B379,data!$A:$U,19,FALSE)</f>
        <v>0</v>
      </c>
      <c r="I379" s="3">
        <f ca="1">VLOOKUP($A379&amp;$B379,data!$A:$U,14,FALSE)</f>
        <v>0</v>
      </c>
      <c r="J379" s="3">
        <f ca="1">VLOOKUP($A379&amp;$B379,data!$A:$U,15,FALSE)</f>
        <v>0</v>
      </c>
      <c r="K379" s="3">
        <f ca="1">VLOOKUP($A379&amp;$B379,data!$A:$U,16,FALSE)</f>
        <v>0</v>
      </c>
      <c r="L379" s="3">
        <f ca="1">VLOOKUP($A379&amp;$B379,data!$A:$U,8,FALSE)</f>
        <v>10</v>
      </c>
      <c r="M379" s="3">
        <f ca="1">VLOOKUP($A379&amp;$B379,data!$A:$U,9,FALSE)</f>
        <v>0</v>
      </c>
      <c r="N379" s="3">
        <f ca="1">VLOOKUP($A379&amp;$B379,data!$A:$U,10,FALSE)</f>
        <v>10</v>
      </c>
      <c r="O379" s="3">
        <f ca="1">VLOOKUP($A379&amp;$B379,data!$A:$U,11,FALSE)</f>
        <v>40</v>
      </c>
      <c r="P379" s="3">
        <f ca="1">VLOOKUP($A379&amp;$B379,data!$A:$U,12,FALSE)</f>
        <v>0</v>
      </c>
      <c r="Q379" s="3">
        <f ca="1">VLOOKUP($A379&amp;$B379,data!$A:$U,13,FALSE)</f>
        <v>40</v>
      </c>
      <c r="R379" s="3">
        <f ca="1">VLOOKUP($A379&amp;$B379,data!$A:$U,5,FALSE)</f>
        <v>50</v>
      </c>
      <c r="S379" s="3">
        <f ca="1">VLOOKUP($A379&amp;$B379,data!$A:$U,6,FALSE)</f>
        <v>0</v>
      </c>
      <c r="T379" s="3">
        <f ca="1">VLOOKUP($A379&amp;$B379,data!$A:$U,7,FALSE)</f>
        <v>50</v>
      </c>
    </row>
    <row r="380" spans="1:20" ht="13" x14ac:dyDescent="0.15">
      <c r="A380" s="3" t="s">
        <v>32</v>
      </c>
      <c r="B380" s="3" t="s">
        <v>1220</v>
      </c>
      <c r="C380" s="10" t="e">
        <f t="shared" ca="1" si="0"/>
        <v>#DIV/0!</v>
      </c>
      <c r="D380" s="5">
        <f ca="1">VLOOKUP($A380&amp;$B380,data!$A:$U,20,FALSE)</f>
        <v>44304.5827893518</v>
      </c>
      <c r="E380" s="3"/>
      <c r="F380" s="3"/>
      <c r="G380" s="3"/>
      <c r="H380" s="3">
        <f ca="1">VLOOKUP($A380&amp;$B380,data!$A:$U,19,FALSE)</f>
        <v>0</v>
      </c>
      <c r="I380" s="3"/>
      <c r="J380" s="3"/>
      <c r="K380" s="3">
        <f ca="1">VLOOKUP($A380&amp;$B380,data!$A:$U,16,FALSE)</f>
        <v>0</v>
      </c>
      <c r="L380" s="3"/>
      <c r="M380" s="3"/>
      <c r="N380" s="3">
        <f ca="1">VLOOKUP($A380&amp;$B380,data!$A:$U,10,FALSE)</f>
        <v>0</v>
      </c>
      <c r="O380" s="3"/>
      <c r="P380" s="3"/>
      <c r="Q380" s="3">
        <f ca="1">VLOOKUP($A380&amp;$B380,data!$A:$U,13,FALSE)</f>
        <v>0</v>
      </c>
      <c r="R380" s="3"/>
      <c r="S380" s="3"/>
      <c r="T380" s="3">
        <f ca="1">VLOOKUP($A380&amp;$B380,data!$A:$U,7,FALSE)</f>
        <v>7</v>
      </c>
    </row>
    <row r="381" spans="1:20" ht="13" x14ac:dyDescent="0.15">
      <c r="A381" s="3" t="s">
        <v>32</v>
      </c>
      <c r="B381" s="3" t="s">
        <v>559</v>
      </c>
      <c r="C381" s="10">
        <f t="shared" ca="1" si="0"/>
        <v>7.407407407407407E-2</v>
      </c>
      <c r="D381" s="5">
        <f ca="1">VLOOKUP($A381&amp;$B381,data!$A:$U,20,FALSE)</f>
        <v>44305.396435185103</v>
      </c>
      <c r="E381" s="3" t="str">
        <f ca="1">VLOOKUP($A381&amp;$B381,data!$A:$U,21,FALSE)</f>
        <v>update 19/04/2021</v>
      </c>
      <c r="F381" s="3">
        <f ca="1">VLOOKUP($A381&amp;$B381,data!$A:$U,17,FALSE)</f>
        <v>1</v>
      </c>
      <c r="G381" s="3">
        <f ca="1">VLOOKUP($A381&amp;$B381,data!$A:$U,18,FALSE)</f>
        <v>0</v>
      </c>
      <c r="H381" s="3">
        <f ca="1">VLOOKUP($A381&amp;$B381,data!$A:$U,19,FALSE)</f>
        <v>1</v>
      </c>
      <c r="I381" s="3">
        <f ca="1">VLOOKUP($A381&amp;$B381,data!$A:$U,14,FALSE)</f>
        <v>6</v>
      </c>
      <c r="J381" s="3">
        <f ca="1">VLOOKUP($A381&amp;$B381,data!$A:$U,15,FALSE)</f>
        <v>5</v>
      </c>
      <c r="K381" s="3">
        <f ca="1">VLOOKUP($A381&amp;$B381,data!$A:$U,16,FALSE)</f>
        <v>1</v>
      </c>
      <c r="L381" s="3">
        <f ca="1">VLOOKUP($A381&amp;$B381,data!$A:$U,8,FALSE)</f>
        <v>19</v>
      </c>
      <c r="M381" s="3">
        <f ca="1">VLOOKUP($A381&amp;$B381,data!$A:$U,9,FALSE)</f>
        <v>19</v>
      </c>
      <c r="N381" s="3">
        <f ca="1">VLOOKUP($A381&amp;$B381,data!$A:$U,10,FALSE)</f>
        <v>0</v>
      </c>
      <c r="O381" s="3">
        <f ca="1">VLOOKUP($A381&amp;$B381,data!$A:$U,11,FALSE)</f>
        <v>2</v>
      </c>
      <c r="P381" s="3">
        <f ca="1">VLOOKUP($A381&amp;$B381,data!$A:$U,12,FALSE)</f>
        <v>0</v>
      </c>
      <c r="Q381" s="3">
        <f ca="1">VLOOKUP($A381&amp;$B381,data!$A:$U,13,FALSE)</f>
        <v>2</v>
      </c>
      <c r="R381" s="3">
        <f ca="1">VLOOKUP($A381&amp;$B381,data!$A:$U,5,FALSE)</f>
        <v>27</v>
      </c>
      <c r="S381" s="3">
        <f ca="1">VLOOKUP($A381&amp;$B381,data!$A:$U,6,FALSE)</f>
        <v>24</v>
      </c>
      <c r="T381" s="3">
        <f ca="1">VLOOKUP($A381&amp;$B381,data!$A:$U,7,FALSE)</f>
        <v>1</v>
      </c>
    </row>
    <row r="382" spans="1:20" ht="13" x14ac:dyDescent="0.15">
      <c r="A382" s="3" t="s">
        <v>32</v>
      </c>
      <c r="B382" s="3" t="s">
        <v>564</v>
      </c>
      <c r="C382" s="10">
        <f t="shared" ca="1" si="0"/>
        <v>4.1666666666666664E-2</v>
      </c>
      <c r="D382" s="5">
        <f ca="1">VLOOKUP($A382&amp;$B382,data!$A:$U,20,FALSE)</f>
        <v>44305.461828703701</v>
      </c>
      <c r="E382" s="3" t="str">
        <f ca="1">VLOOKUP($A382&amp;$B382,data!$A:$U,21,FALSE)</f>
        <v>19/ 04/ 2021 8 AM</v>
      </c>
      <c r="F382" s="3">
        <f ca="1">VLOOKUP($A382&amp;$B382,data!$A:$U,17,FALSE)</f>
        <v>2</v>
      </c>
      <c r="G382" s="3">
        <f ca="1">VLOOKUP($A382&amp;$B382,data!$A:$U,18,FALSE)</f>
        <v>2</v>
      </c>
      <c r="H382" s="3">
        <f ca="1">VLOOKUP($A382&amp;$B382,data!$A:$U,19,FALSE)</f>
        <v>0</v>
      </c>
      <c r="I382" s="3">
        <f ca="1">VLOOKUP($A382&amp;$B382,data!$A:$U,14,FALSE)</f>
        <v>7</v>
      </c>
      <c r="J382" s="3">
        <f ca="1">VLOOKUP($A382&amp;$B382,data!$A:$U,15,FALSE)</f>
        <v>7</v>
      </c>
      <c r="K382" s="3">
        <f ca="1">VLOOKUP($A382&amp;$B382,data!$A:$U,16,FALSE)</f>
        <v>0</v>
      </c>
      <c r="L382" s="3">
        <f ca="1">VLOOKUP($A382&amp;$B382,data!$A:$U,8,FALSE)</f>
        <v>17</v>
      </c>
      <c r="M382" s="3">
        <f ca="1">VLOOKUP($A382&amp;$B382,data!$A:$U,9,FALSE)</f>
        <v>16</v>
      </c>
      <c r="N382" s="3">
        <f ca="1">VLOOKUP($A382&amp;$B382,data!$A:$U,10,FALSE)</f>
        <v>1</v>
      </c>
      <c r="O382" s="3">
        <f ca="1">VLOOKUP($A382&amp;$B382,data!$A:$U,11,FALSE)</f>
        <v>0</v>
      </c>
      <c r="P382" s="3">
        <f ca="1">VLOOKUP($A382&amp;$B382,data!$A:$U,12,FALSE)</f>
        <v>0</v>
      </c>
      <c r="Q382" s="3">
        <f ca="1">VLOOKUP($A382&amp;$B382,data!$A:$U,13,FALSE)</f>
        <v>0</v>
      </c>
      <c r="R382" s="3">
        <f ca="1">VLOOKUP($A382&amp;$B382,data!$A:$U,5,FALSE)</f>
        <v>24</v>
      </c>
      <c r="S382" s="3">
        <f ca="1">VLOOKUP($A382&amp;$B382,data!$A:$U,6,FALSE)</f>
        <v>23</v>
      </c>
      <c r="T382" s="3">
        <f ca="1">VLOOKUP($A382&amp;$B382,data!$A:$U,7,FALSE)</f>
        <v>1</v>
      </c>
    </row>
    <row r="383" spans="1:20" ht="13" x14ac:dyDescent="0.15">
      <c r="A383" s="3" t="s">
        <v>32</v>
      </c>
      <c r="B383" s="3" t="s">
        <v>555</v>
      </c>
      <c r="C383" s="10">
        <f t="shared" ca="1" si="0"/>
        <v>3.4482758620689655E-2</v>
      </c>
      <c r="D383" s="5">
        <f ca="1">VLOOKUP($A383&amp;$B383,data!$A:$U,20,FALSE)</f>
        <v>44305.717870370303</v>
      </c>
      <c r="E383" s="3" t="str">
        <f ca="1">VLOOKUP($A383&amp;$B383,data!$A:$U,21,FALSE)</f>
        <v>19-04-2021</v>
      </c>
      <c r="F383" s="3">
        <f ca="1">VLOOKUP($A383&amp;$B383,data!$A:$U,17,FALSE)</f>
        <v>3</v>
      </c>
      <c r="G383" s="3">
        <f ca="1">VLOOKUP($A383&amp;$B383,data!$A:$U,18,FALSE)</f>
        <v>0</v>
      </c>
      <c r="H383" s="3">
        <f ca="1">VLOOKUP($A383&amp;$B383,data!$A:$U,19,FALSE)</f>
        <v>6</v>
      </c>
      <c r="I383" s="3">
        <f ca="1">VLOOKUP($A383&amp;$B383,data!$A:$U,14,FALSE)</f>
        <v>6</v>
      </c>
      <c r="J383" s="3">
        <f ca="1">VLOOKUP($A383&amp;$B383,data!$A:$U,15,FALSE)</f>
        <v>6</v>
      </c>
      <c r="K383" s="3">
        <f ca="1">VLOOKUP($A383&amp;$B383,data!$A:$U,16,FALSE)</f>
        <v>0</v>
      </c>
      <c r="L383" s="3">
        <f ca="1">VLOOKUP($A383&amp;$B383,data!$A:$U,8,FALSE)</f>
        <v>55</v>
      </c>
      <c r="M383" s="3">
        <f ca="1">VLOOKUP($A383&amp;$B383,data!$A:$U,9,FALSE)</f>
        <v>53</v>
      </c>
      <c r="N383" s="3">
        <f ca="1">VLOOKUP($A383&amp;$B383,data!$A:$U,10,FALSE)</f>
        <v>2</v>
      </c>
      <c r="O383" s="3">
        <f ca="1">VLOOKUP($A383&amp;$B383,data!$A:$U,11,FALSE)</f>
        <v>0</v>
      </c>
      <c r="P383" s="3">
        <f ca="1">VLOOKUP($A383&amp;$B383,data!$A:$U,12,FALSE)</f>
        <v>0</v>
      </c>
      <c r="Q383" s="3">
        <f ca="1">VLOOKUP($A383&amp;$B383,data!$A:$U,13,FALSE)</f>
        <v>0</v>
      </c>
      <c r="R383" s="3">
        <f ca="1">VLOOKUP($A383&amp;$B383,data!$A:$U,5,FALSE)</f>
        <v>55</v>
      </c>
      <c r="S383" s="3">
        <f ca="1">VLOOKUP($A383&amp;$B383,data!$A:$U,6,FALSE)</f>
        <v>53</v>
      </c>
      <c r="T383" s="3">
        <f ca="1">VLOOKUP($A383&amp;$B383,data!$A:$U,7,FALSE)</f>
        <v>2</v>
      </c>
    </row>
    <row r="384" spans="1:20" ht="13" x14ac:dyDescent="0.15">
      <c r="A384" s="3" t="s">
        <v>32</v>
      </c>
      <c r="B384" s="3" t="s">
        <v>1115</v>
      </c>
      <c r="C384" s="10">
        <f t="shared" ca="1" si="0"/>
        <v>0.15151515151515152</v>
      </c>
      <c r="D384" s="5">
        <f ca="1">VLOOKUP($A384&amp;$B384,data!$A:$U,20,FALSE)</f>
        <v>44305.3070138888</v>
      </c>
      <c r="E384" s="3" t="str">
        <f ca="1">VLOOKUP($A384&amp;$B384,data!$A:$U,21,FALSE)</f>
        <v>19.04.2021</v>
      </c>
      <c r="F384" s="3">
        <f ca="1">VLOOKUP($A384&amp;$B384,data!$A:$U,17,FALSE)</f>
        <v>3</v>
      </c>
      <c r="G384" s="3">
        <f ca="1">VLOOKUP($A384&amp;$B384,data!$A:$U,18,FALSE)</f>
        <v>0</v>
      </c>
      <c r="H384" s="3">
        <f ca="1">VLOOKUP($A384&amp;$B384,data!$A:$U,19,FALSE)</f>
        <v>3</v>
      </c>
      <c r="I384" s="3">
        <f ca="1">VLOOKUP($A384&amp;$B384,data!$A:$U,14,FALSE)</f>
        <v>3</v>
      </c>
      <c r="J384" s="3">
        <f ca="1">VLOOKUP($A384&amp;$B384,data!$A:$U,15,FALSE)</f>
        <v>0</v>
      </c>
      <c r="K384" s="3">
        <f ca="1">VLOOKUP($A384&amp;$B384,data!$A:$U,16,FALSE)</f>
        <v>3</v>
      </c>
      <c r="L384" s="3">
        <f ca="1">VLOOKUP($A384&amp;$B384,data!$A:$U,8,FALSE)</f>
        <v>15</v>
      </c>
      <c r="M384" s="3">
        <f ca="1">VLOOKUP($A384&amp;$B384,data!$A:$U,9,FALSE)</f>
        <v>14</v>
      </c>
      <c r="N384" s="3">
        <f ca="1">VLOOKUP($A384&amp;$B384,data!$A:$U,10,FALSE)</f>
        <v>1</v>
      </c>
      <c r="O384" s="3">
        <f ca="1">VLOOKUP($A384&amp;$B384,data!$A:$U,11,FALSE)</f>
        <v>0</v>
      </c>
      <c r="P384" s="3">
        <f ca="1">VLOOKUP($A384&amp;$B384,data!$A:$U,12,FALSE)</f>
        <v>0</v>
      </c>
      <c r="Q384" s="3">
        <f ca="1">VLOOKUP($A384&amp;$B384,data!$A:$U,13,FALSE)</f>
        <v>0</v>
      </c>
      <c r="R384" s="3">
        <f ca="1">VLOOKUP($A384&amp;$B384,data!$A:$U,5,FALSE)</f>
        <v>15</v>
      </c>
      <c r="S384" s="3">
        <f ca="1">VLOOKUP($A384&amp;$B384,data!$A:$U,6,FALSE)</f>
        <v>14</v>
      </c>
      <c r="T384" s="3">
        <f ca="1">VLOOKUP($A384&amp;$B384,data!$A:$U,7,FALSE)</f>
        <v>1</v>
      </c>
    </row>
    <row r="385" spans="1:20" ht="13" x14ac:dyDescent="0.15">
      <c r="A385" s="3" t="s">
        <v>32</v>
      </c>
      <c r="B385" s="3" t="s">
        <v>565</v>
      </c>
      <c r="C385" s="10">
        <f t="shared" ca="1" si="0"/>
        <v>5.7971014492753624E-2</v>
      </c>
      <c r="D385" s="5">
        <f ca="1">VLOOKUP($A385&amp;$B385,data!$A:$U,20,FALSE)</f>
        <v>44305.5499652777</v>
      </c>
      <c r="E385" s="3" t="str">
        <f ca="1">VLOOKUP($A385&amp;$B385,data!$A:$U,21,FALSE)</f>
        <v>Updated</v>
      </c>
      <c r="F385" s="3">
        <f ca="1">VLOOKUP($A385&amp;$B385,data!$A:$U,17,FALSE)</f>
        <v>1</v>
      </c>
      <c r="G385" s="3">
        <f ca="1">VLOOKUP($A385&amp;$B385,data!$A:$U,18,FALSE)</f>
        <v>0</v>
      </c>
      <c r="H385" s="3">
        <f ca="1">VLOOKUP($A385&amp;$B385,data!$A:$U,19,FALSE)</f>
        <v>0</v>
      </c>
      <c r="I385" s="3">
        <f ca="1">VLOOKUP($A385&amp;$B385,data!$A:$U,14,FALSE)</f>
        <v>3</v>
      </c>
      <c r="J385" s="3">
        <f ca="1">VLOOKUP($A385&amp;$B385,data!$A:$U,15,FALSE)</f>
        <v>0</v>
      </c>
      <c r="K385" s="3">
        <f ca="1">VLOOKUP($A385&amp;$B385,data!$A:$U,16,FALSE)</f>
        <v>3</v>
      </c>
      <c r="L385" s="3">
        <f ca="1">VLOOKUP($A385&amp;$B385,data!$A:$U,8,FALSE)</f>
        <v>21</v>
      </c>
      <c r="M385" s="3">
        <f ca="1">VLOOKUP($A385&amp;$B385,data!$A:$U,9,FALSE)</f>
        <v>20</v>
      </c>
      <c r="N385" s="3">
        <f ca="1">VLOOKUP($A385&amp;$B385,data!$A:$U,10,FALSE)</f>
        <v>1</v>
      </c>
      <c r="O385" s="3">
        <f ca="1">VLOOKUP($A385&amp;$B385,data!$A:$U,11,FALSE)</f>
        <v>21</v>
      </c>
      <c r="P385" s="3">
        <f ca="1">VLOOKUP($A385&amp;$B385,data!$A:$U,12,FALSE)</f>
        <v>0</v>
      </c>
      <c r="Q385" s="3">
        <f ca="1">VLOOKUP($A385&amp;$B385,data!$A:$U,13,FALSE)</f>
        <v>0</v>
      </c>
      <c r="R385" s="3">
        <f ca="1">VLOOKUP($A385&amp;$B385,data!$A:$U,5,FALSE)</f>
        <v>24</v>
      </c>
      <c r="S385" s="3">
        <f ca="1">VLOOKUP($A385&amp;$B385,data!$A:$U,6,FALSE)</f>
        <v>24</v>
      </c>
      <c r="T385" s="3">
        <f ca="1">VLOOKUP($A385&amp;$B385,data!$A:$U,7,FALSE)</f>
        <v>0</v>
      </c>
    </row>
    <row r="386" spans="1:20" ht="13" x14ac:dyDescent="0.15">
      <c r="A386" s="3" t="s">
        <v>32</v>
      </c>
      <c r="B386" s="3" t="s">
        <v>566</v>
      </c>
      <c r="C386" s="10" t="e">
        <f t="shared" ca="1" si="0"/>
        <v>#DIV/0!</v>
      </c>
      <c r="D386" s="5">
        <f ca="1">VLOOKUP($A386&amp;$B386,data!$A:$U,20,FALSE)</f>
        <v>44305.356967592503</v>
      </c>
      <c r="E386" s="3" t="str">
        <f ca="1">VLOOKUP($A386&amp;$B386,data!$A:$U,21,FALSE)</f>
        <v>19.04.2021</v>
      </c>
      <c r="F386" s="3">
        <f ca="1">VLOOKUP($A386&amp;$B386,data!$A:$U,17,FALSE)</f>
        <v>0</v>
      </c>
      <c r="G386" s="3">
        <f ca="1">VLOOKUP($A386&amp;$B386,data!$A:$U,18,FALSE)</f>
        <v>0</v>
      </c>
      <c r="H386" s="3">
        <f ca="1">VLOOKUP($A386&amp;$B386,data!$A:$U,19,FALSE)</f>
        <v>0</v>
      </c>
      <c r="I386" s="3">
        <f ca="1">VLOOKUP($A386&amp;$B386,data!$A:$U,14,FALSE)</f>
        <v>0</v>
      </c>
      <c r="J386" s="3">
        <f ca="1">VLOOKUP($A386&amp;$B386,data!$A:$U,15,FALSE)</f>
        <v>0</v>
      </c>
      <c r="K386" s="3">
        <f ca="1">VLOOKUP($A386&amp;$B386,data!$A:$U,16,FALSE)</f>
        <v>0</v>
      </c>
      <c r="L386" s="3">
        <f ca="1">VLOOKUP($A386&amp;$B386,data!$A:$U,8,FALSE)</f>
        <v>0</v>
      </c>
      <c r="M386" s="3">
        <f ca="1">VLOOKUP($A386&amp;$B386,data!$A:$U,9,FALSE)</f>
        <v>0</v>
      </c>
      <c r="N386" s="3">
        <f ca="1">VLOOKUP($A386&amp;$B386,data!$A:$U,10,FALSE)</f>
        <v>0</v>
      </c>
      <c r="O386" s="3">
        <f ca="1">VLOOKUP($A386&amp;$B386,data!$A:$U,11,FALSE)</f>
        <v>0</v>
      </c>
      <c r="P386" s="3">
        <f ca="1">VLOOKUP($A386&amp;$B386,data!$A:$U,12,FALSE)</f>
        <v>0</v>
      </c>
      <c r="Q386" s="3">
        <f ca="1">VLOOKUP($A386&amp;$B386,data!$A:$U,13,FALSE)</f>
        <v>0</v>
      </c>
      <c r="R386" s="3">
        <f ca="1">VLOOKUP($A386&amp;$B386,data!$A:$U,5,FALSE)</f>
        <v>0</v>
      </c>
      <c r="S386" s="3">
        <f ca="1">VLOOKUP($A386&amp;$B386,data!$A:$U,6,FALSE)</f>
        <v>0</v>
      </c>
      <c r="T386" s="3">
        <f ca="1">VLOOKUP($A386&amp;$B386,data!$A:$U,7,FALSE)</f>
        <v>0</v>
      </c>
    </row>
    <row r="387" spans="1:20" ht="13" x14ac:dyDescent="0.15">
      <c r="A387" s="3" t="s">
        <v>32</v>
      </c>
      <c r="B387" s="3" t="s">
        <v>567</v>
      </c>
      <c r="C387" s="10">
        <f t="shared" ca="1" si="0"/>
        <v>4.1666666666666664E-2</v>
      </c>
      <c r="D387" s="5">
        <f ca="1">VLOOKUP($A387&amp;$B387,data!$A:$U,20,FALSE)</f>
        <v>44305.724340277702</v>
      </c>
      <c r="E387" s="3" t="str">
        <f ca="1">VLOOKUP($A387&amp;$B387,data!$A:$U,21,FALSE)</f>
        <v>updated 18.04.2021</v>
      </c>
      <c r="F387" s="3">
        <f ca="1">VLOOKUP($A387&amp;$B387,data!$A:$U,17,FALSE)</f>
        <v>2</v>
      </c>
      <c r="G387" s="3">
        <f ca="1">VLOOKUP($A387&amp;$B387,data!$A:$U,18,FALSE)</f>
        <v>0</v>
      </c>
      <c r="H387" s="3">
        <f ca="1">VLOOKUP($A387&amp;$B387,data!$A:$U,19,FALSE)</f>
        <v>0</v>
      </c>
      <c r="I387" s="3">
        <f ca="1">VLOOKUP($A387&amp;$B387,data!$A:$U,14,FALSE)</f>
        <v>2</v>
      </c>
      <c r="J387" s="3">
        <f ca="1">VLOOKUP($A387&amp;$B387,data!$A:$U,15,FALSE)</f>
        <v>0</v>
      </c>
      <c r="K387" s="3">
        <f ca="1">VLOOKUP($A387&amp;$B387,data!$A:$U,16,FALSE)</f>
        <v>2</v>
      </c>
      <c r="L387" s="3">
        <f ca="1">VLOOKUP($A387&amp;$B387,data!$A:$U,8,FALSE)</f>
        <v>23</v>
      </c>
      <c r="M387" s="3">
        <f ca="1">VLOOKUP($A387&amp;$B387,data!$A:$U,9,FALSE)</f>
        <v>23</v>
      </c>
      <c r="N387" s="3">
        <f ca="1">VLOOKUP($A387&amp;$B387,data!$A:$U,10,FALSE)</f>
        <v>0</v>
      </c>
      <c r="O387" s="3">
        <f ca="1">VLOOKUP($A387&amp;$B387,data!$A:$U,11,FALSE)</f>
        <v>0</v>
      </c>
      <c r="P387" s="3">
        <f ca="1">VLOOKUP($A387&amp;$B387,data!$A:$U,12,FALSE)</f>
        <v>0</v>
      </c>
      <c r="Q387" s="3">
        <f ca="1">VLOOKUP($A387&amp;$B387,data!$A:$U,13,FALSE)</f>
        <v>0</v>
      </c>
      <c r="R387" s="3">
        <f ca="1">VLOOKUP($A387&amp;$B387,data!$A:$U,5,FALSE)</f>
        <v>23</v>
      </c>
      <c r="S387" s="3">
        <f ca="1">VLOOKUP($A387&amp;$B387,data!$A:$U,6,FALSE)</f>
        <v>23</v>
      </c>
      <c r="T387" s="3">
        <f ca="1">VLOOKUP($A387&amp;$B387,data!$A:$U,7,FALSE)</f>
        <v>0</v>
      </c>
    </row>
    <row r="388" spans="1:20" ht="13" x14ac:dyDescent="0.15">
      <c r="A388" s="3" t="s">
        <v>33</v>
      </c>
      <c r="B388" s="3" t="s">
        <v>568</v>
      </c>
      <c r="C388" s="10">
        <f t="shared" ca="1" si="0"/>
        <v>0.52941176470588236</v>
      </c>
      <c r="D388" s="5">
        <f ca="1">VLOOKUP($A388&amp;$B388,data!$A:$U,20,FALSE)</f>
        <v>44305.374212962903</v>
      </c>
      <c r="E388" s="3">
        <f ca="1">VLOOKUP($A388&amp;$B388,data!$A:$U,21,FALSE)</f>
        <v>0</v>
      </c>
      <c r="F388" s="3">
        <f ca="1">VLOOKUP($A388&amp;$B388,data!$A:$U,17,FALSE)</f>
        <v>2</v>
      </c>
      <c r="G388" s="3">
        <f ca="1">VLOOKUP($A388&amp;$B388,data!$A:$U,18,FALSE)</f>
        <v>0</v>
      </c>
      <c r="H388" s="3">
        <f ca="1">VLOOKUP($A388&amp;$B388,data!$A:$U,19,FALSE)</f>
        <v>2</v>
      </c>
      <c r="I388" s="3">
        <f ca="1">VLOOKUP($A388&amp;$B388,data!$A:$U,14,FALSE)</f>
        <v>20</v>
      </c>
      <c r="J388" s="3">
        <f ca="1">VLOOKUP($A388&amp;$B388,data!$A:$U,15,FALSE)</f>
        <v>0</v>
      </c>
      <c r="K388" s="3">
        <f ca="1">VLOOKUP($A388&amp;$B388,data!$A:$U,16,FALSE)</f>
        <v>20</v>
      </c>
      <c r="L388" s="3">
        <f ca="1">VLOOKUP($A388&amp;$B388,data!$A:$U,8,FALSE)</f>
        <v>20</v>
      </c>
      <c r="M388" s="3">
        <f ca="1">VLOOKUP($A388&amp;$B388,data!$A:$U,9,FALSE)</f>
        <v>0</v>
      </c>
      <c r="N388" s="3">
        <f ca="1">VLOOKUP($A388&amp;$B388,data!$A:$U,10,FALSE)</f>
        <v>20</v>
      </c>
      <c r="O388" s="3">
        <f ca="1">VLOOKUP($A388&amp;$B388,data!$A:$U,11,FALSE)</f>
        <v>55</v>
      </c>
      <c r="P388" s="3">
        <f ca="1">VLOOKUP($A388&amp;$B388,data!$A:$U,12,FALSE)</f>
        <v>40</v>
      </c>
      <c r="Q388" s="3">
        <f ca="1">VLOOKUP($A388&amp;$B388,data!$A:$U,13,FALSE)</f>
        <v>15</v>
      </c>
      <c r="R388" s="3">
        <f ca="1">VLOOKUP($A388&amp;$B388,data!$A:$U,5,FALSE)</f>
        <v>75</v>
      </c>
      <c r="S388" s="3">
        <f ca="1">VLOOKUP($A388&amp;$B388,data!$A:$U,6,FALSE)</f>
        <v>40</v>
      </c>
      <c r="T388" s="3">
        <f ca="1">VLOOKUP($A388&amp;$B388,data!$A:$U,7,FALSE)</f>
        <v>35</v>
      </c>
    </row>
    <row r="389" spans="1:20" ht="13" x14ac:dyDescent="0.15">
      <c r="A389" s="3" t="s">
        <v>34</v>
      </c>
      <c r="B389" s="3" t="s">
        <v>654</v>
      </c>
      <c r="C389" s="10">
        <f t="shared" ca="1" si="0"/>
        <v>0.9107142857142857</v>
      </c>
      <c r="D389" s="5">
        <f ca="1">VLOOKUP($A389&amp;$B389,data!$A:$U,20,FALSE)</f>
        <v>44138.315949074</v>
      </c>
      <c r="E389" s="3">
        <f ca="1">VLOOKUP($A389&amp;$B389,data!$A:$U,21,FALSE)</f>
        <v>0</v>
      </c>
      <c r="F389" s="3">
        <f ca="1">VLOOKUP($A389&amp;$B389,data!$A:$U,17,FALSE)</f>
        <v>0</v>
      </c>
      <c r="G389" s="3">
        <f ca="1">VLOOKUP($A389&amp;$B389,data!$A:$U,18,FALSE)</f>
        <v>0</v>
      </c>
      <c r="H389" s="3">
        <f ca="1">VLOOKUP($A389&amp;$B389,data!$A:$U,19,FALSE)</f>
        <v>0</v>
      </c>
      <c r="I389" s="3">
        <f ca="1">VLOOKUP($A389&amp;$B389,data!$A:$U,14,FALSE)</f>
        <v>0</v>
      </c>
      <c r="J389" s="3">
        <f ca="1">VLOOKUP($A389&amp;$B389,data!$A:$U,15,FALSE)</f>
        <v>0</v>
      </c>
      <c r="K389" s="3">
        <f ca="1">VLOOKUP($A389&amp;$B389,data!$A:$U,16,FALSE)</f>
        <v>0</v>
      </c>
      <c r="L389" s="3">
        <f ca="1">VLOOKUP($A389&amp;$B389,data!$A:$U,8,FALSE)</f>
        <v>56</v>
      </c>
      <c r="M389" s="3">
        <f ca="1">VLOOKUP($A389&amp;$B389,data!$A:$U,9,FALSE)</f>
        <v>5</v>
      </c>
      <c r="N389" s="3">
        <f ca="1">VLOOKUP($A389&amp;$B389,data!$A:$U,10,FALSE)</f>
        <v>51</v>
      </c>
      <c r="O389" s="3">
        <f ca="1">VLOOKUP($A389&amp;$B389,data!$A:$U,11,FALSE)</f>
        <v>0</v>
      </c>
      <c r="P389" s="3">
        <f ca="1">VLOOKUP($A389&amp;$B389,data!$A:$U,12,FALSE)</f>
        <v>0</v>
      </c>
      <c r="Q389" s="3">
        <f ca="1">VLOOKUP($A389&amp;$B389,data!$A:$U,13,FALSE)</f>
        <v>0</v>
      </c>
      <c r="R389" s="3">
        <f ca="1">VLOOKUP($A389&amp;$B389,data!$A:$U,5,FALSE)</f>
        <v>56</v>
      </c>
      <c r="S389" s="3">
        <f ca="1">VLOOKUP($A389&amp;$B389,data!$A:$U,6,FALSE)</f>
        <v>5</v>
      </c>
      <c r="T389" s="3">
        <f ca="1">VLOOKUP($A389&amp;$B389,data!$A:$U,7,FALSE)</f>
        <v>51</v>
      </c>
    </row>
    <row r="390" spans="1:20" ht="13" x14ac:dyDescent="0.15">
      <c r="A390" s="3" t="s">
        <v>34</v>
      </c>
      <c r="B390" s="3" t="s">
        <v>1145</v>
      </c>
      <c r="C390" s="10">
        <f t="shared" ca="1" si="0"/>
        <v>7.0422535211267609E-2</v>
      </c>
      <c r="D390" s="5">
        <f ca="1">VLOOKUP($A390&amp;$B390,data!$A:$U,20,FALSE)</f>
        <v>44305.410729166601</v>
      </c>
      <c r="E390" s="3" t="str">
        <f ca="1">VLOOKUP($A390&amp;$B390,data!$A:$U,21,FALSE)</f>
        <v>updated on 19/04/2021</v>
      </c>
      <c r="F390" s="3">
        <f ca="1">VLOOKUP($A390&amp;$B390,data!$A:$U,17,FALSE)</f>
        <v>25</v>
      </c>
      <c r="G390" s="3">
        <f ca="1">VLOOKUP($A390&amp;$B390,data!$A:$U,18,FALSE)</f>
        <v>10</v>
      </c>
      <c r="H390" s="3">
        <f ca="1">VLOOKUP($A390&amp;$B390,data!$A:$U,19,FALSE)</f>
        <v>15</v>
      </c>
      <c r="I390" s="3">
        <f ca="1">VLOOKUP($A390&amp;$B390,data!$A:$U,14,FALSE)</f>
        <v>25</v>
      </c>
      <c r="J390" s="3">
        <f ca="1">VLOOKUP($A390&amp;$B390,data!$A:$U,15,FALSE)</f>
        <v>24</v>
      </c>
      <c r="K390" s="3">
        <f ca="1">VLOOKUP($A390&amp;$B390,data!$A:$U,16,FALSE)</f>
        <v>1</v>
      </c>
      <c r="L390" s="3">
        <f ca="1">VLOOKUP($A390&amp;$B390,data!$A:$U,8,FALSE)</f>
        <v>117</v>
      </c>
      <c r="M390" s="3">
        <f ca="1">VLOOKUP($A390&amp;$B390,data!$A:$U,9,FALSE)</f>
        <v>108</v>
      </c>
      <c r="N390" s="3">
        <f ca="1">VLOOKUP($A390&amp;$B390,data!$A:$U,10,FALSE)</f>
        <v>9</v>
      </c>
      <c r="O390" s="3">
        <f ca="1">VLOOKUP($A390&amp;$B390,data!$A:$U,11,FALSE)</f>
        <v>0</v>
      </c>
      <c r="P390" s="3">
        <f ca="1">VLOOKUP($A390&amp;$B390,data!$A:$U,12,FALSE)</f>
        <v>0</v>
      </c>
      <c r="Q390" s="3">
        <f ca="1">VLOOKUP($A390&amp;$B390,data!$A:$U,13,FALSE)</f>
        <v>0</v>
      </c>
      <c r="R390" s="3">
        <f ca="1">VLOOKUP($A390&amp;$B390,data!$A:$U,5,FALSE)</f>
        <v>142</v>
      </c>
      <c r="S390" s="3">
        <f ca="1">VLOOKUP($A390&amp;$B390,data!$A:$U,6,FALSE)</f>
        <v>132</v>
      </c>
      <c r="T390" s="3">
        <f ca="1">VLOOKUP($A390&amp;$B390,data!$A:$U,7,FALSE)</f>
        <v>10</v>
      </c>
    </row>
    <row r="391" spans="1:20" ht="13" x14ac:dyDescent="0.15">
      <c r="A391" s="3" t="s">
        <v>34</v>
      </c>
      <c r="B391" s="3" t="s">
        <v>649</v>
      </c>
      <c r="C391" s="10">
        <f t="shared" ca="1" si="0"/>
        <v>9.815950920245399E-2</v>
      </c>
      <c r="D391" s="5">
        <f ca="1">VLOOKUP($A391&amp;$B391,data!$A:$U,20,FALSE)</f>
        <v>44305.649293981398</v>
      </c>
      <c r="E391" s="3">
        <f ca="1">VLOOKUP($A391&amp;$B391,data!$A:$U,21,FALSE)</f>
        <v>0</v>
      </c>
      <c r="F391" s="3">
        <f ca="1">VLOOKUP($A391&amp;$B391,data!$A:$U,17,FALSE)</f>
        <v>12</v>
      </c>
      <c r="G391" s="3">
        <f ca="1">VLOOKUP($A391&amp;$B391,data!$A:$U,18,FALSE)</f>
        <v>12</v>
      </c>
      <c r="H391" s="3">
        <f ca="1">VLOOKUP($A391&amp;$B391,data!$A:$U,19,FALSE)</f>
        <v>0</v>
      </c>
      <c r="I391" s="3">
        <f ca="1">VLOOKUP($A391&amp;$B391,data!$A:$U,14,FALSE)</f>
        <v>20</v>
      </c>
      <c r="J391" s="3">
        <f ca="1">VLOOKUP($A391&amp;$B391,data!$A:$U,15,FALSE)</f>
        <v>20</v>
      </c>
      <c r="K391" s="3">
        <f ca="1">VLOOKUP($A391&amp;$B391,data!$A:$U,16,FALSE)</f>
        <v>0</v>
      </c>
      <c r="L391" s="3">
        <f ca="1">VLOOKUP($A391&amp;$B391,data!$A:$U,8,FALSE)</f>
        <v>217</v>
      </c>
      <c r="M391" s="3">
        <f ca="1">VLOOKUP($A391&amp;$B391,data!$A:$U,9,FALSE)</f>
        <v>54</v>
      </c>
      <c r="N391" s="3">
        <f ca="1">VLOOKUP($A391&amp;$B391,data!$A:$U,10,FALSE)</f>
        <v>43</v>
      </c>
      <c r="O391" s="3">
        <f ca="1">VLOOKUP($A391&amp;$B391,data!$A:$U,11,FALSE)</f>
        <v>0</v>
      </c>
      <c r="P391" s="3">
        <f ca="1">VLOOKUP($A391&amp;$B391,data!$A:$U,12,FALSE)</f>
        <v>0</v>
      </c>
      <c r="Q391" s="3">
        <f ca="1">VLOOKUP($A391&amp;$B391,data!$A:$U,13,FALSE)</f>
        <v>0</v>
      </c>
      <c r="R391" s="3">
        <f ca="1">VLOOKUP($A391&amp;$B391,data!$A:$U,5,FALSE)</f>
        <v>252</v>
      </c>
      <c r="S391" s="3">
        <f ca="1">VLOOKUP($A391&amp;$B391,data!$A:$U,6,FALSE)</f>
        <v>247</v>
      </c>
      <c r="T391" s="3">
        <f ca="1">VLOOKUP($A391&amp;$B391,data!$A:$U,7,FALSE)</f>
        <v>5</v>
      </c>
    </row>
    <row r="392" spans="1:20" ht="13" x14ac:dyDescent="0.15">
      <c r="A392" s="3" t="s">
        <v>34</v>
      </c>
      <c r="B392" s="3" t="s">
        <v>648</v>
      </c>
      <c r="C392" s="10">
        <f t="shared" ca="1" si="0"/>
        <v>0</v>
      </c>
      <c r="D392" s="5">
        <f ca="1">VLOOKUP($A392&amp;$B392,data!$A:$U,20,FALSE)</f>
        <v>44305.502175925903</v>
      </c>
      <c r="E392" s="3">
        <f ca="1">VLOOKUP($A392&amp;$B392,data!$A:$U,21,FALSE)</f>
        <v>0</v>
      </c>
      <c r="F392" s="3">
        <f ca="1">VLOOKUP($A392&amp;$B392,data!$A:$U,17,FALSE)</f>
        <v>0</v>
      </c>
      <c r="G392" s="3">
        <f ca="1">VLOOKUP($A392&amp;$B392,data!$A:$U,18,FALSE)</f>
        <v>0</v>
      </c>
      <c r="H392" s="3">
        <f ca="1">VLOOKUP($A392&amp;$B392,data!$A:$U,19,FALSE)</f>
        <v>0</v>
      </c>
      <c r="I392" s="3">
        <f ca="1">VLOOKUP($A392&amp;$B392,data!$A:$U,14,FALSE)</f>
        <v>0</v>
      </c>
      <c r="J392" s="3">
        <f ca="1">VLOOKUP($A392&amp;$B392,data!$A:$U,15,FALSE)</f>
        <v>0</v>
      </c>
      <c r="K392" s="3">
        <f ca="1">VLOOKUP($A392&amp;$B392,data!$A:$U,16,FALSE)</f>
        <v>0</v>
      </c>
      <c r="L392" s="3">
        <f ca="1">VLOOKUP($A392&amp;$B392,data!$A:$U,8,FALSE)</f>
        <v>10</v>
      </c>
      <c r="M392" s="3">
        <f ca="1">VLOOKUP($A392&amp;$B392,data!$A:$U,9,FALSE)</f>
        <v>10</v>
      </c>
      <c r="N392" s="3">
        <f ca="1">VLOOKUP($A392&amp;$B392,data!$A:$U,10,FALSE)</f>
        <v>0</v>
      </c>
      <c r="O392" s="3">
        <f ca="1">VLOOKUP($A392&amp;$B392,data!$A:$U,11,FALSE)</f>
        <v>8</v>
      </c>
      <c r="P392" s="3">
        <f ca="1">VLOOKUP($A392&amp;$B392,data!$A:$U,12,FALSE)</f>
        <v>0</v>
      </c>
      <c r="Q392" s="3">
        <f ca="1">VLOOKUP($A392&amp;$B392,data!$A:$U,13,FALSE)</f>
        <v>0</v>
      </c>
      <c r="R392" s="3">
        <f ca="1">VLOOKUP($A392&amp;$B392,data!$A:$U,5,FALSE)</f>
        <v>18</v>
      </c>
      <c r="S392" s="3">
        <f ca="1">VLOOKUP($A392&amp;$B392,data!$A:$U,6,FALSE)</f>
        <v>18</v>
      </c>
      <c r="T392" s="3">
        <f ca="1">VLOOKUP($A392&amp;$B392,data!$A:$U,7,FALSE)</f>
        <v>0</v>
      </c>
    </row>
    <row r="393" spans="1:20" ht="13" x14ac:dyDescent="0.15">
      <c r="A393" s="3" t="s">
        <v>34</v>
      </c>
      <c r="B393" s="3" t="s">
        <v>655</v>
      </c>
      <c r="C393" s="10">
        <f t="shared" ca="1" si="0"/>
        <v>7.874015748031496E-3</v>
      </c>
      <c r="D393" s="5">
        <f ca="1">VLOOKUP($A393&amp;$B393,data!$A:$U,20,FALSE)</f>
        <v>44305.4031944444</v>
      </c>
      <c r="E393" s="3" t="str">
        <f ca="1">VLOOKUP($A393&amp;$B393,data!$A:$U,21,FALSE)</f>
        <v>Report date 19.04.2021</v>
      </c>
      <c r="F393" s="3">
        <f ca="1">VLOOKUP($A393&amp;$B393,data!$A:$U,17,FALSE)</f>
        <v>24</v>
      </c>
      <c r="G393" s="3">
        <f ca="1">VLOOKUP($A393&amp;$B393,data!$A:$U,18,FALSE)</f>
        <v>0</v>
      </c>
      <c r="H393" s="3">
        <f ca="1">VLOOKUP($A393&amp;$B393,data!$A:$U,19,FALSE)</f>
        <v>24</v>
      </c>
      <c r="I393" s="3">
        <f ca="1">VLOOKUP($A393&amp;$B393,data!$A:$U,14,FALSE)</f>
        <v>1</v>
      </c>
      <c r="J393" s="3">
        <f ca="1">VLOOKUP($A393&amp;$B393,data!$A:$U,15,FALSE)</f>
        <v>0</v>
      </c>
      <c r="K393" s="3">
        <f ca="1">VLOOKUP($A393&amp;$B393,data!$A:$U,16,FALSE)</f>
        <v>1</v>
      </c>
      <c r="L393" s="3">
        <f ca="1">VLOOKUP($A393&amp;$B393,data!$A:$U,8,FALSE)</f>
        <v>63</v>
      </c>
      <c r="M393" s="3">
        <f ca="1">VLOOKUP($A393&amp;$B393,data!$A:$U,9,FALSE)</f>
        <v>63</v>
      </c>
      <c r="N393" s="3">
        <f ca="1">VLOOKUP($A393&amp;$B393,data!$A:$U,10,FALSE)</f>
        <v>0</v>
      </c>
      <c r="O393" s="3">
        <f ca="1">VLOOKUP($A393&amp;$B393,data!$A:$U,11,FALSE)</f>
        <v>0</v>
      </c>
      <c r="P393" s="3">
        <f ca="1">VLOOKUP($A393&amp;$B393,data!$A:$U,12,FALSE)</f>
        <v>0</v>
      </c>
      <c r="Q393" s="3">
        <f ca="1">VLOOKUP($A393&amp;$B393,data!$A:$U,13,FALSE)</f>
        <v>0</v>
      </c>
      <c r="R393" s="3">
        <f ca="1">VLOOKUP($A393&amp;$B393,data!$A:$U,5,FALSE)</f>
        <v>63</v>
      </c>
      <c r="S393" s="3">
        <f ca="1">VLOOKUP($A393&amp;$B393,data!$A:$U,6,FALSE)</f>
        <v>63</v>
      </c>
      <c r="T393" s="3">
        <f ca="1">VLOOKUP($A393&amp;$B393,data!$A:$U,7,FALSE)</f>
        <v>0</v>
      </c>
    </row>
    <row r="394" spans="1:20" ht="13" x14ac:dyDescent="0.15">
      <c r="A394" s="3" t="s">
        <v>35</v>
      </c>
      <c r="B394" s="3" t="s">
        <v>956</v>
      </c>
      <c r="C394" s="10">
        <f t="shared" ca="1" si="0"/>
        <v>0.65263157894736845</v>
      </c>
      <c r="D394" s="5">
        <f ca="1">VLOOKUP($A394&amp;$B394,data!$A:$U,20,FALSE)</f>
        <v>44305.414652777697</v>
      </c>
      <c r="E394" s="3">
        <f ca="1">VLOOKUP($A394&amp;$B394,data!$A:$U,21,FALSE)</f>
        <v>0</v>
      </c>
      <c r="F394" s="3">
        <f ca="1">VLOOKUP($A394&amp;$B394,data!$A:$U,17,FALSE)</f>
        <v>1</v>
      </c>
      <c r="G394" s="3">
        <f ca="1">VLOOKUP($A394&amp;$B394,data!$A:$U,18,FALSE)</f>
        <v>0</v>
      </c>
      <c r="H394" s="3">
        <f ca="1">VLOOKUP($A394&amp;$B394,data!$A:$U,19,FALSE)</f>
        <v>1</v>
      </c>
      <c r="I394" s="3">
        <f ca="1">VLOOKUP($A394&amp;$B394,data!$A:$U,14,FALSE)</f>
        <v>15</v>
      </c>
      <c r="J394" s="3">
        <f ca="1">VLOOKUP($A394&amp;$B394,data!$A:$U,15,FALSE)</f>
        <v>11</v>
      </c>
      <c r="K394" s="3">
        <f ca="1">VLOOKUP($A394&amp;$B394,data!$A:$U,16,FALSE)</f>
        <v>4</v>
      </c>
      <c r="L394" s="3">
        <f ca="1">VLOOKUP($A394&amp;$B394,data!$A:$U,8,FALSE)</f>
        <v>40</v>
      </c>
      <c r="M394" s="3">
        <f ca="1">VLOOKUP($A394&amp;$B394,data!$A:$U,9,FALSE)</f>
        <v>11</v>
      </c>
      <c r="N394" s="3">
        <f ca="1">VLOOKUP($A394&amp;$B394,data!$A:$U,10,FALSE)</f>
        <v>29</v>
      </c>
      <c r="O394" s="3">
        <f ca="1">VLOOKUP($A394&amp;$B394,data!$A:$U,11,FALSE)</f>
        <v>0</v>
      </c>
      <c r="P394" s="3">
        <f ca="1">VLOOKUP($A394&amp;$B394,data!$A:$U,12,FALSE)</f>
        <v>0</v>
      </c>
      <c r="Q394" s="3">
        <f ca="1">VLOOKUP($A394&amp;$B394,data!$A:$U,13,FALSE)</f>
        <v>0</v>
      </c>
      <c r="R394" s="3">
        <f ca="1">VLOOKUP($A394&amp;$B394,data!$A:$U,5,FALSE)</f>
        <v>40</v>
      </c>
      <c r="S394" s="3">
        <f ca="1">VLOOKUP($A394&amp;$B394,data!$A:$U,6,FALSE)</f>
        <v>11</v>
      </c>
      <c r="T394" s="3">
        <f ca="1">VLOOKUP($A394&amp;$B394,data!$A:$U,7,FALSE)</f>
        <v>29</v>
      </c>
    </row>
    <row r="395" spans="1:20" ht="13" x14ac:dyDescent="0.15">
      <c r="A395" s="3" t="s">
        <v>35</v>
      </c>
      <c r="B395" s="3" t="s">
        <v>660</v>
      </c>
      <c r="C395" s="10">
        <f t="shared" ca="1" si="0"/>
        <v>0.75</v>
      </c>
      <c r="D395" s="5">
        <f ca="1">VLOOKUP($A395&amp;$B395,data!$A:$U,20,FALSE)</f>
        <v>44305.332060185101</v>
      </c>
      <c r="E395" s="3" t="str">
        <f ca="1">VLOOKUP($A395&amp;$B395,data!$A:$U,21,FALSE)</f>
        <v>5- patient Admitted only</v>
      </c>
      <c r="F395" s="3">
        <f ca="1">VLOOKUP($A395&amp;$B395,data!$A:$U,17,FALSE)</f>
        <v>2</v>
      </c>
      <c r="G395" s="3">
        <f ca="1">VLOOKUP($A395&amp;$B395,data!$A:$U,18,FALSE)</f>
        <v>0</v>
      </c>
      <c r="H395" s="3">
        <f ca="1">VLOOKUP($A395&amp;$B395,data!$A:$U,19,FALSE)</f>
        <v>2</v>
      </c>
      <c r="I395" s="3">
        <f ca="1">VLOOKUP($A395&amp;$B395,data!$A:$U,14,FALSE)</f>
        <v>5</v>
      </c>
      <c r="J395" s="3">
        <f ca="1">VLOOKUP($A395&amp;$B395,data!$A:$U,15,FALSE)</f>
        <v>2</v>
      </c>
      <c r="K395" s="3">
        <f ca="1">VLOOKUP($A395&amp;$B395,data!$A:$U,16,FALSE)</f>
        <v>3</v>
      </c>
      <c r="L395" s="3">
        <f ca="1">VLOOKUP($A395&amp;$B395,data!$A:$U,8,FALSE)</f>
        <v>10</v>
      </c>
      <c r="M395" s="3">
        <f ca="1">VLOOKUP($A395&amp;$B395,data!$A:$U,9,FALSE)</f>
        <v>3</v>
      </c>
      <c r="N395" s="3">
        <f ca="1">VLOOKUP($A395&amp;$B395,data!$A:$U,10,FALSE)</f>
        <v>7</v>
      </c>
      <c r="O395" s="3">
        <f ca="1">VLOOKUP($A395&amp;$B395,data!$A:$U,11,FALSE)</f>
        <v>5</v>
      </c>
      <c r="P395" s="3">
        <f ca="1">VLOOKUP($A395&amp;$B395,data!$A:$U,12,FALSE)</f>
        <v>0</v>
      </c>
      <c r="Q395" s="3">
        <f ca="1">VLOOKUP($A395&amp;$B395,data!$A:$U,13,FALSE)</f>
        <v>5</v>
      </c>
      <c r="R395" s="3">
        <f ca="1">VLOOKUP($A395&amp;$B395,data!$A:$U,5,FALSE)</f>
        <v>20</v>
      </c>
      <c r="S395" s="3">
        <f ca="1">VLOOKUP($A395&amp;$B395,data!$A:$U,6,FALSE)</f>
        <v>5</v>
      </c>
      <c r="T395" s="3">
        <f ca="1">VLOOKUP($A395&amp;$B395,data!$A:$U,7,FALSE)</f>
        <v>15</v>
      </c>
    </row>
    <row r="396" spans="1:20" ht="13" x14ac:dyDescent="0.15">
      <c r="A396" s="3" t="s">
        <v>35</v>
      </c>
      <c r="B396" s="3" t="s">
        <v>1188</v>
      </c>
      <c r="C396" s="10">
        <f t="shared" ca="1" si="0"/>
        <v>0.72881355932203384</v>
      </c>
      <c r="D396" s="5">
        <f ca="1">VLOOKUP($A396&amp;$B396,data!$A:$U,20,FALSE)</f>
        <v>44305.796076388797</v>
      </c>
      <c r="E396" s="3" t="str">
        <f ca="1">VLOOKUP($A396&amp;$B396,data!$A:$U,21,FALSE)</f>
        <v>19/04/2021 19.06 Pm</v>
      </c>
      <c r="F396" s="3">
        <f ca="1">VLOOKUP($A396&amp;$B396,data!$A:$U,17,FALSE)</f>
        <v>2</v>
      </c>
      <c r="G396" s="3">
        <f ca="1">VLOOKUP($A396&amp;$B396,data!$A:$U,18,FALSE)</f>
        <v>0</v>
      </c>
      <c r="H396" s="3">
        <f ca="1">VLOOKUP($A396&amp;$B396,data!$A:$U,19,FALSE)</f>
        <v>2</v>
      </c>
      <c r="I396" s="3">
        <f ca="1">VLOOKUP($A396&amp;$B396,data!$A:$U,14,FALSE)</f>
        <v>5</v>
      </c>
      <c r="J396" s="3">
        <f ca="1">VLOOKUP($A396&amp;$B396,data!$A:$U,15,FALSE)</f>
        <v>0</v>
      </c>
      <c r="K396" s="3">
        <f ca="1">VLOOKUP($A396&amp;$B396,data!$A:$U,16,FALSE)</f>
        <v>5</v>
      </c>
      <c r="L396" s="3">
        <f ca="1">VLOOKUP($A396&amp;$B396,data!$A:$U,8,FALSE)</f>
        <v>27</v>
      </c>
      <c r="M396" s="3">
        <f ca="1">VLOOKUP($A396&amp;$B396,data!$A:$U,9,FALSE)</f>
        <v>3</v>
      </c>
      <c r="N396" s="3">
        <f ca="1">VLOOKUP($A396&amp;$B396,data!$A:$U,10,FALSE)</f>
        <v>24</v>
      </c>
      <c r="O396" s="3">
        <f ca="1">VLOOKUP($A396&amp;$B396,data!$A:$U,11,FALSE)</f>
        <v>0</v>
      </c>
      <c r="P396" s="3">
        <f ca="1">VLOOKUP($A396&amp;$B396,data!$A:$U,12,FALSE)</f>
        <v>0</v>
      </c>
      <c r="Q396" s="3">
        <f ca="1">VLOOKUP($A396&amp;$B396,data!$A:$U,13,FALSE)</f>
        <v>0</v>
      </c>
      <c r="R396" s="3">
        <f ca="1">VLOOKUP($A396&amp;$B396,data!$A:$U,5,FALSE)</f>
        <v>27</v>
      </c>
      <c r="S396" s="3">
        <f ca="1">VLOOKUP($A396&amp;$B396,data!$A:$U,6,FALSE)</f>
        <v>13</v>
      </c>
      <c r="T396" s="3">
        <f ca="1">VLOOKUP($A396&amp;$B396,data!$A:$U,7,FALSE)</f>
        <v>14</v>
      </c>
    </row>
    <row r="397" spans="1:20" ht="13" x14ac:dyDescent="0.15">
      <c r="A397" s="3" t="s">
        <v>35</v>
      </c>
      <c r="B397" s="3" t="s">
        <v>664</v>
      </c>
      <c r="C397" s="10">
        <f t="shared" ca="1" si="0"/>
        <v>0.80952380952380953</v>
      </c>
      <c r="D397" s="5">
        <f ca="1">VLOOKUP($A397&amp;$B397,data!$A:$U,20,FALSE)</f>
        <v>44305.300833333298</v>
      </c>
      <c r="E397" s="3" t="str">
        <f ca="1">VLOOKUP($A397&amp;$B397,data!$A:$U,21,FALSE)</f>
        <v>Nil</v>
      </c>
      <c r="F397" s="3">
        <f ca="1">VLOOKUP($A397&amp;$B397,data!$A:$U,17,FALSE)</f>
        <v>2</v>
      </c>
      <c r="G397" s="3">
        <f ca="1">VLOOKUP($A397&amp;$B397,data!$A:$U,18,FALSE)</f>
        <v>0</v>
      </c>
      <c r="H397" s="3">
        <f ca="1">VLOOKUP($A397&amp;$B397,data!$A:$U,19,FALSE)</f>
        <v>2</v>
      </c>
      <c r="I397" s="3">
        <f ca="1">VLOOKUP($A397&amp;$B397,data!$A:$U,14,FALSE)</f>
        <v>2</v>
      </c>
      <c r="J397" s="3">
        <f ca="1">VLOOKUP($A397&amp;$B397,data!$A:$U,15,FALSE)</f>
        <v>0</v>
      </c>
      <c r="K397" s="3">
        <f ca="1">VLOOKUP($A397&amp;$B397,data!$A:$U,16,FALSE)</f>
        <v>2</v>
      </c>
      <c r="L397" s="3">
        <f ca="1">VLOOKUP($A397&amp;$B397,data!$A:$U,8,FALSE)</f>
        <v>20</v>
      </c>
      <c r="M397" s="3">
        <f ca="1">VLOOKUP($A397&amp;$B397,data!$A:$U,9,FALSE)</f>
        <v>4</v>
      </c>
      <c r="N397" s="3">
        <f ca="1">VLOOKUP($A397&amp;$B397,data!$A:$U,10,FALSE)</f>
        <v>16</v>
      </c>
      <c r="O397" s="3">
        <f ca="1">VLOOKUP($A397&amp;$B397,data!$A:$U,11,FALSE)</f>
        <v>0</v>
      </c>
      <c r="P397" s="3">
        <f ca="1">VLOOKUP($A397&amp;$B397,data!$A:$U,12,FALSE)</f>
        <v>0</v>
      </c>
      <c r="Q397" s="3">
        <f ca="1">VLOOKUP($A397&amp;$B397,data!$A:$U,13,FALSE)</f>
        <v>0</v>
      </c>
      <c r="R397" s="3">
        <f ca="1">VLOOKUP($A397&amp;$B397,data!$A:$U,5,FALSE)</f>
        <v>20</v>
      </c>
      <c r="S397" s="3">
        <f ca="1">VLOOKUP($A397&amp;$B397,data!$A:$U,6,FALSE)</f>
        <v>4</v>
      </c>
      <c r="T397" s="3">
        <f ca="1">VLOOKUP($A397&amp;$B397,data!$A:$U,7,FALSE)</f>
        <v>16</v>
      </c>
    </row>
  </sheetData>
  <autoFilter ref="A1:T397" xr:uid="{00000000-0009-0000-0000-000002000000}"/>
  <conditionalFormatting sqref="H1:T397">
    <cfRule type="colorScale" priority="2">
      <colorScale>
        <cfvo type="formula" val="0"/>
        <cfvo type="formula" val="20"/>
        <color rgb="FFFFFFFF"/>
        <color rgb="FF57BB8A"/>
      </colorScale>
    </cfRule>
  </conditionalFormatting>
  <conditionalFormatting sqref="C1:C397">
    <cfRule type="colorScale" priority="4">
      <colorScale>
        <cfvo type="min"/>
        <cfvo type="percentile" val="50"/>
        <cfvo type="formula" val="1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397"/>
  <sheetViews>
    <sheetView topLeftCell="I1" workbookViewId="0">
      <selection activeCell="U12" sqref="U12"/>
    </sheetView>
  </sheetViews>
  <sheetFormatPr baseColWidth="10" defaultColWidth="14.5" defaultRowHeight="15.75" customHeight="1" x14ac:dyDescent="0.15"/>
  <cols>
    <col min="1" max="1" width="8.5" customWidth="1"/>
    <col min="2" max="2" width="5.83203125" customWidth="1"/>
  </cols>
  <sheetData>
    <row r="1" spans="1:21" ht="15.75" customHeight="1" x14ac:dyDescent="0.15">
      <c r="A1" s="4" t="s">
        <v>1222</v>
      </c>
      <c r="B1" s="31" t="str">
        <f ca="1">IFERROR(__xludf.DUMMYFUNCTION("IMPORTDATA(""https://github.com/stopcoronatn/stopcoronatn.github.io/raw/main/data/beds.csv?h=19"")"),"S.NO")</f>
        <v>S.NO</v>
      </c>
      <c r="C1" s="1" t="str">
        <f ca="1">IFERROR(__xludf.DUMMYFUNCTION("""COMPUTED_VALUE"""),"District")</f>
        <v>District</v>
      </c>
      <c r="D1" s="1" t="str">
        <f ca="1">IFERROR(__xludf.DUMMYFUNCTION("""COMPUTED_VALUE"""),"Institution")</f>
        <v>Institution</v>
      </c>
      <c r="E1" s="1" t="str">
        <f ca="1">IFERROR(__xludf.DUMMYFUNCTION("""COMPUTED_VALUE"""),"COVID BEDS Total")</f>
        <v>COVID BEDS Total</v>
      </c>
      <c r="F1" s="1" t="str">
        <f ca="1">IFERROR(__xludf.DUMMYFUNCTION("""COMPUTED_VALUE"""),"COVID BEDS Occupied")</f>
        <v>COVID BEDS Occupied</v>
      </c>
      <c r="G1" s="1" t="str">
        <f ca="1">IFERROR(__xludf.DUMMYFUNCTION("""COMPUTED_VALUE"""),"COVID BEDS Vacant")</f>
        <v>COVID BEDS Vacant</v>
      </c>
      <c r="H1" s="1" t="str">
        <f ca="1">IFERROR(__xludf.DUMMYFUNCTION("""COMPUTED_VALUE"""),"OXYGEN SUPPORTED BEDS Total")</f>
        <v>OXYGEN SUPPORTED BEDS Total</v>
      </c>
      <c r="I1" s="1" t="str">
        <f ca="1">IFERROR(__xludf.DUMMYFUNCTION("""COMPUTED_VALUE"""),"OXYGEN SUPPORTED BEDS Occupied")</f>
        <v>OXYGEN SUPPORTED BEDS Occupied</v>
      </c>
      <c r="J1" s="1" t="str">
        <f ca="1">IFERROR(__xludf.DUMMYFUNCTION("""COMPUTED_VALUE"""),"OXYGEN SUPPORTED BEDS Vacant")</f>
        <v>OXYGEN SUPPORTED BEDS Vacant</v>
      </c>
      <c r="K1" s="1" t="str">
        <f ca="1">IFERROR(__xludf.DUMMYFUNCTION("""COMPUTED_VALUE"""),"NON-OXYGEN SUPPORTED BEDS Total")</f>
        <v>NON-OXYGEN SUPPORTED BEDS Total</v>
      </c>
      <c r="L1" s="1" t="str">
        <f ca="1">IFERROR(__xludf.DUMMYFUNCTION("""COMPUTED_VALUE"""),"NON-OXYGEN SUPPORTED BEDS Occupied")</f>
        <v>NON-OXYGEN SUPPORTED BEDS Occupied</v>
      </c>
      <c r="M1" s="1" t="str">
        <f ca="1">IFERROR(__xludf.DUMMYFUNCTION("""COMPUTED_VALUE"""),"NON-OXYGEN SUPPORTED BEDS Vacant")</f>
        <v>NON-OXYGEN SUPPORTED BEDS Vacant</v>
      </c>
      <c r="N1" s="1" t="str">
        <f ca="1">IFERROR(__xludf.DUMMYFUNCTION("""COMPUTED_VALUE"""),"ICU BEDS Total")</f>
        <v>ICU BEDS Total</v>
      </c>
      <c r="O1" s="1" t="str">
        <f ca="1">IFERROR(__xludf.DUMMYFUNCTION("""COMPUTED_VALUE"""),"ICU BEDS Occupied")</f>
        <v>ICU BEDS Occupied</v>
      </c>
      <c r="P1" s="1" t="str">
        <f ca="1">IFERROR(__xludf.DUMMYFUNCTION("""COMPUTED_VALUE"""),"ICU BEDS Vacant")</f>
        <v>ICU BEDS Vacant</v>
      </c>
      <c r="Q1" s="1" t="str">
        <f ca="1">IFERROR(__xludf.DUMMYFUNCTION("""COMPUTED_VALUE"""),"VENTILATOR Total")</f>
        <v>VENTILATOR Total</v>
      </c>
      <c r="R1" s="1" t="str">
        <f ca="1">IFERROR(__xludf.DUMMYFUNCTION("""COMPUTED_VALUE"""),"VENTILATOR Occupied")</f>
        <v>VENTILATOR Occupied</v>
      </c>
      <c r="S1" s="1" t="str">
        <f ca="1">IFERROR(__xludf.DUMMYFUNCTION("""COMPUTED_VALUE"""),"VENTILATOR Vacant")</f>
        <v>VENTILATOR Vacant</v>
      </c>
      <c r="T1" s="1" t="str">
        <f ca="1">IFERROR(__xludf.DUMMYFUNCTION("""COMPUTED_VALUE"""),"Last updated")</f>
        <v>Last updated</v>
      </c>
      <c r="U1" s="1" t="str">
        <f ca="1">IFERROR(__xludf.DUMMYFUNCTION("""COMPUTED_VALUE"""),"Remarks")</f>
        <v>Remarks</v>
      </c>
    </row>
    <row r="2" spans="1:21" ht="15.75" customHeight="1" x14ac:dyDescent="0.15">
      <c r="A2" s="1" t="str">
        <f t="shared" ref="A2:A397" ca="1" si="0">C2&amp;D2</f>
        <v>AriyalurA.S Hospital</v>
      </c>
      <c r="B2" s="1">
        <f ca="1">IFERROR(__xludf.DUMMYFUNCTION("""COMPUTED_VALUE"""),1)</f>
        <v>1</v>
      </c>
      <c r="C2" s="1" t="str">
        <f ca="1">IFERROR(__xludf.DUMMYFUNCTION("""COMPUTED_VALUE"""),"Ariyalur")</f>
        <v>Ariyalur</v>
      </c>
      <c r="D2" s="1" t="str">
        <f ca="1">IFERROR(__xludf.DUMMYFUNCTION("""COMPUTED_VALUE"""),"A.S Hospital")</f>
        <v>A.S Hospital</v>
      </c>
      <c r="E2" s="1">
        <f ca="1">IFERROR(__xludf.DUMMYFUNCTION("""COMPUTED_VALUE"""),25)</f>
        <v>25</v>
      </c>
      <c r="F2" s="1">
        <f ca="1">IFERROR(__xludf.DUMMYFUNCTION("""COMPUTED_VALUE"""),12)</f>
        <v>12</v>
      </c>
      <c r="G2" s="1">
        <f ca="1">IFERROR(__xludf.DUMMYFUNCTION("""COMPUTED_VALUE"""),13)</f>
        <v>13</v>
      </c>
      <c r="H2" s="1">
        <f ca="1">IFERROR(__xludf.DUMMYFUNCTION("""COMPUTED_VALUE"""),12)</f>
        <v>12</v>
      </c>
      <c r="I2" s="1">
        <f ca="1">IFERROR(__xludf.DUMMYFUNCTION("""COMPUTED_VALUE"""),5)</f>
        <v>5</v>
      </c>
      <c r="J2" s="1">
        <f ca="1">IFERROR(__xludf.DUMMYFUNCTION("""COMPUTED_VALUE"""),7)</f>
        <v>7</v>
      </c>
      <c r="K2" s="1">
        <f ca="1">IFERROR(__xludf.DUMMYFUNCTION("""COMPUTED_VALUE"""),8)</f>
        <v>8</v>
      </c>
      <c r="L2" s="1">
        <f ca="1">IFERROR(__xludf.DUMMYFUNCTION("""COMPUTED_VALUE"""),5)</f>
        <v>5</v>
      </c>
      <c r="M2" s="1">
        <f ca="1">IFERROR(__xludf.DUMMYFUNCTION("""COMPUTED_VALUE"""),2)</f>
        <v>2</v>
      </c>
      <c r="N2" s="1">
        <f ca="1">IFERROR(__xludf.DUMMYFUNCTION("""COMPUTED_VALUE"""),5)</f>
        <v>5</v>
      </c>
      <c r="O2" s="1">
        <f ca="1">IFERROR(__xludf.DUMMYFUNCTION("""COMPUTED_VALUE"""),0)</f>
        <v>0</v>
      </c>
      <c r="P2" s="1">
        <f ca="1">IFERROR(__xludf.DUMMYFUNCTION("""COMPUTED_VALUE"""),5)</f>
        <v>5</v>
      </c>
      <c r="Q2" s="1">
        <f ca="1">IFERROR(__xludf.DUMMYFUNCTION("""COMPUTED_VALUE"""),2)</f>
        <v>2</v>
      </c>
      <c r="R2" s="1">
        <f ca="1">IFERROR(__xludf.DUMMYFUNCTION("""COMPUTED_VALUE"""),0)</f>
        <v>0</v>
      </c>
      <c r="S2" s="1">
        <f ca="1">IFERROR(__xludf.DUMMYFUNCTION("""COMPUTED_VALUE"""),2)</f>
        <v>2</v>
      </c>
      <c r="T2" s="1">
        <f ca="1">IFERROR(__xludf.DUMMYFUNCTION("""COMPUTED_VALUE"""),44305.4128356481)</f>
        <v>44305.412835648101</v>
      </c>
      <c r="U2" s="1" t="str">
        <f ca="1">IFERROR(__xludf.DUMMYFUNCTION("""COMPUTED_VALUE"""),"Report on 18.04.2021")</f>
        <v>Report on 18.04.2021</v>
      </c>
    </row>
    <row r="3" spans="1:21" ht="15.75" customHeight="1" x14ac:dyDescent="0.15">
      <c r="A3" s="1" t="str">
        <f t="shared" ca="1" si="0"/>
        <v>AriyalurGolden Hospital</v>
      </c>
      <c r="B3" s="1">
        <f ca="1">IFERROR(__xludf.DUMMYFUNCTION("""COMPUTED_VALUE"""),2)</f>
        <v>2</v>
      </c>
      <c r="C3" s="1" t="str">
        <f ca="1">IFERROR(__xludf.DUMMYFUNCTION("""COMPUTED_VALUE"""),"Ariyalur")</f>
        <v>Ariyalur</v>
      </c>
      <c r="D3" s="1" t="str">
        <f ca="1">IFERROR(__xludf.DUMMYFUNCTION("""COMPUTED_VALUE"""),"Golden Hospital")</f>
        <v>Golden Hospital</v>
      </c>
      <c r="E3" s="1">
        <f ca="1">IFERROR(__xludf.DUMMYFUNCTION("""COMPUTED_VALUE"""),31)</f>
        <v>31</v>
      </c>
      <c r="F3" s="1">
        <f ca="1">IFERROR(__xludf.DUMMYFUNCTION("""COMPUTED_VALUE"""),10)</f>
        <v>10</v>
      </c>
      <c r="G3" s="1">
        <f ca="1">IFERROR(__xludf.DUMMYFUNCTION("""COMPUTED_VALUE"""),21)</f>
        <v>21</v>
      </c>
      <c r="H3" s="1">
        <f ca="1">IFERROR(__xludf.DUMMYFUNCTION("""COMPUTED_VALUE"""),23)</f>
        <v>23</v>
      </c>
      <c r="I3" s="1">
        <f ca="1">IFERROR(__xludf.DUMMYFUNCTION("""COMPUTED_VALUE"""),10)</f>
        <v>10</v>
      </c>
      <c r="J3" s="1">
        <f ca="1">IFERROR(__xludf.DUMMYFUNCTION("""COMPUTED_VALUE"""),13)</f>
        <v>13</v>
      </c>
      <c r="K3" s="1">
        <f ca="1">IFERROR(__xludf.DUMMYFUNCTION("""COMPUTED_VALUE"""),0)</f>
        <v>0</v>
      </c>
      <c r="L3" s="1">
        <f ca="1">IFERROR(__xludf.DUMMYFUNCTION("""COMPUTED_VALUE"""),0)</f>
        <v>0</v>
      </c>
      <c r="M3" s="1">
        <f ca="1">IFERROR(__xludf.DUMMYFUNCTION("""COMPUTED_VALUE"""),0)</f>
        <v>0</v>
      </c>
      <c r="N3" s="1">
        <f ca="1">IFERROR(__xludf.DUMMYFUNCTION("""COMPUTED_VALUE"""),5)</f>
        <v>5</v>
      </c>
      <c r="O3" s="1">
        <f ca="1">IFERROR(__xludf.DUMMYFUNCTION("""COMPUTED_VALUE"""),0)</f>
        <v>0</v>
      </c>
      <c r="P3" s="1">
        <f ca="1">IFERROR(__xludf.DUMMYFUNCTION("""COMPUTED_VALUE"""),5)</f>
        <v>5</v>
      </c>
      <c r="Q3" s="1">
        <f ca="1">IFERROR(__xludf.DUMMYFUNCTION("""COMPUTED_VALUE"""),5)</f>
        <v>5</v>
      </c>
      <c r="R3" s="1">
        <f ca="1">IFERROR(__xludf.DUMMYFUNCTION("""COMPUTED_VALUE"""),0)</f>
        <v>0</v>
      </c>
      <c r="S3" s="1">
        <f ca="1">IFERROR(__xludf.DUMMYFUNCTION("""COMPUTED_VALUE"""),5)</f>
        <v>5</v>
      </c>
      <c r="T3" s="1">
        <f ca="1">IFERROR(__xludf.DUMMYFUNCTION("""COMPUTED_VALUE"""),44305.3984837963)</f>
        <v>44305.3984837963</v>
      </c>
      <c r="U3" s="1" t="str">
        <f ca="1">IFERROR(__xludf.DUMMYFUNCTION("""COMPUTED_VALUE"""),"Report on 19.04.2021")</f>
        <v>Report on 19.04.2021</v>
      </c>
    </row>
    <row r="4" spans="1:21" ht="15.75" customHeight="1" x14ac:dyDescent="0.15">
      <c r="A4" s="1" t="str">
        <f t="shared" ca="1" si="0"/>
        <v>ChengalpattuAnnai Arul Hospital</v>
      </c>
      <c r="B4" s="1">
        <f ca="1">IFERROR(__xludf.DUMMYFUNCTION("""COMPUTED_VALUE"""),3)</f>
        <v>3</v>
      </c>
      <c r="C4" s="1" t="str">
        <f ca="1">IFERROR(__xludf.DUMMYFUNCTION("""COMPUTED_VALUE"""),"Chengalpattu")</f>
        <v>Chengalpattu</v>
      </c>
      <c r="D4" s="1" t="str">
        <f ca="1">IFERROR(__xludf.DUMMYFUNCTION("""COMPUTED_VALUE"""),"Annai Arul Hospital")</f>
        <v>Annai Arul Hospital</v>
      </c>
      <c r="E4" s="1">
        <f ca="1">IFERROR(__xludf.DUMMYFUNCTION("""COMPUTED_VALUE"""),40)</f>
        <v>40</v>
      </c>
      <c r="F4" s="1">
        <f ca="1">IFERROR(__xludf.DUMMYFUNCTION("""COMPUTED_VALUE"""),36)</f>
        <v>36</v>
      </c>
      <c r="G4" s="1">
        <f ca="1">IFERROR(__xludf.DUMMYFUNCTION("""COMPUTED_VALUE"""),0)</f>
        <v>0</v>
      </c>
      <c r="H4" s="1">
        <f ca="1">IFERROR(__xludf.DUMMYFUNCTION("""COMPUTED_VALUE"""),38)</f>
        <v>38</v>
      </c>
      <c r="I4" s="1">
        <f ca="1">IFERROR(__xludf.DUMMYFUNCTION("""COMPUTED_VALUE"""),34)</f>
        <v>34</v>
      </c>
      <c r="J4" s="1">
        <f ca="1">IFERROR(__xludf.DUMMYFUNCTION("""COMPUTED_VALUE"""),0)</f>
        <v>0</v>
      </c>
      <c r="K4" s="1">
        <f ca="1">IFERROR(__xludf.DUMMYFUNCTION("""COMPUTED_VALUE"""),0)</f>
        <v>0</v>
      </c>
      <c r="L4" s="1">
        <f ca="1">IFERROR(__xludf.DUMMYFUNCTION("""COMPUTED_VALUE"""),0)</f>
        <v>0</v>
      </c>
      <c r="M4" s="1">
        <f ca="1">IFERROR(__xludf.DUMMYFUNCTION("""COMPUTED_VALUE"""),0)</f>
        <v>0</v>
      </c>
      <c r="N4" s="1">
        <f ca="1">IFERROR(__xludf.DUMMYFUNCTION("""COMPUTED_VALUE"""),2)</f>
        <v>2</v>
      </c>
      <c r="O4" s="1">
        <f ca="1">IFERROR(__xludf.DUMMYFUNCTION("""COMPUTED_VALUE"""),2)</f>
        <v>2</v>
      </c>
      <c r="P4" s="1">
        <f ca="1">IFERROR(__xludf.DUMMYFUNCTION("""COMPUTED_VALUE"""),0)</f>
        <v>0</v>
      </c>
      <c r="Q4" s="1">
        <f ca="1">IFERROR(__xludf.DUMMYFUNCTION("""COMPUTED_VALUE"""),2)</f>
        <v>2</v>
      </c>
      <c r="R4" s="1">
        <f ca="1">IFERROR(__xludf.DUMMYFUNCTION("""COMPUTED_VALUE"""),1)</f>
        <v>1</v>
      </c>
      <c r="S4" s="1">
        <f ca="1">IFERROR(__xludf.DUMMYFUNCTION("""COMPUTED_VALUE"""),1)</f>
        <v>1</v>
      </c>
      <c r="T4" s="1">
        <f ca="1">IFERROR(__xludf.DUMMYFUNCTION("""COMPUTED_VALUE"""),44305.3876388888)</f>
        <v>44305.387638888802</v>
      </c>
      <c r="U4" s="1" t="str">
        <f ca="1">IFERROR(__xludf.DUMMYFUNCTION("""COMPUTED_VALUE"""),"19.04.2021")</f>
        <v>19.04.2021</v>
      </c>
    </row>
    <row r="5" spans="1:21" ht="15.75" customHeight="1" x14ac:dyDescent="0.15">
      <c r="A5" s="1" t="str">
        <f t="shared" ca="1" si="0"/>
        <v>ChengalpattuChennai Emergency care Centre Pammal</v>
      </c>
      <c r="B5" s="1">
        <f ca="1">IFERROR(__xludf.DUMMYFUNCTION("""COMPUTED_VALUE"""),4)</f>
        <v>4</v>
      </c>
      <c r="C5" s="1" t="str">
        <f ca="1">IFERROR(__xludf.DUMMYFUNCTION("""COMPUTED_VALUE"""),"Chengalpattu")</f>
        <v>Chengalpattu</v>
      </c>
      <c r="D5" s="1" t="str">
        <f ca="1">IFERROR(__xludf.DUMMYFUNCTION("""COMPUTED_VALUE"""),"Chennai Emergency care Centre Pammal")</f>
        <v>Chennai Emergency care Centre Pammal</v>
      </c>
      <c r="E5" s="1">
        <f ca="1">IFERROR(__xludf.DUMMYFUNCTION("""COMPUTED_VALUE"""),12)</f>
        <v>12</v>
      </c>
      <c r="F5" s="1">
        <f ca="1">IFERROR(__xludf.DUMMYFUNCTION("""COMPUTED_VALUE"""),11)</f>
        <v>11</v>
      </c>
      <c r="G5" s="1">
        <f ca="1">IFERROR(__xludf.DUMMYFUNCTION("""COMPUTED_VALUE"""),1)</f>
        <v>1</v>
      </c>
      <c r="H5" s="1">
        <f ca="1">IFERROR(__xludf.DUMMYFUNCTION("""COMPUTED_VALUE"""),9)</f>
        <v>9</v>
      </c>
      <c r="I5" s="1">
        <f ca="1">IFERROR(__xludf.DUMMYFUNCTION("""COMPUTED_VALUE"""),9)</f>
        <v>9</v>
      </c>
      <c r="J5" s="1">
        <f ca="1">IFERROR(__xludf.DUMMYFUNCTION("""COMPUTED_VALUE"""),0)</f>
        <v>0</v>
      </c>
      <c r="K5" s="1">
        <f ca="1">IFERROR(__xludf.DUMMYFUNCTION("""COMPUTED_VALUE"""),2)</f>
        <v>2</v>
      </c>
      <c r="L5" s="1">
        <f ca="1">IFERROR(__xludf.DUMMYFUNCTION("""COMPUTED_VALUE"""),2)</f>
        <v>2</v>
      </c>
      <c r="M5" s="1">
        <f ca="1">IFERROR(__xludf.DUMMYFUNCTION("""COMPUTED_VALUE"""),0)</f>
        <v>0</v>
      </c>
      <c r="N5" s="1">
        <f ca="1">IFERROR(__xludf.DUMMYFUNCTION("""COMPUTED_VALUE"""),0)</f>
        <v>0</v>
      </c>
      <c r="O5" s="1">
        <f ca="1">IFERROR(__xludf.DUMMYFUNCTION("""COMPUTED_VALUE"""),0)</f>
        <v>0</v>
      </c>
      <c r="P5" s="1">
        <f ca="1">IFERROR(__xludf.DUMMYFUNCTION("""COMPUTED_VALUE"""),0)</f>
        <v>0</v>
      </c>
      <c r="Q5" s="1">
        <f ca="1">IFERROR(__xludf.DUMMYFUNCTION("""COMPUTED_VALUE"""),0)</f>
        <v>0</v>
      </c>
      <c r="R5" s="1">
        <f ca="1">IFERROR(__xludf.DUMMYFUNCTION("""COMPUTED_VALUE"""),0)</f>
        <v>0</v>
      </c>
      <c r="S5" s="1">
        <f ca="1">IFERROR(__xludf.DUMMYFUNCTION("""COMPUTED_VALUE"""),0)</f>
        <v>0</v>
      </c>
      <c r="T5" s="1">
        <f ca="1">IFERROR(__xludf.DUMMYFUNCTION("""COMPUTED_VALUE"""),44305.3201041666)</f>
        <v>44305.320104166603</v>
      </c>
      <c r="U5" s="1" t="str">
        <f ca="1">IFERROR(__xludf.DUMMYFUNCTION("""COMPUTED_VALUE"""),"19.04.2021")</f>
        <v>19.04.2021</v>
      </c>
    </row>
    <row r="6" spans="1:21" ht="15.75" customHeight="1" x14ac:dyDescent="0.15">
      <c r="A6" s="1" t="str">
        <f t="shared" ca="1" si="0"/>
        <v>ChengalpattuDr. Rela Institute</v>
      </c>
      <c r="B6" s="1">
        <f ca="1">IFERROR(__xludf.DUMMYFUNCTION("""COMPUTED_VALUE"""),5)</f>
        <v>5</v>
      </c>
      <c r="C6" s="1" t="str">
        <f ca="1">IFERROR(__xludf.DUMMYFUNCTION("""COMPUTED_VALUE"""),"Chengalpattu")</f>
        <v>Chengalpattu</v>
      </c>
      <c r="D6" s="1" t="str">
        <f ca="1">IFERROR(__xludf.DUMMYFUNCTION("""COMPUTED_VALUE"""),"Dr. Rela Institute")</f>
        <v>Dr. Rela Institute</v>
      </c>
      <c r="E6" s="1">
        <f ca="1">IFERROR(__xludf.DUMMYFUNCTION("""COMPUTED_VALUE"""),134)</f>
        <v>134</v>
      </c>
      <c r="F6" s="1">
        <f ca="1">IFERROR(__xludf.DUMMYFUNCTION("""COMPUTED_VALUE"""),134)</f>
        <v>134</v>
      </c>
      <c r="G6" s="1">
        <f ca="1">IFERROR(__xludf.DUMMYFUNCTION("""COMPUTED_VALUE"""),0)</f>
        <v>0</v>
      </c>
      <c r="H6" s="1">
        <f ca="1">IFERROR(__xludf.DUMMYFUNCTION("""COMPUTED_VALUE"""),114)</f>
        <v>114</v>
      </c>
      <c r="I6" s="1">
        <f ca="1">IFERROR(__xludf.DUMMYFUNCTION("""COMPUTED_VALUE"""),114)</f>
        <v>114</v>
      </c>
      <c r="J6" s="1">
        <f ca="1">IFERROR(__xludf.DUMMYFUNCTION("""COMPUTED_VALUE"""),0)</f>
        <v>0</v>
      </c>
      <c r="K6" s="1">
        <f ca="1">IFERROR(__xludf.DUMMYFUNCTION("""COMPUTED_VALUE"""),0)</f>
        <v>0</v>
      </c>
      <c r="L6" s="1">
        <f ca="1">IFERROR(__xludf.DUMMYFUNCTION("""COMPUTED_VALUE"""),0)</f>
        <v>0</v>
      </c>
      <c r="M6" s="1">
        <f ca="1">IFERROR(__xludf.DUMMYFUNCTION("""COMPUTED_VALUE"""),0)</f>
        <v>0</v>
      </c>
      <c r="N6" s="1">
        <f ca="1">IFERROR(__xludf.DUMMYFUNCTION("""COMPUTED_VALUE"""),20)</f>
        <v>20</v>
      </c>
      <c r="O6" s="1">
        <f ca="1">IFERROR(__xludf.DUMMYFUNCTION("""COMPUTED_VALUE"""),20)</f>
        <v>20</v>
      </c>
      <c r="P6" s="1">
        <f ca="1">IFERROR(__xludf.DUMMYFUNCTION("""COMPUTED_VALUE"""),0)</f>
        <v>0</v>
      </c>
      <c r="Q6" s="1">
        <f ca="1">IFERROR(__xludf.DUMMYFUNCTION("""COMPUTED_VALUE"""),6)</f>
        <v>6</v>
      </c>
      <c r="R6" s="1">
        <f ca="1">IFERROR(__xludf.DUMMYFUNCTION("""COMPUTED_VALUE"""),6)</f>
        <v>6</v>
      </c>
      <c r="S6" s="1">
        <f ca="1">IFERROR(__xludf.DUMMYFUNCTION("""COMPUTED_VALUE"""),0)</f>
        <v>0</v>
      </c>
      <c r="T6" s="1">
        <f ca="1">IFERROR(__xludf.DUMMYFUNCTION("""COMPUTED_VALUE"""),44304.6593287037)</f>
        <v>44304.659328703703</v>
      </c>
      <c r="U6" s="1" t="str">
        <f ca="1">IFERROR(__xludf.DUMMYFUNCTION("""COMPUTED_VALUE"""),"18-4-21")</f>
        <v>18-4-21</v>
      </c>
    </row>
    <row r="7" spans="1:21" ht="15.75" customHeight="1" x14ac:dyDescent="0.15">
      <c r="A7" s="1" t="str">
        <f t="shared" ca="1" si="0"/>
        <v>ChengalpattuSudar Hospitals, Hasthinapuram</v>
      </c>
      <c r="B7" s="1">
        <f ca="1">IFERROR(__xludf.DUMMYFUNCTION("""COMPUTED_VALUE"""),6)</f>
        <v>6</v>
      </c>
      <c r="C7" s="1" t="str">
        <f ca="1">IFERROR(__xludf.DUMMYFUNCTION("""COMPUTED_VALUE"""),"Chengalpattu")</f>
        <v>Chengalpattu</v>
      </c>
      <c r="D7" s="1" t="str">
        <f ca="1">IFERROR(__xludf.DUMMYFUNCTION("""COMPUTED_VALUE"""),"Sudar Hospitals, Hasthinapuram")</f>
        <v>Sudar Hospitals, Hasthinapuram</v>
      </c>
      <c r="E7" s="1">
        <f ca="1">IFERROR(__xludf.DUMMYFUNCTION("""COMPUTED_VALUE"""),20)</f>
        <v>20</v>
      </c>
      <c r="F7" s="1">
        <f ca="1">IFERROR(__xludf.DUMMYFUNCTION("""COMPUTED_VALUE"""),10)</f>
        <v>10</v>
      </c>
      <c r="G7" s="1">
        <f ca="1">IFERROR(__xludf.DUMMYFUNCTION("""COMPUTED_VALUE"""),0)</f>
        <v>0</v>
      </c>
      <c r="H7" s="1">
        <f ca="1">IFERROR(__xludf.DUMMYFUNCTION("""COMPUTED_VALUE"""),30)</f>
        <v>30</v>
      </c>
      <c r="I7" s="1">
        <f ca="1">IFERROR(__xludf.DUMMYFUNCTION("""COMPUTED_VALUE"""),27)</f>
        <v>27</v>
      </c>
      <c r="J7" s="1">
        <f ca="1">IFERROR(__xludf.DUMMYFUNCTION("""COMPUTED_VALUE"""),3)</f>
        <v>3</v>
      </c>
      <c r="K7" s="1">
        <f ca="1">IFERROR(__xludf.DUMMYFUNCTION("""COMPUTED_VALUE"""),0)</f>
        <v>0</v>
      </c>
      <c r="L7" s="1">
        <f ca="1">IFERROR(__xludf.DUMMYFUNCTION("""COMPUTED_VALUE"""),0)</f>
        <v>0</v>
      </c>
      <c r="M7" s="1">
        <f ca="1">IFERROR(__xludf.DUMMYFUNCTION("""COMPUTED_VALUE"""),0)</f>
        <v>0</v>
      </c>
      <c r="N7" s="1">
        <f ca="1">IFERROR(__xludf.DUMMYFUNCTION("""COMPUTED_VALUE"""),10)</f>
        <v>10</v>
      </c>
      <c r="O7" s="1">
        <f ca="1">IFERROR(__xludf.DUMMYFUNCTION("""COMPUTED_VALUE"""),10)</f>
        <v>10</v>
      </c>
      <c r="P7" s="1">
        <f ca="1">IFERROR(__xludf.DUMMYFUNCTION("""COMPUTED_VALUE"""),0)</f>
        <v>0</v>
      </c>
      <c r="Q7" s="1">
        <f ca="1">IFERROR(__xludf.DUMMYFUNCTION("""COMPUTED_VALUE"""),2)</f>
        <v>2</v>
      </c>
      <c r="R7" s="1">
        <f ca="1">IFERROR(__xludf.DUMMYFUNCTION("""COMPUTED_VALUE"""),2)</f>
        <v>2</v>
      </c>
      <c r="S7" s="1">
        <f ca="1">IFERROR(__xludf.DUMMYFUNCTION("""COMPUTED_VALUE"""),0)</f>
        <v>0</v>
      </c>
      <c r="T7" s="1">
        <f ca="1">IFERROR(__xludf.DUMMYFUNCTION("""COMPUTED_VALUE"""),44301.2785185185)</f>
        <v>44301.278518518498</v>
      </c>
      <c r="U7" s="1" t="str">
        <f ca="1">IFERROR(__xludf.DUMMYFUNCTION("""COMPUTED_VALUE"""),"15.04.21")</f>
        <v>15.04.21</v>
      </c>
    </row>
    <row r="8" spans="1:21" ht="15.75" customHeight="1" x14ac:dyDescent="0.15">
      <c r="A8" s="1" t="str">
        <f t="shared" ca="1" si="0"/>
        <v>ChengalpattuSugam Hospital, Chromepet</v>
      </c>
      <c r="B8" s="1">
        <f ca="1">IFERROR(__xludf.DUMMYFUNCTION("""COMPUTED_VALUE"""),7)</f>
        <v>7</v>
      </c>
      <c r="C8" s="1" t="str">
        <f ca="1">IFERROR(__xludf.DUMMYFUNCTION("""COMPUTED_VALUE"""),"Chengalpattu")</f>
        <v>Chengalpattu</v>
      </c>
      <c r="D8" s="1" t="str">
        <f ca="1">IFERROR(__xludf.DUMMYFUNCTION("""COMPUTED_VALUE"""),"Sugam Hospital, Chromepet")</f>
        <v>Sugam Hospital, Chromepet</v>
      </c>
      <c r="E8" s="1">
        <f ca="1">IFERROR(__xludf.DUMMYFUNCTION("""COMPUTED_VALUE"""),30)</f>
        <v>30</v>
      </c>
      <c r="F8" s="1">
        <f ca="1">IFERROR(__xludf.DUMMYFUNCTION("""COMPUTED_VALUE"""),30)</f>
        <v>30</v>
      </c>
      <c r="G8" s="1">
        <f ca="1">IFERROR(__xludf.DUMMYFUNCTION("""COMPUTED_VALUE"""),0)</f>
        <v>0</v>
      </c>
      <c r="H8" s="1">
        <f ca="1">IFERROR(__xludf.DUMMYFUNCTION("""COMPUTED_VALUE"""),28)</f>
        <v>28</v>
      </c>
      <c r="I8" s="1">
        <f ca="1">IFERROR(__xludf.DUMMYFUNCTION("""COMPUTED_VALUE"""),28)</f>
        <v>28</v>
      </c>
      <c r="J8" s="1">
        <f ca="1">IFERROR(__xludf.DUMMYFUNCTION("""COMPUTED_VALUE"""),0)</f>
        <v>0</v>
      </c>
      <c r="K8" s="1">
        <f ca="1">IFERROR(__xludf.DUMMYFUNCTION("""COMPUTED_VALUE"""),0)</f>
        <v>0</v>
      </c>
      <c r="L8" s="1">
        <f ca="1">IFERROR(__xludf.DUMMYFUNCTION("""COMPUTED_VALUE"""),0)</f>
        <v>0</v>
      </c>
      <c r="M8" s="1">
        <f ca="1">IFERROR(__xludf.DUMMYFUNCTION("""COMPUTED_VALUE"""),0)</f>
        <v>0</v>
      </c>
      <c r="N8" s="1">
        <f ca="1">IFERROR(__xludf.DUMMYFUNCTION("""COMPUTED_VALUE"""),2)</f>
        <v>2</v>
      </c>
      <c r="O8" s="1">
        <f ca="1">IFERROR(__xludf.DUMMYFUNCTION("""COMPUTED_VALUE"""),2)</f>
        <v>2</v>
      </c>
      <c r="P8" s="1">
        <f ca="1">IFERROR(__xludf.DUMMYFUNCTION("""COMPUTED_VALUE"""),0)</f>
        <v>0</v>
      </c>
      <c r="Q8" s="1">
        <f ca="1">IFERROR(__xludf.DUMMYFUNCTION("""COMPUTED_VALUE"""),2)</f>
        <v>2</v>
      </c>
      <c r="R8" s="1">
        <f ca="1">IFERROR(__xludf.DUMMYFUNCTION("""COMPUTED_VALUE"""),2)</f>
        <v>2</v>
      </c>
      <c r="S8" s="1">
        <f ca="1">IFERROR(__xludf.DUMMYFUNCTION("""COMPUTED_VALUE"""),0)</f>
        <v>0</v>
      </c>
      <c r="T8" s="1">
        <f ca="1">IFERROR(__xludf.DUMMYFUNCTION("""COMPUTED_VALUE"""),44305.30125)</f>
        <v>44305.301249999997</v>
      </c>
      <c r="U8" s="1" t="str">
        <f ca="1">IFERROR(__xludf.DUMMYFUNCTION("""COMPUTED_VALUE"""),"19 . 04.2021")</f>
        <v>19 . 04.2021</v>
      </c>
    </row>
    <row r="9" spans="1:21" ht="15.75" customHeight="1" x14ac:dyDescent="0.15">
      <c r="A9" s="1" t="str">
        <f t="shared" ca="1" si="0"/>
        <v>ChengalpattuDeepam Hospitals, West Tambaram</v>
      </c>
      <c r="B9" s="1">
        <f ca="1">IFERROR(__xludf.DUMMYFUNCTION("""COMPUTED_VALUE"""),8)</f>
        <v>8</v>
      </c>
      <c r="C9" s="1" t="str">
        <f ca="1">IFERROR(__xludf.DUMMYFUNCTION("""COMPUTED_VALUE"""),"Chengalpattu")</f>
        <v>Chengalpattu</v>
      </c>
      <c r="D9" s="1" t="str">
        <f ca="1">IFERROR(__xludf.DUMMYFUNCTION("""COMPUTED_VALUE"""),"Deepam Hospitals, West Tambaram")</f>
        <v>Deepam Hospitals, West Tambaram</v>
      </c>
      <c r="E9" s="1">
        <f ca="1">IFERROR(__xludf.DUMMYFUNCTION("""COMPUTED_VALUE"""),34)</f>
        <v>34</v>
      </c>
      <c r="F9" s="1">
        <f ca="1">IFERROR(__xludf.DUMMYFUNCTION("""COMPUTED_VALUE"""),34)</f>
        <v>34</v>
      </c>
      <c r="G9" s="1">
        <f ca="1">IFERROR(__xludf.DUMMYFUNCTION("""COMPUTED_VALUE"""),0)</f>
        <v>0</v>
      </c>
      <c r="H9" s="1">
        <f ca="1">IFERROR(__xludf.DUMMYFUNCTION("""COMPUTED_VALUE"""),5)</f>
        <v>5</v>
      </c>
      <c r="I9" s="1">
        <f ca="1">IFERROR(__xludf.DUMMYFUNCTION("""COMPUTED_VALUE"""),5)</f>
        <v>5</v>
      </c>
      <c r="J9" s="1">
        <f ca="1">IFERROR(__xludf.DUMMYFUNCTION("""COMPUTED_VALUE"""),0)</f>
        <v>0</v>
      </c>
      <c r="K9" s="1">
        <f ca="1">IFERROR(__xludf.DUMMYFUNCTION("""COMPUTED_VALUE"""),29)</f>
        <v>29</v>
      </c>
      <c r="L9" s="1">
        <f ca="1">IFERROR(__xludf.DUMMYFUNCTION("""COMPUTED_VALUE"""),29)</f>
        <v>29</v>
      </c>
      <c r="M9" s="1">
        <f ca="1">IFERROR(__xludf.DUMMYFUNCTION("""COMPUTED_VALUE"""),0)</f>
        <v>0</v>
      </c>
      <c r="N9" s="1">
        <f ca="1">IFERROR(__xludf.DUMMYFUNCTION("""COMPUTED_VALUE"""),0)</f>
        <v>0</v>
      </c>
      <c r="O9" s="1">
        <f ca="1">IFERROR(__xludf.DUMMYFUNCTION("""COMPUTED_VALUE"""),0)</f>
        <v>0</v>
      </c>
      <c r="P9" s="1">
        <f ca="1">IFERROR(__xludf.DUMMYFUNCTION("""COMPUTED_VALUE"""),0)</f>
        <v>0</v>
      </c>
      <c r="Q9" s="1">
        <f ca="1">IFERROR(__xludf.DUMMYFUNCTION("""COMPUTED_VALUE"""),0)</f>
        <v>0</v>
      </c>
      <c r="R9" s="1">
        <f ca="1">IFERROR(__xludf.DUMMYFUNCTION("""COMPUTED_VALUE"""),0)</f>
        <v>0</v>
      </c>
      <c r="S9" s="1">
        <f ca="1">IFERROR(__xludf.DUMMYFUNCTION("""COMPUTED_VALUE"""),0)</f>
        <v>0</v>
      </c>
      <c r="T9" s="1">
        <f ca="1">IFERROR(__xludf.DUMMYFUNCTION("""COMPUTED_VALUE"""),44305.029537037)</f>
        <v>44305.029537037</v>
      </c>
      <c r="U9" s="1" t="str">
        <f ca="1">IFERROR(__xludf.DUMMYFUNCTION("""COMPUTED_VALUE"""),"19/04/2021")</f>
        <v>19/04/2021</v>
      </c>
    </row>
    <row r="10" spans="1:21" ht="15.75" customHeight="1" x14ac:dyDescent="0.15">
      <c r="A10" s="1" t="str">
        <f t="shared" ca="1" si="0"/>
        <v>ChennaiApollo Hospital, Greams Road</v>
      </c>
      <c r="B10" s="1">
        <f ca="1">IFERROR(__xludf.DUMMYFUNCTION("""COMPUTED_VALUE"""),9)</f>
        <v>9</v>
      </c>
      <c r="C10" s="1" t="str">
        <f ca="1">IFERROR(__xludf.DUMMYFUNCTION("""COMPUTED_VALUE"""),"Chennai")</f>
        <v>Chennai</v>
      </c>
      <c r="D10" s="1" t="str">
        <f ca="1">IFERROR(__xludf.DUMMYFUNCTION("""COMPUTED_VALUE"""),"Apollo Hospital, Greams Road")</f>
        <v>Apollo Hospital, Greams Road</v>
      </c>
      <c r="E10" s="1">
        <f ca="1">IFERROR(__xludf.DUMMYFUNCTION("""COMPUTED_VALUE"""),100)</f>
        <v>100</v>
      </c>
      <c r="F10" s="1">
        <f ca="1">IFERROR(__xludf.DUMMYFUNCTION("""COMPUTED_VALUE"""),100)</f>
        <v>100</v>
      </c>
      <c r="G10" s="1">
        <f ca="1">IFERROR(__xludf.DUMMYFUNCTION("""COMPUTED_VALUE"""),0)</f>
        <v>0</v>
      </c>
      <c r="H10" s="1">
        <f ca="1">IFERROR(__xludf.DUMMYFUNCTION("""COMPUTED_VALUE"""),40)</f>
        <v>40</v>
      </c>
      <c r="I10" s="1">
        <f ca="1">IFERROR(__xludf.DUMMYFUNCTION("""COMPUTED_VALUE"""),40)</f>
        <v>40</v>
      </c>
      <c r="J10" s="1">
        <f ca="1">IFERROR(__xludf.DUMMYFUNCTION("""COMPUTED_VALUE"""),0)</f>
        <v>0</v>
      </c>
      <c r="K10" s="1">
        <f ca="1">IFERROR(__xludf.DUMMYFUNCTION("""COMPUTED_VALUE"""),40)</f>
        <v>40</v>
      </c>
      <c r="L10" s="1">
        <f ca="1">IFERROR(__xludf.DUMMYFUNCTION("""COMPUTED_VALUE"""),40)</f>
        <v>40</v>
      </c>
      <c r="M10" s="1">
        <f ca="1">IFERROR(__xludf.DUMMYFUNCTION("""COMPUTED_VALUE"""),0)</f>
        <v>0</v>
      </c>
      <c r="N10" s="1">
        <f ca="1">IFERROR(__xludf.DUMMYFUNCTION("""COMPUTED_VALUE"""),20)</f>
        <v>20</v>
      </c>
      <c r="O10" s="1">
        <f ca="1">IFERROR(__xludf.DUMMYFUNCTION("""COMPUTED_VALUE"""),20)</f>
        <v>20</v>
      </c>
      <c r="P10" s="1">
        <f ca="1">IFERROR(__xludf.DUMMYFUNCTION("""COMPUTED_VALUE"""),0)</f>
        <v>0</v>
      </c>
      <c r="Q10" s="1">
        <f ca="1">IFERROR(__xludf.DUMMYFUNCTION("""COMPUTED_VALUE"""),20)</f>
        <v>20</v>
      </c>
      <c r="R10" s="1">
        <f ca="1">IFERROR(__xludf.DUMMYFUNCTION("""COMPUTED_VALUE"""),20)</f>
        <v>20</v>
      </c>
      <c r="S10" s="1">
        <f ca="1">IFERROR(__xludf.DUMMYFUNCTION("""COMPUTED_VALUE"""),0)</f>
        <v>0</v>
      </c>
      <c r="T10" s="1">
        <f ca="1">IFERROR(__xludf.DUMMYFUNCTION("""COMPUTED_VALUE"""),44305.3287731481)</f>
        <v>44305.328773148103</v>
      </c>
      <c r="U10" s="1" t="str">
        <f ca="1">IFERROR(__xludf.DUMMYFUNCTION("""COMPUTED_VALUE"""),"19.04.2021")</f>
        <v>19.04.2021</v>
      </c>
    </row>
    <row r="11" spans="1:21" ht="15.75" customHeight="1" x14ac:dyDescent="0.15">
      <c r="A11" s="1" t="str">
        <f t="shared" ca="1" si="0"/>
        <v>ChennaiApollo Hospitals, Vanagaram</v>
      </c>
      <c r="B11" s="1">
        <f ca="1">IFERROR(__xludf.DUMMYFUNCTION("""COMPUTED_VALUE"""),10)</f>
        <v>10</v>
      </c>
      <c r="C11" s="1" t="str">
        <f ca="1">IFERROR(__xludf.DUMMYFUNCTION("""COMPUTED_VALUE"""),"Chennai")</f>
        <v>Chennai</v>
      </c>
      <c r="D11" s="1" t="str">
        <f ca="1">IFERROR(__xludf.DUMMYFUNCTION("""COMPUTED_VALUE"""),"Apollo Hospitals, Vanagaram")</f>
        <v>Apollo Hospitals, Vanagaram</v>
      </c>
      <c r="E11" s="1">
        <f ca="1">IFERROR(__xludf.DUMMYFUNCTION("""COMPUTED_VALUE"""),91)</f>
        <v>91</v>
      </c>
      <c r="F11" s="1">
        <f ca="1">IFERROR(__xludf.DUMMYFUNCTION("""COMPUTED_VALUE"""),85)</f>
        <v>85</v>
      </c>
      <c r="G11" s="1">
        <f ca="1">IFERROR(__xludf.DUMMYFUNCTION("""COMPUTED_VALUE"""),6)</f>
        <v>6</v>
      </c>
      <c r="H11" s="1">
        <f ca="1">IFERROR(__xludf.DUMMYFUNCTION("""COMPUTED_VALUE"""),74)</f>
        <v>74</v>
      </c>
      <c r="I11" s="1">
        <f ca="1">IFERROR(__xludf.DUMMYFUNCTION("""COMPUTED_VALUE"""),68)</f>
        <v>68</v>
      </c>
      <c r="J11" s="1">
        <f ca="1">IFERROR(__xludf.DUMMYFUNCTION("""COMPUTED_VALUE"""),6)</f>
        <v>6</v>
      </c>
      <c r="K11" s="1">
        <f ca="1">IFERROR(__xludf.DUMMYFUNCTION("""COMPUTED_VALUE"""),0)</f>
        <v>0</v>
      </c>
      <c r="L11" s="1">
        <f ca="1">IFERROR(__xludf.DUMMYFUNCTION("""COMPUTED_VALUE"""),0)</f>
        <v>0</v>
      </c>
      <c r="M11" s="1">
        <f ca="1">IFERROR(__xludf.DUMMYFUNCTION("""COMPUTED_VALUE"""),0)</f>
        <v>0</v>
      </c>
      <c r="N11" s="1">
        <f ca="1">IFERROR(__xludf.DUMMYFUNCTION("""COMPUTED_VALUE"""),17)</f>
        <v>17</v>
      </c>
      <c r="O11" s="1">
        <f ca="1">IFERROR(__xludf.DUMMYFUNCTION("""COMPUTED_VALUE"""),17)</f>
        <v>17</v>
      </c>
      <c r="P11" s="1">
        <f ca="1">IFERROR(__xludf.DUMMYFUNCTION("""COMPUTED_VALUE"""),0)</f>
        <v>0</v>
      </c>
      <c r="Q11" s="1">
        <f ca="1">IFERROR(__xludf.DUMMYFUNCTION("""COMPUTED_VALUE"""),8)</f>
        <v>8</v>
      </c>
      <c r="R11" s="1">
        <f ca="1">IFERROR(__xludf.DUMMYFUNCTION("""COMPUTED_VALUE"""),8)</f>
        <v>8</v>
      </c>
      <c r="S11" s="1">
        <f ca="1">IFERROR(__xludf.DUMMYFUNCTION("""COMPUTED_VALUE"""),0)</f>
        <v>0</v>
      </c>
      <c r="T11" s="1">
        <f ca="1">IFERROR(__xludf.DUMMYFUNCTION("""COMPUTED_VALUE"""),44305.38375)</f>
        <v>44305.383750000001</v>
      </c>
      <c r="U11" s="1"/>
    </row>
    <row r="12" spans="1:21" ht="15.75" customHeight="1" x14ac:dyDescent="0.15">
      <c r="A12" s="1" t="str">
        <f t="shared" ca="1" si="0"/>
        <v>ChennaiAppasamy Hospital</v>
      </c>
      <c r="B12" s="1">
        <f ca="1">IFERROR(__xludf.DUMMYFUNCTION("""COMPUTED_VALUE"""),11)</f>
        <v>11</v>
      </c>
      <c r="C12" s="1" t="str">
        <f ca="1">IFERROR(__xludf.DUMMYFUNCTION("""COMPUTED_VALUE"""),"Chennai")</f>
        <v>Chennai</v>
      </c>
      <c r="D12" s="1" t="str">
        <f ca="1">IFERROR(__xludf.DUMMYFUNCTION("""COMPUTED_VALUE"""),"Appasamy Hospital")</f>
        <v>Appasamy Hospital</v>
      </c>
      <c r="E12" s="1">
        <f ca="1">IFERROR(__xludf.DUMMYFUNCTION("""COMPUTED_VALUE"""),58)</f>
        <v>58</v>
      </c>
      <c r="F12" s="1">
        <f ca="1">IFERROR(__xludf.DUMMYFUNCTION("""COMPUTED_VALUE"""),68)</f>
        <v>68</v>
      </c>
      <c r="G12" s="1">
        <f ca="1">IFERROR(__xludf.DUMMYFUNCTION("""COMPUTED_VALUE"""),7)</f>
        <v>7</v>
      </c>
      <c r="H12" s="1">
        <f ca="1">IFERROR(__xludf.DUMMYFUNCTION("""COMPUTED_VALUE"""),55)</f>
        <v>55</v>
      </c>
      <c r="I12" s="1">
        <f ca="1">IFERROR(__xludf.DUMMYFUNCTION("""COMPUTED_VALUE"""),61)</f>
        <v>61</v>
      </c>
      <c r="J12" s="1">
        <f ca="1">IFERROR(__xludf.DUMMYFUNCTION("""COMPUTED_VALUE"""),7)</f>
        <v>7</v>
      </c>
      <c r="K12" s="1">
        <f ca="1">IFERROR(__xludf.DUMMYFUNCTION("""COMPUTED_VALUE"""),0)</f>
        <v>0</v>
      </c>
      <c r="L12" s="1">
        <f ca="1">IFERROR(__xludf.DUMMYFUNCTION("""COMPUTED_VALUE"""),0)</f>
        <v>0</v>
      </c>
      <c r="M12" s="1">
        <f ca="1">IFERROR(__xludf.DUMMYFUNCTION("""COMPUTED_VALUE"""),0)</f>
        <v>0</v>
      </c>
      <c r="N12" s="1">
        <f ca="1">IFERROR(__xludf.DUMMYFUNCTION("""COMPUTED_VALUE"""),5)</f>
        <v>5</v>
      </c>
      <c r="O12" s="1">
        <f ca="1">IFERROR(__xludf.DUMMYFUNCTION("""COMPUTED_VALUE"""),5)</f>
        <v>5</v>
      </c>
      <c r="P12" s="1">
        <f ca="1">IFERROR(__xludf.DUMMYFUNCTION("""COMPUTED_VALUE"""),0)</f>
        <v>0</v>
      </c>
      <c r="Q12" s="1">
        <f ca="1">IFERROR(__xludf.DUMMYFUNCTION("""COMPUTED_VALUE"""),4)</f>
        <v>4</v>
      </c>
      <c r="R12" s="1">
        <f ca="1">IFERROR(__xludf.DUMMYFUNCTION("""COMPUTED_VALUE"""),4)</f>
        <v>4</v>
      </c>
      <c r="S12" s="1">
        <f ca="1">IFERROR(__xludf.DUMMYFUNCTION("""COMPUTED_VALUE"""),0)</f>
        <v>0</v>
      </c>
      <c r="T12" s="1">
        <f ca="1">IFERROR(__xludf.DUMMYFUNCTION("""COMPUTED_VALUE"""),44305.4837152777)</f>
        <v>44305.483715277704</v>
      </c>
      <c r="U12" s="1" t="str">
        <f ca="1">IFERROR(__xludf.DUMMYFUNCTION("""COMPUTED_VALUE"""),"April 19th")</f>
        <v>April 19th</v>
      </c>
    </row>
    <row r="13" spans="1:21" ht="15.75" customHeight="1" x14ac:dyDescent="0.15">
      <c r="A13" s="1" t="str">
        <f t="shared" ca="1" si="0"/>
        <v>ChennaiArunVijaya Hospitals, KK Nagar</v>
      </c>
      <c r="B13" s="1">
        <f ca="1">IFERROR(__xludf.DUMMYFUNCTION("""COMPUTED_VALUE"""),12)</f>
        <v>12</v>
      </c>
      <c r="C13" s="1" t="str">
        <f ca="1">IFERROR(__xludf.DUMMYFUNCTION("""COMPUTED_VALUE"""),"Chennai")</f>
        <v>Chennai</v>
      </c>
      <c r="D13" s="1" t="str">
        <f ca="1">IFERROR(__xludf.DUMMYFUNCTION("""COMPUTED_VALUE"""),"ArunVijaya Hospitals, KK Nagar")</f>
        <v>ArunVijaya Hospitals, KK Nagar</v>
      </c>
      <c r="E13" s="1">
        <f ca="1">IFERROR(__xludf.DUMMYFUNCTION("""COMPUTED_VALUE"""),21)</f>
        <v>21</v>
      </c>
      <c r="F13" s="1">
        <f ca="1">IFERROR(__xludf.DUMMYFUNCTION("""COMPUTED_VALUE"""),16)</f>
        <v>16</v>
      </c>
      <c r="G13" s="1">
        <f ca="1">IFERROR(__xludf.DUMMYFUNCTION("""COMPUTED_VALUE"""),12)</f>
        <v>12</v>
      </c>
      <c r="H13" s="1">
        <f ca="1">IFERROR(__xludf.DUMMYFUNCTION("""COMPUTED_VALUE"""),10)</f>
        <v>10</v>
      </c>
      <c r="I13" s="1">
        <f ca="1">IFERROR(__xludf.DUMMYFUNCTION("""COMPUTED_VALUE"""),0)</f>
        <v>0</v>
      </c>
      <c r="J13" s="1">
        <f ca="1">IFERROR(__xludf.DUMMYFUNCTION("""COMPUTED_VALUE"""),10)</f>
        <v>10</v>
      </c>
      <c r="K13" s="1">
        <f ca="1">IFERROR(__xludf.DUMMYFUNCTION("""COMPUTED_VALUE"""),10)</f>
        <v>10</v>
      </c>
      <c r="L13" s="1">
        <f ca="1">IFERROR(__xludf.DUMMYFUNCTION("""COMPUTED_VALUE"""),6)</f>
        <v>6</v>
      </c>
      <c r="M13" s="1">
        <f ca="1">IFERROR(__xludf.DUMMYFUNCTION("""COMPUTED_VALUE"""),0)</f>
        <v>0</v>
      </c>
      <c r="N13" s="1">
        <f ca="1">IFERROR(__xludf.DUMMYFUNCTION("""COMPUTED_VALUE"""),4)</f>
        <v>4</v>
      </c>
      <c r="O13" s="1">
        <f ca="1">IFERROR(__xludf.DUMMYFUNCTION("""COMPUTED_VALUE"""),0)</f>
        <v>0</v>
      </c>
      <c r="P13" s="1">
        <f ca="1">IFERROR(__xludf.DUMMYFUNCTION("""COMPUTED_VALUE"""),4)</f>
        <v>4</v>
      </c>
      <c r="Q13" s="1">
        <f ca="1">IFERROR(__xludf.DUMMYFUNCTION("""COMPUTED_VALUE"""),2)</f>
        <v>2</v>
      </c>
      <c r="R13" s="1">
        <f ca="1">IFERROR(__xludf.DUMMYFUNCTION("""COMPUTED_VALUE"""),0)</f>
        <v>0</v>
      </c>
      <c r="S13" s="1">
        <f ca="1">IFERROR(__xludf.DUMMYFUNCTION("""COMPUTED_VALUE"""),2)</f>
        <v>2</v>
      </c>
      <c r="T13" s="1">
        <f ca="1">IFERROR(__xludf.DUMMYFUNCTION("""COMPUTED_VALUE"""),44305.3619675925)</f>
        <v>44305.3619675925</v>
      </c>
      <c r="U13" s="1" t="str">
        <f ca="1">IFERROR(__xludf.DUMMYFUNCTION("""COMPUTED_VALUE"""),"19-04-2021")</f>
        <v>19-04-2021</v>
      </c>
    </row>
    <row r="14" spans="1:21" ht="15.75" customHeight="1" x14ac:dyDescent="0.15">
      <c r="A14" s="1" t="str">
        <f t="shared" ca="1" si="0"/>
        <v>ChennaiAstra Ortho N Spine Care Hospital</v>
      </c>
      <c r="B14" s="1">
        <f ca="1">IFERROR(__xludf.DUMMYFUNCTION("""COMPUTED_VALUE"""),13)</f>
        <v>13</v>
      </c>
      <c r="C14" s="1" t="str">
        <f ca="1">IFERROR(__xludf.DUMMYFUNCTION("""COMPUTED_VALUE"""),"Chennai")</f>
        <v>Chennai</v>
      </c>
      <c r="D14" s="1" t="str">
        <f ca="1">IFERROR(__xludf.DUMMYFUNCTION("""COMPUTED_VALUE"""),"Astra Ortho N Spine Care Hospital")</f>
        <v>Astra Ortho N Spine Care Hospital</v>
      </c>
      <c r="E14" s="1">
        <f ca="1">IFERROR(__xludf.DUMMYFUNCTION("""COMPUTED_VALUE"""),20)</f>
        <v>20</v>
      </c>
      <c r="F14" s="1">
        <f ca="1">IFERROR(__xludf.DUMMYFUNCTION("""COMPUTED_VALUE"""),20)</f>
        <v>20</v>
      </c>
      <c r="G14" s="1">
        <f ca="1">IFERROR(__xludf.DUMMYFUNCTION("""COMPUTED_VALUE"""),0)</f>
        <v>0</v>
      </c>
      <c r="H14" s="1">
        <f ca="1">IFERROR(__xludf.DUMMYFUNCTION("""COMPUTED_VALUE"""),18)</f>
        <v>18</v>
      </c>
      <c r="I14" s="1">
        <f ca="1">IFERROR(__xludf.DUMMYFUNCTION("""COMPUTED_VALUE"""),18)</f>
        <v>18</v>
      </c>
      <c r="J14" s="1">
        <f ca="1">IFERROR(__xludf.DUMMYFUNCTION("""COMPUTED_VALUE"""),0)</f>
        <v>0</v>
      </c>
      <c r="K14" s="1">
        <f ca="1">IFERROR(__xludf.DUMMYFUNCTION("""COMPUTED_VALUE"""),3)</f>
        <v>3</v>
      </c>
      <c r="L14" s="1">
        <f ca="1">IFERROR(__xludf.DUMMYFUNCTION("""COMPUTED_VALUE"""),0)</f>
        <v>0</v>
      </c>
      <c r="M14" s="1">
        <f ca="1">IFERROR(__xludf.DUMMYFUNCTION("""COMPUTED_VALUE"""),0)</f>
        <v>0</v>
      </c>
      <c r="N14" s="1">
        <f ca="1">IFERROR(__xludf.DUMMYFUNCTION("""COMPUTED_VALUE"""),4)</f>
        <v>4</v>
      </c>
      <c r="O14" s="1">
        <f ca="1">IFERROR(__xludf.DUMMYFUNCTION("""COMPUTED_VALUE"""),4)</f>
        <v>4</v>
      </c>
      <c r="P14" s="1">
        <f ca="1">IFERROR(__xludf.DUMMYFUNCTION("""COMPUTED_VALUE"""),0)</f>
        <v>0</v>
      </c>
      <c r="Q14" s="1">
        <f ca="1">IFERROR(__xludf.DUMMYFUNCTION("""COMPUTED_VALUE"""),2)</f>
        <v>2</v>
      </c>
      <c r="R14" s="1">
        <f ca="1">IFERROR(__xludf.DUMMYFUNCTION("""COMPUTED_VALUE"""),0)</f>
        <v>0</v>
      </c>
      <c r="S14" s="1">
        <f ca="1">IFERROR(__xludf.DUMMYFUNCTION("""COMPUTED_VALUE"""),0)</f>
        <v>0</v>
      </c>
      <c r="T14" s="1">
        <f ca="1">IFERROR(__xludf.DUMMYFUNCTION("""COMPUTED_VALUE"""),44305.6642708333)</f>
        <v>44305.664270833302</v>
      </c>
      <c r="U14" s="1" t="str">
        <f ca="1">IFERROR(__xludf.DUMMYFUNCTION("""COMPUTED_VALUE"""),"19.04.2021")</f>
        <v>19.04.2021</v>
      </c>
    </row>
    <row r="15" spans="1:21" ht="15.75" customHeight="1" x14ac:dyDescent="0.15">
      <c r="A15" s="1" t="str">
        <f t="shared" ca="1" si="0"/>
        <v>ChennaiAysha Hospital</v>
      </c>
      <c r="B15" s="1">
        <f ca="1">IFERROR(__xludf.DUMMYFUNCTION("""COMPUTED_VALUE"""),14)</f>
        <v>14</v>
      </c>
      <c r="C15" s="1" t="str">
        <f ca="1">IFERROR(__xludf.DUMMYFUNCTION("""COMPUTED_VALUE"""),"Chennai")</f>
        <v>Chennai</v>
      </c>
      <c r="D15" s="1" t="str">
        <f ca="1">IFERROR(__xludf.DUMMYFUNCTION("""COMPUTED_VALUE"""),"Aysha Hospital")</f>
        <v>Aysha Hospital</v>
      </c>
      <c r="E15" s="1">
        <f ca="1">IFERROR(__xludf.DUMMYFUNCTION("""COMPUTED_VALUE"""),8)</f>
        <v>8</v>
      </c>
      <c r="F15" s="1">
        <f ca="1">IFERROR(__xludf.DUMMYFUNCTION("""COMPUTED_VALUE"""),8)</f>
        <v>8</v>
      </c>
      <c r="G15" s="1">
        <f ca="1">IFERROR(__xludf.DUMMYFUNCTION("""COMPUTED_VALUE"""),0)</f>
        <v>0</v>
      </c>
      <c r="H15" s="1">
        <f ca="1">IFERROR(__xludf.DUMMYFUNCTION("""COMPUTED_VALUE"""),2)</f>
        <v>2</v>
      </c>
      <c r="I15" s="1">
        <f ca="1">IFERROR(__xludf.DUMMYFUNCTION("""COMPUTED_VALUE"""),1)</f>
        <v>1</v>
      </c>
      <c r="J15" s="1">
        <f ca="1">IFERROR(__xludf.DUMMYFUNCTION("""COMPUTED_VALUE"""),1)</f>
        <v>1</v>
      </c>
      <c r="K15" s="1">
        <f ca="1">IFERROR(__xludf.DUMMYFUNCTION("""COMPUTED_VALUE"""),2)</f>
        <v>2</v>
      </c>
      <c r="L15" s="1">
        <f ca="1">IFERROR(__xludf.DUMMYFUNCTION("""COMPUTED_VALUE"""),0)</f>
        <v>0</v>
      </c>
      <c r="M15" s="1">
        <f ca="1">IFERROR(__xludf.DUMMYFUNCTION("""COMPUTED_VALUE"""),2)</f>
        <v>2</v>
      </c>
      <c r="N15" s="1">
        <f ca="1">IFERROR(__xludf.DUMMYFUNCTION("""COMPUTED_VALUE"""),3)</f>
        <v>3</v>
      </c>
      <c r="O15" s="1">
        <f ca="1">IFERROR(__xludf.DUMMYFUNCTION("""COMPUTED_VALUE"""),0)</f>
        <v>0</v>
      </c>
      <c r="P15" s="1">
        <f ca="1">IFERROR(__xludf.DUMMYFUNCTION("""COMPUTED_VALUE"""),3)</f>
        <v>3</v>
      </c>
      <c r="Q15" s="1">
        <f ca="1">IFERROR(__xludf.DUMMYFUNCTION("""COMPUTED_VALUE"""),5)</f>
        <v>5</v>
      </c>
      <c r="R15" s="1">
        <f ca="1">IFERROR(__xludf.DUMMYFUNCTION("""COMPUTED_VALUE"""),0)</f>
        <v>0</v>
      </c>
      <c r="S15" s="1">
        <f ca="1">IFERROR(__xludf.DUMMYFUNCTION("""COMPUTED_VALUE"""),5)</f>
        <v>5</v>
      </c>
      <c r="T15" s="1">
        <f ca="1">IFERROR(__xludf.DUMMYFUNCTION("""COMPUTED_VALUE"""),44304.5745138888)</f>
        <v>44304.574513888801</v>
      </c>
      <c r="U15" s="1" t="str">
        <f ca="1">IFERROR(__xludf.DUMMYFUNCTION("""COMPUTED_VALUE"""),"4 New case reported in Aysha Hospitals Chennai")</f>
        <v>4 New case reported in Aysha Hospitals Chennai</v>
      </c>
    </row>
    <row r="16" spans="1:21" ht="15.75" customHeight="1" x14ac:dyDescent="0.15">
      <c r="A16" s="1" t="str">
        <f t="shared" ca="1" si="0"/>
        <v>ChennaiBe Well Hospital Anna nagar</v>
      </c>
      <c r="B16" s="1">
        <f ca="1">IFERROR(__xludf.DUMMYFUNCTION("""COMPUTED_VALUE"""),15)</f>
        <v>15</v>
      </c>
      <c r="C16" s="1" t="str">
        <f ca="1">IFERROR(__xludf.DUMMYFUNCTION("""COMPUTED_VALUE"""),"Chennai")</f>
        <v>Chennai</v>
      </c>
      <c r="D16" s="1" t="str">
        <f ca="1">IFERROR(__xludf.DUMMYFUNCTION("""COMPUTED_VALUE"""),"Be Well Hospital Anna nagar")</f>
        <v>Be Well Hospital Anna nagar</v>
      </c>
      <c r="E16" s="1">
        <f ca="1">IFERROR(__xludf.DUMMYFUNCTION("""COMPUTED_VALUE"""),18)</f>
        <v>18</v>
      </c>
      <c r="F16" s="1">
        <f ca="1">IFERROR(__xludf.DUMMYFUNCTION("""COMPUTED_VALUE"""),18)</f>
        <v>18</v>
      </c>
      <c r="G16" s="1">
        <f ca="1">IFERROR(__xludf.DUMMYFUNCTION("""COMPUTED_VALUE"""),0)</f>
        <v>0</v>
      </c>
      <c r="H16" s="1">
        <f ca="1">IFERROR(__xludf.DUMMYFUNCTION("""COMPUTED_VALUE"""),18)</f>
        <v>18</v>
      </c>
      <c r="I16" s="1">
        <f ca="1">IFERROR(__xludf.DUMMYFUNCTION("""COMPUTED_VALUE"""),6)</f>
        <v>6</v>
      </c>
      <c r="J16" s="1">
        <f ca="1">IFERROR(__xludf.DUMMYFUNCTION("""COMPUTED_VALUE"""),4)</f>
        <v>4</v>
      </c>
      <c r="K16" s="1">
        <f ca="1">IFERROR(__xludf.DUMMYFUNCTION("""COMPUTED_VALUE"""),8)</f>
        <v>8</v>
      </c>
      <c r="L16" s="1">
        <f ca="1">IFERROR(__xludf.DUMMYFUNCTION("""COMPUTED_VALUE"""),0)</f>
        <v>0</v>
      </c>
      <c r="M16" s="1">
        <f ca="1">IFERROR(__xludf.DUMMYFUNCTION("""COMPUTED_VALUE"""),0)</f>
        <v>0</v>
      </c>
      <c r="N16" s="1">
        <f ca="1">IFERROR(__xludf.DUMMYFUNCTION("""COMPUTED_VALUE"""),3)</f>
        <v>3</v>
      </c>
      <c r="O16" s="1">
        <f ca="1">IFERROR(__xludf.DUMMYFUNCTION("""COMPUTED_VALUE"""),3)</f>
        <v>3</v>
      </c>
      <c r="P16" s="1">
        <f ca="1">IFERROR(__xludf.DUMMYFUNCTION("""COMPUTED_VALUE"""),0)</f>
        <v>0</v>
      </c>
      <c r="Q16" s="1">
        <f ca="1">IFERROR(__xludf.DUMMYFUNCTION("""COMPUTED_VALUE"""),2)</f>
        <v>2</v>
      </c>
      <c r="R16" s="1">
        <f ca="1">IFERROR(__xludf.DUMMYFUNCTION("""COMPUTED_VALUE"""),0)</f>
        <v>0</v>
      </c>
      <c r="S16" s="1">
        <f ca="1">IFERROR(__xludf.DUMMYFUNCTION("""COMPUTED_VALUE"""),2)</f>
        <v>2</v>
      </c>
      <c r="T16" s="1">
        <f ca="1">IFERROR(__xludf.DUMMYFUNCTION("""COMPUTED_VALUE"""),44303.4498842592)</f>
        <v>44303.4498842592</v>
      </c>
      <c r="U16" s="1">
        <f ca="1">IFERROR(__xludf.DUMMYFUNCTION("""COMPUTED_VALUE"""),18)</f>
        <v>18</v>
      </c>
    </row>
    <row r="17" spans="1:21" ht="15.75" customHeight="1" x14ac:dyDescent="0.15">
      <c r="A17" s="1" t="str">
        <f t="shared" ca="1" si="0"/>
        <v>ChennaiBhaarath medical college and hospital</v>
      </c>
      <c r="B17" s="1">
        <f ca="1">IFERROR(__xludf.DUMMYFUNCTION("""COMPUTED_VALUE"""),16)</f>
        <v>16</v>
      </c>
      <c r="C17" s="1" t="str">
        <f ca="1">IFERROR(__xludf.DUMMYFUNCTION("""COMPUTED_VALUE"""),"Chennai")</f>
        <v>Chennai</v>
      </c>
      <c r="D17" s="1" t="str">
        <f ca="1">IFERROR(__xludf.DUMMYFUNCTION("""COMPUTED_VALUE"""),"Bhaarath medical college and hospital")</f>
        <v>Bhaarath medical college and hospital</v>
      </c>
      <c r="E17" s="1">
        <f ca="1">IFERROR(__xludf.DUMMYFUNCTION("""COMPUTED_VALUE"""),100)</f>
        <v>100</v>
      </c>
      <c r="F17" s="1">
        <f ca="1">IFERROR(__xludf.DUMMYFUNCTION("""COMPUTED_VALUE"""),76)</f>
        <v>76</v>
      </c>
      <c r="G17" s="1">
        <f ca="1">IFERROR(__xludf.DUMMYFUNCTION("""COMPUTED_VALUE"""),24)</f>
        <v>24</v>
      </c>
      <c r="H17" s="1">
        <f ca="1">IFERROR(__xludf.DUMMYFUNCTION("""COMPUTED_VALUE"""),15)</f>
        <v>15</v>
      </c>
      <c r="I17" s="1">
        <f ca="1">IFERROR(__xludf.DUMMYFUNCTION("""COMPUTED_VALUE"""),12)</f>
        <v>12</v>
      </c>
      <c r="J17" s="1">
        <f ca="1">IFERROR(__xludf.DUMMYFUNCTION("""COMPUTED_VALUE"""),3)</f>
        <v>3</v>
      </c>
      <c r="K17" s="1">
        <f ca="1">IFERROR(__xludf.DUMMYFUNCTION("""COMPUTED_VALUE"""),80)</f>
        <v>80</v>
      </c>
      <c r="L17" s="1">
        <f ca="1">IFERROR(__xludf.DUMMYFUNCTION("""COMPUTED_VALUE"""),43)</f>
        <v>43</v>
      </c>
      <c r="M17" s="1">
        <f ca="1">IFERROR(__xludf.DUMMYFUNCTION("""COMPUTED_VALUE"""),37)</f>
        <v>37</v>
      </c>
      <c r="N17" s="1">
        <f ca="1">IFERROR(__xludf.DUMMYFUNCTION("""COMPUTED_VALUE"""),25)</f>
        <v>25</v>
      </c>
      <c r="O17" s="1">
        <f ca="1">IFERROR(__xludf.DUMMYFUNCTION("""COMPUTED_VALUE"""),21)</f>
        <v>21</v>
      </c>
      <c r="P17" s="1">
        <f ca="1">IFERROR(__xludf.DUMMYFUNCTION("""COMPUTED_VALUE"""),4)</f>
        <v>4</v>
      </c>
      <c r="Q17" s="1">
        <f ca="1">IFERROR(__xludf.DUMMYFUNCTION("""COMPUTED_VALUE"""),2)</f>
        <v>2</v>
      </c>
      <c r="R17" s="1">
        <f ca="1">IFERROR(__xludf.DUMMYFUNCTION("""COMPUTED_VALUE"""),2)</f>
        <v>2</v>
      </c>
      <c r="S17" s="1">
        <f ca="1">IFERROR(__xludf.DUMMYFUNCTION("""COMPUTED_VALUE"""),0)</f>
        <v>0</v>
      </c>
      <c r="T17" s="1">
        <f ca="1">IFERROR(__xludf.DUMMYFUNCTION("""COMPUTED_VALUE"""),44305.4132060185)</f>
        <v>44305.4132060185</v>
      </c>
      <c r="U17" s="1" t="str">
        <f ca="1">IFERROR(__xludf.DUMMYFUNCTION("""COMPUTED_VALUE"""),"19-04-2021")</f>
        <v>19-04-2021</v>
      </c>
    </row>
    <row r="18" spans="1:21" ht="15.75" customHeight="1" x14ac:dyDescent="0.15">
      <c r="A18" s="1" t="str">
        <f t="shared" ca="1" si="0"/>
        <v>ChennaiBharathiraja Hospital &amp; Research Centre Pvt Ltd</v>
      </c>
      <c r="B18" s="1">
        <f ca="1">IFERROR(__xludf.DUMMYFUNCTION("""COMPUTED_VALUE"""),17)</f>
        <v>17</v>
      </c>
      <c r="C18" s="1" t="str">
        <f ca="1">IFERROR(__xludf.DUMMYFUNCTION("""COMPUTED_VALUE"""),"Chennai")</f>
        <v>Chennai</v>
      </c>
      <c r="D18" s="1" t="str">
        <f ca="1">IFERROR(__xludf.DUMMYFUNCTION("""COMPUTED_VALUE"""),"Bharathiraja Hospital &amp; Research Centre Pvt Ltd")</f>
        <v>Bharathiraja Hospital &amp; Research Centre Pvt Ltd</v>
      </c>
      <c r="E18" s="1">
        <f ca="1">IFERROR(__xludf.DUMMYFUNCTION("""COMPUTED_VALUE"""),70)</f>
        <v>70</v>
      </c>
      <c r="F18" s="1">
        <f ca="1">IFERROR(__xludf.DUMMYFUNCTION("""COMPUTED_VALUE"""),70)</f>
        <v>70</v>
      </c>
      <c r="G18" s="1">
        <f ca="1">IFERROR(__xludf.DUMMYFUNCTION("""COMPUTED_VALUE"""),0)</f>
        <v>0</v>
      </c>
      <c r="H18" s="1">
        <f ca="1">IFERROR(__xludf.DUMMYFUNCTION("""COMPUTED_VALUE"""),65)</f>
        <v>65</v>
      </c>
      <c r="I18" s="1">
        <f ca="1">IFERROR(__xludf.DUMMYFUNCTION("""COMPUTED_VALUE"""),65)</f>
        <v>65</v>
      </c>
      <c r="J18" s="1">
        <f ca="1">IFERROR(__xludf.DUMMYFUNCTION("""COMPUTED_VALUE"""),0)</f>
        <v>0</v>
      </c>
      <c r="K18" s="1">
        <f ca="1">IFERROR(__xludf.DUMMYFUNCTION("""COMPUTED_VALUE"""),0)</f>
        <v>0</v>
      </c>
      <c r="L18" s="1">
        <f ca="1">IFERROR(__xludf.DUMMYFUNCTION("""COMPUTED_VALUE"""),0)</f>
        <v>0</v>
      </c>
      <c r="M18" s="1">
        <f ca="1">IFERROR(__xludf.DUMMYFUNCTION("""COMPUTED_VALUE"""),0)</f>
        <v>0</v>
      </c>
      <c r="N18" s="1">
        <f ca="1">IFERROR(__xludf.DUMMYFUNCTION("""COMPUTED_VALUE"""),5)</f>
        <v>5</v>
      </c>
      <c r="O18" s="1">
        <f ca="1">IFERROR(__xludf.DUMMYFUNCTION("""COMPUTED_VALUE"""),5)</f>
        <v>5</v>
      </c>
      <c r="P18" s="1">
        <f ca="1">IFERROR(__xludf.DUMMYFUNCTION("""COMPUTED_VALUE"""),0)</f>
        <v>0</v>
      </c>
      <c r="Q18" s="1">
        <f ca="1">IFERROR(__xludf.DUMMYFUNCTION("""COMPUTED_VALUE"""),2)</f>
        <v>2</v>
      </c>
      <c r="R18" s="1">
        <f ca="1">IFERROR(__xludf.DUMMYFUNCTION("""COMPUTED_VALUE"""),0)</f>
        <v>0</v>
      </c>
      <c r="S18" s="1">
        <f ca="1">IFERROR(__xludf.DUMMYFUNCTION("""COMPUTED_VALUE"""),2)</f>
        <v>2</v>
      </c>
      <c r="T18" s="1">
        <f ca="1">IFERROR(__xludf.DUMMYFUNCTION("""COMPUTED_VALUE"""),44305.3195254629)</f>
        <v>44305.319525462903</v>
      </c>
      <c r="U18" s="1" t="str">
        <f ca="1">IFERROR(__xludf.DUMMYFUNCTION("""COMPUTED_VALUE"""),"19.04.2021")</f>
        <v>19.04.2021</v>
      </c>
    </row>
    <row r="19" spans="1:21" ht="15.75" customHeight="1" x14ac:dyDescent="0.15">
      <c r="A19" s="1" t="str">
        <f t="shared" ca="1" si="0"/>
        <v>ChennaiBillroth Hospitals Shenoy Nagar, Chennai TN.</v>
      </c>
      <c r="B19" s="1">
        <f ca="1">IFERROR(__xludf.DUMMYFUNCTION("""COMPUTED_VALUE"""),18)</f>
        <v>18</v>
      </c>
      <c r="C19" s="1" t="str">
        <f ca="1">IFERROR(__xludf.DUMMYFUNCTION("""COMPUTED_VALUE"""),"Chennai")</f>
        <v>Chennai</v>
      </c>
      <c r="D19" s="1" t="str">
        <f ca="1">IFERROR(__xludf.DUMMYFUNCTION("""COMPUTED_VALUE"""),"Billroth Hospitals Shenoy Nagar, Chennai TN.")</f>
        <v>Billroth Hospitals Shenoy Nagar, Chennai TN.</v>
      </c>
      <c r="E19" s="1">
        <f ca="1">IFERROR(__xludf.DUMMYFUNCTION("""COMPUTED_VALUE"""),176)</f>
        <v>176</v>
      </c>
      <c r="F19" s="1">
        <f ca="1">IFERROR(__xludf.DUMMYFUNCTION("""COMPUTED_VALUE"""),176)</f>
        <v>176</v>
      </c>
      <c r="G19" s="1">
        <f ca="1">IFERROR(__xludf.DUMMYFUNCTION("""COMPUTED_VALUE"""),0)</f>
        <v>0</v>
      </c>
      <c r="H19" s="1">
        <f ca="1">IFERROR(__xludf.DUMMYFUNCTION("""COMPUTED_VALUE"""),130)</f>
        <v>130</v>
      </c>
      <c r="I19" s="1">
        <f ca="1">IFERROR(__xludf.DUMMYFUNCTION("""COMPUTED_VALUE"""),130)</f>
        <v>130</v>
      </c>
      <c r="J19" s="1">
        <f ca="1">IFERROR(__xludf.DUMMYFUNCTION("""COMPUTED_VALUE"""),0)</f>
        <v>0</v>
      </c>
      <c r="K19" s="1">
        <f ca="1">IFERROR(__xludf.DUMMYFUNCTION("""COMPUTED_VALUE"""),20)</f>
        <v>20</v>
      </c>
      <c r="L19" s="1">
        <f ca="1">IFERROR(__xludf.DUMMYFUNCTION("""COMPUTED_VALUE"""),26)</f>
        <v>26</v>
      </c>
      <c r="M19" s="1">
        <f ca="1">IFERROR(__xludf.DUMMYFUNCTION("""COMPUTED_VALUE"""),0)</f>
        <v>0</v>
      </c>
      <c r="N19" s="1">
        <f ca="1">IFERROR(__xludf.DUMMYFUNCTION("""COMPUTED_VALUE"""),20)</f>
        <v>20</v>
      </c>
      <c r="O19" s="1">
        <f ca="1">IFERROR(__xludf.DUMMYFUNCTION("""COMPUTED_VALUE"""),20)</f>
        <v>20</v>
      </c>
      <c r="P19" s="1">
        <f ca="1">IFERROR(__xludf.DUMMYFUNCTION("""COMPUTED_VALUE"""),0)</f>
        <v>0</v>
      </c>
      <c r="Q19" s="1">
        <f ca="1">IFERROR(__xludf.DUMMYFUNCTION("""COMPUTED_VALUE"""),5)</f>
        <v>5</v>
      </c>
      <c r="R19" s="1">
        <f ca="1">IFERROR(__xludf.DUMMYFUNCTION("""COMPUTED_VALUE"""),2)</f>
        <v>2</v>
      </c>
      <c r="S19" s="1">
        <f ca="1">IFERROR(__xludf.DUMMYFUNCTION("""COMPUTED_VALUE"""),3)</f>
        <v>3</v>
      </c>
      <c r="T19" s="1">
        <f ca="1">IFERROR(__xludf.DUMMYFUNCTION("""COMPUTED_VALUE"""),44305.4777083333)</f>
        <v>44305.477708333303</v>
      </c>
      <c r="U19" s="1"/>
    </row>
    <row r="20" spans="1:21" ht="15.75" customHeight="1" x14ac:dyDescent="0.15">
      <c r="A20" s="1" t="str">
        <f t="shared" ca="1" si="0"/>
        <v>ChennaiBloom Fertility and Healthcare, Velachery</v>
      </c>
      <c r="B20" s="1">
        <f ca="1">IFERROR(__xludf.DUMMYFUNCTION("""COMPUTED_VALUE"""),19)</f>
        <v>19</v>
      </c>
      <c r="C20" s="1" t="str">
        <f ca="1">IFERROR(__xludf.DUMMYFUNCTION("""COMPUTED_VALUE"""),"Chennai")</f>
        <v>Chennai</v>
      </c>
      <c r="D20" s="1" t="str">
        <f ca="1">IFERROR(__xludf.DUMMYFUNCTION("""COMPUTED_VALUE"""),"Bloom Fertility and Healthcare, Velachery")</f>
        <v>Bloom Fertility and Healthcare, Velachery</v>
      </c>
      <c r="E20" s="1">
        <f ca="1">IFERROR(__xludf.DUMMYFUNCTION("""COMPUTED_VALUE"""),10)</f>
        <v>10</v>
      </c>
      <c r="F20" s="1">
        <f ca="1">IFERROR(__xludf.DUMMYFUNCTION("""COMPUTED_VALUE"""),5)</f>
        <v>5</v>
      </c>
      <c r="G20" s="1">
        <f ca="1">IFERROR(__xludf.DUMMYFUNCTION("""COMPUTED_VALUE"""),5)</f>
        <v>5</v>
      </c>
      <c r="H20" s="1">
        <f ca="1">IFERROR(__xludf.DUMMYFUNCTION("""COMPUTED_VALUE"""),5)</f>
        <v>5</v>
      </c>
      <c r="I20" s="1">
        <f ca="1">IFERROR(__xludf.DUMMYFUNCTION("""COMPUTED_VALUE"""),1)</f>
        <v>1</v>
      </c>
      <c r="J20" s="1">
        <f ca="1">IFERROR(__xludf.DUMMYFUNCTION("""COMPUTED_VALUE"""),4)</f>
        <v>4</v>
      </c>
      <c r="K20" s="1">
        <f ca="1">IFERROR(__xludf.DUMMYFUNCTION("""COMPUTED_VALUE"""),4)</f>
        <v>4</v>
      </c>
      <c r="L20" s="1">
        <f ca="1">IFERROR(__xludf.DUMMYFUNCTION("""COMPUTED_VALUE"""),0)</f>
        <v>0</v>
      </c>
      <c r="M20" s="1">
        <f ca="1">IFERROR(__xludf.DUMMYFUNCTION("""COMPUTED_VALUE"""),0)</f>
        <v>0</v>
      </c>
      <c r="N20" s="1">
        <f ca="1">IFERROR(__xludf.DUMMYFUNCTION("""COMPUTED_VALUE"""),0)</f>
        <v>0</v>
      </c>
      <c r="O20" s="1">
        <f ca="1">IFERROR(__xludf.DUMMYFUNCTION("""COMPUTED_VALUE"""),0)</f>
        <v>0</v>
      </c>
      <c r="P20" s="1">
        <f ca="1">IFERROR(__xludf.DUMMYFUNCTION("""COMPUTED_VALUE"""),0)</f>
        <v>0</v>
      </c>
      <c r="Q20" s="1">
        <f ca="1">IFERROR(__xludf.DUMMYFUNCTION("""COMPUTED_VALUE"""),0)</f>
        <v>0</v>
      </c>
      <c r="R20" s="1">
        <f ca="1">IFERROR(__xludf.DUMMYFUNCTION("""COMPUTED_VALUE"""),0)</f>
        <v>0</v>
      </c>
      <c r="S20" s="1">
        <f ca="1">IFERROR(__xludf.DUMMYFUNCTION("""COMPUTED_VALUE"""),0)</f>
        <v>0</v>
      </c>
      <c r="T20" s="1">
        <f ca="1">IFERROR(__xludf.DUMMYFUNCTION("""COMPUTED_VALUE"""),44305.4873842592)</f>
        <v>44305.487384259199</v>
      </c>
      <c r="U20" s="1" t="str">
        <f ca="1">IFERROR(__xludf.DUMMYFUNCTION("""COMPUTED_VALUE"""),"today 19/04/2021 report")</f>
        <v>today 19/04/2021 report</v>
      </c>
    </row>
    <row r="21" spans="1:21" ht="15.75" customHeight="1" x14ac:dyDescent="0.15">
      <c r="A21" s="1" t="str">
        <f t="shared" ca="1" si="0"/>
        <v>ChennaiC.s.i Rainy Multi Speciality Hospital Tondaiarpet</v>
      </c>
      <c r="B21" s="1">
        <f ca="1">IFERROR(__xludf.DUMMYFUNCTION("""COMPUTED_VALUE"""),20)</f>
        <v>20</v>
      </c>
      <c r="C21" s="1" t="str">
        <f ca="1">IFERROR(__xludf.DUMMYFUNCTION("""COMPUTED_VALUE"""),"Chennai")</f>
        <v>Chennai</v>
      </c>
      <c r="D21" s="1" t="str">
        <f ca="1">IFERROR(__xludf.DUMMYFUNCTION("""COMPUTED_VALUE"""),"C.s.i Rainy Multi Speciality Hospital Tondaiarpet")</f>
        <v>C.s.i Rainy Multi Speciality Hospital Tondaiarpet</v>
      </c>
      <c r="E21" s="1">
        <f ca="1">IFERROR(__xludf.DUMMYFUNCTION("""COMPUTED_VALUE"""),12)</f>
        <v>12</v>
      </c>
      <c r="F21" s="1">
        <f ca="1">IFERROR(__xludf.DUMMYFUNCTION("""COMPUTED_VALUE"""),1)</f>
        <v>1</v>
      </c>
      <c r="G21" s="1">
        <f ca="1">IFERROR(__xludf.DUMMYFUNCTION("""COMPUTED_VALUE"""),11)</f>
        <v>11</v>
      </c>
      <c r="H21" s="1">
        <f ca="1">IFERROR(__xludf.DUMMYFUNCTION("""COMPUTED_VALUE"""),10)</f>
        <v>10</v>
      </c>
      <c r="I21" s="1">
        <f ca="1">IFERROR(__xludf.DUMMYFUNCTION("""COMPUTED_VALUE"""),1)</f>
        <v>1</v>
      </c>
      <c r="J21" s="1">
        <f ca="1">IFERROR(__xludf.DUMMYFUNCTION("""COMPUTED_VALUE"""),9)</f>
        <v>9</v>
      </c>
      <c r="K21" s="1">
        <f ca="1">IFERROR(__xludf.DUMMYFUNCTION("""COMPUTED_VALUE"""),0)</f>
        <v>0</v>
      </c>
      <c r="L21" s="1">
        <f ca="1">IFERROR(__xludf.DUMMYFUNCTION("""COMPUTED_VALUE"""),0)</f>
        <v>0</v>
      </c>
      <c r="M21" s="1">
        <f ca="1">IFERROR(__xludf.DUMMYFUNCTION("""COMPUTED_VALUE"""),0)</f>
        <v>0</v>
      </c>
      <c r="N21" s="1">
        <f ca="1">IFERROR(__xludf.DUMMYFUNCTION("""COMPUTED_VALUE"""),2)</f>
        <v>2</v>
      </c>
      <c r="O21" s="1">
        <f ca="1">IFERROR(__xludf.DUMMYFUNCTION("""COMPUTED_VALUE"""),0)</f>
        <v>0</v>
      </c>
      <c r="P21" s="1">
        <f ca="1">IFERROR(__xludf.DUMMYFUNCTION("""COMPUTED_VALUE"""),2)</f>
        <v>2</v>
      </c>
      <c r="Q21" s="1">
        <f ca="1">IFERROR(__xludf.DUMMYFUNCTION("""COMPUTED_VALUE"""),1)</f>
        <v>1</v>
      </c>
      <c r="R21" s="1">
        <f ca="1">IFERROR(__xludf.DUMMYFUNCTION("""COMPUTED_VALUE"""),0)</f>
        <v>0</v>
      </c>
      <c r="S21" s="1">
        <f ca="1">IFERROR(__xludf.DUMMYFUNCTION("""COMPUTED_VALUE"""),1)</f>
        <v>1</v>
      </c>
      <c r="T21" s="1">
        <f ca="1">IFERROR(__xludf.DUMMYFUNCTION("""COMPUTED_VALUE"""),44305.4520833333)</f>
        <v>44305.452083333301</v>
      </c>
      <c r="U21" s="1" t="str">
        <f ca="1">IFERROR(__xludf.DUMMYFUNCTION("""COMPUTED_VALUE"""),"19.04.2021 Updated")</f>
        <v>19.04.2021 Updated</v>
      </c>
    </row>
    <row r="22" spans="1:21" ht="15.75" customHeight="1" x14ac:dyDescent="0.15">
      <c r="A22" s="1" t="str">
        <f t="shared" ca="1" si="0"/>
        <v>ChennaiChennai Orthopedic Centre -ER</v>
      </c>
      <c r="B22" s="1">
        <f ca="1">IFERROR(__xludf.DUMMYFUNCTION("""COMPUTED_VALUE"""),21)</f>
        <v>21</v>
      </c>
      <c r="C22" s="1" t="str">
        <f ca="1">IFERROR(__xludf.DUMMYFUNCTION("""COMPUTED_VALUE"""),"Chennai")</f>
        <v>Chennai</v>
      </c>
      <c r="D22" s="1" t="str">
        <f ca="1">IFERROR(__xludf.DUMMYFUNCTION("""COMPUTED_VALUE"""),"Chennai Orthopedic Centre -ER")</f>
        <v>Chennai Orthopedic Centre -ER</v>
      </c>
      <c r="E22" s="1">
        <f ca="1">IFERROR(__xludf.DUMMYFUNCTION("""COMPUTED_VALUE"""),8)</f>
        <v>8</v>
      </c>
      <c r="F22" s="1">
        <f ca="1">IFERROR(__xludf.DUMMYFUNCTION("""COMPUTED_VALUE"""),8)</f>
        <v>8</v>
      </c>
      <c r="G22" s="1">
        <f ca="1">IFERROR(__xludf.DUMMYFUNCTION("""COMPUTED_VALUE"""),0)</f>
        <v>0</v>
      </c>
      <c r="H22" s="1">
        <f ca="1">IFERROR(__xludf.DUMMYFUNCTION("""COMPUTED_VALUE"""),8)</f>
        <v>8</v>
      </c>
      <c r="I22" s="1">
        <f ca="1">IFERROR(__xludf.DUMMYFUNCTION("""COMPUTED_VALUE"""),0)</f>
        <v>0</v>
      </c>
      <c r="J22" s="1">
        <f ca="1">IFERROR(__xludf.DUMMYFUNCTION("""COMPUTED_VALUE"""),8)</f>
        <v>8</v>
      </c>
      <c r="K22" s="1">
        <f ca="1">IFERROR(__xludf.DUMMYFUNCTION("""COMPUTED_VALUE"""),0)</f>
        <v>0</v>
      </c>
      <c r="L22" s="1">
        <f ca="1">IFERROR(__xludf.DUMMYFUNCTION("""COMPUTED_VALUE"""),0)</f>
        <v>0</v>
      </c>
      <c r="M22" s="1">
        <f ca="1">IFERROR(__xludf.DUMMYFUNCTION("""COMPUTED_VALUE"""),0)</f>
        <v>0</v>
      </c>
      <c r="N22" s="1">
        <f ca="1">IFERROR(__xludf.DUMMYFUNCTION("""COMPUTED_VALUE"""),0)</f>
        <v>0</v>
      </c>
      <c r="O22" s="1">
        <f ca="1">IFERROR(__xludf.DUMMYFUNCTION("""COMPUTED_VALUE"""),0)</f>
        <v>0</v>
      </c>
      <c r="P22" s="1">
        <f ca="1">IFERROR(__xludf.DUMMYFUNCTION("""COMPUTED_VALUE"""),0)</f>
        <v>0</v>
      </c>
      <c r="Q22" s="1">
        <f ca="1">IFERROR(__xludf.DUMMYFUNCTION("""COMPUTED_VALUE"""),1)</f>
        <v>1</v>
      </c>
      <c r="R22" s="1">
        <f ca="1">IFERROR(__xludf.DUMMYFUNCTION("""COMPUTED_VALUE"""),0)</f>
        <v>0</v>
      </c>
      <c r="S22" s="1">
        <f ca="1">IFERROR(__xludf.DUMMYFUNCTION("""COMPUTED_VALUE"""),1)</f>
        <v>1</v>
      </c>
      <c r="T22" s="1">
        <f ca="1">IFERROR(__xludf.DUMMYFUNCTION("""COMPUTED_VALUE"""),44305.3317939814)</f>
        <v>44305.331793981401</v>
      </c>
      <c r="U22" s="1" t="str">
        <f ca="1">IFERROR(__xludf.DUMMYFUNCTION("""COMPUTED_VALUE"""),"updated 01 19/04/2021")</f>
        <v>updated 01 19/04/2021</v>
      </c>
    </row>
    <row r="23" spans="1:21" ht="15.75" customHeight="1" x14ac:dyDescent="0.15">
      <c r="A23" s="1" t="str">
        <f t="shared" ca="1" si="0"/>
        <v>ChennaiChettinad Hospital</v>
      </c>
      <c r="B23" s="1">
        <f ca="1">IFERROR(__xludf.DUMMYFUNCTION("""COMPUTED_VALUE"""),22)</f>
        <v>22</v>
      </c>
      <c r="C23" s="1" t="str">
        <f ca="1">IFERROR(__xludf.DUMMYFUNCTION("""COMPUTED_VALUE"""),"Chennai")</f>
        <v>Chennai</v>
      </c>
      <c r="D23" s="1" t="str">
        <f ca="1">IFERROR(__xludf.DUMMYFUNCTION("""COMPUTED_VALUE"""),"Chettinad Hospital")</f>
        <v>Chettinad Hospital</v>
      </c>
      <c r="E23" s="1">
        <f ca="1">IFERROR(__xludf.DUMMYFUNCTION("""COMPUTED_VALUE"""),250)</f>
        <v>250</v>
      </c>
      <c r="F23" s="1">
        <f ca="1">IFERROR(__xludf.DUMMYFUNCTION("""COMPUTED_VALUE"""),168)</f>
        <v>168</v>
      </c>
      <c r="G23" s="1">
        <f ca="1">IFERROR(__xludf.DUMMYFUNCTION("""COMPUTED_VALUE"""),82)</f>
        <v>82</v>
      </c>
      <c r="H23" s="1">
        <f ca="1">IFERROR(__xludf.DUMMYFUNCTION("""COMPUTED_VALUE"""),91)</f>
        <v>91</v>
      </c>
      <c r="I23" s="1">
        <f ca="1">IFERROR(__xludf.DUMMYFUNCTION("""COMPUTED_VALUE"""),91)</f>
        <v>91</v>
      </c>
      <c r="J23" s="1">
        <f ca="1">IFERROR(__xludf.DUMMYFUNCTION("""COMPUTED_VALUE"""),0)</f>
        <v>0</v>
      </c>
      <c r="K23" s="1">
        <f ca="1">IFERROR(__xludf.DUMMYFUNCTION("""COMPUTED_VALUE"""),145)</f>
        <v>145</v>
      </c>
      <c r="L23" s="1">
        <f ca="1">IFERROR(__xludf.DUMMYFUNCTION("""COMPUTED_VALUE"""),63)</f>
        <v>63</v>
      </c>
      <c r="M23" s="1">
        <f ca="1">IFERROR(__xludf.DUMMYFUNCTION("""COMPUTED_VALUE"""),82)</f>
        <v>82</v>
      </c>
      <c r="N23" s="1">
        <f ca="1">IFERROR(__xludf.DUMMYFUNCTION("""COMPUTED_VALUE"""),14)</f>
        <v>14</v>
      </c>
      <c r="O23" s="1">
        <f ca="1">IFERROR(__xludf.DUMMYFUNCTION("""COMPUTED_VALUE"""),14)</f>
        <v>14</v>
      </c>
      <c r="P23" s="1">
        <f ca="1">IFERROR(__xludf.DUMMYFUNCTION("""COMPUTED_VALUE"""),0)</f>
        <v>0</v>
      </c>
      <c r="Q23" s="1">
        <f ca="1">IFERROR(__xludf.DUMMYFUNCTION("""COMPUTED_VALUE"""),5)</f>
        <v>5</v>
      </c>
      <c r="R23" s="1">
        <f ca="1">IFERROR(__xludf.DUMMYFUNCTION("""COMPUTED_VALUE"""),2)</f>
        <v>2</v>
      </c>
      <c r="S23" s="1">
        <f ca="1">IFERROR(__xludf.DUMMYFUNCTION("""COMPUTED_VALUE"""),3)</f>
        <v>3</v>
      </c>
      <c r="T23" s="1">
        <f ca="1">IFERROR(__xludf.DUMMYFUNCTION("""COMPUTED_VALUE"""),44305.3647106481)</f>
        <v>44305.3647106481</v>
      </c>
      <c r="U23" s="1" t="str">
        <f ca="1">IFERROR(__xludf.DUMMYFUNCTION("""COMPUTED_VALUE"""),"189 ( 168 positive + 21 Suspected )")</f>
        <v>189 ( 168 positive + 21 Suspected )</v>
      </c>
    </row>
    <row r="24" spans="1:21" ht="15.75" customHeight="1" x14ac:dyDescent="0.15">
      <c r="A24" s="1" t="str">
        <f t="shared" ca="1" si="0"/>
        <v>ChennaiCSI Kalyani General Hospital</v>
      </c>
      <c r="B24" s="1">
        <f ca="1">IFERROR(__xludf.DUMMYFUNCTION("""COMPUTED_VALUE"""),23)</f>
        <v>23</v>
      </c>
      <c r="C24" s="1" t="str">
        <f ca="1">IFERROR(__xludf.DUMMYFUNCTION("""COMPUTED_VALUE"""),"Chennai")</f>
        <v>Chennai</v>
      </c>
      <c r="D24" s="1" t="str">
        <f ca="1">IFERROR(__xludf.DUMMYFUNCTION("""COMPUTED_VALUE"""),"CSI Kalyani General Hospital")</f>
        <v>CSI Kalyani General Hospital</v>
      </c>
      <c r="E24" s="1">
        <f ca="1">IFERROR(__xludf.DUMMYFUNCTION("""COMPUTED_VALUE"""),30)</f>
        <v>30</v>
      </c>
      <c r="F24" s="1">
        <f ca="1">IFERROR(__xludf.DUMMYFUNCTION("""COMPUTED_VALUE"""),30)</f>
        <v>30</v>
      </c>
      <c r="G24" s="1">
        <f ca="1">IFERROR(__xludf.DUMMYFUNCTION("""COMPUTED_VALUE"""),0)</f>
        <v>0</v>
      </c>
      <c r="H24" s="1">
        <f ca="1">IFERROR(__xludf.DUMMYFUNCTION("""COMPUTED_VALUE"""),25)</f>
        <v>25</v>
      </c>
      <c r="I24" s="1">
        <f ca="1">IFERROR(__xludf.DUMMYFUNCTION("""COMPUTED_VALUE"""),20)</f>
        <v>20</v>
      </c>
      <c r="J24" s="1">
        <f ca="1">IFERROR(__xludf.DUMMYFUNCTION("""COMPUTED_VALUE"""),5)</f>
        <v>5</v>
      </c>
      <c r="K24" s="1">
        <f ca="1">IFERROR(__xludf.DUMMYFUNCTION("""COMPUTED_VALUE"""),5)</f>
        <v>5</v>
      </c>
      <c r="L24" s="1">
        <f ca="1">IFERROR(__xludf.DUMMYFUNCTION("""COMPUTED_VALUE"""),0)</f>
        <v>0</v>
      </c>
      <c r="M24" s="1">
        <f ca="1">IFERROR(__xludf.DUMMYFUNCTION("""COMPUTED_VALUE"""),0)</f>
        <v>0</v>
      </c>
      <c r="N24" s="1">
        <f ca="1">IFERROR(__xludf.DUMMYFUNCTION("""COMPUTED_VALUE"""),5)</f>
        <v>5</v>
      </c>
      <c r="O24" s="1">
        <f ca="1">IFERROR(__xludf.DUMMYFUNCTION("""COMPUTED_VALUE"""),2)</f>
        <v>2</v>
      </c>
      <c r="P24" s="1">
        <f ca="1">IFERROR(__xludf.DUMMYFUNCTION("""COMPUTED_VALUE"""),3)</f>
        <v>3</v>
      </c>
      <c r="Q24" s="1">
        <f ca="1">IFERROR(__xludf.DUMMYFUNCTION("""COMPUTED_VALUE"""),5)</f>
        <v>5</v>
      </c>
      <c r="R24" s="1">
        <f ca="1">IFERROR(__xludf.DUMMYFUNCTION("""COMPUTED_VALUE"""),5)</f>
        <v>5</v>
      </c>
      <c r="S24" s="1">
        <f ca="1">IFERROR(__xludf.DUMMYFUNCTION("""COMPUTED_VALUE"""),0)</f>
        <v>0</v>
      </c>
      <c r="T24" s="1">
        <f ca="1">IFERROR(__xludf.DUMMYFUNCTION("""COMPUTED_VALUE"""),44302.4584837963)</f>
        <v>44302.458483796298</v>
      </c>
      <c r="U24" s="1" t="str">
        <f ca="1">IFERROR(__xludf.DUMMYFUNCTION("""COMPUTED_VALUE"""),"16/04/2021")</f>
        <v>16/04/2021</v>
      </c>
    </row>
    <row r="25" spans="1:21" ht="15.75" customHeight="1" x14ac:dyDescent="0.15">
      <c r="A25" s="1" t="str">
        <f t="shared" ca="1" si="0"/>
        <v>ChennaiDr.Kamakshi Memorial Hospital</v>
      </c>
      <c r="B25" s="1">
        <f ca="1">IFERROR(__xludf.DUMMYFUNCTION("""COMPUTED_VALUE"""),24)</f>
        <v>24</v>
      </c>
      <c r="C25" s="1" t="str">
        <f ca="1">IFERROR(__xludf.DUMMYFUNCTION("""COMPUTED_VALUE"""),"Chennai")</f>
        <v>Chennai</v>
      </c>
      <c r="D25" s="1" t="str">
        <f ca="1">IFERROR(__xludf.DUMMYFUNCTION("""COMPUTED_VALUE"""),"Dr.Kamakshi Memorial Hospital")</f>
        <v>Dr.Kamakshi Memorial Hospital</v>
      </c>
      <c r="E25" s="1">
        <f ca="1">IFERROR(__xludf.DUMMYFUNCTION("""COMPUTED_VALUE"""),180)</f>
        <v>180</v>
      </c>
      <c r="F25" s="1">
        <f ca="1">IFERROR(__xludf.DUMMYFUNCTION("""COMPUTED_VALUE"""),180)</f>
        <v>180</v>
      </c>
      <c r="G25" s="1">
        <f ca="1">IFERROR(__xludf.DUMMYFUNCTION("""COMPUTED_VALUE"""),0)</f>
        <v>0</v>
      </c>
      <c r="H25" s="1">
        <f ca="1">IFERROR(__xludf.DUMMYFUNCTION("""COMPUTED_VALUE"""),165)</f>
        <v>165</v>
      </c>
      <c r="I25" s="1">
        <f ca="1">IFERROR(__xludf.DUMMYFUNCTION("""COMPUTED_VALUE"""),165)</f>
        <v>165</v>
      </c>
      <c r="J25" s="1">
        <f ca="1">IFERROR(__xludf.DUMMYFUNCTION("""COMPUTED_VALUE"""),0)</f>
        <v>0</v>
      </c>
      <c r="K25" s="1">
        <f ca="1">IFERROR(__xludf.DUMMYFUNCTION("""COMPUTED_VALUE"""),0)</f>
        <v>0</v>
      </c>
      <c r="L25" s="1">
        <f ca="1">IFERROR(__xludf.DUMMYFUNCTION("""COMPUTED_VALUE"""),0)</f>
        <v>0</v>
      </c>
      <c r="M25" s="1">
        <f ca="1">IFERROR(__xludf.DUMMYFUNCTION("""COMPUTED_VALUE"""),0)</f>
        <v>0</v>
      </c>
      <c r="N25" s="1">
        <f ca="1">IFERROR(__xludf.DUMMYFUNCTION("""COMPUTED_VALUE"""),15)</f>
        <v>15</v>
      </c>
      <c r="O25" s="1">
        <f ca="1">IFERROR(__xludf.DUMMYFUNCTION("""COMPUTED_VALUE"""),15)</f>
        <v>15</v>
      </c>
      <c r="P25" s="1">
        <f ca="1">IFERROR(__xludf.DUMMYFUNCTION("""COMPUTED_VALUE"""),0)</f>
        <v>0</v>
      </c>
      <c r="Q25" s="1">
        <f ca="1">IFERROR(__xludf.DUMMYFUNCTION("""COMPUTED_VALUE"""),5)</f>
        <v>5</v>
      </c>
      <c r="R25" s="1">
        <f ca="1">IFERROR(__xludf.DUMMYFUNCTION("""COMPUTED_VALUE"""),5)</f>
        <v>5</v>
      </c>
      <c r="S25" s="1">
        <f ca="1">IFERROR(__xludf.DUMMYFUNCTION("""COMPUTED_VALUE"""),0)</f>
        <v>0</v>
      </c>
      <c r="T25" s="1">
        <f ca="1">IFERROR(__xludf.DUMMYFUNCTION("""COMPUTED_VALUE"""),44305.3371412037)</f>
        <v>44305.337141203701</v>
      </c>
      <c r="U25" s="1" t="str">
        <f ca="1">IFERROR(__xludf.DUMMYFUNCTION("""COMPUTED_VALUE"""),"19/04/2021")</f>
        <v>19/04/2021</v>
      </c>
    </row>
    <row r="26" spans="1:21" ht="15.75" customHeight="1" x14ac:dyDescent="0.15">
      <c r="A26" s="1" t="str">
        <f t="shared" ca="1" si="0"/>
        <v>ChennaiFortis Malar Hospital</v>
      </c>
      <c r="B26" s="1">
        <f ca="1">IFERROR(__xludf.DUMMYFUNCTION("""COMPUTED_VALUE"""),25)</f>
        <v>25</v>
      </c>
      <c r="C26" s="1" t="str">
        <f ca="1">IFERROR(__xludf.DUMMYFUNCTION("""COMPUTED_VALUE"""),"Chennai")</f>
        <v>Chennai</v>
      </c>
      <c r="D26" s="1" t="str">
        <f ca="1">IFERROR(__xludf.DUMMYFUNCTION("""COMPUTED_VALUE"""),"Fortis Malar Hospital")</f>
        <v>Fortis Malar Hospital</v>
      </c>
      <c r="E26" s="1">
        <f ca="1">IFERROR(__xludf.DUMMYFUNCTION("""COMPUTED_VALUE"""),30)</f>
        <v>30</v>
      </c>
      <c r="F26" s="1">
        <f ca="1">IFERROR(__xludf.DUMMYFUNCTION("""COMPUTED_VALUE"""),28)</f>
        <v>28</v>
      </c>
      <c r="G26" s="1">
        <f ca="1">IFERROR(__xludf.DUMMYFUNCTION("""COMPUTED_VALUE"""),2)</f>
        <v>2</v>
      </c>
      <c r="H26" s="1">
        <f ca="1">IFERROR(__xludf.DUMMYFUNCTION("""COMPUTED_VALUE"""),22)</f>
        <v>22</v>
      </c>
      <c r="I26" s="1">
        <f ca="1">IFERROR(__xludf.DUMMYFUNCTION("""COMPUTED_VALUE"""),22)</f>
        <v>22</v>
      </c>
      <c r="J26" s="1">
        <f ca="1">IFERROR(__xludf.DUMMYFUNCTION("""COMPUTED_VALUE"""),0)</f>
        <v>0</v>
      </c>
      <c r="K26" s="1">
        <f ca="1">IFERROR(__xludf.DUMMYFUNCTION("""COMPUTED_VALUE"""),0)</f>
        <v>0</v>
      </c>
      <c r="L26" s="1">
        <f ca="1">IFERROR(__xludf.DUMMYFUNCTION("""COMPUTED_VALUE"""),0)</f>
        <v>0</v>
      </c>
      <c r="M26" s="1">
        <f ca="1">IFERROR(__xludf.DUMMYFUNCTION("""COMPUTED_VALUE"""),0)</f>
        <v>0</v>
      </c>
      <c r="N26" s="1">
        <f ca="1">IFERROR(__xludf.DUMMYFUNCTION("""COMPUTED_VALUE"""),8)</f>
        <v>8</v>
      </c>
      <c r="O26" s="1">
        <f ca="1">IFERROR(__xludf.DUMMYFUNCTION("""COMPUTED_VALUE"""),8)</f>
        <v>8</v>
      </c>
      <c r="P26" s="1">
        <f ca="1">IFERROR(__xludf.DUMMYFUNCTION("""COMPUTED_VALUE"""),0)</f>
        <v>0</v>
      </c>
      <c r="Q26" s="1">
        <f ca="1">IFERROR(__xludf.DUMMYFUNCTION("""COMPUTED_VALUE"""),8)</f>
        <v>8</v>
      </c>
      <c r="R26" s="1">
        <f ca="1">IFERROR(__xludf.DUMMYFUNCTION("""COMPUTED_VALUE"""),8)</f>
        <v>8</v>
      </c>
      <c r="S26" s="1">
        <f ca="1">IFERROR(__xludf.DUMMYFUNCTION("""COMPUTED_VALUE"""),0)</f>
        <v>0</v>
      </c>
      <c r="T26" s="1">
        <f ca="1">IFERROR(__xludf.DUMMYFUNCTION("""COMPUTED_VALUE"""),44303.5229513888)</f>
        <v>44303.522951388797</v>
      </c>
      <c r="U26" s="1" t="str">
        <f ca="1">IFERROR(__xludf.DUMMYFUNCTION("""COMPUTED_VALUE"""),"17-04-2021")</f>
        <v>17-04-2021</v>
      </c>
    </row>
    <row r="27" spans="1:21" ht="15.75" customHeight="1" x14ac:dyDescent="0.15">
      <c r="A27" s="1" t="str">
        <f t="shared" ca="1" si="0"/>
        <v>ChennaiFrontier Lifeline Hospital</v>
      </c>
      <c r="B27" s="1">
        <f ca="1">IFERROR(__xludf.DUMMYFUNCTION("""COMPUTED_VALUE"""),26)</f>
        <v>26</v>
      </c>
      <c r="C27" s="1" t="str">
        <f ca="1">IFERROR(__xludf.DUMMYFUNCTION("""COMPUTED_VALUE"""),"Chennai")</f>
        <v>Chennai</v>
      </c>
      <c r="D27" s="1" t="str">
        <f ca="1">IFERROR(__xludf.DUMMYFUNCTION("""COMPUTED_VALUE"""),"Frontier Lifeline Hospital")</f>
        <v>Frontier Lifeline Hospital</v>
      </c>
      <c r="E27" s="1">
        <f ca="1">IFERROR(__xludf.DUMMYFUNCTION("""COMPUTED_VALUE"""),0)</f>
        <v>0</v>
      </c>
      <c r="F27" s="1">
        <f ca="1">IFERROR(__xludf.DUMMYFUNCTION("""COMPUTED_VALUE"""),0)</f>
        <v>0</v>
      </c>
      <c r="G27" s="1">
        <f ca="1">IFERROR(__xludf.DUMMYFUNCTION("""COMPUTED_VALUE"""),0)</f>
        <v>0</v>
      </c>
      <c r="H27" s="1">
        <f ca="1">IFERROR(__xludf.DUMMYFUNCTION("""COMPUTED_VALUE"""),4)</f>
        <v>4</v>
      </c>
      <c r="I27" s="1">
        <f ca="1">IFERROR(__xludf.DUMMYFUNCTION("""COMPUTED_VALUE"""),4)</f>
        <v>4</v>
      </c>
      <c r="J27" s="1">
        <f ca="1">IFERROR(__xludf.DUMMYFUNCTION("""COMPUTED_VALUE"""),0)</f>
        <v>0</v>
      </c>
      <c r="K27" s="1">
        <f ca="1">IFERROR(__xludf.DUMMYFUNCTION("""COMPUTED_VALUE"""),0)</f>
        <v>0</v>
      </c>
      <c r="L27" s="1">
        <f ca="1">IFERROR(__xludf.DUMMYFUNCTION("""COMPUTED_VALUE"""),0)</f>
        <v>0</v>
      </c>
      <c r="M27" s="1">
        <f ca="1">IFERROR(__xludf.DUMMYFUNCTION("""COMPUTED_VALUE"""),0)</f>
        <v>0</v>
      </c>
      <c r="N27" s="1">
        <f ca="1">IFERROR(__xludf.DUMMYFUNCTION("""COMPUTED_VALUE"""),10)</f>
        <v>10</v>
      </c>
      <c r="O27" s="1">
        <f ca="1">IFERROR(__xludf.DUMMYFUNCTION("""COMPUTED_VALUE"""),10)</f>
        <v>10</v>
      </c>
      <c r="P27" s="1">
        <f ca="1">IFERROR(__xludf.DUMMYFUNCTION("""COMPUTED_VALUE"""),0)</f>
        <v>0</v>
      </c>
      <c r="Q27" s="1">
        <f ca="1">IFERROR(__xludf.DUMMYFUNCTION("""COMPUTED_VALUE"""),2)</f>
        <v>2</v>
      </c>
      <c r="R27" s="1">
        <f ca="1">IFERROR(__xludf.DUMMYFUNCTION("""COMPUTED_VALUE"""),2)</f>
        <v>2</v>
      </c>
      <c r="S27" s="1">
        <f ca="1">IFERROR(__xludf.DUMMYFUNCTION("""COMPUTED_VALUE"""),0)</f>
        <v>0</v>
      </c>
      <c r="T27" s="1">
        <f ca="1">IFERROR(__xludf.DUMMYFUNCTION("""COMPUTED_VALUE"""),44305.6890046296)</f>
        <v>44305.689004629603</v>
      </c>
      <c r="U27" s="1" t="str">
        <f ca="1">IFERROR(__xludf.DUMMYFUNCTION("""COMPUTED_VALUE"""),"C PAP - NIL CASES, BPAP - NIL CASES, Updated")</f>
        <v>C PAP - NIL CASES, BPAP - NIL CASES, Updated</v>
      </c>
    </row>
    <row r="28" spans="1:21" ht="15.75" customHeight="1" x14ac:dyDescent="0.15">
      <c r="A28" s="1" t="str">
        <f t="shared" ca="1" si="0"/>
        <v>ChennaiGirishwari Hospital Alwarpet</v>
      </c>
      <c r="B28" s="1">
        <f ca="1">IFERROR(__xludf.DUMMYFUNCTION("""COMPUTED_VALUE"""),27)</f>
        <v>27</v>
      </c>
      <c r="C28" s="1" t="str">
        <f ca="1">IFERROR(__xludf.DUMMYFUNCTION("""COMPUTED_VALUE"""),"Chennai")</f>
        <v>Chennai</v>
      </c>
      <c r="D28" s="1" t="str">
        <f ca="1">IFERROR(__xludf.DUMMYFUNCTION("""COMPUTED_VALUE"""),"Girishwari Hospital Alwarpet")</f>
        <v>Girishwari Hospital Alwarpet</v>
      </c>
      <c r="E28" s="1">
        <f ca="1">IFERROR(__xludf.DUMMYFUNCTION("""COMPUTED_VALUE"""),10)</f>
        <v>10</v>
      </c>
      <c r="F28" s="1">
        <f ca="1">IFERROR(__xludf.DUMMYFUNCTION("""COMPUTED_VALUE"""),0)</f>
        <v>0</v>
      </c>
      <c r="G28" s="1">
        <f ca="1">IFERROR(__xludf.DUMMYFUNCTION("""COMPUTED_VALUE"""),10)</f>
        <v>10</v>
      </c>
      <c r="H28" s="1">
        <f ca="1">IFERROR(__xludf.DUMMYFUNCTION("""COMPUTED_VALUE"""),4)</f>
        <v>4</v>
      </c>
      <c r="I28" s="1">
        <f ca="1">IFERROR(__xludf.DUMMYFUNCTION("""COMPUTED_VALUE"""),0)</f>
        <v>0</v>
      </c>
      <c r="J28" s="1">
        <f ca="1">IFERROR(__xludf.DUMMYFUNCTION("""COMPUTED_VALUE"""),4)</f>
        <v>4</v>
      </c>
      <c r="K28" s="1">
        <f ca="1">IFERROR(__xludf.DUMMYFUNCTION("""COMPUTED_VALUE"""),2)</f>
        <v>2</v>
      </c>
      <c r="L28" s="1">
        <f ca="1">IFERROR(__xludf.DUMMYFUNCTION("""COMPUTED_VALUE"""),0)</f>
        <v>0</v>
      </c>
      <c r="M28" s="1">
        <f ca="1">IFERROR(__xludf.DUMMYFUNCTION("""COMPUTED_VALUE"""),2)</f>
        <v>2</v>
      </c>
      <c r="N28" s="1">
        <f ca="1">IFERROR(__xludf.DUMMYFUNCTION("""COMPUTED_VALUE"""),4)</f>
        <v>4</v>
      </c>
      <c r="O28" s="1">
        <f ca="1">IFERROR(__xludf.DUMMYFUNCTION("""COMPUTED_VALUE"""),0)</f>
        <v>0</v>
      </c>
      <c r="P28" s="1">
        <f ca="1">IFERROR(__xludf.DUMMYFUNCTION("""COMPUTED_VALUE"""),4)</f>
        <v>4</v>
      </c>
      <c r="Q28" s="1">
        <f ca="1">IFERROR(__xludf.DUMMYFUNCTION("""COMPUTED_VALUE"""),0)</f>
        <v>0</v>
      </c>
      <c r="R28" s="1">
        <f ca="1">IFERROR(__xludf.DUMMYFUNCTION("""COMPUTED_VALUE"""),0)</f>
        <v>0</v>
      </c>
      <c r="S28" s="1">
        <f ca="1">IFERROR(__xludf.DUMMYFUNCTION("""COMPUTED_VALUE"""),0)</f>
        <v>0</v>
      </c>
      <c r="T28" s="1">
        <f ca="1">IFERROR(__xludf.DUMMYFUNCTION("""COMPUTED_VALUE"""),44305.4389467592)</f>
        <v>44305.438946759197</v>
      </c>
      <c r="U28" s="1" t="str">
        <f ca="1">IFERROR(__xludf.DUMMYFUNCTION("""COMPUTED_VALUE"""),"19-04-2021")</f>
        <v>19-04-2021</v>
      </c>
    </row>
    <row r="29" spans="1:21" ht="15.75" customHeight="1" x14ac:dyDescent="0.15">
      <c r="A29" s="1" t="str">
        <f t="shared" ca="1" si="0"/>
        <v>ChennaiGKM Hospital Pvt Ltd</v>
      </c>
      <c r="B29" s="1">
        <f ca="1">IFERROR(__xludf.DUMMYFUNCTION("""COMPUTED_VALUE"""),28)</f>
        <v>28</v>
      </c>
      <c r="C29" s="1" t="str">
        <f ca="1">IFERROR(__xludf.DUMMYFUNCTION("""COMPUTED_VALUE"""),"Chennai")</f>
        <v>Chennai</v>
      </c>
      <c r="D29" s="1" t="str">
        <f ca="1">IFERROR(__xludf.DUMMYFUNCTION("""COMPUTED_VALUE"""),"GKM Hospital Pvt Ltd")</f>
        <v>GKM Hospital Pvt Ltd</v>
      </c>
      <c r="E29" s="1">
        <f ca="1">IFERROR(__xludf.DUMMYFUNCTION("""COMPUTED_VALUE"""),10)</f>
        <v>10</v>
      </c>
      <c r="F29" s="1">
        <f ca="1">IFERROR(__xludf.DUMMYFUNCTION("""COMPUTED_VALUE"""),1)</f>
        <v>1</v>
      </c>
      <c r="G29" s="1">
        <f ca="1">IFERROR(__xludf.DUMMYFUNCTION("""COMPUTED_VALUE"""),9)</f>
        <v>9</v>
      </c>
      <c r="H29" s="1">
        <f ca="1">IFERROR(__xludf.DUMMYFUNCTION("""COMPUTED_VALUE"""),0)</f>
        <v>0</v>
      </c>
      <c r="I29" s="1">
        <f ca="1">IFERROR(__xludf.DUMMYFUNCTION("""COMPUTED_VALUE"""),0)</f>
        <v>0</v>
      </c>
      <c r="J29" s="1">
        <f ca="1">IFERROR(__xludf.DUMMYFUNCTION("""COMPUTED_VALUE"""),0)</f>
        <v>0</v>
      </c>
      <c r="K29" s="1">
        <f ca="1">IFERROR(__xludf.DUMMYFUNCTION("""COMPUTED_VALUE"""),0)</f>
        <v>0</v>
      </c>
      <c r="L29" s="1">
        <f ca="1">IFERROR(__xludf.DUMMYFUNCTION("""COMPUTED_VALUE"""),0)</f>
        <v>0</v>
      </c>
      <c r="M29" s="1">
        <f ca="1">IFERROR(__xludf.DUMMYFUNCTION("""COMPUTED_VALUE"""),0)</f>
        <v>0</v>
      </c>
      <c r="N29" s="1">
        <f ca="1">IFERROR(__xludf.DUMMYFUNCTION("""COMPUTED_VALUE"""),10)</f>
        <v>10</v>
      </c>
      <c r="O29" s="1">
        <f ca="1">IFERROR(__xludf.DUMMYFUNCTION("""COMPUTED_VALUE"""),1)</f>
        <v>1</v>
      </c>
      <c r="P29" s="1">
        <f ca="1">IFERROR(__xludf.DUMMYFUNCTION("""COMPUTED_VALUE"""),9)</f>
        <v>9</v>
      </c>
      <c r="Q29" s="1">
        <f ca="1">IFERROR(__xludf.DUMMYFUNCTION("""COMPUTED_VALUE"""),4)</f>
        <v>4</v>
      </c>
      <c r="R29" s="1">
        <f ca="1">IFERROR(__xludf.DUMMYFUNCTION("""COMPUTED_VALUE"""),1)</f>
        <v>1</v>
      </c>
      <c r="S29" s="1">
        <f ca="1">IFERROR(__xludf.DUMMYFUNCTION("""COMPUTED_VALUE"""),4)</f>
        <v>4</v>
      </c>
      <c r="T29" s="1">
        <f ca="1">IFERROR(__xludf.DUMMYFUNCTION("""COMPUTED_VALUE"""),44305.3476273148)</f>
        <v>44305.347627314797</v>
      </c>
      <c r="U29" s="1" t="str">
        <f ca="1">IFERROR(__xludf.DUMMYFUNCTION("""COMPUTED_VALUE"""),"19-04-2021")</f>
        <v>19-04-2021</v>
      </c>
    </row>
    <row r="30" spans="1:21" ht="15.75" customHeight="1" x14ac:dyDescent="0.15">
      <c r="A30" s="1" t="str">
        <f t="shared" ca="1" si="0"/>
        <v>ChennaiGLB Hospital</v>
      </c>
      <c r="B30" s="1">
        <f ca="1">IFERROR(__xludf.DUMMYFUNCTION("""COMPUTED_VALUE"""),29)</f>
        <v>29</v>
      </c>
      <c r="C30" s="1" t="str">
        <f ca="1">IFERROR(__xludf.DUMMYFUNCTION("""COMPUTED_VALUE"""),"Chennai")</f>
        <v>Chennai</v>
      </c>
      <c r="D30" s="1" t="str">
        <f ca="1">IFERROR(__xludf.DUMMYFUNCTION("""COMPUTED_VALUE"""),"GLB Hospital")</f>
        <v>GLB Hospital</v>
      </c>
      <c r="E30" s="1">
        <f ca="1">IFERROR(__xludf.DUMMYFUNCTION("""COMPUTED_VALUE"""),4)</f>
        <v>4</v>
      </c>
      <c r="F30" s="1">
        <f ca="1">IFERROR(__xludf.DUMMYFUNCTION("""COMPUTED_VALUE"""),0)</f>
        <v>0</v>
      </c>
      <c r="G30" s="1">
        <f ca="1">IFERROR(__xludf.DUMMYFUNCTION("""COMPUTED_VALUE"""),4)</f>
        <v>4</v>
      </c>
      <c r="H30" s="1">
        <f ca="1">IFERROR(__xludf.DUMMYFUNCTION("""COMPUTED_VALUE"""),4)</f>
        <v>4</v>
      </c>
      <c r="I30" s="1">
        <f ca="1">IFERROR(__xludf.DUMMYFUNCTION("""COMPUTED_VALUE"""),0)</f>
        <v>0</v>
      </c>
      <c r="J30" s="1">
        <f ca="1">IFERROR(__xludf.DUMMYFUNCTION("""COMPUTED_VALUE"""),4)</f>
        <v>4</v>
      </c>
      <c r="K30" s="1">
        <f ca="1">IFERROR(__xludf.DUMMYFUNCTION("""COMPUTED_VALUE"""),0)</f>
        <v>0</v>
      </c>
      <c r="L30" s="1">
        <f ca="1">IFERROR(__xludf.DUMMYFUNCTION("""COMPUTED_VALUE"""),0)</f>
        <v>0</v>
      </c>
      <c r="M30" s="1">
        <f ca="1">IFERROR(__xludf.DUMMYFUNCTION("""COMPUTED_VALUE"""),0)</f>
        <v>0</v>
      </c>
      <c r="N30" s="1">
        <f ca="1">IFERROR(__xludf.DUMMYFUNCTION("""COMPUTED_VALUE"""),1)</f>
        <v>1</v>
      </c>
      <c r="O30" s="1">
        <f ca="1">IFERROR(__xludf.DUMMYFUNCTION("""COMPUTED_VALUE"""),0)</f>
        <v>0</v>
      </c>
      <c r="P30" s="1">
        <f ca="1">IFERROR(__xludf.DUMMYFUNCTION("""COMPUTED_VALUE"""),1)</f>
        <v>1</v>
      </c>
      <c r="Q30" s="1">
        <f ca="1">IFERROR(__xludf.DUMMYFUNCTION("""COMPUTED_VALUE"""),1)</f>
        <v>1</v>
      </c>
      <c r="R30" s="1">
        <f ca="1">IFERROR(__xludf.DUMMYFUNCTION("""COMPUTED_VALUE"""),0)</f>
        <v>0</v>
      </c>
      <c r="S30" s="1">
        <f ca="1">IFERROR(__xludf.DUMMYFUNCTION("""COMPUTED_VALUE"""),1)</f>
        <v>1</v>
      </c>
      <c r="T30" s="1">
        <f ca="1">IFERROR(__xludf.DUMMYFUNCTION("""COMPUTED_VALUE"""),44264.7653009259)</f>
        <v>44264.765300925901</v>
      </c>
      <c r="U30" s="1" t="str">
        <f ca="1">IFERROR(__xludf.DUMMYFUNCTION("""COMPUTED_VALUE"""),"09.03.2021")</f>
        <v>09.03.2021</v>
      </c>
    </row>
    <row r="31" spans="1:21" ht="15.75" customHeight="1" x14ac:dyDescent="0.15">
      <c r="A31" s="1" t="str">
        <f t="shared" ca="1" si="0"/>
        <v>ChennaiGleneagles Global Health City</v>
      </c>
      <c r="B31" s="1">
        <f ca="1">IFERROR(__xludf.DUMMYFUNCTION("""COMPUTED_VALUE"""),30)</f>
        <v>30</v>
      </c>
      <c r="C31" s="1" t="str">
        <f ca="1">IFERROR(__xludf.DUMMYFUNCTION("""COMPUTED_VALUE"""),"Chennai")</f>
        <v>Chennai</v>
      </c>
      <c r="D31" s="1" t="str">
        <f ca="1">IFERROR(__xludf.DUMMYFUNCTION("""COMPUTED_VALUE"""),"Gleneagles Global Health City")</f>
        <v>Gleneagles Global Health City</v>
      </c>
      <c r="E31" s="1">
        <f ca="1">IFERROR(__xludf.DUMMYFUNCTION("""COMPUTED_VALUE"""),45)</f>
        <v>45</v>
      </c>
      <c r="F31" s="1">
        <f ca="1">IFERROR(__xludf.DUMMYFUNCTION("""COMPUTED_VALUE"""),43)</f>
        <v>43</v>
      </c>
      <c r="G31" s="1">
        <f ca="1">IFERROR(__xludf.DUMMYFUNCTION("""COMPUTED_VALUE"""),2)</f>
        <v>2</v>
      </c>
      <c r="H31" s="1">
        <f ca="1">IFERROR(__xludf.DUMMYFUNCTION("""COMPUTED_VALUE"""),25)</f>
        <v>25</v>
      </c>
      <c r="I31" s="1">
        <f ca="1">IFERROR(__xludf.DUMMYFUNCTION("""COMPUTED_VALUE"""),25)</f>
        <v>25</v>
      </c>
      <c r="J31" s="1">
        <f ca="1">IFERROR(__xludf.DUMMYFUNCTION("""COMPUTED_VALUE"""),0)</f>
        <v>0</v>
      </c>
      <c r="K31" s="1">
        <f ca="1">IFERROR(__xludf.DUMMYFUNCTION("""COMPUTED_VALUE"""),10)</f>
        <v>10</v>
      </c>
      <c r="L31" s="1">
        <f ca="1">IFERROR(__xludf.DUMMYFUNCTION("""COMPUTED_VALUE"""),9)</f>
        <v>9</v>
      </c>
      <c r="M31" s="1">
        <f ca="1">IFERROR(__xludf.DUMMYFUNCTION("""COMPUTED_VALUE"""),1)</f>
        <v>1</v>
      </c>
      <c r="N31" s="1">
        <f ca="1">IFERROR(__xludf.DUMMYFUNCTION("""COMPUTED_VALUE"""),10)</f>
        <v>10</v>
      </c>
      <c r="O31" s="1">
        <f ca="1">IFERROR(__xludf.DUMMYFUNCTION("""COMPUTED_VALUE"""),9)</f>
        <v>9</v>
      </c>
      <c r="P31" s="1">
        <f ca="1">IFERROR(__xludf.DUMMYFUNCTION("""COMPUTED_VALUE"""),1)</f>
        <v>1</v>
      </c>
      <c r="Q31" s="1">
        <f ca="1">IFERROR(__xludf.DUMMYFUNCTION("""COMPUTED_VALUE"""),5)</f>
        <v>5</v>
      </c>
      <c r="R31" s="1">
        <f ca="1">IFERROR(__xludf.DUMMYFUNCTION("""COMPUTED_VALUE"""),3)</f>
        <v>3</v>
      </c>
      <c r="S31" s="1">
        <f ca="1">IFERROR(__xludf.DUMMYFUNCTION("""COMPUTED_VALUE"""),0)</f>
        <v>0</v>
      </c>
      <c r="T31" s="1">
        <f ca="1">IFERROR(__xludf.DUMMYFUNCTION("""COMPUTED_VALUE"""),44305.4134606481)</f>
        <v>44305.413460648102</v>
      </c>
      <c r="U31" s="1" t="str">
        <f ca="1">IFERROR(__xludf.DUMMYFUNCTION("""COMPUTED_VALUE"""),"19.04.21")</f>
        <v>19.04.21</v>
      </c>
    </row>
    <row r="32" spans="1:21" ht="15.75" customHeight="1" x14ac:dyDescent="0.15">
      <c r="A32" s="1" t="str">
        <f t="shared" ca="1" si="0"/>
        <v>ChennaiGunasekaran Hospitals Pvt Ltd</v>
      </c>
      <c r="B32" s="1">
        <f ca="1">IFERROR(__xludf.DUMMYFUNCTION("""COMPUTED_VALUE"""),31)</f>
        <v>31</v>
      </c>
      <c r="C32" s="1" t="str">
        <f ca="1">IFERROR(__xludf.DUMMYFUNCTION("""COMPUTED_VALUE"""),"Chennai")</f>
        <v>Chennai</v>
      </c>
      <c r="D32" s="1" t="str">
        <f ca="1">IFERROR(__xludf.DUMMYFUNCTION("""COMPUTED_VALUE"""),"Gunasekaran Hospitals Pvt Ltd")</f>
        <v>Gunasekaran Hospitals Pvt Ltd</v>
      </c>
      <c r="E32" s="1">
        <f ca="1">IFERROR(__xludf.DUMMYFUNCTION("""COMPUTED_VALUE"""),14)</f>
        <v>14</v>
      </c>
      <c r="F32" s="1">
        <f ca="1">IFERROR(__xludf.DUMMYFUNCTION("""COMPUTED_VALUE"""),14)</f>
        <v>14</v>
      </c>
      <c r="G32" s="1">
        <f ca="1">IFERROR(__xludf.DUMMYFUNCTION("""COMPUTED_VALUE"""),0)</f>
        <v>0</v>
      </c>
      <c r="H32" s="1">
        <f ca="1">IFERROR(__xludf.DUMMYFUNCTION("""COMPUTED_VALUE"""),10)</f>
        <v>10</v>
      </c>
      <c r="I32" s="1">
        <f ca="1">IFERROR(__xludf.DUMMYFUNCTION("""COMPUTED_VALUE"""),14)</f>
        <v>14</v>
      </c>
      <c r="J32" s="1">
        <f ca="1">IFERROR(__xludf.DUMMYFUNCTION("""COMPUTED_VALUE"""),0)</f>
        <v>0</v>
      </c>
      <c r="K32" s="1">
        <f ca="1">IFERROR(__xludf.DUMMYFUNCTION("""COMPUTED_VALUE"""),10)</f>
        <v>10</v>
      </c>
      <c r="L32" s="1">
        <f ca="1">IFERROR(__xludf.DUMMYFUNCTION("""COMPUTED_VALUE"""),6)</f>
        <v>6</v>
      </c>
      <c r="M32" s="1">
        <f ca="1">IFERROR(__xludf.DUMMYFUNCTION("""COMPUTED_VALUE"""),0)</f>
        <v>0</v>
      </c>
      <c r="N32" s="1">
        <f ca="1">IFERROR(__xludf.DUMMYFUNCTION("""COMPUTED_VALUE"""),4)</f>
        <v>4</v>
      </c>
      <c r="O32" s="1">
        <f ca="1">IFERROR(__xludf.DUMMYFUNCTION("""COMPUTED_VALUE"""),4)</f>
        <v>4</v>
      </c>
      <c r="P32" s="1">
        <f ca="1">IFERROR(__xludf.DUMMYFUNCTION("""COMPUTED_VALUE"""),0)</f>
        <v>0</v>
      </c>
      <c r="Q32" s="1">
        <f ca="1">IFERROR(__xludf.DUMMYFUNCTION("""COMPUTED_VALUE"""),1)</f>
        <v>1</v>
      </c>
      <c r="R32" s="1">
        <f ca="1">IFERROR(__xludf.DUMMYFUNCTION("""COMPUTED_VALUE"""),1)</f>
        <v>1</v>
      </c>
      <c r="S32" s="1">
        <f ca="1">IFERROR(__xludf.DUMMYFUNCTION("""COMPUTED_VALUE"""),0)</f>
        <v>0</v>
      </c>
      <c r="T32" s="1">
        <f ca="1">IFERROR(__xludf.DUMMYFUNCTION("""COMPUTED_VALUE"""),44305.4224537037)</f>
        <v>44305.422453703701</v>
      </c>
      <c r="U32" s="1" t="str">
        <f ca="1">IFERROR(__xludf.DUMMYFUNCTION("""COMPUTED_VALUE"""),"19.04.2021")</f>
        <v>19.04.2021</v>
      </c>
    </row>
    <row r="33" spans="1:21" ht="15.75" customHeight="1" x14ac:dyDescent="0.15">
      <c r="A33" s="1" t="str">
        <f t="shared" ca="1" si="0"/>
        <v>ChennaiHycare Super Speciality Hospital</v>
      </c>
      <c r="B33" s="1">
        <f ca="1">IFERROR(__xludf.DUMMYFUNCTION("""COMPUTED_VALUE"""),32)</f>
        <v>32</v>
      </c>
      <c r="C33" s="1" t="str">
        <f ca="1">IFERROR(__xludf.DUMMYFUNCTION("""COMPUTED_VALUE"""),"Chennai")</f>
        <v>Chennai</v>
      </c>
      <c r="D33" s="1" t="str">
        <f ca="1">IFERROR(__xludf.DUMMYFUNCTION("""COMPUTED_VALUE"""),"Hycare Super Speciality Hospital")</f>
        <v>Hycare Super Speciality Hospital</v>
      </c>
      <c r="E33" s="1">
        <f ca="1">IFERROR(__xludf.DUMMYFUNCTION("""COMPUTED_VALUE"""),50)</f>
        <v>50</v>
      </c>
      <c r="F33" s="1">
        <f ca="1">IFERROR(__xludf.DUMMYFUNCTION("""COMPUTED_VALUE"""),43)</f>
        <v>43</v>
      </c>
      <c r="G33" s="1">
        <f ca="1">IFERROR(__xludf.DUMMYFUNCTION("""COMPUTED_VALUE"""),7)</f>
        <v>7</v>
      </c>
      <c r="H33" s="1">
        <f ca="1">IFERROR(__xludf.DUMMYFUNCTION("""COMPUTED_VALUE"""),35)</f>
        <v>35</v>
      </c>
      <c r="I33" s="1">
        <f ca="1">IFERROR(__xludf.DUMMYFUNCTION("""COMPUTED_VALUE"""),35)</f>
        <v>35</v>
      </c>
      <c r="J33" s="1">
        <f ca="1">IFERROR(__xludf.DUMMYFUNCTION("""COMPUTED_VALUE"""),0)</f>
        <v>0</v>
      </c>
      <c r="K33" s="1">
        <f ca="1">IFERROR(__xludf.DUMMYFUNCTION("""COMPUTED_VALUE"""),10)</f>
        <v>10</v>
      </c>
      <c r="L33" s="1">
        <f ca="1">IFERROR(__xludf.DUMMYFUNCTION("""COMPUTED_VALUE"""),0)</f>
        <v>0</v>
      </c>
      <c r="M33" s="1">
        <f ca="1">IFERROR(__xludf.DUMMYFUNCTION("""COMPUTED_VALUE"""),0)</f>
        <v>0</v>
      </c>
      <c r="N33" s="1">
        <f ca="1">IFERROR(__xludf.DUMMYFUNCTION("""COMPUTED_VALUE"""),5)</f>
        <v>5</v>
      </c>
      <c r="O33" s="1">
        <f ca="1">IFERROR(__xludf.DUMMYFUNCTION("""COMPUTED_VALUE"""),5)</f>
        <v>5</v>
      </c>
      <c r="P33" s="1">
        <f ca="1">IFERROR(__xludf.DUMMYFUNCTION("""COMPUTED_VALUE"""),0)</f>
        <v>0</v>
      </c>
      <c r="Q33" s="1">
        <f ca="1">IFERROR(__xludf.DUMMYFUNCTION("""COMPUTED_VALUE"""),3)</f>
        <v>3</v>
      </c>
      <c r="R33" s="1">
        <f ca="1">IFERROR(__xludf.DUMMYFUNCTION("""COMPUTED_VALUE"""),1)</f>
        <v>1</v>
      </c>
      <c r="S33" s="1">
        <f ca="1">IFERROR(__xludf.DUMMYFUNCTION("""COMPUTED_VALUE"""),2)</f>
        <v>2</v>
      </c>
      <c r="T33" s="1">
        <f ca="1">IFERROR(__xludf.DUMMYFUNCTION("""COMPUTED_VALUE"""),44305.4383101851)</f>
        <v>44305.438310185098</v>
      </c>
      <c r="U33" s="1" t="str">
        <f ca="1">IFERROR(__xludf.DUMMYFUNCTION("""COMPUTED_VALUE"""),"19/04/2021")</f>
        <v>19/04/2021</v>
      </c>
    </row>
    <row r="34" spans="1:21" ht="15.75" customHeight="1" x14ac:dyDescent="0.15">
      <c r="A34" s="1" t="str">
        <f t="shared" ca="1" si="0"/>
        <v>ChennaiK.P Hospital, Adambakkam</v>
      </c>
      <c r="B34" s="1">
        <f ca="1">IFERROR(__xludf.DUMMYFUNCTION("""COMPUTED_VALUE"""),33)</f>
        <v>33</v>
      </c>
      <c r="C34" s="1" t="str">
        <f ca="1">IFERROR(__xludf.DUMMYFUNCTION("""COMPUTED_VALUE"""),"Chennai")</f>
        <v>Chennai</v>
      </c>
      <c r="D34" s="1" t="str">
        <f ca="1">IFERROR(__xludf.DUMMYFUNCTION("""COMPUTED_VALUE"""),"K.P Hospital, Adambakkam")</f>
        <v>K.P Hospital, Adambakkam</v>
      </c>
      <c r="E34" s="1">
        <f ca="1">IFERROR(__xludf.DUMMYFUNCTION("""COMPUTED_VALUE"""),10)</f>
        <v>10</v>
      </c>
      <c r="F34" s="1">
        <f ca="1">IFERROR(__xludf.DUMMYFUNCTION("""COMPUTED_VALUE"""),8)</f>
        <v>8</v>
      </c>
      <c r="G34" s="1">
        <f ca="1">IFERROR(__xludf.DUMMYFUNCTION("""COMPUTED_VALUE"""),2)</f>
        <v>2</v>
      </c>
      <c r="H34" s="1">
        <f ca="1">IFERROR(__xludf.DUMMYFUNCTION("""COMPUTED_VALUE"""),10)</f>
        <v>10</v>
      </c>
      <c r="I34" s="1">
        <f ca="1">IFERROR(__xludf.DUMMYFUNCTION("""COMPUTED_VALUE"""),8)</f>
        <v>8</v>
      </c>
      <c r="J34" s="1">
        <f ca="1">IFERROR(__xludf.DUMMYFUNCTION("""COMPUTED_VALUE"""),2)</f>
        <v>2</v>
      </c>
      <c r="K34" s="1">
        <f ca="1">IFERROR(__xludf.DUMMYFUNCTION("""COMPUTED_VALUE"""),0)</f>
        <v>0</v>
      </c>
      <c r="L34" s="1">
        <f ca="1">IFERROR(__xludf.DUMMYFUNCTION("""COMPUTED_VALUE"""),0)</f>
        <v>0</v>
      </c>
      <c r="M34" s="1">
        <f ca="1">IFERROR(__xludf.DUMMYFUNCTION("""COMPUTED_VALUE"""),0)</f>
        <v>0</v>
      </c>
      <c r="N34" s="1">
        <f ca="1">IFERROR(__xludf.DUMMYFUNCTION("""COMPUTED_VALUE"""),2)</f>
        <v>2</v>
      </c>
      <c r="O34" s="1">
        <f ca="1">IFERROR(__xludf.DUMMYFUNCTION("""COMPUTED_VALUE"""),0)</f>
        <v>0</v>
      </c>
      <c r="P34" s="1">
        <f ca="1">IFERROR(__xludf.DUMMYFUNCTION("""COMPUTED_VALUE"""),0)</f>
        <v>0</v>
      </c>
      <c r="Q34" s="1">
        <f ca="1">IFERROR(__xludf.DUMMYFUNCTION("""COMPUTED_VALUE"""),1)</f>
        <v>1</v>
      </c>
      <c r="R34" s="1">
        <f ca="1">IFERROR(__xludf.DUMMYFUNCTION("""COMPUTED_VALUE"""),0)</f>
        <v>0</v>
      </c>
      <c r="S34" s="1">
        <f ca="1">IFERROR(__xludf.DUMMYFUNCTION("""COMPUTED_VALUE"""),0)</f>
        <v>0</v>
      </c>
      <c r="T34" s="1">
        <f ca="1">IFERROR(__xludf.DUMMYFUNCTION("""COMPUTED_VALUE"""),44305.4110069444)</f>
        <v>44305.4110069444</v>
      </c>
      <c r="U34" s="1"/>
    </row>
    <row r="35" spans="1:21" ht="15.75" customHeight="1" x14ac:dyDescent="0.15">
      <c r="A35" s="1" t="str">
        <f t="shared" ca="1" si="0"/>
        <v>ChennaiKanchi Kamakoti Child Trust Hospital</v>
      </c>
      <c r="B35" s="1">
        <f ca="1">IFERROR(__xludf.DUMMYFUNCTION("""COMPUTED_VALUE"""),34)</f>
        <v>34</v>
      </c>
      <c r="C35" s="1" t="str">
        <f ca="1">IFERROR(__xludf.DUMMYFUNCTION("""COMPUTED_VALUE"""),"Chennai")</f>
        <v>Chennai</v>
      </c>
      <c r="D35" s="1" t="str">
        <f ca="1">IFERROR(__xludf.DUMMYFUNCTION("""COMPUTED_VALUE"""),"Kanchi Kamakoti Child Trust Hospital")</f>
        <v>Kanchi Kamakoti Child Trust Hospital</v>
      </c>
      <c r="E35" s="1">
        <f ca="1">IFERROR(__xludf.DUMMYFUNCTION("""COMPUTED_VALUE"""),12)</f>
        <v>12</v>
      </c>
      <c r="F35" s="1">
        <f ca="1">IFERROR(__xludf.DUMMYFUNCTION("""COMPUTED_VALUE"""),4)</f>
        <v>4</v>
      </c>
      <c r="G35" s="1">
        <f ca="1">IFERROR(__xludf.DUMMYFUNCTION("""COMPUTED_VALUE"""),8)</f>
        <v>8</v>
      </c>
      <c r="H35" s="1">
        <f ca="1">IFERROR(__xludf.DUMMYFUNCTION("""COMPUTED_VALUE"""),10)</f>
        <v>10</v>
      </c>
      <c r="I35" s="1">
        <f ca="1">IFERROR(__xludf.DUMMYFUNCTION("""COMPUTED_VALUE"""),2)</f>
        <v>2</v>
      </c>
      <c r="J35" s="1">
        <f ca="1">IFERROR(__xludf.DUMMYFUNCTION("""COMPUTED_VALUE"""),8)</f>
        <v>8</v>
      </c>
      <c r="K35" s="1">
        <f ca="1">IFERROR(__xludf.DUMMYFUNCTION("""COMPUTED_VALUE"""),0)</f>
        <v>0</v>
      </c>
      <c r="L35" s="1">
        <f ca="1">IFERROR(__xludf.DUMMYFUNCTION("""COMPUTED_VALUE"""),0)</f>
        <v>0</v>
      </c>
      <c r="M35" s="1">
        <f ca="1">IFERROR(__xludf.DUMMYFUNCTION("""COMPUTED_VALUE"""),0)</f>
        <v>0</v>
      </c>
      <c r="N35" s="1">
        <f ca="1">IFERROR(__xludf.DUMMYFUNCTION("""COMPUTED_VALUE"""),2)</f>
        <v>2</v>
      </c>
      <c r="O35" s="1">
        <f ca="1">IFERROR(__xludf.DUMMYFUNCTION("""COMPUTED_VALUE"""),2)</f>
        <v>2</v>
      </c>
      <c r="P35" s="1">
        <f ca="1">IFERROR(__xludf.DUMMYFUNCTION("""COMPUTED_VALUE"""),0)</f>
        <v>0</v>
      </c>
      <c r="Q35" s="1">
        <f ca="1">IFERROR(__xludf.DUMMYFUNCTION("""COMPUTED_VALUE"""),2)</f>
        <v>2</v>
      </c>
      <c r="R35" s="1">
        <f ca="1">IFERROR(__xludf.DUMMYFUNCTION("""COMPUTED_VALUE"""),1)</f>
        <v>1</v>
      </c>
      <c r="S35" s="1">
        <f ca="1">IFERROR(__xludf.DUMMYFUNCTION("""COMPUTED_VALUE"""),1)</f>
        <v>1</v>
      </c>
      <c r="T35" s="1">
        <f ca="1">IFERROR(__xludf.DUMMYFUNCTION("""COMPUTED_VALUE"""),44305.416412037)</f>
        <v>44305.416412036997</v>
      </c>
      <c r="U35" s="1" t="str">
        <f ca="1">IFERROR(__xludf.DUMMYFUNCTION("""COMPUTED_VALUE"""),"19/04/2021")</f>
        <v>19/04/2021</v>
      </c>
    </row>
    <row r="36" spans="1:21" ht="15.75" customHeight="1" x14ac:dyDescent="0.15">
      <c r="A36" s="1" t="str">
        <f t="shared" ca="1" si="0"/>
        <v>ChennaiKarpaga Vinayaga Medical Science &amp; Ri</v>
      </c>
      <c r="B36" s="1">
        <f ca="1">IFERROR(__xludf.DUMMYFUNCTION("""COMPUTED_VALUE"""),35)</f>
        <v>35</v>
      </c>
      <c r="C36" s="1" t="str">
        <f ca="1">IFERROR(__xludf.DUMMYFUNCTION("""COMPUTED_VALUE"""),"Chennai")</f>
        <v>Chennai</v>
      </c>
      <c r="D36" s="1" t="str">
        <f ca="1">IFERROR(__xludf.DUMMYFUNCTION("""COMPUTED_VALUE"""),"Karpaga Vinayaga Medical Science &amp; Ri")</f>
        <v>Karpaga Vinayaga Medical Science &amp; Ri</v>
      </c>
      <c r="E36" s="1">
        <f ca="1">IFERROR(__xludf.DUMMYFUNCTION("""COMPUTED_VALUE"""),210)</f>
        <v>210</v>
      </c>
      <c r="F36" s="1">
        <f ca="1">IFERROR(__xludf.DUMMYFUNCTION("""COMPUTED_VALUE"""),20)</f>
        <v>20</v>
      </c>
      <c r="G36" s="1">
        <f ca="1">IFERROR(__xludf.DUMMYFUNCTION("""COMPUTED_VALUE"""),192)</f>
        <v>192</v>
      </c>
      <c r="H36" s="1">
        <f ca="1">IFERROR(__xludf.DUMMYFUNCTION("""COMPUTED_VALUE"""),210)</f>
        <v>210</v>
      </c>
      <c r="I36" s="1">
        <f ca="1">IFERROR(__xludf.DUMMYFUNCTION("""COMPUTED_VALUE"""),20)</f>
        <v>20</v>
      </c>
      <c r="J36" s="1">
        <f ca="1">IFERROR(__xludf.DUMMYFUNCTION("""COMPUTED_VALUE"""),190)</f>
        <v>190</v>
      </c>
      <c r="K36" s="1">
        <f ca="1">IFERROR(__xludf.DUMMYFUNCTION("""COMPUTED_VALUE"""),0)</f>
        <v>0</v>
      </c>
      <c r="L36" s="1">
        <f ca="1">IFERROR(__xludf.DUMMYFUNCTION("""COMPUTED_VALUE"""),0)</f>
        <v>0</v>
      </c>
      <c r="M36" s="1">
        <f ca="1">IFERROR(__xludf.DUMMYFUNCTION("""COMPUTED_VALUE"""),0)</f>
        <v>0</v>
      </c>
      <c r="N36" s="1">
        <f ca="1">IFERROR(__xludf.DUMMYFUNCTION("""COMPUTED_VALUE"""),4)</f>
        <v>4</v>
      </c>
      <c r="O36" s="1">
        <f ca="1">IFERROR(__xludf.DUMMYFUNCTION("""COMPUTED_VALUE"""),0)</f>
        <v>0</v>
      </c>
      <c r="P36" s="1">
        <f ca="1">IFERROR(__xludf.DUMMYFUNCTION("""COMPUTED_VALUE"""),4)</f>
        <v>4</v>
      </c>
      <c r="Q36" s="1">
        <f ca="1">IFERROR(__xludf.DUMMYFUNCTION("""COMPUTED_VALUE"""),2)</f>
        <v>2</v>
      </c>
      <c r="R36" s="1">
        <f ca="1">IFERROR(__xludf.DUMMYFUNCTION("""COMPUTED_VALUE"""),0)</f>
        <v>0</v>
      </c>
      <c r="S36" s="1">
        <f ca="1">IFERROR(__xludf.DUMMYFUNCTION("""COMPUTED_VALUE"""),0)</f>
        <v>0</v>
      </c>
      <c r="T36" s="1">
        <f ca="1">IFERROR(__xludf.DUMMYFUNCTION("""COMPUTED_VALUE"""),44302.3997337962)</f>
        <v>44302.399733796199</v>
      </c>
      <c r="U36" s="1" t="str">
        <f ca="1">IFERROR(__xludf.DUMMYFUNCTION("""COMPUTED_VALUE"""),"9.4.2021")</f>
        <v>9.4.2021</v>
      </c>
    </row>
    <row r="37" spans="1:21" ht="15.75" customHeight="1" x14ac:dyDescent="0.15">
      <c r="A37" s="1" t="str">
        <f t="shared" ca="1" si="0"/>
        <v>ChennaiKauvery Hospital</v>
      </c>
      <c r="B37" s="1">
        <f ca="1">IFERROR(__xludf.DUMMYFUNCTION("""COMPUTED_VALUE"""),36)</f>
        <v>36</v>
      </c>
      <c r="C37" s="1" t="str">
        <f ca="1">IFERROR(__xludf.DUMMYFUNCTION("""COMPUTED_VALUE"""),"Chennai")</f>
        <v>Chennai</v>
      </c>
      <c r="D37" s="1" t="str">
        <f ca="1">IFERROR(__xludf.DUMMYFUNCTION("""COMPUTED_VALUE"""),"Kauvery Hospital")</f>
        <v>Kauvery Hospital</v>
      </c>
      <c r="E37" s="1">
        <f ca="1">IFERROR(__xludf.DUMMYFUNCTION("""COMPUTED_VALUE"""),63)</f>
        <v>63</v>
      </c>
      <c r="F37" s="1">
        <f ca="1">IFERROR(__xludf.DUMMYFUNCTION("""COMPUTED_VALUE"""),63)</f>
        <v>63</v>
      </c>
      <c r="G37" s="1">
        <f ca="1">IFERROR(__xludf.DUMMYFUNCTION("""COMPUTED_VALUE"""),0)</f>
        <v>0</v>
      </c>
      <c r="H37" s="1">
        <f ca="1">IFERROR(__xludf.DUMMYFUNCTION("""COMPUTED_VALUE"""),30)</f>
        <v>30</v>
      </c>
      <c r="I37" s="1">
        <f ca="1">IFERROR(__xludf.DUMMYFUNCTION("""COMPUTED_VALUE"""),30)</f>
        <v>30</v>
      </c>
      <c r="J37" s="1">
        <f ca="1">IFERROR(__xludf.DUMMYFUNCTION("""COMPUTED_VALUE"""),0)</f>
        <v>0</v>
      </c>
      <c r="K37" s="1">
        <f ca="1">IFERROR(__xludf.DUMMYFUNCTION("""COMPUTED_VALUE"""),33)</f>
        <v>33</v>
      </c>
      <c r="L37" s="1">
        <f ca="1">IFERROR(__xludf.DUMMYFUNCTION("""COMPUTED_VALUE"""),33)</f>
        <v>33</v>
      </c>
      <c r="M37" s="1">
        <f ca="1">IFERROR(__xludf.DUMMYFUNCTION("""COMPUTED_VALUE"""),0)</f>
        <v>0</v>
      </c>
      <c r="N37" s="1">
        <f ca="1">IFERROR(__xludf.DUMMYFUNCTION("""COMPUTED_VALUE"""),8)</f>
        <v>8</v>
      </c>
      <c r="O37" s="1">
        <f ca="1">IFERROR(__xludf.DUMMYFUNCTION("""COMPUTED_VALUE"""),8)</f>
        <v>8</v>
      </c>
      <c r="P37" s="1">
        <f ca="1">IFERROR(__xludf.DUMMYFUNCTION("""COMPUTED_VALUE"""),0)</f>
        <v>0</v>
      </c>
      <c r="Q37" s="1">
        <f ca="1">IFERROR(__xludf.DUMMYFUNCTION("""COMPUTED_VALUE"""),6)</f>
        <v>6</v>
      </c>
      <c r="R37" s="1">
        <f ca="1">IFERROR(__xludf.DUMMYFUNCTION("""COMPUTED_VALUE"""),1)</f>
        <v>1</v>
      </c>
      <c r="S37" s="1">
        <f ca="1">IFERROR(__xludf.DUMMYFUNCTION("""COMPUTED_VALUE"""),5)</f>
        <v>5</v>
      </c>
      <c r="T37" s="1">
        <f ca="1">IFERROR(__xludf.DUMMYFUNCTION("""COMPUTED_VALUE"""),44305.6114814814)</f>
        <v>44305.611481481399</v>
      </c>
      <c r="U37" s="1"/>
    </row>
    <row r="38" spans="1:21" ht="15.75" customHeight="1" x14ac:dyDescent="0.15">
      <c r="A38" s="1" t="str">
        <f t="shared" ca="1" si="0"/>
        <v>ChennaiKumaran Hospital Pvt ltd</v>
      </c>
      <c r="B38" s="1">
        <f ca="1">IFERROR(__xludf.DUMMYFUNCTION("""COMPUTED_VALUE"""),37)</f>
        <v>37</v>
      </c>
      <c r="C38" s="1" t="str">
        <f ca="1">IFERROR(__xludf.DUMMYFUNCTION("""COMPUTED_VALUE"""),"Chennai")</f>
        <v>Chennai</v>
      </c>
      <c r="D38" s="1" t="str">
        <f ca="1">IFERROR(__xludf.DUMMYFUNCTION("""COMPUTED_VALUE"""),"Kumaran Hospital Pvt ltd")</f>
        <v>Kumaran Hospital Pvt ltd</v>
      </c>
      <c r="E38" s="1">
        <f ca="1">IFERROR(__xludf.DUMMYFUNCTION("""COMPUTED_VALUE"""),60)</f>
        <v>60</v>
      </c>
      <c r="F38" s="1">
        <f ca="1">IFERROR(__xludf.DUMMYFUNCTION("""COMPUTED_VALUE"""),58)</f>
        <v>58</v>
      </c>
      <c r="G38" s="1">
        <f ca="1">IFERROR(__xludf.DUMMYFUNCTION("""COMPUTED_VALUE"""),2)</f>
        <v>2</v>
      </c>
      <c r="H38" s="1">
        <f ca="1">IFERROR(__xludf.DUMMYFUNCTION("""COMPUTED_VALUE"""),60)</f>
        <v>60</v>
      </c>
      <c r="I38" s="1">
        <f ca="1">IFERROR(__xludf.DUMMYFUNCTION("""COMPUTED_VALUE"""),58)</f>
        <v>58</v>
      </c>
      <c r="J38" s="1">
        <f ca="1">IFERROR(__xludf.DUMMYFUNCTION("""COMPUTED_VALUE"""),2)</f>
        <v>2</v>
      </c>
      <c r="K38" s="1">
        <f ca="1">IFERROR(__xludf.DUMMYFUNCTION("""COMPUTED_VALUE"""),0)</f>
        <v>0</v>
      </c>
      <c r="L38" s="1">
        <f ca="1">IFERROR(__xludf.DUMMYFUNCTION("""COMPUTED_VALUE"""),0)</f>
        <v>0</v>
      </c>
      <c r="M38" s="1">
        <f ca="1">IFERROR(__xludf.DUMMYFUNCTION("""COMPUTED_VALUE"""),0)</f>
        <v>0</v>
      </c>
      <c r="N38" s="1">
        <f ca="1">IFERROR(__xludf.DUMMYFUNCTION("""COMPUTED_VALUE"""),10)</f>
        <v>10</v>
      </c>
      <c r="O38" s="1">
        <f ca="1">IFERROR(__xludf.DUMMYFUNCTION("""COMPUTED_VALUE"""),10)</f>
        <v>10</v>
      </c>
      <c r="P38" s="1">
        <f ca="1">IFERROR(__xludf.DUMMYFUNCTION("""COMPUTED_VALUE"""),0)</f>
        <v>0</v>
      </c>
      <c r="Q38" s="1">
        <f ca="1">IFERROR(__xludf.DUMMYFUNCTION("""COMPUTED_VALUE"""),6)</f>
        <v>6</v>
      </c>
      <c r="R38" s="1">
        <f ca="1">IFERROR(__xludf.DUMMYFUNCTION("""COMPUTED_VALUE"""),6)</f>
        <v>6</v>
      </c>
      <c r="S38" s="1">
        <f ca="1">IFERROR(__xludf.DUMMYFUNCTION("""COMPUTED_VALUE"""),0)</f>
        <v>0</v>
      </c>
      <c r="T38" s="1">
        <f ca="1">IFERROR(__xludf.DUMMYFUNCTION("""COMPUTED_VALUE"""),44300.397974537)</f>
        <v>44300.397974537002</v>
      </c>
      <c r="U38" s="1" t="str">
        <f ca="1">IFERROR(__xludf.DUMMYFUNCTION("""COMPUTED_VALUE"""),"14/04/2013")</f>
        <v>14/04/2013</v>
      </c>
    </row>
    <row r="39" spans="1:21" ht="15.75" customHeight="1" x14ac:dyDescent="0.15">
      <c r="A39" s="1" t="str">
        <f t="shared" ca="1" si="0"/>
        <v>ChennaiKVT Speciality Hospital, Erukanchery</v>
      </c>
      <c r="B39" s="1">
        <f ca="1">IFERROR(__xludf.DUMMYFUNCTION("""COMPUTED_VALUE"""),38)</f>
        <v>38</v>
      </c>
      <c r="C39" s="1" t="str">
        <f ca="1">IFERROR(__xludf.DUMMYFUNCTION("""COMPUTED_VALUE"""),"Chennai")</f>
        <v>Chennai</v>
      </c>
      <c r="D39" s="1" t="str">
        <f ca="1">IFERROR(__xludf.DUMMYFUNCTION("""COMPUTED_VALUE"""),"KVT Speciality Hospital, Erukanchery")</f>
        <v>KVT Speciality Hospital, Erukanchery</v>
      </c>
      <c r="E39" s="1">
        <f ca="1">IFERROR(__xludf.DUMMYFUNCTION("""COMPUTED_VALUE"""),27)</f>
        <v>27</v>
      </c>
      <c r="F39" s="1">
        <f ca="1">IFERROR(__xludf.DUMMYFUNCTION("""COMPUTED_VALUE"""),26)</f>
        <v>26</v>
      </c>
      <c r="G39" s="1">
        <f ca="1">IFERROR(__xludf.DUMMYFUNCTION("""COMPUTED_VALUE"""),1)</f>
        <v>1</v>
      </c>
      <c r="H39" s="1">
        <f ca="1">IFERROR(__xludf.DUMMYFUNCTION("""COMPUTED_VALUE"""),0)</f>
        <v>0</v>
      </c>
      <c r="I39" s="1">
        <f ca="1">IFERROR(__xludf.DUMMYFUNCTION("""COMPUTED_VALUE"""),0)</f>
        <v>0</v>
      </c>
      <c r="J39" s="1">
        <f ca="1">IFERROR(__xludf.DUMMYFUNCTION("""COMPUTED_VALUE"""),0)</f>
        <v>0</v>
      </c>
      <c r="K39" s="1">
        <f ca="1">IFERROR(__xludf.DUMMYFUNCTION("""COMPUTED_VALUE"""),19)</f>
        <v>19</v>
      </c>
      <c r="L39" s="1">
        <f ca="1">IFERROR(__xludf.DUMMYFUNCTION("""COMPUTED_VALUE"""),19)</f>
        <v>19</v>
      </c>
      <c r="M39" s="1">
        <f ca="1">IFERROR(__xludf.DUMMYFUNCTION("""COMPUTED_VALUE"""),1)</f>
        <v>1</v>
      </c>
      <c r="N39" s="1">
        <f ca="1">IFERROR(__xludf.DUMMYFUNCTION("""COMPUTED_VALUE"""),8)</f>
        <v>8</v>
      </c>
      <c r="O39" s="1">
        <f ca="1">IFERROR(__xludf.DUMMYFUNCTION("""COMPUTED_VALUE"""),7)</f>
        <v>7</v>
      </c>
      <c r="P39" s="1">
        <f ca="1">IFERROR(__xludf.DUMMYFUNCTION("""COMPUTED_VALUE"""),1)</f>
        <v>1</v>
      </c>
      <c r="Q39" s="1">
        <f ca="1">IFERROR(__xludf.DUMMYFUNCTION("""COMPUTED_VALUE"""),1)</f>
        <v>1</v>
      </c>
      <c r="R39" s="1">
        <f ca="1">IFERROR(__xludf.DUMMYFUNCTION("""COMPUTED_VALUE"""),1)</f>
        <v>1</v>
      </c>
      <c r="S39" s="1">
        <f ca="1">IFERROR(__xludf.DUMMYFUNCTION("""COMPUTED_VALUE"""),0)</f>
        <v>0</v>
      </c>
      <c r="T39" s="1">
        <f ca="1">IFERROR(__xludf.DUMMYFUNCTION("""COMPUTED_VALUE"""),44305.428449074)</f>
        <v>44305.428449074003</v>
      </c>
      <c r="U39" s="1" t="str">
        <f ca="1">IFERROR(__xludf.DUMMYFUNCTION("""COMPUTED_VALUE"""),"19.04.2021")</f>
        <v>19.04.2021</v>
      </c>
    </row>
    <row r="40" spans="1:21" ht="15.75" customHeight="1" x14ac:dyDescent="0.15">
      <c r="A40" s="1" t="str">
        <f t="shared" ca="1" si="0"/>
        <v>ChennaiLaksha Hospital Royapettah</v>
      </c>
      <c r="B40" s="1">
        <f ca="1">IFERROR(__xludf.DUMMYFUNCTION("""COMPUTED_VALUE"""),39)</f>
        <v>39</v>
      </c>
      <c r="C40" s="1" t="str">
        <f ca="1">IFERROR(__xludf.DUMMYFUNCTION("""COMPUTED_VALUE"""),"Chennai")</f>
        <v>Chennai</v>
      </c>
      <c r="D40" s="1" t="str">
        <f ca="1">IFERROR(__xludf.DUMMYFUNCTION("""COMPUTED_VALUE"""),"Laksha Hospital Royapettah")</f>
        <v>Laksha Hospital Royapettah</v>
      </c>
      <c r="E40" s="1">
        <f ca="1">IFERROR(__xludf.DUMMYFUNCTION("""COMPUTED_VALUE"""),30)</f>
        <v>30</v>
      </c>
      <c r="F40" s="1">
        <f ca="1">IFERROR(__xludf.DUMMYFUNCTION("""COMPUTED_VALUE"""),29)</f>
        <v>29</v>
      </c>
      <c r="G40" s="1">
        <f ca="1">IFERROR(__xludf.DUMMYFUNCTION("""COMPUTED_VALUE"""),1)</f>
        <v>1</v>
      </c>
      <c r="H40" s="1">
        <f ca="1">IFERROR(__xludf.DUMMYFUNCTION("""COMPUTED_VALUE"""),30)</f>
        <v>30</v>
      </c>
      <c r="I40" s="1">
        <f ca="1">IFERROR(__xludf.DUMMYFUNCTION("""COMPUTED_VALUE"""),11)</f>
        <v>11</v>
      </c>
      <c r="J40" s="1">
        <f ca="1">IFERROR(__xludf.DUMMYFUNCTION("""COMPUTED_VALUE"""),19)</f>
        <v>19</v>
      </c>
      <c r="K40" s="1">
        <f ca="1">IFERROR(__xludf.DUMMYFUNCTION("""COMPUTED_VALUE"""),30)</f>
        <v>30</v>
      </c>
      <c r="L40" s="1">
        <f ca="1">IFERROR(__xludf.DUMMYFUNCTION("""COMPUTED_VALUE"""),0)</f>
        <v>0</v>
      </c>
      <c r="M40" s="1">
        <f ca="1">IFERROR(__xludf.DUMMYFUNCTION("""COMPUTED_VALUE"""),0)</f>
        <v>0</v>
      </c>
      <c r="N40" s="1">
        <f ca="1">IFERROR(__xludf.DUMMYFUNCTION("""COMPUTED_VALUE"""),10)</f>
        <v>10</v>
      </c>
      <c r="O40" s="1">
        <f ca="1">IFERROR(__xludf.DUMMYFUNCTION("""COMPUTED_VALUE"""),7)</f>
        <v>7</v>
      </c>
      <c r="P40" s="1">
        <f ca="1">IFERROR(__xludf.DUMMYFUNCTION("""COMPUTED_VALUE"""),3)</f>
        <v>3</v>
      </c>
      <c r="Q40" s="1">
        <f ca="1">IFERROR(__xludf.DUMMYFUNCTION("""COMPUTED_VALUE"""),2)</f>
        <v>2</v>
      </c>
      <c r="R40" s="1">
        <f ca="1">IFERROR(__xludf.DUMMYFUNCTION("""COMPUTED_VALUE"""),0)</f>
        <v>0</v>
      </c>
      <c r="S40" s="1">
        <f ca="1">IFERROR(__xludf.DUMMYFUNCTION("""COMPUTED_VALUE"""),2)</f>
        <v>2</v>
      </c>
      <c r="T40" s="1">
        <f ca="1">IFERROR(__xludf.DUMMYFUNCTION("""COMPUTED_VALUE"""),44299.6030555555)</f>
        <v>44299.603055555497</v>
      </c>
      <c r="U40" s="1" t="str">
        <f ca="1">IFERROR(__xludf.DUMMYFUNCTION("""COMPUTED_VALUE"""),"13.04.2021")</f>
        <v>13.04.2021</v>
      </c>
    </row>
    <row r="41" spans="1:21" ht="15.75" customHeight="1" x14ac:dyDescent="0.15">
      <c r="A41" s="1" t="str">
        <f t="shared" ca="1" si="0"/>
        <v>ChennaiLife Care Hospital</v>
      </c>
      <c r="B41" s="1">
        <f ca="1">IFERROR(__xludf.DUMMYFUNCTION("""COMPUTED_VALUE"""),40)</f>
        <v>40</v>
      </c>
      <c r="C41" s="1" t="str">
        <f ca="1">IFERROR(__xludf.DUMMYFUNCTION("""COMPUTED_VALUE"""),"Chennai")</f>
        <v>Chennai</v>
      </c>
      <c r="D41" s="1" t="str">
        <f ca="1">IFERROR(__xludf.DUMMYFUNCTION("""COMPUTED_VALUE"""),"Life Care Hospital")</f>
        <v>Life Care Hospital</v>
      </c>
      <c r="E41" s="1">
        <f ca="1">IFERROR(__xludf.DUMMYFUNCTION("""COMPUTED_VALUE"""),17)</f>
        <v>17</v>
      </c>
      <c r="F41" s="1">
        <f ca="1">IFERROR(__xludf.DUMMYFUNCTION("""COMPUTED_VALUE"""),15)</f>
        <v>15</v>
      </c>
      <c r="G41" s="1">
        <f ca="1">IFERROR(__xludf.DUMMYFUNCTION("""COMPUTED_VALUE"""),2)</f>
        <v>2</v>
      </c>
      <c r="H41" s="1">
        <f ca="1">IFERROR(__xludf.DUMMYFUNCTION("""COMPUTED_VALUE"""),10)</f>
        <v>10</v>
      </c>
      <c r="I41" s="1">
        <f ca="1">IFERROR(__xludf.DUMMYFUNCTION("""COMPUTED_VALUE"""),10)</f>
        <v>10</v>
      </c>
      <c r="J41" s="1">
        <f ca="1">IFERROR(__xludf.DUMMYFUNCTION("""COMPUTED_VALUE"""),0)</f>
        <v>0</v>
      </c>
      <c r="K41" s="1">
        <f ca="1">IFERROR(__xludf.DUMMYFUNCTION("""COMPUTED_VALUE"""),4)</f>
        <v>4</v>
      </c>
      <c r="L41" s="1">
        <f ca="1">IFERROR(__xludf.DUMMYFUNCTION("""COMPUTED_VALUE"""),2)</f>
        <v>2</v>
      </c>
      <c r="M41" s="1">
        <f ca="1">IFERROR(__xludf.DUMMYFUNCTION("""COMPUTED_VALUE"""),2)</f>
        <v>2</v>
      </c>
      <c r="N41" s="1">
        <f ca="1">IFERROR(__xludf.DUMMYFUNCTION("""COMPUTED_VALUE"""),3)</f>
        <v>3</v>
      </c>
      <c r="O41" s="1">
        <f ca="1">IFERROR(__xludf.DUMMYFUNCTION("""COMPUTED_VALUE"""),3)</f>
        <v>3</v>
      </c>
      <c r="P41" s="1">
        <f ca="1">IFERROR(__xludf.DUMMYFUNCTION("""COMPUTED_VALUE"""),0)</f>
        <v>0</v>
      </c>
      <c r="Q41" s="1">
        <f ca="1">IFERROR(__xludf.DUMMYFUNCTION("""COMPUTED_VALUE"""),2)</f>
        <v>2</v>
      </c>
      <c r="R41" s="1">
        <f ca="1">IFERROR(__xludf.DUMMYFUNCTION("""COMPUTED_VALUE"""),0)</f>
        <v>0</v>
      </c>
      <c r="S41" s="1">
        <f ca="1">IFERROR(__xludf.DUMMYFUNCTION("""COMPUTED_VALUE"""),2)</f>
        <v>2</v>
      </c>
      <c r="T41" s="1">
        <f ca="1">IFERROR(__xludf.DUMMYFUNCTION("""COMPUTED_VALUE"""),44305.4867824074)</f>
        <v>44305.486782407403</v>
      </c>
      <c r="U41" s="1" t="str">
        <f ca="1">IFERROR(__xludf.DUMMYFUNCTION("""COMPUTED_VALUE"""),"19.4.2021")</f>
        <v>19.4.2021</v>
      </c>
    </row>
    <row r="42" spans="1:21" ht="15.75" customHeight="1" x14ac:dyDescent="0.15">
      <c r="A42" s="1" t="str">
        <f t="shared" ca="1" si="0"/>
        <v>ChennaiLifeline Hospitals</v>
      </c>
      <c r="B42" s="1">
        <f ca="1">IFERROR(__xludf.DUMMYFUNCTION("""COMPUTED_VALUE"""),41)</f>
        <v>41</v>
      </c>
      <c r="C42" s="1" t="str">
        <f ca="1">IFERROR(__xludf.DUMMYFUNCTION("""COMPUTED_VALUE"""),"Chennai")</f>
        <v>Chennai</v>
      </c>
      <c r="D42" s="1" t="str">
        <f ca="1">IFERROR(__xludf.DUMMYFUNCTION("""COMPUTED_VALUE"""),"Lifeline Hospitals")</f>
        <v>Lifeline Hospitals</v>
      </c>
      <c r="E42" s="1">
        <f ca="1">IFERROR(__xludf.DUMMYFUNCTION("""COMPUTED_VALUE"""),30)</f>
        <v>30</v>
      </c>
      <c r="F42" s="1">
        <f ca="1">IFERROR(__xludf.DUMMYFUNCTION("""COMPUTED_VALUE"""),30)</f>
        <v>30</v>
      </c>
      <c r="G42" s="1">
        <f ca="1">IFERROR(__xludf.DUMMYFUNCTION("""COMPUTED_VALUE"""),0)</f>
        <v>0</v>
      </c>
      <c r="H42" s="1">
        <f ca="1">IFERROR(__xludf.DUMMYFUNCTION("""COMPUTED_VALUE"""),10)</f>
        <v>10</v>
      </c>
      <c r="I42" s="1">
        <f ca="1">IFERROR(__xludf.DUMMYFUNCTION("""COMPUTED_VALUE"""),10)</f>
        <v>10</v>
      </c>
      <c r="J42" s="1">
        <f ca="1">IFERROR(__xludf.DUMMYFUNCTION("""COMPUTED_VALUE"""),0)</f>
        <v>0</v>
      </c>
      <c r="K42" s="1">
        <f ca="1">IFERROR(__xludf.DUMMYFUNCTION("""COMPUTED_VALUE"""),20)</f>
        <v>20</v>
      </c>
      <c r="L42" s="1">
        <f ca="1">IFERROR(__xludf.DUMMYFUNCTION("""COMPUTED_VALUE"""),20)</f>
        <v>20</v>
      </c>
      <c r="M42" s="1">
        <f ca="1">IFERROR(__xludf.DUMMYFUNCTION("""COMPUTED_VALUE"""),0)</f>
        <v>0</v>
      </c>
      <c r="N42" s="1">
        <f ca="1">IFERROR(__xludf.DUMMYFUNCTION("""COMPUTED_VALUE"""),0)</f>
        <v>0</v>
      </c>
      <c r="O42" s="1">
        <f ca="1">IFERROR(__xludf.DUMMYFUNCTION("""COMPUTED_VALUE"""),0)</f>
        <v>0</v>
      </c>
      <c r="P42" s="1">
        <f ca="1">IFERROR(__xludf.DUMMYFUNCTION("""COMPUTED_VALUE"""),0)</f>
        <v>0</v>
      </c>
      <c r="Q42" s="1">
        <f ca="1">IFERROR(__xludf.DUMMYFUNCTION("""COMPUTED_VALUE"""),1)</f>
        <v>1</v>
      </c>
      <c r="R42" s="1">
        <f ca="1">IFERROR(__xludf.DUMMYFUNCTION("""COMPUTED_VALUE"""),0)</f>
        <v>0</v>
      </c>
      <c r="S42" s="1">
        <f ca="1">IFERROR(__xludf.DUMMYFUNCTION("""COMPUTED_VALUE"""),1)</f>
        <v>1</v>
      </c>
      <c r="T42" s="1">
        <f ca="1">IFERROR(__xludf.DUMMYFUNCTION("""COMPUTED_VALUE"""),44305.3573379629)</f>
        <v>44305.357337962902</v>
      </c>
      <c r="U42" s="1" t="str">
        <f ca="1">IFERROR(__xludf.DUMMYFUNCTION("""COMPUTED_VALUE"""),"19.04.2021")</f>
        <v>19.04.2021</v>
      </c>
    </row>
    <row r="43" spans="1:21" ht="15.75" customHeight="1" x14ac:dyDescent="0.15">
      <c r="A43" s="1" t="str">
        <f t="shared" ca="1" si="0"/>
        <v>ChennaiM G M Health Care Pvt Ltd</v>
      </c>
      <c r="B43" s="1">
        <f ca="1">IFERROR(__xludf.DUMMYFUNCTION("""COMPUTED_VALUE"""),42)</f>
        <v>42</v>
      </c>
      <c r="C43" s="1" t="str">
        <f ca="1">IFERROR(__xludf.DUMMYFUNCTION("""COMPUTED_VALUE"""),"Chennai")</f>
        <v>Chennai</v>
      </c>
      <c r="D43" s="1" t="str">
        <f ca="1">IFERROR(__xludf.DUMMYFUNCTION("""COMPUTED_VALUE"""),"M G M Health Care Pvt Ltd")</f>
        <v>M G M Health Care Pvt Ltd</v>
      </c>
      <c r="E43" s="1">
        <f ca="1">IFERROR(__xludf.DUMMYFUNCTION("""COMPUTED_VALUE"""),80)</f>
        <v>80</v>
      </c>
      <c r="F43" s="1">
        <f ca="1">IFERROR(__xludf.DUMMYFUNCTION("""COMPUTED_VALUE"""),76)</f>
        <v>76</v>
      </c>
      <c r="G43" s="1">
        <f ca="1">IFERROR(__xludf.DUMMYFUNCTION("""COMPUTED_VALUE"""),4)</f>
        <v>4</v>
      </c>
      <c r="H43" s="1">
        <f ca="1">IFERROR(__xludf.DUMMYFUNCTION("""COMPUTED_VALUE"""),5)</f>
        <v>5</v>
      </c>
      <c r="I43" s="1">
        <f ca="1">IFERROR(__xludf.DUMMYFUNCTION("""COMPUTED_VALUE"""),0)</f>
        <v>0</v>
      </c>
      <c r="J43" s="1">
        <f ca="1">IFERROR(__xludf.DUMMYFUNCTION("""COMPUTED_VALUE"""),5)</f>
        <v>5</v>
      </c>
      <c r="K43" s="1">
        <f ca="1">IFERROR(__xludf.DUMMYFUNCTION("""COMPUTED_VALUE"""),65)</f>
        <v>65</v>
      </c>
      <c r="L43" s="1">
        <f ca="1">IFERROR(__xludf.DUMMYFUNCTION("""COMPUTED_VALUE"""),61)</f>
        <v>61</v>
      </c>
      <c r="M43" s="1">
        <f ca="1">IFERROR(__xludf.DUMMYFUNCTION("""COMPUTED_VALUE"""),4)</f>
        <v>4</v>
      </c>
      <c r="N43" s="1">
        <f ca="1">IFERROR(__xludf.DUMMYFUNCTION("""COMPUTED_VALUE"""),15)</f>
        <v>15</v>
      </c>
      <c r="O43" s="1">
        <f ca="1">IFERROR(__xludf.DUMMYFUNCTION("""COMPUTED_VALUE"""),15)</f>
        <v>15</v>
      </c>
      <c r="P43" s="1">
        <f ca="1">IFERROR(__xludf.DUMMYFUNCTION("""COMPUTED_VALUE"""),0)</f>
        <v>0</v>
      </c>
      <c r="Q43" s="1">
        <f ca="1">IFERROR(__xludf.DUMMYFUNCTION("""COMPUTED_VALUE"""),5)</f>
        <v>5</v>
      </c>
      <c r="R43" s="1">
        <f ca="1">IFERROR(__xludf.DUMMYFUNCTION("""COMPUTED_VALUE"""),0)</f>
        <v>0</v>
      </c>
      <c r="S43" s="1">
        <f ca="1">IFERROR(__xludf.DUMMYFUNCTION("""COMPUTED_VALUE"""),0)</f>
        <v>0</v>
      </c>
      <c r="T43" s="1">
        <f ca="1">IFERROR(__xludf.DUMMYFUNCTION("""COMPUTED_VALUE"""),44305.4196759259)</f>
        <v>44305.419675925899</v>
      </c>
      <c r="U43" s="1" t="str">
        <f ca="1">IFERROR(__xludf.DUMMYFUNCTION("""COMPUTED_VALUE"""),"19-04-2021")</f>
        <v>19-04-2021</v>
      </c>
    </row>
    <row r="44" spans="1:21" ht="15.75" customHeight="1" x14ac:dyDescent="0.15">
      <c r="A44" s="1" t="str">
        <f t="shared" ca="1" si="0"/>
        <v>ChennaiM.R Hospital</v>
      </c>
      <c r="B44" s="1">
        <f ca="1">IFERROR(__xludf.DUMMYFUNCTION("""COMPUTED_VALUE"""),43)</f>
        <v>43</v>
      </c>
      <c r="C44" s="1" t="str">
        <f ca="1">IFERROR(__xludf.DUMMYFUNCTION("""COMPUTED_VALUE"""),"Chennai")</f>
        <v>Chennai</v>
      </c>
      <c r="D44" s="1" t="str">
        <f ca="1">IFERROR(__xludf.DUMMYFUNCTION("""COMPUTED_VALUE"""),"M.R Hospital")</f>
        <v>M.R Hospital</v>
      </c>
      <c r="E44" s="1">
        <f ca="1">IFERROR(__xludf.DUMMYFUNCTION("""COMPUTED_VALUE"""),15)</f>
        <v>15</v>
      </c>
      <c r="F44" s="1">
        <f ca="1">IFERROR(__xludf.DUMMYFUNCTION("""COMPUTED_VALUE"""),13)</f>
        <v>13</v>
      </c>
      <c r="G44" s="1">
        <f ca="1">IFERROR(__xludf.DUMMYFUNCTION("""COMPUTED_VALUE"""),2)</f>
        <v>2</v>
      </c>
      <c r="H44" s="1">
        <f ca="1">IFERROR(__xludf.DUMMYFUNCTION("""COMPUTED_VALUE"""),15)</f>
        <v>15</v>
      </c>
      <c r="I44" s="1">
        <f ca="1">IFERROR(__xludf.DUMMYFUNCTION("""COMPUTED_VALUE"""),13)</f>
        <v>13</v>
      </c>
      <c r="J44" s="1">
        <f ca="1">IFERROR(__xludf.DUMMYFUNCTION("""COMPUTED_VALUE"""),2)</f>
        <v>2</v>
      </c>
      <c r="K44" s="1">
        <f ca="1">IFERROR(__xludf.DUMMYFUNCTION("""COMPUTED_VALUE"""),0)</f>
        <v>0</v>
      </c>
      <c r="L44" s="1">
        <f ca="1">IFERROR(__xludf.DUMMYFUNCTION("""COMPUTED_VALUE"""),0)</f>
        <v>0</v>
      </c>
      <c r="M44" s="1">
        <f ca="1">IFERROR(__xludf.DUMMYFUNCTION("""COMPUTED_VALUE"""),0)</f>
        <v>0</v>
      </c>
      <c r="N44" s="1">
        <f ca="1">IFERROR(__xludf.DUMMYFUNCTION("""COMPUTED_VALUE"""),4)</f>
        <v>4</v>
      </c>
      <c r="O44" s="1">
        <f ca="1">IFERROR(__xludf.DUMMYFUNCTION("""COMPUTED_VALUE"""),3)</f>
        <v>3</v>
      </c>
      <c r="P44" s="1">
        <f ca="1">IFERROR(__xludf.DUMMYFUNCTION("""COMPUTED_VALUE"""),1)</f>
        <v>1</v>
      </c>
      <c r="Q44" s="1">
        <f ca="1">IFERROR(__xludf.DUMMYFUNCTION("""COMPUTED_VALUE"""),2)</f>
        <v>2</v>
      </c>
      <c r="R44" s="1">
        <f ca="1">IFERROR(__xludf.DUMMYFUNCTION("""COMPUTED_VALUE"""),0)</f>
        <v>0</v>
      </c>
      <c r="S44" s="1">
        <f ca="1">IFERROR(__xludf.DUMMYFUNCTION("""COMPUTED_VALUE"""),2)</f>
        <v>2</v>
      </c>
      <c r="T44" s="1">
        <f ca="1">IFERROR(__xludf.DUMMYFUNCTION("""COMPUTED_VALUE"""),44305.308125)</f>
        <v>44305.308125000003</v>
      </c>
      <c r="U44" s="1" t="str">
        <f ca="1">IFERROR(__xludf.DUMMYFUNCTION("""COMPUTED_VALUE"""),"19.04.2021")</f>
        <v>19.04.2021</v>
      </c>
    </row>
    <row r="45" spans="1:21" ht="15.75" customHeight="1" x14ac:dyDescent="0.15">
      <c r="A45" s="1" t="str">
        <f t="shared" ca="1" si="0"/>
        <v>ChennaiMaya Nursing Home</v>
      </c>
      <c r="B45" s="1">
        <f ca="1">IFERROR(__xludf.DUMMYFUNCTION("""COMPUTED_VALUE"""),44)</f>
        <v>44</v>
      </c>
      <c r="C45" s="1" t="str">
        <f ca="1">IFERROR(__xludf.DUMMYFUNCTION("""COMPUTED_VALUE"""),"Chennai")</f>
        <v>Chennai</v>
      </c>
      <c r="D45" s="1" t="str">
        <f ca="1">IFERROR(__xludf.DUMMYFUNCTION("""COMPUTED_VALUE"""),"Maya Nursing Home")</f>
        <v>Maya Nursing Home</v>
      </c>
      <c r="E45" s="1">
        <f ca="1">IFERROR(__xludf.DUMMYFUNCTION("""COMPUTED_VALUE"""),40)</f>
        <v>40</v>
      </c>
      <c r="F45" s="1">
        <f ca="1">IFERROR(__xludf.DUMMYFUNCTION("""COMPUTED_VALUE"""),40)</f>
        <v>40</v>
      </c>
      <c r="G45" s="1">
        <f ca="1">IFERROR(__xludf.DUMMYFUNCTION("""COMPUTED_VALUE"""),0)</f>
        <v>0</v>
      </c>
      <c r="H45" s="1">
        <f ca="1">IFERROR(__xludf.DUMMYFUNCTION("""COMPUTED_VALUE"""),15)</f>
        <v>15</v>
      </c>
      <c r="I45" s="1">
        <f ca="1">IFERROR(__xludf.DUMMYFUNCTION("""COMPUTED_VALUE"""),15)</f>
        <v>15</v>
      </c>
      <c r="J45" s="1">
        <f ca="1">IFERROR(__xludf.DUMMYFUNCTION("""COMPUTED_VALUE"""),0)</f>
        <v>0</v>
      </c>
      <c r="K45" s="1">
        <f ca="1">IFERROR(__xludf.DUMMYFUNCTION("""COMPUTED_VALUE"""),20)</f>
        <v>20</v>
      </c>
      <c r="L45" s="1">
        <f ca="1">IFERROR(__xludf.DUMMYFUNCTION("""COMPUTED_VALUE"""),0)</f>
        <v>0</v>
      </c>
      <c r="M45" s="1">
        <f ca="1">IFERROR(__xludf.DUMMYFUNCTION("""COMPUTED_VALUE"""),5)</f>
        <v>5</v>
      </c>
      <c r="N45" s="1">
        <f ca="1">IFERROR(__xludf.DUMMYFUNCTION("""COMPUTED_VALUE"""),5)</f>
        <v>5</v>
      </c>
      <c r="O45" s="1">
        <f ca="1">IFERROR(__xludf.DUMMYFUNCTION("""COMPUTED_VALUE"""),5)</f>
        <v>5</v>
      </c>
      <c r="P45" s="1">
        <f ca="1">IFERROR(__xludf.DUMMYFUNCTION("""COMPUTED_VALUE"""),0)</f>
        <v>0</v>
      </c>
      <c r="Q45" s="1">
        <f ca="1">IFERROR(__xludf.DUMMYFUNCTION("""COMPUTED_VALUE"""),4)</f>
        <v>4</v>
      </c>
      <c r="R45" s="1">
        <f ca="1">IFERROR(__xludf.DUMMYFUNCTION("""COMPUTED_VALUE"""),0)</f>
        <v>0</v>
      </c>
      <c r="S45" s="1">
        <f ca="1">IFERROR(__xludf.DUMMYFUNCTION("""COMPUTED_VALUE"""),4)</f>
        <v>4</v>
      </c>
      <c r="T45" s="1">
        <f ca="1">IFERROR(__xludf.DUMMYFUNCTION("""COMPUTED_VALUE"""),44300.3741319444)</f>
        <v>44300.374131944402</v>
      </c>
      <c r="U45" s="1" t="str">
        <f ca="1">IFERROR(__xludf.DUMMYFUNCTION("""COMPUTED_VALUE"""),"UPDATED")</f>
        <v>UPDATED</v>
      </c>
    </row>
    <row r="46" spans="1:21" ht="15.75" customHeight="1" x14ac:dyDescent="0.15">
      <c r="A46" s="1" t="str">
        <f t="shared" ca="1" si="0"/>
        <v>ChennaiMedway Hospital</v>
      </c>
      <c r="B46" s="1">
        <f ca="1">IFERROR(__xludf.DUMMYFUNCTION("""COMPUTED_VALUE"""),45)</f>
        <v>45</v>
      </c>
      <c r="C46" s="1" t="str">
        <f ca="1">IFERROR(__xludf.DUMMYFUNCTION("""COMPUTED_VALUE"""),"Chennai")</f>
        <v>Chennai</v>
      </c>
      <c r="D46" s="1" t="str">
        <f ca="1">IFERROR(__xludf.DUMMYFUNCTION("""COMPUTED_VALUE"""),"Medway Hospital")</f>
        <v>Medway Hospital</v>
      </c>
      <c r="E46" s="1">
        <f ca="1">IFERROR(__xludf.DUMMYFUNCTION("""COMPUTED_VALUE"""),35)</f>
        <v>35</v>
      </c>
      <c r="F46" s="1">
        <f ca="1">IFERROR(__xludf.DUMMYFUNCTION("""COMPUTED_VALUE"""),0)</f>
        <v>0</v>
      </c>
      <c r="G46" s="1">
        <f ca="1">IFERROR(__xludf.DUMMYFUNCTION("""COMPUTED_VALUE"""),35)</f>
        <v>35</v>
      </c>
      <c r="H46" s="1">
        <f ca="1">IFERROR(__xludf.DUMMYFUNCTION("""COMPUTED_VALUE"""),8)</f>
        <v>8</v>
      </c>
      <c r="I46" s="1">
        <f ca="1">IFERROR(__xludf.DUMMYFUNCTION("""COMPUTED_VALUE"""),0)</f>
        <v>0</v>
      </c>
      <c r="J46" s="1">
        <f ca="1">IFERROR(__xludf.DUMMYFUNCTION("""COMPUTED_VALUE"""),8)</f>
        <v>8</v>
      </c>
      <c r="K46" s="1">
        <f ca="1">IFERROR(__xludf.DUMMYFUNCTION("""COMPUTED_VALUE"""),0)</f>
        <v>0</v>
      </c>
      <c r="L46" s="1">
        <f ca="1">IFERROR(__xludf.DUMMYFUNCTION("""COMPUTED_VALUE"""),0)</f>
        <v>0</v>
      </c>
      <c r="M46" s="1">
        <f ca="1">IFERROR(__xludf.DUMMYFUNCTION("""COMPUTED_VALUE"""),0)</f>
        <v>0</v>
      </c>
      <c r="N46" s="1">
        <f ca="1">IFERROR(__xludf.DUMMYFUNCTION("""COMPUTED_VALUE"""),8)</f>
        <v>8</v>
      </c>
      <c r="O46" s="1">
        <f ca="1">IFERROR(__xludf.DUMMYFUNCTION("""COMPUTED_VALUE"""),0)</f>
        <v>0</v>
      </c>
      <c r="P46" s="1">
        <f ca="1">IFERROR(__xludf.DUMMYFUNCTION("""COMPUTED_VALUE"""),8)</f>
        <v>8</v>
      </c>
      <c r="Q46" s="1">
        <f ca="1">IFERROR(__xludf.DUMMYFUNCTION("""COMPUTED_VALUE"""),3)</f>
        <v>3</v>
      </c>
      <c r="R46" s="1">
        <f ca="1">IFERROR(__xludf.DUMMYFUNCTION("""COMPUTED_VALUE"""),0)</f>
        <v>0</v>
      </c>
      <c r="S46" s="1">
        <f ca="1">IFERROR(__xludf.DUMMYFUNCTION("""COMPUTED_VALUE"""),3)</f>
        <v>3</v>
      </c>
      <c r="T46" s="1">
        <f ca="1">IFERROR(__xludf.DUMMYFUNCTION("""COMPUTED_VALUE"""),44305.4426736111)</f>
        <v>44305.442673611098</v>
      </c>
      <c r="U46" s="1" t="str">
        <f ca="1">IFERROR(__xludf.DUMMYFUNCTION("""COMPUTED_VALUE"""),"19.04.21")</f>
        <v>19.04.21</v>
      </c>
    </row>
    <row r="47" spans="1:21" ht="15.75" customHeight="1" x14ac:dyDescent="0.15">
      <c r="A47" s="1" t="str">
        <f t="shared" ca="1" si="0"/>
        <v>ChennaiMeenakshi Medical College</v>
      </c>
      <c r="B47" s="1">
        <f ca="1">IFERROR(__xludf.DUMMYFUNCTION("""COMPUTED_VALUE"""),46)</f>
        <v>46</v>
      </c>
      <c r="C47" s="1" t="str">
        <f ca="1">IFERROR(__xludf.DUMMYFUNCTION("""COMPUTED_VALUE"""),"Chennai")</f>
        <v>Chennai</v>
      </c>
      <c r="D47" s="1" t="str">
        <f ca="1">IFERROR(__xludf.DUMMYFUNCTION("""COMPUTED_VALUE"""),"Meenakshi Medical College")</f>
        <v>Meenakshi Medical College</v>
      </c>
      <c r="E47" s="1">
        <f ca="1">IFERROR(__xludf.DUMMYFUNCTION("""COMPUTED_VALUE"""),80)</f>
        <v>80</v>
      </c>
      <c r="F47" s="1">
        <f ca="1">IFERROR(__xludf.DUMMYFUNCTION("""COMPUTED_VALUE"""),1)</f>
        <v>1</v>
      </c>
      <c r="G47" s="1">
        <f ca="1">IFERROR(__xludf.DUMMYFUNCTION("""COMPUTED_VALUE"""),79)</f>
        <v>79</v>
      </c>
      <c r="H47" s="1">
        <f ca="1">IFERROR(__xludf.DUMMYFUNCTION("""COMPUTED_VALUE"""),31)</f>
        <v>31</v>
      </c>
      <c r="I47" s="1">
        <f ca="1">IFERROR(__xludf.DUMMYFUNCTION("""COMPUTED_VALUE"""),0)</f>
        <v>0</v>
      </c>
      <c r="J47" s="1">
        <f ca="1">IFERROR(__xludf.DUMMYFUNCTION("""COMPUTED_VALUE"""),31)</f>
        <v>31</v>
      </c>
      <c r="K47" s="1">
        <f ca="1">IFERROR(__xludf.DUMMYFUNCTION("""COMPUTED_VALUE"""),42)</f>
        <v>42</v>
      </c>
      <c r="L47" s="1">
        <f ca="1">IFERROR(__xludf.DUMMYFUNCTION("""COMPUTED_VALUE"""),1)</f>
        <v>1</v>
      </c>
      <c r="M47" s="1">
        <f ca="1">IFERROR(__xludf.DUMMYFUNCTION("""COMPUTED_VALUE"""),41)</f>
        <v>41</v>
      </c>
      <c r="N47" s="1">
        <f ca="1">IFERROR(__xludf.DUMMYFUNCTION("""COMPUTED_VALUE"""),7)</f>
        <v>7</v>
      </c>
      <c r="O47" s="1">
        <f ca="1">IFERROR(__xludf.DUMMYFUNCTION("""COMPUTED_VALUE"""),0)</f>
        <v>0</v>
      </c>
      <c r="P47" s="1">
        <f ca="1">IFERROR(__xludf.DUMMYFUNCTION("""COMPUTED_VALUE"""),7)</f>
        <v>7</v>
      </c>
      <c r="Q47" s="1">
        <f ca="1">IFERROR(__xludf.DUMMYFUNCTION("""COMPUTED_VALUE"""),7)</f>
        <v>7</v>
      </c>
      <c r="R47" s="1">
        <f ca="1">IFERROR(__xludf.DUMMYFUNCTION("""COMPUTED_VALUE"""),0)</f>
        <v>0</v>
      </c>
      <c r="S47" s="1">
        <f ca="1">IFERROR(__xludf.DUMMYFUNCTION("""COMPUTED_VALUE"""),7)</f>
        <v>7</v>
      </c>
      <c r="T47" s="1">
        <f ca="1">IFERROR(__xludf.DUMMYFUNCTION("""COMPUTED_VALUE"""),44294.3534606481)</f>
        <v>44294.353460648097</v>
      </c>
      <c r="U47" s="1" t="str">
        <f ca="1">IFERROR(__xludf.DUMMYFUNCTION("""COMPUTED_VALUE"""),"Update")</f>
        <v>Update</v>
      </c>
    </row>
    <row r="48" spans="1:21" ht="15.75" customHeight="1" x14ac:dyDescent="0.15">
      <c r="A48" s="1" t="str">
        <f t="shared" ca="1" si="0"/>
        <v>ChennaiMelmaruvathur Aadhiparasakthi Medical College</v>
      </c>
      <c r="B48" s="1">
        <f ca="1">IFERROR(__xludf.DUMMYFUNCTION("""COMPUTED_VALUE"""),47)</f>
        <v>47</v>
      </c>
      <c r="C48" s="1" t="str">
        <f ca="1">IFERROR(__xludf.DUMMYFUNCTION("""COMPUTED_VALUE"""),"Chennai")</f>
        <v>Chennai</v>
      </c>
      <c r="D48" s="1" t="str">
        <f ca="1">IFERROR(__xludf.DUMMYFUNCTION("""COMPUTED_VALUE"""),"Melmaruvathur Aadhiparasakthi Medical College")</f>
        <v>Melmaruvathur Aadhiparasakthi Medical College</v>
      </c>
      <c r="E48" s="1">
        <f ca="1">IFERROR(__xludf.DUMMYFUNCTION("""COMPUTED_VALUE"""),250)</f>
        <v>250</v>
      </c>
      <c r="F48" s="1">
        <f ca="1">IFERROR(__xludf.DUMMYFUNCTION("""COMPUTED_VALUE"""),76)</f>
        <v>76</v>
      </c>
      <c r="G48" s="1">
        <f ca="1">IFERROR(__xludf.DUMMYFUNCTION("""COMPUTED_VALUE"""),174)</f>
        <v>174</v>
      </c>
      <c r="H48" s="1">
        <f ca="1">IFERROR(__xludf.DUMMYFUNCTION("""COMPUTED_VALUE"""),30)</f>
        <v>30</v>
      </c>
      <c r="I48" s="1">
        <f ca="1">IFERROR(__xludf.DUMMYFUNCTION("""COMPUTED_VALUE"""),27)</f>
        <v>27</v>
      </c>
      <c r="J48" s="1">
        <f ca="1">IFERROR(__xludf.DUMMYFUNCTION("""COMPUTED_VALUE"""),3)</f>
        <v>3</v>
      </c>
      <c r="K48" s="1">
        <f ca="1">IFERROR(__xludf.DUMMYFUNCTION("""COMPUTED_VALUE"""),175)</f>
        <v>175</v>
      </c>
      <c r="L48" s="1">
        <f ca="1">IFERROR(__xludf.DUMMYFUNCTION("""COMPUTED_VALUE"""),27)</f>
        <v>27</v>
      </c>
      <c r="M48" s="1">
        <f ca="1">IFERROR(__xludf.DUMMYFUNCTION("""COMPUTED_VALUE"""),148)</f>
        <v>148</v>
      </c>
      <c r="N48" s="1">
        <f ca="1">IFERROR(__xludf.DUMMYFUNCTION("""COMPUTED_VALUE"""),45)</f>
        <v>45</v>
      </c>
      <c r="O48" s="1">
        <f ca="1">IFERROR(__xludf.DUMMYFUNCTION("""COMPUTED_VALUE"""),22)</f>
        <v>22</v>
      </c>
      <c r="P48" s="1">
        <f ca="1">IFERROR(__xludf.DUMMYFUNCTION("""COMPUTED_VALUE"""),23)</f>
        <v>23</v>
      </c>
      <c r="Q48" s="1">
        <f ca="1">IFERROR(__xludf.DUMMYFUNCTION("""COMPUTED_VALUE"""),12)</f>
        <v>12</v>
      </c>
      <c r="R48" s="1">
        <f ca="1">IFERROR(__xludf.DUMMYFUNCTION("""COMPUTED_VALUE"""),10)</f>
        <v>10</v>
      </c>
      <c r="S48" s="1">
        <f ca="1">IFERROR(__xludf.DUMMYFUNCTION("""COMPUTED_VALUE"""),2)</f>
        <v>2</v>
      </c>
      <c r="T48" s="1">
        <f ca="1">IFERROR(__xludf.DUMMYFUNCTION("""COMPUTED_VALUE"""),44305.3071643518)</f>
        <v>44305.307164351798</v>
      </c>
      <c r="U48" s="1" t="str">
        <f ca="1">IFERROR(__xludf.DUMMYFUNCTION("""COMPUTED_VALUE"""),"19.04.2021 SUSPECT -29 ACTIVE COVID -76 TOTAL -105")</f>
        <v>19.04.2021 SUSPECT -29 ACTIVE COVID -76 TOTAL -105</v>
      </c>
    </row>
    <row r="49" spans="1:21" ht="15.75" customHeight="1" x14ac:dyDescent="0.15">
      <c r="A49" s="1" t="str">
        <f t="shared" ca="1" si="0"/>
        <v>ChennaiMint Hospital</v>
      </c>
      <c r="B49" s="1">
        <f ca="1">IFERROR(__xludf.DUMMYFUNCTION("""COMPUTED_VALUE"""),48)</f>
        <v>48</v>
      </c>
      <c r="C49" s="1" t="str">
        <f ca="1">IFERROR(__xludf.DUMMYFUNCTION("""COMPUTED_VALUE"""),"Chennai")</f>
        <v>Chennai</v>
      </c>
      <c r="D49" s="1" t="str">
        <f ca="1">IFERROR(__xludf.DUMMYFUNCTION("""COMPUTED_VALUE"""),"Mint Hospital")</f>
        <v>Mint Hospital</v>
      </c>
      <c r="E49" s="1">
        <f ca="1">IFERROR(__xludf.DUMMYFUNCTION("""COMPUTED_VALUE"""),24)</f>
        <v>24</v>
      </c>
      <c r="F49" s="1">
        <f ca="1">IFERROR(__xludf.DUMMYFUNCTION("""COMPUTED_VALUE"""),24)</f>
        <v>24</v>
      </c>
      <c r="G49" s="1">
        <f ca="1">IFERROR(__xludf.DUMMYFUNCTION("""COMPUTED_VALUE"""),0)</f>
        <v>0</v>
      </c>
      <c r="H49" s="1">
        <f ca="1">IFERROR(__xludf.DUMMYFUNCTION("""COMPUTED_VALUE"""),20)</f>
        <v>20</v>
      </c>
      <c r="I49" s="1">
        <f ca="1">IFERROR(__xludf.DUMMYFUNCTION("""COMPUTED_VALUE"""),20)</f>
        <v>20</v>
      </c>
      <c r="J49" s="1">
        <f ca="1">IFERROR(__xludf.DUMMYFUNCTION("""COMPUTED_VALUE"""),0)</f>
        <v>0</v>
      </c>
      <c r="K49" s="1">
        <f ca="1">IFERROR(__xludf.DUMMYFUNCTION("""COMPUTED_VALUE"""),0)</f>
        <v>0</v>
      </c>
      <c r="L49" s="1">
        <f ca="1">IFERROR(__xludf.DUMMYFUNCTION("""COMPUTED_VALUE"""),0)</f>
        <v>0</v>
      </c>
      <c r="M49" s="1">
        <f ca="1">IFERROR(__xludf.DUMMYFUNCTION("""COMPUTED_VALUE"""),0)</f>
        <v>0</v>
      </c>
      <c r="N49" s="1">
        <f ca="1">IFERROR(__xludf.DUMMYFUNCTION("""COMPUTED_VALUE"""),4)</f>
        <v>4</v>
      </c>
      <c r="O49" s="1">
        <f ca="1">IFERROR(__xludf.DUMMYFUNCTION("""COMPUTED_VALUE"""),4)</f>
        <v>4</v>
      </c>
      <c r="P49" s="1">
        <f ca="1">IFERROR(__xludf.DUMMYFUNCTION("""COMPUTED_VALUE"""),0)</f>
        <v>0</v>
      </c>
      <c r="Q49" s="1">
        <f ca="1">IFERROR(__xludf.DUMMYFUNCTION("""COMPUTED_VALUE"""),2)</f>
        <v>2</v>
      </c>
      <c r="R49" s="1">
        <f ca="1">IFERROR(__xludf.DUMMYFUNCTION("""COMPUTED_VALUE"""),0)</f>
        <v>0</v>
      </c>
      <c r="S49" s="1">
        <f ca="1">IFERROR(__xludf.DUMMYFUNCTION("""COMPUTED_VALUE"""),2)</f>
        <v>2</v>
      </c>
      <c r="T49" s="1">
        <f ca="1">IFERROR(__xludf.DUMMYFUNCTION("""COMPUTED_VALUE"""),44302.342824074)</f>
        <v>44302.342824074003</v>
      </c>
      <c r="U49" s="1" t="str">
        <f ca="1">IFERROR(__xludf.DUMMYFUNCTION("""COMPUTED_VALUE"""),"16.4.2021 06.30Am Updated")</f>
        <v>16.4.2021 06.30Am Updated</v>
      </c>
    </row>
    <row r="50" spans="1:21" ht="15.75" customHeight="1" x14ac:dyDescent="0.15">
      <c r="A50" s="1" t="str">
        <f t="shared" ca="1" si="0"/>
        <v>ChennaiMiot Hospital</v>
      </c>
      <c r="B50" s="1">
        <f ca="1">IFERROR(__xludf.DUMMYFUNCTION("""COMPUTED_VALUE"""),49)</f>
        <v>49</v>
      </c>
      <c r="C50" s="1" t="str">
        <f ca="1">IFERROR(__xludf.DUMMYFUNCTION("""COMPUTED_VALUE"""),"Chennai")</f>
        <v>Chennai</v>
      </c>
      <c r="D50" s="1" t="str">
        <f ca="1">IFERROR(__xludf.DUMMYFUNCTION("""COMPUTED_VALUE"""),"Miot Hospital")</f>
        <v>Miot Hospital</v>
      </c>
      <c r="E50" s="1">
        <f ca="1">IFERROR(__xludf.DUMMYFUNCTION("""COMPUTED_VALUE"""),300)</f>
        <v>300</v>
      </c>
      <c r="F50" s="1">
        <f ca="1">IFERROR(__xludf.DUMMYFUNCTION("""COMPUTED_VALUE"""),66)</f>
        <v>66</v>
      </c>
      <c r="G50" s="1">
        <f ca="1">IFERROR(__xludf.DUMMYFUNCTION("""COMPUTED_VALUE"""),234)</f>
        <v>234</v>
      </c>
      <c r="H50" s="1">
        <f ca="1">IFERROR(__xludf.DUMMYFUNCTION("""COMPUTED_VALUE"""),70)</f>
        <v>70</v>
      </c>
      <c r="I50" s="1">
        <f ca="1">IFERROR(__xludf.DUMMYFUNCTION("""COMPUTED_VALUE"""),0)</f>
        <v>0</v>
      </c>
      <c r="J50" s="1">
        <f ca="1">IFERROR(__xludf.DUMMYFUNCTION("""COMPUTED_VALUE"""),0)</f>
        <v>0</v>
      </c>
      <c r="K50" s="1">
        <f ca="1">IFERROR(__xludf.DUMMYFUNCTION("""COMPUTED_VALUE"""),197)</f>
        <v>197</v>
      </c>
      <c r="L50" s="1">
        <f ca="1">IFERROR(__xludf.DUMMYFUNCTION("""COMPUTED_VALUE"""),57)</f>
        <v>57</v>
      </c>
      <c r="M50" s="1">
        <f ca="1">IFERROR(__xludf.DUMMYFUNCTION("""COMPUTED_VALUE"""),140)</f>
        <v>140</v>
      </c>
      <c r="N50" s="1">
        <f ca="1">IFERROR(__xludf.DUMMYFUNCTION("""COMPUTED_VALUE"""),33)</f>
        <v>33</v>
      </c>
      <c r="O50" s="1">
        <f ca="1">IFERROR(__xludf.DUMMYFUNCTION("""COMPUTED_VALUE"""),9)</f>
        <v>9</v>
      </c>
      <c r="P50" s="1">
        <f ca="1">IFERROR(__xludf.DUMMYFUNCTION("""COMPUTED_VALUE"""),24)</f>
        <v>24</v>
      </c>
      <c r="Q50" s="1">
        <f ca="1">IFERROR(__xludf.DUMMYFUNCTION("""COMPUTED_VALUE"""),10)</f>
        <v>10</v>
      </c>
      <c r="R50" s="1">
        <f ca="1">IFERROR(__xludf.DUMMYFUNCTION("""COMPUTED_VALUE"""),1)</f>
        <v>1</v>
      </c>
      <c r="S50" s="1">
        <f ca="1">IFERROR(__xludf.DUMMYFUNCTION("""COMPUTED_VALUE"""),9)</f>
        <v>9</v>
      </c>
      <c r="T50" s="1">
        <f ca="1">IFERROR(__xludf.DUMMYFUNCTION("""COMPUTED_VALUE"""),44305.6234953703)</f>
        <v>44305.623495370302</v>
      </c>
      <c r="U50" s="1"/>
    </row>
    <row r="51" spans="1:21" ht="15.75" customHeight="1" x14ac:dyDescent="0.15">
      <c r="A51" s="1" t="str">
        <f t="shared" ca="1" si="0"/>
        <v>ChennaiMMRV Hospital</v>
      </c>
      <c r="B51" s="1">
        <f ca="1">IFERROR(__xludf.DUMMYFUNCTION("""COMPUTED_VALUE"""),50)</f>
        <v>50</v>
      </c>
      <c r="C51" s="1" t="str">
        <f ca="1">IFERROR(__xludf.DUMMYFUNCTION("""COMPUTED_VALUE"""),"Chennai")</f>
        <v>Chennai</v>
      </c>
      <c r="D51" s="1" t="str">
        <f ca="1">IFERROR(__xludf.DUMMYFUNCTION("""COMPUTED_VALUE"""),"MMRV Hospital")</f>
        <v>MMRV Hospital</v>
      </c>
      <c r="E51" s="1">
        <f ca="1">IFERROR(__xludf.DUMMYFUNCTION("""COMPUTED_VALUE"""),50)</f>
        <v>50</v>
      </c>
      <c r="F51" s="1">
        <f ca="1">IFERROR(__xludf.DUMMYFUNCTION("""COMPUTED_VALUE"""),50)</f>
        <v>50</v>
      </c>
      <c r="G51" s="1">
        <f ca="1">IFERROR(__xludf.DUMMYFUNCTION("""COMPUTED_VALUE"""),0)</f>
        <v>0</v>
      </c>
      <c r="H51" s="1">
        <f ca="1">IFERROR(__xludf.DUMMYFUNCTION("""COMPUTED_VALUE"""),20)</f>
        <v>20</v>
      </c>
      <c r="I51" s="1">
        <f ca="1">IFERROR(__xludf.DUMMYFUNCTION("""COMPUTED_VALUE"""),20)</f>
        <v>20</v>
      </c>
      <c r="J51" s="1">
        <f ca="1">IFERROR(__xludf.DUMMYFUNCTION("""COMPUTED_VALUE"""),0)</f>
        <v>0</v>
      </c>
      <c r="K51" s="1">
        <f ca="1">IFERROR(__xludf.DUMMYFUNCTION("""COMPUTED_VALUE"""),0)</f>
        <v>0</v>
      </c>
      <c r="L51" s="1">
        <f ca="1">IFERROR(__xludf.DUMMYFUNCTION("""COMPUTED_VALUE"""),0)</f>
        <v>0</v>
      </c>
      <c r="M51" s="1">
        <f ca="1">IFERROR(__xludf.DUMMYFUNCTION("""COMPUTED_VALUE"""),0)</f>
        <v>0</v>
      </c>
      <c r="N51" s="1">
        <f ca="1">IFERROR(__xludf.DUMMYFUNCTION("""COMPUTED_VALUE"""),30)</f>
        <v>30</v>
      </c>
      <c r="O51" s="1">
        <f ca="1">IFERROR(__xludf.DUMMYFUNCTION("""COMPUTED_VALUE"""),30)</f>
        <v>30</v>
      </c>
      <c r="P51" s="1">
        <f ca="1">IFERROR(__xludf.DUMMYFUNCTION("""COMPUTED_VALUE"""),0)</f>
        <v>0</v>
      </c>
      <c r="Q51" s="1">
        <f ca="1">IFERROR(__xludf.DUMMYFUNCTION("""COMPUTED_VALUE"""),4)</f>
        <v>4</v>
      </c>
      <c r="R51" s="1">
        <f ca="1">IFERROR(__xludf.DUMMYFUNCTION("""COMPUTED_VALUE"""),4)</f>
        <v>4</v>
      </c>
      <c r="S51" s="1">
        <f ca="1">IFERROR(__xludf.DUMMYFUNCTION("""COMPUTED_VALUE"""),0)</f>
        <v>0</v>
      </c>
      <c r="T51" s="1">
        <f ca="1">IFERROR(__xludf.DUMMYFUNCTION("""COMPUTED_VALUE"""),44305.3084606481)</f>
        <v>44305.308460648099</v>
      </c>
      <c r="U51" s="1" t="str">
        <f ca="1">IFERROR(__xludf.DUMMYFUNCTION("""COMPUTED_VALUE"""),"19/04/2021")</f>
        <v>19/04/2021</v>
      </c>
    </row>
    <row r="52" spans="1:21" ht="15.75" customHeight="1" x14ac:dyDescent="0.15">
      <c r="A52" s="1" t="str">
        <f t="shared" ca="1" si="0"/>
        <v>ChennaiMuthu hospital</v>
      </c>
      <c r="B52" s="1">
        <f ca="1">IFERROR(__xludf.DUMMYFUNCTION("""COMPUTED_VALUE"""),51)</f>
        <v>51</v>
      </c>
      <c r="C52" s="1" t="str">
        <f ca="1">IFERROR(__xludf.DUMMYFUNCTION("""COMPUTED_VALUE"""),"Chennai")</f>
        <v>Chennai</v>
      </c>
      <c r="D52" s="1" t="str">
        <f ca="1">IFERROR(__xludf.DUMMYFUNCTION("""COMPUTED_VALUE"""),"Muthu hospital")</f>
        <v>Muthu hospital</v>
      </c>
      <c r="E52" s="1">
        <f ca="1">IFERROR(__xludf.DUMMYFUNCTION("""COMPUTED_VALUE"""),20)</f>
        <v>20</v>
      </c>
      <c r="F52" s="1">
        <f ca="1">IFERROR(__xludf.DUMMYFUNCTION("""COMPUTED_VALUE"""),20)</f>
        <v>20</v>
      </c>
      <c r="G52" s="1">
        <f ca="1">IFERROR(__xludf.DUMMYFUNCTION("""COMPUTED_VALUE"""),0)</f>
        <v>0</v>
      </c>
      <c r="H52" s="1">
        <f ca="1">IFERROR(__xludf.DUMMYFUNCTION("""COMPUTED_VALUE"""),10)</f>
        <v>10</v>
      </c>
      <c r="I52" s="1">
        <f ca="1">IFERROR(__xludf.DUMMYFUNCTION("""COMPUTED_VALUE"""),10)</f>
        <v>10</v>
      </c>
      <c r="J52" s="1">
        <f ca="1">IFERROR(__xludf.DUMMYFUNCTION("""COMPUTED_VALUE"""),0)</f>
        <v>0</v>
      </c>
      <c r="K52" s="1">
        <f ca="1">IFERROR(__xludf.DUMMYFUNCTION("""COMPUTED_VALUE"""),10)</f>
        <v>10</v>
      </c>
      <c r="L52" s="1">
        <f ca="1">IFERROR(__xludf.DUMMYFUNCTION("""COMPUTED_VALUE"""),10)</f>
        <v>10</v>
      </c>
      <c r="M52" s="1">
        <f ca="1">IFERROR(__xludf.DUMMYFUNCTION("""COMPUTED_VALUE"""),0)</f>
        <v>0</v>
      </c>
      <c r="N52" s="1">
        <f ca="1">IFERROR(__xludf.DUMMYFUNCTION("""COMPUTED_VALUE"""),3)</f>
        <v>3</v>
      </c>
      <c r="O52" s="1">
        <f ca="1">IFERROR(__xludf.DUMMYFUNCTION("""COMPUTED_VALUE"""),3)</f>
        <v>3</v>
      </c>
      <c r="P52" s="1">
        <f ca="1">IFERROR(__xludf.DUMMYFUNCTION("""COMPUTED_VALUE"""),0)</f>
        <v>0</v>
      </c>
      <c r="Q52" s="1">
        <f ca="1">IFERROR(__xludf.DUMMYFUNCTION("""COMPUTED_VALUE"""),2)</f>
        <v>2</v>
      </c>
      <c r="R52" s="1">
        <f ca="1">IFERROR(__xludf.DUMMYFUNCTION("""COMPUTED_VALUE"""),0)</f>
        <v>0</v>
      </c>
      <c r="S52" s="1">
        <f ca="1">IFERROR(__xludf.DUMMYFUNCTION("""COMPUTED_VALUE"""),2)</f>
        <v>2</v>
      </c>
      <c r="T52" s="1">
        <f ca="1">IFERROR(__xludf.DUMMYFUNCTION("""COMPUTED_VALUE"""),44303.364849537)</f>
        <v>44303.364849537</v>
      </c>
      <c r="U52" s="1" t="str">
        <f ca="1">IFERROR(__xludf.DUMMYFUNCTION("""COMPUTED_VALUE"""),"13-03-2021")</f>
        <v>13-03-2021</v>
      </c>
    </row>
    <row r="53" spans="1:21" ht="15.75" customHeight="1" x14ac:dyDescent="0.15">
      <c r="A53" s="1" t="str">
        <f t="shared" ca="1" si="0"/>
        <v>ChennaiNational Hospital</v>
      </c>
      <c r="B53" s="1">
        <f ca="1">IFERROR(__xludf.DUMMYFUNCTION("""COMPUTED_VALUE"""),52)</f>
        <v>52</v>
      </c>
      <c r="C53" s="1" t="str">
        <f ca="1">IFERROR(__xludf.DUMMYFUNCTION("""COMPUTED_VALUE"""),"Chennai")</f>
        <v>Chennai</v>
      </c>
      <c r="D53" s="1" t="str">
        <f ca="1">IFERROR(__xludf.DUMMYFUNCTION("""COMPUTED_VALUE"""),"National Hospital")</f>
        <v>National Hospital</v>
      </c>
      <c r="E53" s="1">
        <f ca="1">IFERROR(__xludf.DUMMYFUNCTION("""COMPUTED_VALUE"""),100)</f>
        <v>100</v>
      </c>
      <c r="F53" s="1">
        <f ca="1">IFERROR(__xludf.DUMMYFUNCTION("""COMPUTED_VALUE"""),100)</f>
        <v>100</v>
      </c>
      <c r="G53" s="1">
        <f ca="1">IFERROR(__xludf.DUMMYFUNCTION("""COMPUTED_VALUE"""),0)</f>
        <v>0</v>
      </c>
      <c r="H53" s="1">
        <f ca="1">IFERROR(__xludf.DUMMYFUNCTION("""COMPUTED_VALUE"""),100)</f>
        <v>100</v>
      </c>
      <c r="I53" s="1">
        <f ca="1">IFERROR(__xludf.DUMMYFUNCTION("""COMPUTED_VALUE"""),100)</f>
        <v>100</v>
      </c>
      <c r="J53" s="1">
        <f ca="1">IFERROR(__xludf.DUMMYFUNCTION("""COMPUTED_VALUE"""),0)</f>
        <v>0</v>
      </c>
      <c r="K53" s="1">
        <f ca="1">IFERROR(__xludf.DUMMYFUNCTION("""COMPUTED_VALUE"""),0)</f>
        <v>0</v>
      </c>
      <c r="L53" s="1">
        <f ca="1">IFERROR(__xludf.DUMMYFUNCTION("""COMPUTED_VALUE"""),0)</f>
        <v>0</v>
      </c>
      <c r="M53" s="1">
        <f ca="1">IFERROR(__xludf.DUMMYFUNCTION("""COMPUTED_VALUE"""),0)</f>
        <v>0</v>
      </c>
      <c r="N53" s="1">
        <f ca="1">IFERROR(__xludf.DUMMYFUNCTION("""COMPUTED_VALUE"""),10)</f>
        <v>10</v>
      </c>
      <c r="O53" s="1">
        <f ca="1">IFERROR(__xludf.DUMMYFUNCTION("""COMPUTED_VALUE"""),10)</f>
        <v>10</v>
      </c>
      <c r="P53" s="1">
        <f ca="1">IFERROR(__xludf.DUMMYFUNCTION("""COMPUTED_VALUE"""),0)</f>
        <v>0</v>
      </c>
      <c r="Q53" s="1">
        <f ca="1">IFERROR(__xludf.DUMMYFUNCTION("""COMPUTED_VALUE"""),4)</f>
        <v>4</v>
      </c>
      <c r="R53" s="1">
        <f ca="1">IFERROR(__xludf.DUMMYFUNCTION("""COMPUTED_VALUE"""),4)</f>
        <v>4</v>
      </c>
      <c r="S53" s="1">
        <f ca="1">IFERROR(__xludf.DUMMYFUNCTION("""COMPUTED_VALUE"""),0)</f>
        <v>0</v>
      </c>
      <c r="T53" s="1">
        <f ca="1">IFERROR(__xludf.DUMMYFUNCTION("""COMPUTED_VALUE"""),44305.3812037037)</f>
        <v>44305.381203703699</v>
      </c>
      <c r="U53" s="1" t="str">
        <f ca="1">IFERROR(__xludf.DUMMYFUNCTION("""COMPUTED_VALUE"""),"19-04-2021")</f>
        <v>19-04-2021</v>
      </c>
    </row>
    <row r="54" spans="1:21" ht="15.75" customHeight="1" x14ac:dyDescent="0.15">
      <c r="A54" s="1" t="str">
        <f t="shared" ca="1" si="0"/>
        <v>ChennaiNew Hope Multi Speciality Hospital, Kilpauk</v>
      </c>
      <c r="B54" s="1">
        <f ca="1">IFERROR(__xludf.DUMMYFUNCTION("""COMPUTED_VALUE"""),53)</f>
        <v>53</v>
      </c>
      <c r="C54" s="1" t="str">
        <f ca="1">IFERROR(__xludf.DUMMYFUNCTION("""COMPUTED_VALUE"""),"Chennai")</f>
        <v>Chennai</v>
      </c>
      <c r="D54" s="1" t="str">
        <f ca="1">IFERROR(__xludf.DUMMYFUNCTION("""COMPUTED_VALUE"""),"New Hope Multi Speciality Hospital, Kilpauk")</f>
        <v>New Hope Multi Speciality Hospital, Kilpauk</v>
      </c>
      <c r="E54" s="1">
        <f ca="1">IFERROR(__xludf.DUMMYFUNCTION("""COMPUTED_VALUE"""),20)</f>
        <v>20</v>
      </c>
      <c r="F54" s="1">
        <f ca="1">IFERROR(__xludf.DUMMYFUNCTION("""COMPUTED_VALUE"""),11)</f>
        <v>11</v>
      </c>
      <c r="G54" s="1">
        <f ca="1">IFERROR(__xludf.DUMMYFUNCTION("""COMPUTED_VALUE"""),18)</f>
        <v>18</v>
      </c>
      <c r="H54" s="1">
        <f ca="1">IFERROR(__xludf.DUMMYFUNCTION("""COMPUTED_VALUE"""),20)</f>
        <v>20</v>
      </c>
      <c r="I54" s="1">
        <f ca="1">IFERROR(__xludf.DUMMYFUNCTION("""COMPUTED_VALUE"""),11)</f>
        <v>11</v>
      </c>
      <c r="J54" s="1">
        <f ca="1">IFERROR(__xludf.DUMMYFUNCTION("""COMPUTED_VALUE"""),14)</f>
        <v>14</v>
      </c>
      <c r="K54" s="1">
        <f ca="1">IFERROR(__xludf.DUMMYFUNCTION("""COMPUTED_VALUE"""),11)</f>
        <v>11</v>
      </c>
      <c r="L54" s="1">
        <f ca="1">IFERROR(__xludf.DUMMYFUNCTION("""COMPUTED_VALUE"""),0)</f>
        <v>0</v>
      </c>
      <c r="M54" s="1">
        <f ca="1">IFERROR(__xludf.DUMMYFUNCTION("""COMPUTED_VALUE"""),0)</f>
        <v>0</v>
      </c>
      <c r="N54" s="1">
        <f ca="1">IFERROR(__xludf.DUMMYFUNCTION("""COMPUTED_VALUE"""),0)</f>
        <v>0</v>
      </c>
      <c r="O54" s="1">
        <f ca="1">IFERROR(__xludf.DUMMYFUNCTION("""COMPUTED_VALUE"""),0)</f>
        <v>0</v>
      </c>
      <c r="P54" s="1">
        <f ca="1">IFERROR(__xludf.DUMMYFUNCTION("""COMPUTED_VALUE"""),0)</f>
        <v>0</v>
      </c>
      <c r="Q54" s="1">
        <f ca="1">IFERROR(__xludf.DUMMYFUNCTION("""COMPUTED_VALUE"""),0)</f>
        <v>0</v>
      </c>
      <c r="R54" s="1">
        <f ca="1">IFERROR(__xludf.DUMMYFUNCTION("""COMPUTED_VALUE"""),0)</f>
        <v>0</v>
      </c>
      <c r="S54" s="1">
        <f ca="1">IFERROR(__xludf.DUMMYFUNCTION("""COMPUTED_VALUE"""),0)</f>
        <v>0</v>
      </c>
      <c r="T54" s="1">
        <f ca="1">IFERROR(__xludf.DUMMYFUNCTION("""COMPUTED_VALUE"""),44305.3025231481)</f>
        <v>44305.302523148101</v>
      </c>
      <c r="U54" s="1"/>
    </row>
    <row r="55" spans="1:21" ht="15.75" customHeight="1" x14ac:dyDescent="0.15">
      <c r="A55" s="1" t="str">
        <f t="shared" ca="1" si="0"/>
        <v>ChennaiNew Life Hospitals</v>
      </c>
      <c r="B55" s="1">
        <f ca="1">IFERROR(__xludf.DUMMYFUNCTION("""COMPUTED_VALUE"""),54)</f>
        <v>54</v>
      </c>
      <c r="C55" s="1" t="str">
        <f ca="1">IFERROR(__xludf.DUMMYFUNCTION("""COMPUTED_VALUE"""),"Chennai")</f>
        <v>Chennai</v>
      </c>
      <c r="D55" s="1" t="str">
        <f ca="1">IFERROR(__xludf.DUMMYFUNCTION("""COMPUTED_VALUE"""),"New Life Hospitals")</f>
        <v>New Life Hospitals</v>
      </c>
      <c r="E55" s="1">
        <f ca="1">IFERROR(__xludf.DUMMYFUNCTION("""COMPUTED_VALUE"""),35)</f>
        <v>35</v>
      </c>
      <c r="F55" s="1">
        <f ca="1">IFERROR(__xludf.DUMMYFUNCTION("""COMPUTED_VALUE"""),0)</f>
        <v>0</v>
      </c>
      <c r="G55" s="1">
        <f ca="1">IFERROR(__xludf.DUMMYFUNCTION("""COMPUTED_VALUE"""),35)</f>
        <v>35</v>
      </c>
      <c r="H55" s="1">
        <f ca="1">IFERROR(__xludf.DUMMYFUNCTION("""COMPUTED_VALUE"""),32)</f>
        <v>32</v>
      </c>
      <c r="I55" s="1">
        <f ca="1">IFERROR(__xludf.DUMMYFUNCTION("""COMPUTED_VALUE"""),0)</f>
        <v>0</v>
      </c>
      <c r="J55" s="1">
        <f ca="1">IFERROR(__xludf.DUMMYFUNCTION("""COMPUTED_VALUE"""),32)</f>
        <v>32</v>
      </c>
      <c r="K55" s="1">
        <f ca="1">IFERROR(__xludf.DUMMYFUNCTION("""COMPUTED_VALUE"""),3)</f>
        <v>3</v>
      </c>
      <c r="L55" s="1">
        <f ca="1">IFERROR(__xludf.DUMMYFUNCTION("""COMPUTED_VALUE"""),0)</f>
        <v>0</v>
      </c>
      <c r="M55" s="1">
        <f ca="1">IFERROR(__xludf.DUMMYFUNCTION("""COMPUTED_VALUE"""),3)</f>
        <v>3</v>
      </c>
      <c r="N55" s="1">
        <f ca="1">IFERROR(__xludf.DUMMYFUNCTION("""COMPUTED_VALUE"""),3)</f>
        <v>3</v>
      </c>
      <c r="O55" s="1">
        <f ca="1">IFERROR(__xludf.DUMMYFUNCTION("""COMPUTED_VALUE"""),0)</f>
        <v>0</v>
      </c>
      <c r="P55" s="1">
        <f ca="1">IFERROR(__xludf.DUMMYFUNCTION("""COMPUTED_VALUE"""),3)</f>
        <v>3</v>
      </c>
      <c r="Q55" s="1">
        <f ca="1">IFERROR(__xludf.DUMMYFUNCTION("""COMPUTED_VALUE"""),2)</f>
        <v>2</v>
      </c>
      <c r="R55" s="1">
        <f ca="1">IFERROR(__xludf.DUMMYFUNCTION("""COMPUTED_VALUE"""),0)</f>
        <v>0</v>
      </c>
      <c r="S55" s="1">
        <f ca="1">IFERROR(__xludf.DUMMYFUNCTION("""COMPUTED_VALUE"""),2)</f>
        <v>2</v>
      </c>
      <c r="T55" s="1">
        <f ca="1">IFERROR(__xludf.DUMMYFUNCTION("""COMPUTED_VALUE"""),44305.4423958333)</f>
        <v>44305.442395833299</v>
      </c>
      <c r="U55" s="1" t="str">
        <f ca="1">IFERROR(__xludf.DUMMYFUNCTION("""COMPUTED_VALUE"""),"19-04-21")</f>
        <v>19-04-21</v>
      </c>
    </row>
    <row r="56" spans="1:21" ht="15.75" customHeight="1" x14ac:dyDescent="0.15">
      <c r="A56" s="1" t="str">
        <f t="shared" ca="1" si="0"/>
        <v>ChennaiNew Lifemed Hospital</v>
      </c>
      <c r="B56" s="1">
        <f ca="1">IFERROR(__xludf.DUMMYFUNCTION("""COMPUTED_VALUE"""),55)</f>
        <v>55</v>
      </c>
      <c r="C56" s="1" t="str">
        <f ca="1">IFERROR(__xludf.DUMMYFUNCTION("""COMPUTED_VALUE"""),"Chennai")</f>
        <v>Chennai</v>
      </c>
      <c r="D56" s="1" t="str">
        <f ca="1">IFERROR(__xludf.DUMMYFUNCTION("""COMPUTED_VALUE"""),"New Lifemed Hospital")</f>
        <v>New Lifemed Hospital</v>
      </c>
      <c r="E56" s="1">
        <f ca="1">IFERROR(__xludf.DUMMYFUNCTION("""COMPUTED_VALUE"""),43)</f>
        <v>43</v>
      </c>
      <c r="F56" s="1">
        <f ca="1">IFERROR(__xludf.DUMMYFUNCTION("""COMPUTED_VALUE"""),43)</f>
        <v>43</v>
      </c>
      <c r="G56" s="1">
        <f ca="1">IFERROR(__xludf.DUMMYFUNCTION("""COMPUTED_VALUE"""),2)</f>
        <v>2</v>
      </c>
      <c r="H56" s="1">
        <f ca="1">IFERROR(__xludf.DUMMYFUNCTION("""COMPUTED_VALUE"""),13)</f>
        <v>13</v>
      </c>
      <c r="I56" s="1">
        <f ca="1">IFERROR(__xludf.DUMMYFUNCTION("""COMPUTED_VALUE"""),13)</f>
        <v>13</v>
      </c>
      <c r="J56" s="1">
        <f ca="1">IFERROR(__xludf.DUMMYFUNCTION("""COMPUTED_VALUE"""),0)</f>
        <v>0</v>
      </c>
      <c r="K56" s="1">
        <f ca="1">IFERROR(__xludf.DUMMYFUNCTION("""COMPUTED_VALUE"""),26)</f>
        <v>26</v>
      </c>
      <c r="L56" s="1">
        <f ca="1">IFERROR(__xludf.DUMMYFUNCTION("""COMPUTED_VALUE"""),26)</f>
        <v>26</v>
      </c>
      <c r="M56" s="1">
        <f ca="1">IFERROR(__xludf.DUMMYFUNCTION("""COMPUTED_VALUE"""),0)</f>
        <v>0</v>
      </c>
      <c r="N56" s="1">
        <f ca="1">IFERROR(__xludf.DUMMYFUNCTION("""COMPUTED_VALUE"""),4)</f>
        <v>4</v>
      </c>
      <c r="O56" s="1">
        <f ca="1">IFERROR(__xludf.DUMMYFUNCTION("""COMPUTED_VALUE"""),4)</f>
        <v>4</v>
      </c>
      <c r="P56" s="1">
        <f ca="1">IFERROR(__xludf.DUMMYFUNCTION("""COMPUTED_VALUE"""),0)</f>
        <v>0</v>
      </c>
      <c r="Q56" s="1">
        <f ca="1">IFERROR(__xludf.DUMMYFUNCTION("""COMPUTED_VALUE"""),1)</f>
        <v>1</v>
      </c>
      <c r="R56" s="1">
        <f ca="1">IFERROR(__xludf.DUMMYFUNCTION("""COMPUTED_VALUE"""),0)</f>
        <v>0</v>
      </c>
      <c r="S56" s="1">
        <f ca="1">IFERROR(__xludf.DUMMYFUNCTION("""COMPUTED_VALUE"""),1)</f>
        <v>1</v>
      </c>
      <c r="T56" s="1">
        <f ca="1">IFERROR(__xludf.DUMMYFUNCTION("""COMPUTED_VALUE"""),44305.3736111111)</f>
        <v>44305.373611111099</v>
      </c>
      <c r="U56" s="1" t="str">
        <f ca="1">IFERROR(__xludf.DUMMYFUNCTION("""COMPUTED_VALUE"""),"NIL")</f>
        <v>NIL</v>
      </c>
    </row>
    <row r="57" spans="1:21" ht="15.75" customHeight="1" x14ac:dyDescent="0.15">
      <c r="A57" s="1" t="str">
        <f t="shared" ca="1" si="0"/>
        <v>ChennaiNoble Hospital</v>
      </c>
      <c r="B57" s="1">
        <f ca="1">IFERROR(__xludf.DUMMYFUNCTION("""COMPUTED_VALUE"""),56)</f>
        <v>56</v>
      </c>
      <c r="C57" s="1" t="str">
        <f ca="1">IFERROR(__xludf.DUMMYFUNCTION("""COMPUTED_VALUE"""),"Chennai")</f>
        <v>Chennai</v>
      </c>
      <c r="D57" s="1" t="str">
        <f ca="1">IFERROR(__xludf.DUMMYFUNCTION("""COMPUTED_VALUE"""),"Noble Hospital")</f>
        <v>Noble Hospital</v>
      </c>
      <c r="E57" s="1">
        <f ca="1">IFERROR(__xludf.DUMMYFUNCTION("""COMPUTED_VALUE"""),60)</f>
        <v>60</v>
      </c>
      <c r="F57" s="1">
        <f ca="1">IFERROR(__xludf.DUMMYFUNCTION("""COMPUTED_VALUE"""),60)</f>
        <v>60</v>
      </c>
      <c r="G57" s="1">
        <f ca="1">IFERROR(__xludf.DUMMYFUNCTION("""COMPUTED_VALUE"""),0)</f>
        <v>0</v>
      </c>
      <c r="H57" s="1">
        <f ca="1">IFERROR(__xludf.DUMMYFUNCTION("""COMPUTED_VALUE"""),60)</f>
        <v>60</v>
      </c>
      <c r="I57" s="1">
        <f ca="1">IFERROR(__xludf.DUMMYFUNCTION("""COMPUTED_VALUE"""),60)</f>
        <v>60</v>
      </c>
      <c r="J57" s="1">
        <f ca="1">IFERROR(__xludf.DUMMYFUNCTION("""COMPUTED_VALUE"""),0)</f>
        <v>0</v>
      </c>
      <c r="K57" s="1">
        <f ca="1">IFERROR(__xludf.DUMMYFUNCTION("""COMPUTED_VALUE"""),4)</f>
        <v>4</v>
      </c>
      <c r="L57" s="1">
        <f ca="1">IFERROR(__xludf.DUMMYFUNCTION("""COMPUTED_VALUE"""),4)</f>
        <v>4</v>
      </c>
      <c r="M57" s="1">
        <f ca="1">IFERROR(__xludf.DUMMYFUNCTION("""COMPUTED_VALUE"""),0)</f>
        <v>0</v>
      </c>
      <c r="N57" s="1">
        <f ca="1">IFERROR(__xludf.DUMMYFUNCTION("""COMPUTED_VALUE"""),4)</f>
        <v>4</v>
      </c>
      <c r="O57" s="1">
        <f ca="1">IFERROR(__xludf.DUMMYFUNCTION("""COMPUTED_VALUE"""),4)</f>
        <v>4</v>
      </c>
      <c r="P57" s="1">
        <f ca="1">IFERROR(__xludf.DUMMYFUNCTION("""COMPUTED_VALUE"""),0)</f>
        <v>0</v>
      </c>
      <c r="Q57" s="1">
        <f ca="1">IFERROR(__xludf.DUMMYFUNCTION("""COMPUTED_VALUE"""),2)</f>
        <v>2</v>
      </c>
      <c r="R57" s="1">
        <f ca="1">IFERROR(__xludf.DUMMYFUNCTION("""COMPUTED_VALUE"""),0)</f>
        <v>0</v>
      </c>
      <c r="S57" s="1">
        <f ca="1">IFERROR(__xludf.DUMMYFUNCTION("""COMPUTED_VALUE"""),0)</f>
        <v>0</v>
      </c>
      <c r="T57" s="1">
        <f ca="1">IFERROR(__xludf.DUMMYFUNCTION("""COMPUTED_VALUE"""),44302.3927893518)</f>
        <v>44302.392789351798</v>
      </c>
      <c r="U57" s="1" t="str">
        <f ca="1">IFERROR(__xludf.DUMMYFUNCTION("""COMPUTED_VALUE"""),"..Nill")</f>
        <v>..Nill</v>
      </c>
    </row>
    <row r="58" spans="1:21" ht="13" x14ac:dyDescent="0.15">
      <c r="A58" s="1" t="str">
        <f t="shared" ca="1" si="0"/>
        <v>ChennaiOrthomed Hospital</v>
      </c>
      <c r="B58" s="1">
        <f ca="1">IFERROR(__xludf.DUMMYFUNCTION("""COMPUTED_VALUE"""),57)</f>
        <v>57</v>
      </c>
      <c r="C58" s="1" t="str">
        <f ca="1">IFERROR(__xludf.DUMMYFUNCTION("""COMPUTED_VALUE"""),"Chennai")</f>
        <v>Chennai</v>
      </c>
      <c r="D58" s="1" t="str">
        <f ca="1">IFERROR(__xludf.DUMMYFUNCTION("""COMPUTED_VALUE"""),"Orthomed Hospital")</f>
        <v>Orthomed Hospital</v>
      </c>
      <c r="E58" s="1">
        <f ca="1">IFERROR(__xludf.DUMMYFUNCTION("""COMPUTED_VALUE"""),55)</f>
        <v>55</v>
      </c>
      <c r="F58" s="1">
        <f ca="1">IFERROR(__xludf.DUMMYFUNCTION("""COMPUTED_VALUE"""),55)</f>
        <v>55</v>
      </c>
      <c r="G58" s="1">
        <f ca="1">IFERROR(__xludf.DUMMYFUNCTION("""COMPUTED_VALUE"""),0)</f>
        <v>0</v>
      </c>
      <c r="H58" s="1">
        <f ca="1">IFERROR(__xludf.DUMMYFUNCTION("""COMPUTED_VALUE"""),45)</f>
        <v>45</v>
      </c>
      <c r="I58" s="1">
        <f ca="1">IFERROR(__xludf.DUMMYFUNCTION("""COMPUTED_VALUE"""),45)</f>
        <v>45</v>
      </c>
      <c r="J58" s="1">
        <f ca="1">IFERROR(__xludf.DUMMYFUNCTION("""COMPUTED_VALUE"""),0)</f>
        <v>0</v>
      </c>
      <c r="K58" s="1">
        <f ca="1">IFERROR(__xludf.DUMMYFUNCTION("""COMPUTED_VALUE"""),0)</f>
        <v>0</v>
      </c>
      <c r="L58" s="1">
        <f ca="1">IFERROR(__xludf.DUMMYFUNCTION("""COMPUTED_VALUE"""),0)</f>
        <v>0</v>
      </c>
      <c r="M58" s="1">
        <f ca="1">IFERROR(__xludf.DUMMYFUNCTION("""COMPUTED_VALUE"""),0)</f>
        <v>0</v>
      </c>
      <c r="N58" s="1">
        <f ca="1">IFERROR(__xludf.DUMMYFUNCTION("""COMPUTED_VALUE"""),10)</f>
        <v>10</v>
      </c>
      <c r="O58" s="1">
        <f ca="1">IFERROR(__xludf.DUMMYFUNCTION("""COMPUTED_VALUE"""),10)</f>
        <v>10</v>
      </c>
      <c r="P58" s="1">
        <f ca="1">IFERROR(__xludf.DUMMYFUNCTION("""COMPUTED_VALUE"""),0)</f>
        <v>0</v>
      </c>
      <c r="Q58" s="1">
        <f ca="1">IFERROR(__xludf.DUMMYFUNCTION("""COMPUTED_VALUE"""),3)</f>
        <v>3</v>
      </c>
      <c r="R58" s="1">
        <f ca="1">IFERROR(__xludf.DUMMYFUNCTION("""COMPUTED_VALUE"""),3)</f>
        <v>3</v>
      </c>
      <c r="S58" s="1">
        <f ca="1">IFERROR(__xludf.DUMMYFUNCTION("""COMPUTED_VALUE"""),0)</f>
        <v>0</v>
      </c>
      <c r="T58" s="1">
        <f ca="1">IFERROR(__xludf.DUMMYFUNCTION("""COMPUTED_VALUE"""),44305.3355092592)</f>
        <v>44305.335509259203</v>
      </c>
      <c r="U58" s="1"/>
    </row>
    <row r="59" spans="1:21" ht="13" x14ac:dyDescent="0.15">
      <c r="A59" s="1" t="str">
        <f t="shared" ca="1" si="0"/>
        <v>ChennaiPadmini Nursing Home Chetpet</v>
      </c>
      <c r="B59" s="1">
        <f ca="1">IFERROR(__xludf.DUMMYFUNCTION("""COMPUTED_VALUE"""),58)</f>
        <v>58</v>
      </c>
      <c r="C59" s="1" t="str">
        <f ca="1">IFERROR(__xludf.DUMMYFUNCTION("""COMPUTED_VALUE"""),"Chennai")</f>
        <v>Chennai</v>
      </c>
      <c r="D59" s="1" t="str">
        <f ca="1">IFERROR(__xludf.DUMMYFUNCTION("""COMPUTED_VALUE"""),"Padmini Nursing Home Chetpet")</f>
        <v>Padmini Nursing Home Chetpet</v>
      </c>
      <c r="E59" s="1">
        <f ca="1">IFERROR(__xludf.DUMMYFUNCTION("""COMPUTED_VALUE"""),32)</f>
        <v>32</v>
      </c>
      <c r="F59" s="1">
        <f ca="1">IFERROR(__xludf.DUMMYFUNCTION("""COMPUTED_VALUE"""),35)</f>
        <v>35</v>
      </c>
      <c r="G59" s="1">
        <f ca="1">IFERROR(__xludf.DUMMYFUNCTION("""COMPUTED_VALUE"""),0)</f>
        <v>0</v>
      </c>
      <c r="H59" s="1">
        <f ca="1">IFERROR(__xludf.DUMMYFUNCTION("""COMPUTED_VALUE"""),35)</f>
        <v>35</v>
      </c>
      <c r="I59" s="1">
        <f ca="1">IFERROR(__xludf.DUMMYFUNCTION("""COMPUTED_VALUE"""),25)</f>
        <v>25</v>
      </c>
      <c r="J59" s="1">
        <f ca="1">IFERROR(__xludf.DUMMYFUNCTION("""COMPUTED_VALUE"""),0)</f>
        <v>0</v>
      </c>
      <c r="K59" s="1">
        <f ca="1">IFERROR(__xludf.DUMMYFUNCTION("""COMPUTED_VALUE"""),0)</f>
        <v>0</v>
      </c>
      <c r="L59" s="1">
        <f ca="1">IFERROR(__xludf.DUMMYFUNCTION("""COMPUTED_VALUE"""),0)</f>
        <v>0</v>
      </c>
      <c r="M59" s="1">
        <f ca="1">IFERROR(__xludf.DUMMYFUNCTION("""COMPUTED_VALUE"""),0)</f>
        <v>0</v>
      </c>
      <c r="N59" s="1">
        <f ca="1">IFERROR(__xludf.DUMMYFUNCTION("""COMPUTED_VALUE"""),5)</f>
        <v>5</v>
      </c>
      <c r="O59" s="1">
        <f ca="1">IFERROR(__xludf.DUMMYFUNCTION("""COMPUTED_VALUE"""),5)</f>
        <v>5</v>
      </c>
      <c r="P59" s="1">
        <f ca="1">IFERROR(__xludf.DUMMYFUNCTION("""COMPUTED_VALUE"""),0)</f>
        <v>0</v>
      </c>
      <c r="Q59" s="1">
        <f ca="1">IFERROR(__xludf.DUMMYFUNCTION("""COMPUTED_VALUE"""),1)</f>
        <v>1</v>
      </c>
      <c r="R59" s="1">
        <f ca="1">IFERROR(__xludf.DUMMYFUNCTION("""COMPUTED_VALUE"""),1)</f>
        <v>1</v>
      </c>
      <c r="S59" s="1">
        <f ca="1">IFERROR(__xludf.DUMMYFUNCTION("""COMPUTED_VALUE"""),0)</f>
        <v>0</v>
      </c>
      <c r="T59" s="1">
        <f ca="1">IFERROR(__xludf.DUMMYFUNCTION("""COMPUTED_VALUE"""),44305.2970833333)</f>
        <v>44305.297083333302</v>
      </c>
      <c r="U59" s="1" t="str">
        <f ca="1">IFERROR(__xludf.DUMMYFUNCTION("""COMPUTED_VALUE"""),"Update")</f>
        <v>Update</v>
      </c>
    </row>
    <row r="60" spans="1:21" ht="13" x14ac:dyDescent="0.15">
      <c r="A60" s="1" t="str">
        <f t="shared" ca="1" si="0"/>
        <v>ChennaiPanimalar Medical College &amp; Hospital</v>
      </c>
      <c r="B60" s="1">
        <f ca="1">IFERROR(__xludf.DUMMYFUNCTION("""COMPUTED_VALUE"""),59)</f>
        <v>59</v>
      </c>
      <c r="C60" s="1" t="str">
        <f ca="1">IFERROR(__xludf.DUMMYFUNCTION("""COMPUTED_VALUE"""),"Chennai")</f>
        <v>Chennai</v>
      </c>
      <c r="D60" s="1" t="str">
        <f ca="1">IFERROR(__xludf.DUMMYFUNCTION("""COMPUTED_VALUE"""),"Panimalar Medical College &amp; Hospital")</f>
        <v>Panimalar Medical College &amp; Hospital</v>
      </c>
      <c r="E60" s="1">
        <f ca="1">IFERROR(__xludf.DUMMYFUNCTION("""COMPUTED_VALUE"""),75)</f>
        <v>75</v>
      </c>
      <c r="F60" s="1">
        <f ca="1">IFERROR(__xludf.DUMMYFUNCTION("""COMPUTED_VALUE"""),0)</f>
        <v>0</v>
      </c>
      <c r="G60" s="1">
        <f ca="1">IFERROR(__xludf.DUMMYFUNCTION("""COMPUTED_VALUE"""),75)</f>
        <v>75</v>
      </c>
      <c r="H60" s="1">
        <f ca="1">IFERROR(__xludf.DUMMYFUNCTION("""COMPUTED_VALUE"""),62)</f>
        <v>62</v>
      </c>
      <c r="I60" s="1">
        <f ca="1">IFERROR(__xludf.DUMMYFUNCTION("""COMPUTED_VALUE"""),0)</f>
        <v>0</v>
      </c>
      <c r="J60" s="1">
        <f ca="1">IFERROR(__xludf.DUMMYFUNCTION("""COMPUTED_VALUE"""),62)</f>
        <v>62</v>
      </c>
      <c r="K60" s="1">
        <f ca="1">IFERROR(__xludf.DUMMYFUNCTION("""COMPUTED_VALUE"""),3)</f>
        <v>3</v>
      </c>
      <c r="L60" s="1">
        <f ca="1">IFERROR(__xludf.DUMMYFUNCTION("""COMPUTED_VALUE"""),0)</f>
        <v>0</v>
      </c>
      <c r="M60" s="1">
        <f ca="1">IFERROR(__xludf.DUMMYFUNCTION("""COMPUTED_VALUE"""),3)</f>
        <v>3</v>
      </c>
      <c r="N60" s="1">
        <f ca="1">IFERROR(__xludf.DUMMYFUNCTION("""COMPUTED_VALUE"""),10)</f>
        <v>10</v>
      </c>
      <c r="O60" s="1">
        <f ca="1">IFERROR(__xludf.DUMMYFUNCTION("""COMPUTED_VALUE"""),0)</f>
        <v>0</v>
      </c>
      <c r="P60" s="1">
        <f ca="1">IFERROR(__xludf.DUMMYFUNCTION("""COMPUTED_VALUE"""),10)</f>
        <v>10</v>
      </c>
      <c r="Q60" s="1">
        <f ca="1">IFERROR(__xludf.DUMMYFUNCTION("""COMPUTED_VALUE"""),3)</f>
        <v>3</v>
      </c>
      <c r="R60" s="1">
        <f ca="1">IFERROR(__xludf.DUMMYFUNCTION("""COMPUTED_VALUE"""),0)</f>
        <v>0</v>
      </c>
      <c r="S60" s="1">
        <f ca="1">IFERROR(__xludf.DUMMYFUNCTION("""COMPUTED_VALUE"""),3)</f>
        <v>3</v>
      </c>
      <c r="T60" s="1">
        <f ca="1">IFERROR(__xludf.DUMMYFUNCTION("""COMPUTED_VALUE"""),44305.652824074)</f>
        <v>44305.652824074001</v>
      </c>
      <c r="U60" s="1"/>
    </row>
    <row r="61" spans="1:21" ht="13" x14ac:dyDescent="0.15">
      <c r="A61" s="1" t="str">
        <f t="shared" ca="1" si="0"/>
        <v>ChennaiPrashanth Hospital</v>
      </c>
      <c r="B61" s="1">
        <f ca="1">IFERROR(__xludf.DUMMYFUNCTION("""COMPUTED_VALUE"""),60)</f>
        <v>60</v>
      </c>
      <c r="C61" s="1" t="str">
        <f ca="1">IFERROR(__xludf.DUMMYFUNCTION("""COMPUTED_VALUE"""),"Chennai")</f>
        <v>Chennai</v>
      </c>
      <c r="D61" s="1" t="str">
        <f ca="1">IFERROR(__xludf.DUMMYFUNCTION("""COMPUTED_VALUE"""),"Prashanth Hospital")</f>
        <v>Prashanth Hospital</v>
      </c>
      <c r="E61" s="1">
        <f ca="1">IFERROR(__xludf.DUMMYFUNCTION("""COMPUTED_VALUE"""),50)</f>
        <v>50</v>
      </c>
      <c r="F61" s="1">
        <f ca="1">IFERROR(__xludf.DUMMYFUNCTION("""COMPUTED_VALUE"""),50)</f>
        <v>50</v>
      </c>
      <c r="G61" s="1">
        <f ca="1">IFERROR(__xludf.DUMMYFUNCTION("""COMPUTED_VALUE"""),0)</f>
        <v>0</v>
      </c>
      <c r="H61" s="1">
        <f ca="1">IFERROR(__xludf.DUMMYFUNCTION("""COMPUTED_VALUE"""),42)</f>
        <v>42</v>
      </c>
      <c r="I61" s="1">
        <f ca="1">IFERROR(__xludf.DUMMYFUNCTION("""COMPUTED_VALUE"""),42)</f>
        <v>42</v>
      </c>
      <c r="J61" s="1">
        <f ca="1">IFERROR(__xludf.DUMMYFUNCTION("""COMPUTED_VALUE"""),0)</f>
        <v>0</v>
      </c>
      <c r="K61" s="1">
        <f ca="1">IFERROR(__xludf.DUMMYFUNCTION("""COMPUTED_VALUE"""),0)</f>
        <v>0</v>
      </c>
      <c r="L61" s="1">
        <f ca="1">IFERROR(__xludf.DUMMYFUNCTION("""COMPUTED_VALUE"""),0)</f>
        <v>0</v>
      </c>
      <c r="M61" s="1">
        <f ca="1">IFERROR(__xludf.DUMMYFUNCTION("""COMPUTED_VALUE"""),0)</f>
        <v>0</v>
      </c>
      <c r="N61" s="1">
        <f ca="1">IFERROR(__xludf.DUMMYFUNCTION("""COMPUTED_VALUE"""),8)</f>
        <v>8</v>
      </c>
      <c r="O61" s="1">
        <f ca="1">IFERROR(__xludf.DUMMYFUNCTION("""COMPUTED_VALUE"""),8)</f>
        <v>8</v>
      </c>
      <c r="P61" s="1">
        <f ca="1">IFERROR(__xludf.DUMMYFUNCTION("""COMPUTED_VALUE"""),0)</f>
        <v>0</v>
      </c>
      <c r="Q61" s="1">
        <f ca="1">IFERROR(__xludf.DUMMYFUNCTION("""COMPUTED_VALUE"""),4)</f>
        <v>4</v>
      </c>
      <c r="R61" s="1">
        <f ca="1">IFERROR(__xludf.DUMMYFUNCTION("""COMPUTED_VALUE"""),4)</f>
        <v>4</v>
      </c>
      <c r="S61" s="1">
        <f ca="1">IFERROR(__xludf.DUMMYFUNCTION("""COMPUTED_VALUE"""),0)</f>
        <v>0</v>
      </c>
      <c r="T61" s="1">
        <f ca="1">IFERROR(__xludf.DUMMYFUNCTION("""COMPUTED_VALUE"""),44305.3899537037)</f>
        <v>44305.3899537037</v>
      </c>
      <c r="U61" s="1" t="str">
        <f ca="1">IFERROR(__xludf.DUMMYFUNCTION("""COMPUTED_VALUE"""),"19/04/2021")</f>
        <v>19/04/2021</v>
      </c>
    </row>
    <row r="62" spans="1:21" ht="13" x14ac:dyDescent="0.15">
      <c r="A62" s="1" t="str">
        <f t="shared" ca="1" si="0"/>
        <v>ChennaiRama Rau Polyclinc, Kilpauk</v>
      </c>
      <c r="B62" s="1">
        <f ca="1">IFERROR(__xludf.DUMMYFUNCTION("""COMPUTED_VALUE"""),61)</f>
        <v>61</v>
      </c>
      <c r="C62" s="1" t="str">
        <f ca="1">IFERROR(__xludf.DUMMYFUNCTION("""COMPUTED_VALUE"""),"Chennai")</f>
        <v>Chennai</v>
      </c>
      <c r="D62" s="1" t="str">
        <f ca="1">IFERROR(__xludf.DUMMYFUNCTION("""COMPUTED_VALUE"""),"Rama Rau Polyclinc, Kilpauk")</f>
        <v>Rama Rau Polyclinc, Kilpauk</v>
      </c>
      <c r="E62" s="1">
        <f ca="1">IFERROR(__xludf.DUMMYFUNCTION("""COMPUTED_VALUE"""),20)</f>
        <v>20</v>
      </c>
      <c r="F62" s="1">
        <f ca="1">IFERROR(__xludf.DUMMYFUNCTION("""COMPUTED_VALUE"""),10)</f>
        <v>10</v>
      </c>
      <c r="G62" s="1">
        <f ca="1">IFERROR(__xludf.DUMMYFUNCTION("""COMPUTED_VALUE"""),18)</f>
        <v>18</v>
      </c>
      <c r="H62" s="1">
        <f ca="1">IFERROR(__xludf.DUMMYFUNCTION("""COMPUTED_VALUE"""),20)</f>
        <v>20</v>
      </c>
      <c r="I62" s="1">
        <f ca="1">IFERROR(__xludf.DUMMYFUNCTION("""COMPUTED_VALUE"""),10)</f>
        <v>10</v>
      </c>
      <c r="J62" s="1">
        <f ca="1">IFERROR(__xludf.DUMMYFUNCTION("""COMPUTED_VALUE"""),19)</f>
        <v>19</v>
      </c>
      <c r="K62" s="1">
        <f ca="1">IFERROR(__xludf.DUMMYFUNCTION("""COMPUTED_VALUE"""),0)</f>
        <v>0</v>
      </c>
      <c r="L62" s="1">
        <f ca="1">IFERROR(__xludf.DUMMYFUNCTION("""COMPUTED_VALUE"""),0)</f>
        <v>0</v>
      </c>
      <c r="M62" s="1">
        <f ca="1">IFERROR(__xludf.DUMMYFUNCTION("""COMPUTED_VALUE"""),0)</f>
        <v>0</v>
      </c>
      <c r="N62" s="1">
        <f ca="1">IFERROR(__xludf.DUMMYFUNCTION("""COMPUTED_VALUE"""),0)</f>
        <v>0</v>
      </c>
      <c r="O62" s="1">
        <f ca="1">IFERROR(__xludf.DUMMYFUNCTION("""COMPUTED_VALUE"""),0)</f>
        <v>0</v>
      </c>
      <c r="P62" s="1">
        <f ca="1">IFERROR(__xludf.DUMMYFUNCTION("""COMPUTED_VALUE"""),0)</f>
        <v>0</v>
      </c>
      <c r="Q62" s="1">
        <f ca="1">IFERROR(__xludf.DUMMYFUNCTION("""COMPUTED_VALUE"""),0)</f>
        <v>0</v>
      </c>
      <c r="R62" s="1">
        <f ca="1">IFERROR(__xludf.DUMMYFUNCTION("""COMPUTED_VALUE"""),0)</f>
        <v>0</v>
      </c>
      <c r="S62" s="1">
        <f ca="1">IFERROR(__xludf.DUMMYFUNCTION("""COMPUTED_VALUE"""),0)</f>
        <v>0</v>
      </c>
      <c r="T62" s="1">
        <f ca="1">IFERROR(__xludf.DUMMYFUNCTION("""COMPUTED_VALUE"""),44305.3023032407)</f>
        <v>44305.3023032407</v>
      </c>
      <c r="U62" s="1"/>
    </row>
    <row r="63" spans="1:21" ht="13" x14ac:dyDescent="0.15">
      <c r="A63" s="1" t="str">
        <f t="shared" ca="1" si="0"/>
        <v>ChennaiRetteri Sri Kumaran Health Centre (P) Ltd, Kolathur</v>
      </c>
      <c r="B63" s="1">
        <f ca="1">IFERROR(__xludf.DUMMYFUNCTION("""COMPUTED_VALUE"""),62)</f>
        <v>62</v>
      </c>
      <c r="C63" s="1" t="str">
        <f ca="1">IFERROR(__xludf.DUMMYFUNCTION("""COMPUTED_VALUE"""),"Chennai")</f>
        <v>Chennai</v>
      </c>
      <c r="D63" s="1" t="str">
        <f ca="1">IFERROR(__xludf.DUMMYFUNCTION("""COMPUTED_VALUE"""),"Retteri Sri Kumaran Health Centre (P) Ltd, Kolathur")</f>
        <v>Retteri Sri Kumaran Health Centre (P) Ltd, Kolathur</v>
      </c>
      <c r="E63" s="1">
        <f ca="1">IFERROR(__xludf.DUMMYFUNCTION("""COMPUTED_VALUE"""),22)</f>
        <v>22</v>
      </c>
      <c r="F63" s="1">
        <f ca="1">IFERROR(__xludf.DUMMYFUNCTION("""COMPUTED_VALUE"""),18)</f>
        <v>18</v>
      </c>
      <c r="G63" s="1">
        <f ca="1">IFERROR(__xludf.DUMMYFUNCTION("""COMPUTED_VALUE"""),4)</f>
        <v>4</v>
      </c>
      <c r="H63" s="1">
        <f ca="1">IFERROR(__xludf.DUMMYFUNCTION("""COMPUTED_VALUE"""),10)</f>
        <v>10</v>
      </c>
      <c r="I63" s="1">
        <f ca="1">IFERROR(__xludf.DUMMYFUNCTION("""COMPUTED_VALUE"""),1)</f>
        <v>1</v>
      </c>
      <c r="J63" s="1">
        <f ca="1">IFERROR(__xludf.DUMMYFUNCTION("""COMPUTED_VALUE"""),9)</f>
        <v>9</v>
      </c>
      <c r="K63" s="1">
        <f ca="1">IFERROR(__xludf.DUMMYFUNCTION("""COMPUTED_VALUE"""),2)</f>
        <v>2</v>
      </c>
      <c r="L63" s="1">
        <f ca="1">IFERROR(__xludf.DUMMYFUNCTION("""COMPUTED_VALUE"""),0)</f>
        <v>0</v>
      </c>
      <c r="M63" s="1">
        <f ca="1">IFERROR(__xludf.DUMMYFUNCTION("""COMPUTED_VALUE"""),2)</f>
        <v>2</v>
      </c>
      <c r="N63" s="1">
        <f ca="1">IFERROR(__xludf.DUMMYFUNCTION("""COMPUTED_VALUE"""),4)</f>
        <v>4</v>
      </c>
      <c r="O63" s="1">
        <f ca="1">IFERROR(__xludf.DUMMYFUNCTION("""COMPUTED_VALUE"""),0)</f>
        <v>0</v>
      </c>
      <c r="P63" s="1">
        <f ca="1">IFERROR(__xludf.DUMMYFUNCTION("""COMPUTED_VALUE"""),4)</f>
        <v>4</v>
      </c>
      <c r="Q63" s="1">
        <f ca="1">IFERROR(__xludf.DUMMYFUNCTION("""COMPUTED_VALUE"""),3)</f>
        <v>3</v>
      </c>
      <c r="R63" s="1">
        <f ca="1">IFERROR(__xludf.DUMMYFUNCTION("""COMPUTED_VALUE"""),0)</f>
        <v>0</v>
      </c>
      <c r="S63" s="1">
        <f ca="1">IFERROR(__xludf.DUMMYFUNCTION("""COMPUTED_VALUE"""),3)</f>
        <v>3</v>
      </c>
      <c r="T63" s="1">
        <f ca="1">IFERROR(__xludf.DUMMYFUNCTION("""COMPUTED_VALUE"""),44305.5316319444)</f>
        <v>44305.531631944403</v>
      </c>
      <c r="U63" s="1" t="str">
        <f ca="1">IFERROR(__xludf.DUMMYFUNCTION("""COMPUTED_VALUE"""),"19.04.2021")</f>
        <v>19.04.2021</v>
      </c>
    </row>
    <row r="64" spans="1:21" ht="13" x14ac:dyDescent="0.15">
      <c r="A64" s="1" t="str">
        <f t="shared" ca="1" si="0"/>
        <v>ChennaiRPS hospital pvt ltd</v>
      </c>
      <c r="B64" s="1">
        <f ca="1">IFERROR(__xludf.DUMMYFUNCTION("""COMPUTED_VALUE"""),63)</f>
        <v>63</v>
      </c>
      <c r="C64" s="1" t="str">
        <f ca="1">IFERROR(__xludf.DUMMYFUNCTION("""COMPUTED_VALUE"""),"Chennai")</f>
        <v>Chennai</v>
      </c>
      <c r="D64" s="1" t="str">
        <f ca="1">IFERROR(__xludf.DUMMYFUNCTION("""COMPUTED_VALUE"""),"RPS hospital pvt ltd")</f>
        <v>RPS hospital pvt ltd</v>
      </c>
      <c r="E64" s="1">
        <f ca="1">IFERROR(__xludf.DUMMYFUNCTION("""COMPUTED_VALUE"""),25)</f>
        <v>25</v>
      </c>
      <c r="F64" s="1">
        <f ca="1">IFERROR(__xludf.DUMMYFUNCTION("""COMPUTED_VALUE"""),25)</f>
        <v>25</v>
      </c>
      <c r="G64" s="1">
        <f ca="1">IFERROR(__xludf.DUMMYFUNCTION("""COMPUTED_VALUE"""),0)</f>
        <v>0</v>
      </c>
      <c r="H64" s="1">
        <f ca="1">IFERROR(__xludf.DUMMYFUNCTION("""COMPUTED_VALUE"""),15)</f>
        <v>15</v>
      </c>
      <c r="I64" s="1">
        <f ca="1">IFERROR(__xludf.DUMMYFUNCTION("""COMPUTED_VALUE"""),15)</f>
        <v>15</v>
      </c>
      <c r="J64" s="1">
        <f ca="1">IFERROR(__xludf.DUMMYFUNCTION("""COMPUTED_VALUE"""),0)</f>
        <v>0</v>
      </c>
      <c r="K64" s="1">
        <f ca="1">IFERROR(__xludf.DUMMYFUNCTION("""COMPUTED_VALUE"""),10)</f>
        <v>10</v>
      </c>
      <c r="L64" s="1">
        <f ca="1">IFERROR(__xludf.DUMMYFUNCTION("""COMPUTED_VALUE"""),10)</f>
        <v>10</v>
      </c>
      <c r="M64" s="1">
        <f ca="1">IFERROR(__xludf.DUMMYFUNCTION("""COMPUTED_VALUE"""),0)</f>
        <v>0</v>
      </c>
      <c r="N64" s="1">
        <f ca="1">IFERROR(__xludf.DUMMYFUNCTION("""COMPUTED_VALUE"""),2)</f>
        <v>2</v>
      </c>
      <c r="O64" s="1">
        <f ca="1">IFERROR(__xludf.DUMMYFUNCTION("""COMPUTED_VALUE"""),1)</f>
        <v>1</v>
      </c>
      <c r="P64" s="1">
        <f ca="1">IFERROR(__xludf.DUMMYFUNCTION("""COMPUTED_VALUE"""),1)</f>
        <v>1</v>
      </c>
      <c r="Q64" s="1">
        <f ca="1">IFERROR(__xludf.DUMMYFUNCTION("""COMPUTED_VALUE"""),1)</f>
        <v>1</v>
      </c>
      <c r="R64" s="1">
        <f ca="1">IFERROR(__xludf.DUMMYFUNCTION("""COMPUTED_VALUE"""),1)</f>
        <v>1</v>
      </c>
      <c r="S64" s="1">
        <f ca="1">IFERROR(__xludf.DUMMYFUNCTION("""COMPUTED_VALUE"""),0)</f>
        <v>0</v>
      </c>
      <c r="T64" s="1">
        <f ca="1">IFERROR(__xludf.DUMMYFUNCTION("""COMPUTED_VALUE"""),44303.4668055555)</f>
        <v>44303.466805555501</v>
      </c>
      <c r="U64" s="1" t="str">
        <f ca="1">IFERROR(__xludf.DUMMYFUNCTION("""COMPUTED_VALUE"""),"17/04/21")</f>
        <v>17/04/21</v>
      </c>
    </row>
    <row r="65" spans="1:21" ht="13" x14ac:dyDescent="0.15">
      <c r="A65" s="1" t="str">
        <f t="shared" ca="1" si="0"/>
        <v>ChennaiSai Speed Hospital, Arumbakkam</v>
      </c>
      <c r="B65" s="1">
        <f ca="1">IFERROR(__xludf.DUMMYFUNCTION("""COMPUTED_VALUE"""),64)</f>
        <v>64</v>
      </c>
      <c r="C65" s="1" t="str">
        <f ca="1">IFERROR(__xludf.DUMMYFUNCTION("""COMPUTED_VALUE"""),"Chennai")</f>
        <v>Chennai</v>
      </c>
      <c r="D65" s="1" t="str">
        <f ca="1">IFERROR(__xludf.DUMMYFUNCTION("""COMPUTED_VALUE"""),"Sai Speed Hospital, Arumbakkam")</f>
        <v>Sai Speed Hospital, Arumbakkam</v>
      </c>
      <c r="E65" s="1">
        <f ca="1">IFERROR(__xludf.DUMMYFUNCTION("""COMPUTED_VALUE"""),11)</f>
        <v>11</v>
      </c>
      <c r="F65" s="1">
        <f ca="1">IFERROR(__xludf.DUMMYFUNCTION("""COMPUTED_VALUE"""),11)</f>
        <v>11</v>
      </c>
      <c r="G65" s="1">
        <f ca="1">IFERROR(__xludf.DUMMYFUNCTION("""COMPUTED_VALUE"""),0)</f>
        <v>0</v>
      </c>
      <c r="H65" s="1">
        <f ca="1">IFERROR(__xludf.DUMMYFUNCTION("""COMPUTED_VALUE"""),11)</f>
        <v>11</v>
      </c>
      <c r="I65" s="1">
        <f ca="1">IFERROR(__xludf.DUMMYFUNCTION("""COMPUTED_VALUE"""),5)</f>
        <v>5</v>
      </c>
      <c r="J65" s="1">
        <f ca="1">IFERROR(__xludf.DUMMYFUNCTION("""COMPUTED_VALUE"""),0)</f>
        <v>0</v>
      </c>
      <c r="K65" s="1">
        <f ca="1">IFERROR(__xludf.DUMMYFUNCTION("""COMPUTED_VALUE"""),11)</f>
        <v>11</v>
      </c>
      <c r="L65" s="1">
        <f ca="1">IFERROR(__xludf.DUMMYFUNCTION("""COMPUTED_VALUE"""),6)</f>
        <v>6</v>
      </c>
      <c r="M65" s="1">
        <f ca="1">IFERROR(__xludf.DUMMYFUNCTION("""COMPUTED_VALUE"""),0)</f>
        <v>0</v>
      </c>
      <c r="N65" s="1">
        <f ca="1">IFERROR(__xludf.DUMMYFUNCTION("""COMPUTED_VALUE"""),2)</f>
        <v>2</v>
      </c>
      <c r="O65" s="1">
        <f ca="1">IFERROR(__xludf.DUMMYFUNCTION("""COMPUTED_VALUE"""),0)</f>
        <v>0</v>
      </c>
      <c r="P65" s="1">
        <f ca="1">IFERROR(__xludf.DUMMYFUNCTION("""COMPUTED_VALUE"""),2)</f>
        <v>2</v>
      </c>
      <c r="Q65" s="1">
        <f ca="1">IFERROR(__xludf.DUMMYFUNCTION("""COMPUTED_VALUE"""),2)</f>
        <v>2</v>
      </c>
      <c r="R65" s="1">
        <f ca="1">IFERROR(__xludf.DUMMYFUNCTION("""COMPUTED_VALUE"""),0)</f>
        <v>0</v>
      </c>
      <c r="S65" s="1">
        <f ca="1">IFERROR(__xludf.DUMMYFUNCTION("""COMPUTED_VALUE"""),2)</f>
        <v>2</v>
      </c>
      <c r="T65" s="1">
        <f ca="1">IFERROR(__xludf.DUMMYFUNCTION("""COMPUTED_VALUE"""),44305.451875)</f>
        <v>44305.451874999999</v>
      </c>
      <c r="U65" s="1" t="str">
        <f ca="1">IFERROR(__xludf.DUMMYFUNCTION("""COMPUTED_VALUE"""),"Updated as on 19/04/2021")</f>
        <v>Updated as on 19/04/2021</v>
      </c>
    </row>
    <row r="66" spans="1:21" ht="13" x14ac:dyDescent="0.15">
      <c r="A66" s="1" t="str">
        <f t="shared" ca="1" si="0"/>
        <v>ChennaiSakthi Hospital Research Centre Triplicane</v>
      </c>
      <c r="B66" s="1">
        <f ca="1">IFERROR(__xludf.DUMMYFUNCTION("""COMPUTED_VALUE"""),65)</f>
        <v>65</v>
      </c>
      <c r="C66" s="1" t="str">
        <f ca="1">IFERROR(__xludf.DUMMYFUNCTION("""COMPUTED_VALUE"""),"Chennai")</f>
        <v>Chennai</v>
      </c>
      <c r="D66" s="1" t="str">
        <f ca="1">IFERROR(__xludf.DUMMYFUNCTION("""COMPUTED_VALUE"""),"Sakthi Hospital Research Centre Triplicane")</f>
        <v>Sakthi Hospital Research Centre Triplicane</v>
      </c>
      <c r="E66" s="1">
        <f ca="1">IFERROR(__xludf.DUMMYFUNCTION("""COMPUTED_VALUE"""),53)</f>
        <v>53</v>
      </c>
      <c r="F66" s="1">
        <f ca="1">IFERROR(__xludf.DUMMYFUNCTION("""COMPUTED_VALUE"""),53)</f>
        <v>53</v>
      </c>
      <c r="G66" s="1">
        <f ca="1">IFERROR(__xludf.DUMMYFUNCTION("""COMPUTED_VALUE"""),0)</f>
        <v>0</v>
      </c>
      <c r="H66" s="1">
        <f ca="1">IFERROR(__xludf.DUMMYFUNCTION("""COMPUTED_VALUE"""),15)</f>
        <v>15</v>
      </c>
      <c r="I66" s="1">
        <f ca="1">IFERROR(__xludf.DUMMYFUNCTION("""COMPUTED_VALUE"""),17)</f>
        <v>17</v>
      </c>
      <c r="J66" s="1">
        <f ca="1">IFERROR(__xludf.DUMMYFUNCTION("""COMPUTED_VALUE"""),0)</f>
        <v>0</v>
      </c>
      <c r="K66" s="1">
        <f ca="1">IFERROR(__xludf.DUMMYFUNCTION("""COMPUTED_VALUE"""),30)</f>
        <v>30</v>
      </c>
      <c r="L66" s="1">
        <f ca="1">IFERROR(__xludf.DUMMYFUNCTION("""COMPUTED_VALUE"""),30)</f>
        <v>30</v>
      </c>
      <c r="M66" s="1">
        <f ca="1">IFERROR(__xludf.DUMMYFUNCTION("""COMPUTED_VALUE"""),0)</f>
        <v>0</v>
      </c>
      <c r="N66" s="1">
        <f ca="1">IFERROR(__xludf.DUMMYFUNCTION("""COMPUTED_VALUE"""),6)</f>
        <v>6</v>
      </c>
      <c r="O66" s="1">
        <f ca="1">IFERROR(__xludf.DUMMYFUNCTION("""COMPUTED_VALUE"""),6)</f>
        <v>6</v>
      </c>
      <c r="P66" s="1">
        <f ca="1">IFERROR(__xludf.DUMMYFUNCTION("""COMPUTED_VALUE"""),0)</f>
        <v>0</v>
      </c>
      <c r="Q66" s="1">
        <f ca="1">IFERROR(__xludf.DUMMYFUNCTION("""COMPUTED_VALUE"""),0)</f>
        <v>0</v>
      </c>
      <c r="R66" s="1">
        <f ca="1">IFERROR(__xludf.DUMMYFUNCTION("""COMPUTED_VALUE"""),0)</f>
        <v>0</v>
      </c>
      <c r="S66" s="1">
        <f ca="1">IFERROR(__xludf.DUMMYFUNCTION("""COMPUTED_VALUE"""),0)</f>
        <v>0</v>
      </c>
      <c r="T66" s="1">
        <f ca="1">IFERROR(__xludf.DUMMYFUNCTION("""COMPUTED_VALUE"""),44305.7033680555)</f>
        <v>44305.703368055503</v>
      </c>
      <c r="U66" s="1" t="str">
        <f ca="1">IFERROR(__xludf.DUMMYFUNCTION("""COMPUTED_VALUE"""),"19.04.2021")</f>
        <v>19.04.2021</v>
      </c>
    </row>
    <row r="67" spans="1:21" ht="13" x14ac:dyDescent="0.15">
      <c r="A67" s="1" t="str">
        <f t="shared" ca="1" si="0"/>
        <v>ChennaiSaveetha Medical College</v>
      </c>
      <c r="B67" s="1">
        <f ca="1">IFERROR(__xludf.DUMMYFUNCTION("""COMPUTED_VALUE"""),66)</f>
        <v>66</v>
      </c>
      <c r="C67" s="1" t="str">
        <f ca="1">IFERROR(__xludf.DUMMYFUNCTION("""COMPUTED_VALUE"""),"Chennai")</f>
        <v>Chennai</v>
      </c>
      <c r="D67" s="1" t="str">
        <f ca="1">IFERROR(__xludf.DUMMYFUNCTION("""COMPUTED_VALUE"""),"Saveetha Medical College")</f>
        <v>Saveetha Medical College</v>
      </c>
      <c r="E67" s="1">
        <f ca="1">IFERROR(__xludf.DUMMYFUNCTION("""COMPUTED_VALUE"""),400)</f>
        <v>400</v>
      </c>
      <c r="F67" s="1">
        <f ca="1">IFERROR(__xludf.DUMMYFUNCTION("""COMPUTED_VALUE"""),1196)</f>
        <v>1196</v>
      </c>
      <c r="G67" s="1">
        <f ca="1">IFERROR(__xludf.DUMMYFUNCTION("""COMPUTED_VALUE"""),204)</f>
        <v>204</v>
      </c>
      <c r="H67" s="1">
        <f ca="1">IFERROR(__xludf.DUMMYFUNCTION("""COMPUTED_VALUE"""),250)</f>
        <v>250</v>
      </c>
      <c r="I67" s="1">
        <f ca="1">IFERROR(__xludf.DUMMYFUNCTION("""COMPUTED_VALUE"""),108)</f>
        <v>108</v>
      </c>
      <c r="J67" s="1">
        <f ca="1">IFERROR(__xludf.DUMMYFUNCTION("""COMPUTED_VALUE"""),142)</f>
        <v>142</v>
      </c>
      <c r="K67" s="1">
        <f ca="1">IFERROR(__xludf.DUMMYFUNCTION("""COMPUTED_VALUE"""),135)</f>
        <v>135</v>
      </c>
      <c r="L67" s="1">
        <f ca="1">IFERROR(__xludf.DUMMYFUNCTION("""COMPUTED_VALUE"""),73)</f>
        <v>73</v>
      </c>
      <c r="M67" s="1">
        <f ca="1">IFERROR(__xludf.DUMMYFUNCTION("""COMPUTED_VALUE"""),62)</f>
        <v>62</v>
      </c>
      <c r="N67" s="1">
        <f ca="1">IFERROR(__xludf.DUMMYFUNCTION("""COMPUTED_VALUE"""),15)</f>
        <v>15</v>
      </c>
      <c r="O67" s="1">
        <f ca="1">IFERROR(__xludf.DUMMYFUNCTION("""COMPUTED_VALUE"""),15)</f>
        <v>15</v>
      </c>
      <c r="P67" s="1">
        <f ca="1">IFERROR(__xludf.DUMMYFUNCTION("""COMPUTED_VALUE"""),0)</f>
        <v>0</v>
      </c>
      <c r="Q67" s="1">
        <f ca="1">IFERROR(__xludf.DUMMYFUNCTION("""COMPUTED_VALUE"""),15)</f>
        <v>15</v>
      </c>
      <c r="R67" s="1">
        <f ca="1">IFERROR(__xludf.DUMMYFUNCTION("""COMPUTED_VALUE"""),6)</f>
        <v>6</v>
      </c>
      <c r="S67" s="1">
        <f ca="1">IFERROR(__xludf.DUMMYFUNCTION("""COMPUTED_VALUE"""),9)</f>
        <v>9</v>
      </c>
      <c r="T67" s="1">
        <f ca="1">IFERROR(__xludf.DUMMYFUNCTION("""COMPUTED_VALUE"""),44305.3508564814)</f>
        <v>44305.350856481396</v>
      </c>
      <c r="U67" s="1"/>
    </row>
    <row r="68" spans="1:21" ht="13" x14ac:dyDescent="0.15">
      <c r="A68" s="1" t="str">
        <f t="shared" ca="1" si="0"/>
        <v>ChennaiSIMS Hospital Vadapalani</v>
      </c>
      <c r="B68" s="1">
        <f ca="1">IFERROR(__xludf.DUMMYFUNCTION("""COMPUTED_VALUE"""),67)</f>
        <v>67</v>
      </c>
      <c r="C68" s="1" t="str">
        <f ca="1">IFERROR(__xludf.DUMMYFUNCTION("""COMPUTED_VALUE"""),"Chennai")</f>
        <v>Chennai</v>
      </c>
      <c r="D68" s="1" t="str">
        <f ca="1">IFERROR(__xludf.DUMMYFUNCTION("""COMPUTED_VALUE"""),"SIMS Hospital Vadapalani")</f>
        <v>SIMS Hospital Vadapalani</v>
      </c>
      <c r="E68" s="1">
        <f ca="1">IFERROR(__xludf.DUMMYFUNCTION("""COMPUTED_VALUE"""),120)</f>
        <v>120</v>
      </c>
      <c r="F68" s="1">
        <f ca="1">IFERROR(__xludf.DUMMYFUNCTION("""COMPUTED_VALUE"""),117)</f>
        <v>117</v>
      </c>
      <c r="G68" s="1">
        <f ca="1">IFERROR(__xludf.DUMMYFUNCTION("""COMPUTED_VALUE"""),3)</f>
        <v>3</v>
      </c>
      <c r="H68" s="1">
        <f ca="1">IFERROR(__xludf.DUMMYFUNCTION("""COMPUTED_VALUE"""),118)</f>
        <v>118</v>
      </c>
      <c r="I68" s="1">
        <f ca="1">IFERROR(__xludf.DUMMYFUNCTION("""COMPUTED_VALUE"""),115)</f>
        <v>115</v>
      </c>
      <c r="J68" s="1">
        <f ca="1">IFERROR(__xludf.DUMMYFUNCTION("""COMPUTED_VALUE"""),3)</f>
        <v>3</v>
      </c>
      <c r="K68" s="1">
        <f ca="1">IFERROR(__xludf.DUMMYFUNCTION("""COMPUTED_VALUE"""),118)</f>
        <v>118</v>
      </c>
      <c r="L68" s="1">
        <f ca="1">IFERROR(__xludf.DUMMYFUNCTION("""COMPUTED_VALUE"""),0)</f>
        <v>0</v>
      </c>
      <c r="M68" s="1">
        <f ca="1">IFERROR(__xludf.DUMMYFUNCTION("""COMPUTED_VALUE"""),0)</f>
        <v>0</v>
      </c>
      <c r="N68" s="1">
        <f ca="1">IFERROR(__xludf.DUMMYFUNCTION("""COMPUTED_VALUE"""),2)</f>
        <v>2</v>
      </c>
      <c r="O68" s="1">
        <f ca="1">IFERROR(__xludf.DUMMYFUNCTION("""COMPUTED_VALUE"""),2)</f>
        <v>2</v>
      </c>
      <c r="P68" s="1">
        <f ca="1">IFERROR(__xludf.DUMMYFUNCTION("""COMPUTED_VALUE"""),0)</f>
        <v>0</v>
      </c>
      <c r="Q68" s="1">
        <f ca="1">IFERROR(__xludf.DUMMYFUNCTION("""COMPUTED_VALUE"""),2)</f>
        <v>2</v>
      </c>
      <c r="R68" s="1">
        <f ca="1">IFERROR(__xludf.DUMMYFUNCTION("""COMPUTED_VALUE"""),0)</f>
        <v>0</v>
      </c>
      <c r="S68" s="1">
        <f ca="1">IFERROR(__xludf.DUMMYFUNCTION("""COMPUTED_VALUE"""),0)</f>
        <v>0</v>
      </c>
      <c r="T68" s="1">
        <f ca="1">IFERROR(__xludf.DUMMYFUNCTION("""COMPUTED_VALUE"""),44305.3982986111)</f>
        <v>44305.3982986111</v>
      </c>
      <c r="U68" s="1"/>
    </row>
    <row r="69" spans="1:21" ht="13" x14ac:dyDescent="0.15">
      <c r="A69" s="1" t="str">
        <f t="shared" ca="1" si="0"/>
        <v>ChennaiSivam Hospitals, Ullagaram</v>
      </c>
      <c r="B69" s="1">
        <f ca="1">IFERROR(__xludf.DUMMYFUNCTION("""COMPUTED_VALUE"""),68)</f>
        <v>68</v>
      </c>
      <c r="C69" s="1" t="str">
        <f ca="1">IFERROR(__xludf.DUMMYFUNCTION("""COMPUTED_VALUE"""),"Chennai")</f>
        <v>Chennai</v>
      </c>
      <c r="D69" s="1" t="str">
        <f ca="1">IFERROR(__xludf.DUMMYFUNCTION("""COMPUTED_VALUE"""),"Sivam Hospitals, Ullagaram")</f>
        <v>Sivam Hospitals, Ullagaram</v>
      </c>
      <c r="E69" s="1">
        <f ca="1">IFERROR(__xludf.DUMMYFUNCTION("""COMPUTED_VALUE"""),20)</f>
        <v>20</v>
      </c>
      <c r="F69" s="1">
        <f ca="1">IFERROR(__xludf.DUMMYFUNCTION("""COMPUTED_VALUE"""),0)</f>
        <v>0</v>
      </c>
      <c r="G69" s="1">
        <f ca="1">IFERROR(__xludf.DUMMYFUNCTION("""COMPUTED_VALUE"""),20)</f>
        <v>20</v>
      </c>
      <c r="H69" s="1">
        <f ca="1">IFERROR(__xludf.DUMMYFUNCTION("""COMPUTED_VALUE"""),10)</f>
        <v>10</v>
      </c>
      <c r="I69" s="1">
        <f ca="1">IFERROR(__xludf.DUMMYFUNCTION("""COMPUTED_VALUE"""),0)</f>
        <v>0</v>
      </c>
      <c r="J69" s="1">
        <f ca="1">IFERROR(__xludf.DUMMYFUNCTION("""COMPUTED_VALUE"""),10)</f>
        <v>10</v>
      </c>
      <c r="K69" s="1">
        <f ca="1">IFERROR(__xludf.DUMMYFUNCTION("""COMPUTED_VALUE"""),10)</f>
        <v>10</v>
      </c>
      <c r="L69" s="1">
        <f ca="1">IFERROR(__xludf.DUMMYFUNCTION("""COMPUTED_VALUE"""),0)</f>
        <v>0</v>
      </c>
      <c r="M69" s="1">
        <f ca="1">IFERROR(__xludf.DUMMYFUNCTION("""COMPUTED_VALUE"""),10)</f>
        <v>10</v>
      </c>
      <c r="N69" s="1">
        <f ca="1">IFERROR(__xludf.DUMMYFUNCTION("""COMPUTED_VALUE"""),7)</f>
        <v>7</v>
      </c>
      <c r="O69" s="1">
        <f ca="1">IFERROR(__xludf.DUMMYFUNCTION("""COMPUTED_VALUE"""),0)</f>
        <v>0</v>
      </c>
      <c r="P69" s="1">
        <f ca="1">IFERROR(__xludf.DUMMYFUNCTION("""COMPUTED_VALUE"""),7)</f>
        <v>7</v>
      </c>
      <c r="Q69" s="1">
        <f ca="1">IFERROR(__xludf.DUMMYFUNCTION("""COMPUTED_VALUE"""),3)</f>
        <v>3</v>
      </c>
      <c r="R69" s="1">
        <f ca="1">IFERROR(__xludf.DUMMYFUNCTION("""COMPUTED_VALUE"""),0)</f>
        <v>0</v>
      </c>
      <c r="S69" s="1">
        <f ca="1">IFERROR(__xludf.DUMMYFUNCTION("""COMPUTED_VALUE"""),3)</f>
        <v>3</v>
      </c>
      <c r="T69" s="1">
        <f ca="1">IFERROR(__xludf.DUMMYFUNCTION("""COMPUTED_VALUE"""),44302.4616435185)</f>
        <v>44302.461643518502</v>
      </c>
      <c r="U69" s="1" t="str">
        <f ca="1">IFERROR(__xludf.DUMMYFUNCTION("""COMPUTED_VALUE"""),"16.04.2021")</f>
        <v>16.04.2021</v>
      </c>
    </row>
    <row r="70" spans="1:21" ht="13" x14ac:dyDescent="0.15">
      <c r="A70" s="1" t="str">
        <f t="shared" ca="1" si="0"/>
        <v>ChennaiSooriya Hospital</v>
      </c>
      <c r="B70" s="1">
        <f ca="1">IFERROR(__xludf.DUMMYFUNCTION("""COMPUTED_VALUE"""),69)</f>
        <v>69</v>
      </c>
      <c r="C70" s="1" t="str">
        <f ca="1">IFERROR(__xludf.DUMMYFUNCTION("""COMPUTED_VALUE"""),"Chennai")</f>
        <v>Chennai</v>
      </c>
      <c r="D70" s="1" t="str">
        <f ca="1">IFERROR(__xludf.DUMMYFUNCTION("""COMPUTED_VALUE"""),"Sooriya Hospital")</f>
        <v>Sooriya Hospital</v>
      </c>
      <c r="E70" s="1">
        <f ca="1">IFERROR(__xludf.DUMMYFUNCTION("""COMPUTED_VALUE"""),75)</f>
        <v>75</v>
      </c>
      <c r="F70" s="1">
        <f ca="1">IFERROR(__xludf.DUMMYFUNCTION("""COMPUTED_VALUE"""),67)</f>
        <v>67</v>
      </c>
      <c r="G70" s="1">
        <f ca="1">IFERROR(__xludf.DUMMYFUNCTION("""COMPUTED_VALUE"""),8)</f>
        <v>8</v>
      </c>
      <c r="H70" s="1">
        <f ca="1">IFERROR(__xludf.DUMMYFUNCTION("""COMPUTED_VALUE"""),64)</f>
        <v>64</v>
      </c>
      <c r="I70" s="1">
        <f ca="1">IFERROR(__xludf.DUMMYFUNCTION("""COMPUTED_VALUE"""),57)</f>
        <v>57</v>
      </c>
      <c r="J70" s="1">
        <f ca="1">IFERROR(__xludf.DUMMYFUNCTION("""COMPUTED_VALUE"""),7)</f>
        <v>7</v>
      </c>
      <c r="K70" s="1">
        <f ca="1">IFERROR(__xludf.DUMMYFUNCTION("""COMPUTED_VALUE"""),0)</f>
        <v>0</v>
      </c>
      <c r="L70" s="1">
        <f ca="1">IFERROR(__xludf.DUMMYFUNCTION("""COMPUTED_VALUE"""),0)</f>
        <v>0</v>
      </c>
      <c r="M70" s="1">
        <f ca="1">IFERROR(__xludf.DUMMYFUNCTION("""COMPUTED_VALUE"""),0)</f>
        <v>0</v>
      </c>
      <c r="N70" s="1">
        <f ca="1">IFERROR(__xludf.DUMMYFUNCTION("""COMPUTED_VALUE"""),11)</f>
        <v>11</v>
      </c>
      <c r="O70" s="1">
        <f ca="1">IFERROR(__xludf.DUMMYFUNCTION("""COMPUTED_VALUE"""),10)</f>
        <v>10</v>
      </c>
      <c r="P70" s="1">
        <f ca="1">IFERROR(__xludf.DUMMYFUNCTION("""COMPUTED_VALUE"""),1)</f>
        <v>1</v>
      </c>
      <c r="Q70" s="1">
        <f ca="1">IFERROR(__xludf.DUMMYFUNCTION("""COMPUTED_VALUE"""),4)</f>
        <v>4</v>
      </c>
      <c r="R70" s="1">
        <f ca="1">IFERROR(__xludf.DUMMYFUNCTION("""COMPUTED_VALUE"""),0)</f>
        <v>0</v>
      </c>
      <c r="S70" s="1">
        <f ca="1">IFERROR(__xludf.DUMMYFUNCTION("""COMPUTED_VALUE"""),4)</f>
        <v>4</v>
      </c>
      <c r="T70" s="1">
        <f ca="1">IFERROR(__xludf.DUMMYFUNCTION("""COMPUTED_VALUE"""),44305.3609375)</f>
        <v>44305.360937500001</v>
      </c>
      <c r="U70" s="1" t="str">
        <f ca="1">IFERROR(__xludf.DUMMYFUNCTION("""COMPUTED_VALUE"""),"1904.21 status")</f>
        <v>1904.21 status</v>
      </c>
    </row>
    <row r="71" spans="1:21" ht="13" x14ac:dyDescent="0.15">
      <c r="A71" s="1" t="str">
        <f t="shared" ca="1" si="0"/>
        <v>ChennaiSree Balaji Medical College &amp; Hospital</v>
      </c>
      <c r="B71" s="1">
        <f ca="1">IFERROR(__xludf.DUMMYFUNCTION("""COMPUTED_VALUE"""),70)</f>
        <v>70</v>
      </c>
      <c r="C71" s="1" t="str">
        <f ca="1">IFERROR(__xludf.DUMMYFUNCTION("""COMPUTED_VALUE"""),"Chennai")</f>
        <v>Chennai</v>
      </c>
      <c r="D71" s="1" t="str">
        <f ca="1">IFERROR(__xludf.DUMMYFUNCTION("""COMPUTED_VALUE"""),"Sree Balaji Medical College &amp; Hospital")</f>
        <v>Sree Balaji Medical College &amp; Hospital</v>
      </c>
      <c r="E71" s="1">
        <f ca="1">IFERROR(__xludf.DUMMYFUNCTION("""COMPUTED_VALUE"""),200)</f>
        <v>200</v>
      </c>
      <c r="F71" s="1">
        <f ca="1">IFERROR(__xludf.DUMMYFUNCTION("""COMPUTED_VALUE"""),45)</f>
        <v>45</v>
      </c>
      <c r="G71" s="1">
        <f ca="1">IFERROR(__xludf.DUMMYFUNCTION("""COMPUTED_VALUE"""),155)</f>
        <v>155</v>
      </c>
      <c r="H71" s="1">
        <f ca="1">IFERROR(__xludf.DUMMYFUNCTION("""COMPUTED_VALUE"""),60)</f>
        <v>60</v>
      </c>
      <c r="I71" s="1">
        <f ca="1">IFERROR(__xludf.DUMMYFUNCTION("""COMPUTED_VALUE"""),13)</f>
        <v>13</v>
      </c>
      <c r="J71" s="1">
        <f ca="1">IFERROR(__xludf.DUMMYFUNCTION("""COMPUTED_VALUE"""),47)</f>
        <v>47</v>
      </c>
      <c r="K71" s="1">
        <f ca="1">IFERROR(__xludf.DUMMYFUNCTION("""COMPUTED_VALUE"""),135)</f>
        <v>135</v>
      </c>
      <c r="L71" s="1">
        <f ca="1">IFERROR(__xludf.DUMMYFUNCTION("""COMPUTED_VALUE"""),27)</f>
        <v>27</v>
      </c>
      <c r="M71" s="1">
        <f ca="1">IFERROR(__xludf.DUMMYFUNCTION("""COMPUTED_VALUE"""),108)</f>
        <v>108</v>
      </c>
      <c r="N71" s="1">
        <f ca="1">IFERROR(__xludf.DUMMYFUNCTION("""COMPUTED_VALUE"""),5)</f>
        <v>5</v>
      </c>
      <c r="O71" s="1">
        <f ca="1">IFERROR(__xludf.DUMMYFUNCTION("""COMPUTED_VALUE"""),5)</f>
        <v>5</v>
      </c>
      <c r="P71" s="1">
        <f ca="1">IFERROR(__xludf.DUMMYFUNCTION("""COMPUTED_VALUE"""),0)</f>
        <v>0</v>
      </c>
      <c r="Q71" s="1">
        <f ca="1">IFERROR(__xludf.DUMMYFUNCTION("""COMPUTED_VALUE"""),5)</f>
        <v>5</v>
      </c>
      <c r="R71" s="1">
        <f ca="1">IFERROR(__xludf.DUMMYFUNCTION("""COMPUTED_VALUE"""),2)</f>
        <v>2</v>
      </c>
      <c r="S71" s="1">
        <f ca="1">IFERROR(__xludf.DUMMYFUNCTION("""COMPUTED_VALUE"""),3)</f>
        <v>3</v>
      </c>
      <c r="T71" s="1">
        <f ca="1">IFERROR(__xludf.DUMMYFUNCTION("""COMPUTED_VALUE"""),44305.3705092592)</f>
        <v>44305.370509259199</v>
      </c>
      <c r="U71" s="1"/>
    </row>
    <row r="72" spans="1:21" ht="13" x14ac:dyDescent="0.15">
      <c r="A72" s="1" t="str">
        <f t="shared" ca="1" si="0"/>
        <v>ChennaiSree Lakshmi Clinic and Maternity Centre</v>
      </c>
      <c r="B72" s="1">
        <f ca="1">IFERROR(__xludf.DUMMYFUNCTION("""COMPUTED_VALUE"""),71)</f>
        <v>71</v>
      </c>
      <c r="C72" s="1" t="str">
        <f ca="1">IFERROR(__xludf.DUMMYFUNCTION("""COMPUTED_VALUE"""),"Chennai")</f>
        <v>Chennai</v>
      </c>
      <c r="D72" s="1" t="str">
        <f ca="1">IFERROR(__xludf.DUMMYFUNCTION("""COMPUTED_VALUE"""),"Sree Lakshmi Clinic and Maternity Centre")</f>
        <v>Sree Lakshmi Clinic and Maternity Centre</v>
      </c>
      <c r="E72" s="1">
        <f ca="1">IFERROR(__xludf.DUMMYFUNCTION("""COMPUTED_VALUE"""),14)</f>
        <v>14</v>
      </c>
      <c r="F72" s="1">
        <f ca="1">IFERROR(__xludf.DUMMYFUNCTION("""COMPUTED_VALUE"""),0)</f>
        <v>0</v>
      </c>
      <c r="G72" s="1">
        <f ca="1">IFERROR(__xludf.DUMMYFUNCTION("""COMPUTED_VALUE"""),14)</f>
        <v>14</v>
      </c>
      <c r="H72" s="1">
        <f ca="1">IFERROR(__xludf.DUMMYFUNCTION("""COMPUTED_VALUE"""),10)</f>
        <v>10</v>
      </c>
      <c r="I72" s="1">
        <f ca="1">IFERROR(__xludf.DUMMYFUNCTION("""COMPUTED_VALUE"""),0)</f>
        <v>0</v>
      </c>
      <c r="J72" s="1">
        <f ca="1">IFERROR(__xludf.DUMMYFUNCTION("""COMPUTED_VALUE"""),10)</f>
        <v>10</v>
      </c>
      <c r="K72" s="1">
        <f ca="1">IFERROR(__xludf.DUMMYFUNCTION("""COMPUTED_VALUE"""),0)</f>
        <v>0</v>
      </c>
      <c r="L72" s="1">
        <f ca="1">IFERROR(__xludf.DUMMYFUNCTION("""COMPUTED_VALUE"""),0)</f>
        <v>0</v>
      </c>
      <c r="M72" s="1">
        <f ca="1">IFERROR(__xludf.DUMMYFUNCTION("""COMPUTED_VALUE"""),0)</f>
        <v>0</v>
      </c>
      <c r="N72" s="1">
        <f ca="1">IFERROR(__xludf.DUMMYFUNCTION("""COMPUTED_VALUE"""),4)</f>
        <v>4</v>
      </c>
      <c r="O72" s="1">
        <f ca="1">IFERROR(__xludf.DUMMYFUNCTION("""COMPUTED_VALUE"""),0)</f>
        <v>0</v>
      </c>
      <c r="P72" s="1">
        <f ca="1">IFERROR(__xludf.DUMMYFUNCTION("""COMPUTED_VALUE"""),4)</f>
        <v>4</v>
      </c>
      <c r="Q72" s="1">
        <f ca="1">IFERROR(__xludf.DUMMYFUNCTION("""COMPUTED_VALUE"""),2)</f>
        <v>2</v>
      </c>
      <c r="R72" s="1">
        <f ca="1">IFERROR(__xludf.DUMMYFUNCTION("""COMPUTED_VALUE"""),0)</f>
        <v>0</v>
      </c>
      <c r="S72" s="1">
        <f ca="1">IFERROR(__xludf.DUMMYFUNCTION("""COMPUTED_VALUE"""),2)</f>
        <v>2</v>
      </c>
      <c r="T72" s="1">
        <f ca="1">IFERROR(__xludf.DUMMYFUNCTION("""COMPUTED_VALUE"""),44270.5966666666)</f>
        <v>44270.596666666599</v>
      </c>
      <c r="U72" s="1" t="str">
        <f ca="1">IFERROR(__xludf.DUMMYFUNCTION("""COMPUTED_VALUE"""),"15.03.2021")</f>
        <v>15.03.2021</v>
      </c>
    </row>
    <row r="73" spans="1:21" ht="13" x14ac:dyDescent="0.15">
      <c r="A73" s="1" t="str">
        <f t="shared" ca="1" si="0"/>
        <v>ChennaiSri Ramachandra Medical College Hospital, Porur</v>
      </c>
      <c r="B73" s="1">
        <f ca="1">IFERROR(__xludf.DUMMYFUNCTION("""COMPUTED_VALUE"""),72)</f>
        <v>72</v>
      </c>
      <c r="C73" s="1" t="str">
        <f ca="1">IFERROR(__xludf.DUMMYFUNCTION("""COMPUTED_VALUE"""),"Chennai")</f>
        <v>Chennai</v>
      </c>
      <c r="D73" s="1" t="str">
        <f ca="1">IFERROR(__xludf.DUMMYFUNCTION("""COMPUTED_VALUE"""),"Sri Ramachandra Medical College Hospital, Porur")</f>
        <v>Sri Ramachandra Medical College Hospital, Porur</v>
      </c>
      <c r="E73" s="1">
        <f ca="1">IFERROR(__xludf.DUMMYFUNCTION("""COMPUTED_VALUE"""),260)</f>
        <v>260</v>
      </c>
      <c r="F73" s="1">
        <f ca="1">IFERROR(__xludf.DUMMYFUNCTION("""COMPUTED_VALUE"""),65)</f>
        <v>65</v>
      </c>
      <c r="G73" s="1">
        <f ca="1">IFERROR(__xludf.DUMMYFUNCTION("""COMPUTED_VALUE"""),195)</f>
        <v>195</v>
      </c>
      <c r="H73" s="1">
        <f ca="1">IFERROR(__xludf.DUMMYFUNCTION("""COMPUTED_VALUE"""),260)</f>
        <v>260</v>
      </c>
      <c r="I73" s="1">
        <f ca="1">IFERROR(__xludf.DUMMYFUNCTION("""COMPUTED_VALUE"""),65)</f>
        <v>65</v>
      </c>
      <c r="J73" s="1">
        <f ca="1">IFERROR(__xludf.DUMMYFUNCTION("""COMPUTED_VALUE"""),195)</f>
        <v>195</v>
      </c>
      <c r="K73" s="1">
        <f ca="1">IFERROR(__xludf.DUMMYFUNCTION("""COMPUTED_VALUE"""),0)</f>
        <v>0</v>
      </c>
      <c r="L73" s="1">
        <f ca="1">IFERROR(__xludf.DUMMYFUNCTION("""COMPUTED_VALUE"""),0)</f>
        <v>0</v>
      </c>
      <c r="M73" s="1">
        <f ca="1">IFERROR(__xludf.DUMMYFUNCTION("""COMPUTED_VALUE"""),0)</f>
        <v>0</v>
      </c>
      <c r="N73" s="1">
        <f ca="1">IFERROR(__xludf.DUMMYFUNCTION("""COMPUTED_VALUE"""),10)</f>
        <v>10</v>
      </c>
      <c r="O73" s="1">
        <f ca="1">IFERROR(__xludf.DUMMYFUNCTION("""COMPUTED_VALUE"""),9)</f>
        <v>9</v>
      </c>
      <c r="P73" s="1">
        <f ca="1">IFERROR(__xludf.DUMMYFUNCTION("""COMPUTED_VALUE"""),1)</f>
        <v>1</v>
      </c>
      <c r="Q73" s="1">
        <f ca="1">IFERROR(__xludf.DUMMYFUNCTION("""COMPUTED_VALUE"""),6)</f>
        <v>6</v>
      </c>
      <c r="R73" s="1">
        <f ca="1">IFERROR(__xludf.DUMMYFUNCTION("""COMPUTED_VALUE"""),5)</f>
        <v>5</v>
      </c>
      <c r="S73" s="1">
        <f ca="1">IFERROR(__xludf.DUMMYFUNCTION("""COMPUTED_VALUE"""),1)</f>
        <v>1</v>
      </c>
      <c r="T73" s="1">
        <f ca="1">IFERROR(__xludf.DUMMYFUNCTION("""COMPUTED_VALUE"""),44305.3796412037)</f>
        <v>44305.379641203697</v>
      </c>
      <c r="U73" s="1"/>
    </row>
    <row r="74" spans="1:21" ht="13" x14ac:dyDescent="0.15">
      <c r="A74" s="1" t="str">
        <f t="shared" ca="1" si="0"/>
        <v>ChennaiSri Sathya Sai Medical College &amp; Research Institue</v>
      </c>
      <c r="B74" s="1">
        <f ca="1">IFERROR(__xludf.DUMMYFUNCTION("""COMPUTED_VALUE"""),73)</f>
        <v>73</v>
      </c>
      <c r="C74" s="1" t="str">
        <f ca="1">IFERROR(__xludf.DUMMYFUNCTION("""COMPUTED_VALUE"""),"Chennai")</f>
        <v>Chennai</v>
      </c>
      <c r="D74" s="1" t="str">
        <f ca="1">IFERROR(__xludf.DUMMYFUNCTION("""COMPUTED_VALUE"""),"Sri Sathya Sai Medical College &amp; Research Institue")</f>
        <v>Sri Sathya Sai Medical College &amp; Research Institue</v>
      </c>
      <c r="E74" s="1">
        <f ca="1">IFERROR(__xludf.DUMMYFUNCTION("""COMPUTED_VALUE"""),244)</f>
        <v>244</v>
      </c>
      <c r="F74" s="1">
        <f ca="1">IFERROR(__xludf.DUMMYFUNCTION("""COMPUTED_VALUE"""),6)</f>
        <v>6</v>
      </c>
      <c r="G74" s="1">
        <f ca="1">IFERROR(__xludf.DUMMYFUNCTION("""COMPUTED_VALUE"""),238)</f>
        <v>238</v>
      </c>
      <c r="H74" s="1">
        <f ca="1">IFERROR(__xludf.DUMMYFUNCTION("""COMPUTED_VALUE"""),24)</f>
        <v>24</v>
      </c>
      <c r="I74" s="1">
        <f ca="1">IFERROR(__xludf.DUMMYFUNCTION("""COMPUTED_VALUE"""),0)</f>
        <v>0</v>
      </c>
      <c r="J74" s="1">
        <f ca="1">IFERROR(__xludf.DUMMYFUNCTION("""COMPUTED_VALUE"""),24)</f>
        <v>24</v>
      </c>
      <c r="K74" s="1">
        <f ca="1">IFERROR(__xludf.DUMMYFUNCTION("""COMPUTED_VALUE"""),200)</f>
        <v>200</v>
      </c>
      <c r="L74" s="1">
        <f ca="1">IFERROR(__xludf.DUMMYFUNCTION("""COMPUTED_VALUE"""),6)</f>
        <v>6</v>
      </c>
      <c r="M74" s="1">
        <f ca="1">IFERROR(__xludf.DUMMYFUNCTION("""COMPUTED_VALUE"""),194)</f>
        <v>194</v>
      </c>
      <c r="N74" s="1">
        <f ca="1">IFERROR(__xludf.DUMMYFUNCTION("""COMPUTED_VALUE"""),20)</f>
        <v>20</v>
      </c>
      <c r="O74" s="1">
        <f ca="1">IFERROR(__xludf.DUMMYFUNCTION("""COMPUTED_VALUE"""),0)</f>
        <v>0</v>
      </c>
      <c r="P74" s="1">
        <f ca="1">IFERROR(__xludf.DUMMYFUNCTION("""COMPUTED_VALUE"""),20)</f>
        <v>20</v>
      </c>
      <c r="Q74" s="1">
        <f ca="1">IFERROR(__xludf.DUMMYFUNCTION("""COMPUTED_VALUE"""),10)</f>
        <v>10</v>
      </c>
      <c r="R74" s="1">
        <f ca="1">IFERROR(__xludf.DUMMYFUNCTION("""COMPUTED_VALUE"""),0)</f>
        <v>0</v>
      </c>
      <c r="S74" s="1">
        <f ca="1">IFERROR(__xludf.DUMMYFUNCTION("""COMPUTED_VALUE"""),10)</f>
        <v>10</v>
      </c>
      <c r="T74" s="1">
        <f ca="1">IFERROR(__xludf.DUMMYFUNCTION("""COMPUTED_VALUE"""),44305.355162037)</f>
        <v>44305.355162036998</v>
      </c>
      <c r="U74" s="1" t="str">
        <f ca="1">IFERROR(__xludf.DUMMYFUNCTION("""COMPUTED_VALUE"""),"1904.2021 - 6positive cases")</f>
        <v>1904.2021 - 6positive cases</v>
      </c>
    </row>
    <row r="75" spans="1:21" ht="13" x14ac:dyDescent="0.15">
      <c r="A75" s="1" t="str">
        <f t="shared" ca="1" si="0"/>
        <v>ChennaiSrinivas Priya Hospital Perambur</v>
      </c>
      <c r="B75" s="1">
        <f ca="1">IFERROR(__xludf.DUMMYFUNCTION("""COMPUTED_VALUE"""),74)</f>
        <v>74</v>
      </c>
      <c r="C75" s="1" t="str">
        <f ca="1">IFERROR(__xludf.DUMMYFUNCTION("""COMPUTED_VALUE"""),"Chennai")</f>
        <v>Chennai</v>
      </c>
      <c r="D75" s="1" t="str">
        <f ca="1">IFERROR(__xludf.DUMMYFUNCTION("""COMPUTED_VALUE"""),"Srinivas Priya Hospital Perambur")</f>
        <v>Srinivas Priya Hospital Perambur</v>
      </c>
      <c r="E75" s="1">
        <f ca="1">IFERROR(__xludf.DUMMYFUNCTION("""COMPUTED_VALUE"""),20)</f>
        <v>20</v>
      </c>
      <c r="F75" s="1">
        <f ca="1">IFERROR(__xludf.DUMMYFUNCTION("""COMPUTED_VALUE"""),12)</f>
        <v>12</v>
      </c>
      <c r="G75" s="1">
        <f ca="1">IFERROR(__xludf.DUMMYFUNCTION("""COMPUTED_VALUE"""),8)</f>
        <v>8</v>
      </c>
      <c r="H75" s="1">
        <f ca="1">IFERROR(__xludf.DUMMYFUNCTION("""COMPUTED_VALUE"""),20)</f>
        <v>20</v>
      </c>
      <c r="I75" s="1">
        <f ca="1">IFERROR(__xludf.DUMMYFUNCTION("""COMPUTED_VALUE"""),12)</f>
        <v>12</v>
      </c>
      <c r="J75" s="1">
        <f ca="1">IFERROR(__xludf.DUMMYFUNCTION("""COMPUTED_VALUE"""),8)</f>
        <v>8</v>
      </c>
      <c r="K75" s="1">
        <f ca="1">IFERROR(__xludf.DUMMYFUNCTION("""COMPUTED_VALUE"""),0)</f>
        <v>0</v>
      </c>
      <c r="L75" s="1">
        <f ca="1">IFERROR(__xludf.DUMMYFUNCTION("""COMPUTED_VALUE"""),0)</f>
        <v>0</v>
      </c>
      <c r="M75" s="1">
        <f ca="1">IFERROR(__xludf.DUMMYFUNCTION("""COMPUTED_VALUE"""),0)</f>
        <v>0</v>
      </c>
      <c r="N75" s="1">
        <f ca="1">IFERROR(__xludf.DUMMYFUNCTION("""COMPUTED_VALUE"""),2)</f>
        <v>2</v>
      </c>
      <c r="O75" s="1">
        <f ca="1">IFERROR(__xludf.DUMMYFUNCTION("""COMPUTED_VALUE"""),2)</f>
        <v>2</v>
      </c>
      <c r="P75" s="1">
        <f ca="1">IFERROR(__xludf.DUMMYFUNCTION("""COMPUTED_VALUE"""),0)</f>
        <v>0</v>
      </c>
      <c r="Q75" s="1">
        <f ca="1">IFERROR(__xludf.DUMMYFUNCTION("""COMPUTED_VALUE"""),1)</f>
        <v>1</v>
      </c>
      <c r="R75" s="1">
        <f ca="1">IFERROR(__xludf.DUMMYFUNCTION("""COMPUTED_VALUE"""),1)</f>
        <v>1</v>
      </c>
      <c r="S75" s="1">
        <f ca="1">IFERROR(__xludf.DUMMYFUNCTION("""COMPUTED_VALUE"""),0)</f>
        <v>0</v>
      </c>
      <c r="T75" s="1">
        <f ca="1">IFERROR(__xludf.DUMMYFUNCTION("""COMPUTED_VALUE"""),44305.4723958333)</f>
        <v>44305.472395833298</v>
      </c>
      <c r="U75" s="1" t="str">
        <f ca="1">IFERROR(__xludf.DUMMYFUNCTION("""COMPUTED_VALUE"""),"19.04.2021")</f>
        <v>19.04.2021</v>
      </c>
    </row>
    <row r="76" spans="1:21" ht="13" x14ac:dyDescent="0.15">
      <c r="A76" s="1" t="str">
        <f t="shared" ca="1" si="0"/>
        <v>ChennaiSrinivasan Rajalakshmi Memorial Hospital</v>
      </c>
      <c r="B76" s="1">
        <f ca="1">IFERROR(__xludf.DUMMYFUNCTION("""COMPUTED_VALUE"""),75)</f>
        <v>75</v>
      </c>
      <c r="C76" s="1" t="str">
        <f ca="1">IFERROR(__xludf.DUMMYFUNCTION("""COMPUTED_VALUE"""),"Chennai")</f>
        <v>Chennai</v>
      </c>
      <c r="D76" s="1" t="str">
        <f ca="1">IFERROR(__xludf.DUMMYFUNCTION("""COMPUTED_VALUE"""),"Srinivasan Rajalakshmi Memorial Hospital")</f>
        <v>Srinivasan Rajalakshmi Memorial Hospital</v>
      </c>
      <c r="E76" s="1">
        <f ca="1">IFERROR(__xludf.DUMMYFUNCTION("""COMPUTED_VALUE"""),40)</f>
        <v>40</v>
      </c>
      <c r="F76" s="1">
        <f ca="1">IFERROR(__xludf.DUMMYFUNCTION("""COMPUTED_VALUE"""),34)</f>
        <v>34</v>
      </c>
      <c r="G76" s="1">
        <f ca="1">IFERROR(__xludf.DUMMYFUNCTION("""COMPUTED_VALUE"""),6)</f>
        <v>6</v>
      </c>
      <c r="H76" s="1">
        <f ca="1">IFERROR(__xludf.DUMMYFUNCTION("""COMPUTED_VALUE"""),35)</f>
        <v>35</v>
      </c>
      <c r="I76" s="1">
        <f ca="1">IFERROR(__xludf.DUMMYFUNCTION("""COMPUTED_VALUE"""),29)</f>
        <v>29</v>
      </c>
      <c r="J76" s="1">
        <f ca="1">IFERROR(__xludf.DUMMYFUNCTION("""COMPUTED_VALUE"""),6)</f>
        <v>6</v>
      </c>
      <c r="K76" s="1">
        <f ca="1">IFERROR(__xludf.DUMMYFUNCTION("""COMPUTED_VALUE"""),0)</f>
        <v>0</v>
      </c>
      <c r="L76" s="1">
        <f ca="1">IFERROR(__xludf.DUMMYFUNCTION("""COMPUTED_VALUE"""),0)</f>
        <v>0</v>
      </c>
      <c r="M76" s="1">
        <f ca="1">IFERROR(__xludf.DUMMYFUNCTION("""COMPUTED_VALUE"""),0)</f>
        <v>0</v>
      </c>
      <c r="N76" s="1">
        <f ca="1">IFERROR(__xludf.DUMMYFUNCTION("""COMPUTED_VALUE"""),5)</f>
        <v>5</v>
      </c>
      <c r="O76" s="1">
        <f ca="1">IFERROR(__xludf.DUMMYFUNCTION("""COMPUTED_VALUE"""),5)</f>
        <v>5</v>
      </c>
      <c r="P76" s="1">
        <f ca="1">IFERROR(__xludf.DUMMYFUNCTION("""COMPUTED_VALUE"""),0)</f>
        <v>0</v>
      </c>
      <c r="Q76" s="1">
        <f ca="1">IFERROR(__xludf.DUMMYFUNCTION("""COMPUTED_VALUE"""),3)</f>
        <v>3</v>
      </c>
      <c r="R76" s="1">
        <f ca="1">IFERROR(__xludf.DUMMYFUNCTION("""COMPUTED_VALUE"""),3)</f>
        <v>3</v>
      </c>
      <c r="S76" s="1">
        <f ca="1">IFERROR(__xludf.DUMMYFUNCTION("""COMPUTED_VALUE"""),0)</f>
        <v>0</v>
      </c>
      <c r="T76" s="1">
        <f ca="1">IFERROR(__xludf.DUMMYFUNCTION("""COMPUTED_VALUE"""),44305.3414467592)</f>
        <v>44305.341446759201</v>
      </c>
      <c r="U76" s="1" t="str">
        <f ca="1">IFERROR(__xludf.DUMMYFUNCTION("""COMPUTED_VALUE"""),"19.04.2021")</f>
        <v>19.04.2021</v>
      </c>
    </row>
    <row r="77" spans="1:21" ht="13" x14ac:dyDescent="0.15">
      <c r="A77" s="1" t="str">
        <f t="shared" ca="1" si="0"/>
        <v>ChennaiSrm Medical College &amp; Hospital</v>
      </c>
      <c r="B77" s="1">
        <f ca="1">IFERROR(__xludf.DUMMYFUNCTION("""COMPUTED_VALUE"""),76)</f>
        <v>76</v>
      </c>
      <c r="C77" s="1" t="str">
        <f ca="1">IFERROR(__xludf.DUMMYFUNCTION("""COMPUTED_VALUE"""),"Chennai")</f>
        <v>Chennai</v>
      </c>
      <c r="D77" s="1" t="str">
        <f ca="1">IFERROR(__xludf.DUMMYFUNCTION("""COMPUTED_VALUE"""),"Srm Medical College &amp; Hospital")</f>
        <v>Srm Medical College &amp; Hospital</v>
      </c>
      <c r="E77" s="1">
        <f ca="1">IFERROR(__xludf.DUMMYFUNCTION("""COMPUTED_VALUE"""),206)</f>
        <v>206</v>
      </c>
      <c r="F77" s="1">
        <f ca="1">IFERROR(__xludf.DUMMYFUNCTION("""COMPUTED_VALUE"""),83)</f>
        <v>83</v>
      </c>
      <c r="G77" s="1">
        <f ca="1">IFERROR(__xludf.DUMMYFUNCTION("""COMPUTED_VALUE"""),123)</f>
        <v>123</v>
      </c>
      <c r="H77" s="1">
        <f ca="1">IFERROR(__xludf.DUMMYFUNCTION("""COMPUTED_VALUE"""),50)</f>
        <v>50</v>
      </c>
      <c r="I77" s="1">
        <f ca="1">IFERROR(__xludf.DUMMYFUNCTION("""COMPUTED_VALUE"""),13)</f>
        <v>13</v>
      </c>
      <c r="J77" s="1">
        <f ca="1">IFERROR(__xludf.DUMMYFUNCTION("""COMPUTED_VALUE"""),37)</f>
        <v>37</v>
      </c>
      <c r="K77" s="1">
        <f ca="1">IFERROR(__xludf.DUMMYFUNCTION("""COMPUTED_VALUE"""),150)</f>
        <v>150</v>
      </c>
      <c r="L77" s="1">
        <f ca="1">IFERROR(__xludf.DUMMYFUNCTION("""COMPUTED_VALUE"""),64)</f>
        <v>64</v>
      </c>
      <c r="M77" s="1">
        <f ca="1">IFERROR(__xludf.DUMMYFUNCTION("""COMPUTED_VALUE"""),86)</f>
        <v>86</v>
      </c>
      <c r="N77" s="1">
        <f ca="1">IFERROR(__xludf.DUMMYFUNCTION("""COMPUTED_VALUE"""),6)</f>
        <v>6</v>
      </c>
      <c r="O77" s="1">
        <f ca="1">IFERROR(__xludf.DUMMYFUNCTION("""COMPUTED_VALUE"""),6)</f>
        <v>6</v>
      </c>
      <c r="P77" s="1">
        <f ca="1">IFERROR(__xludf.DUMMYFUNCTION("""COMPUTED_VALUE"""),1)</f>
        <v>1</v>
      </c>
      <c r="Q77" s="1">
        <f ca="1">IFERROR(__xludf.DUMMYFUNCTION("""COMPUTED_VALUE"""),7)</f>
        <v>7</v>
      </c>
      <c r="R77" s="1">
        <f ca="1">IFERROR(__xludf.DUMMYFUNCTION("""COMPUTED_VALUE"""),0)</f>
        <v>0</v>
      </c>
      <c r="S77" s="1">
        <f ca="1">IFERROR(__xludf.DUMMYFUNCTION("""COMPUTED_VALUE"""),7)</f>
        <v>7</v>
      </c>
      <c r="T77" s="1">
        <f ca="1">IFERROR(__xludf.DUMMYFUNCTION("""COMPUTED_VALUE"""),44305.3838773148)</f>
        <v>44305.383877314802</v>
      </c>
      <c r="U77" s="1" t="str">
        <f ca="1">IFERROR(__xludf.DUMMYFUNCTION("""COMPUTED_VALUE"""),"SRM MCH &amp; RC")</f>
        <v>SRM MCH &amp; RC</v>
      </c>
    </row>
    <row r="78" spans="1:21" ht="13" x14ac:dyDescent="0.15">
      <c r="A78" s="1" t="str">
        <f t="shared" ca="1" si="0"/>
        <v>ChennaiSt. Thomas Hospital</v>
      </c>
      <c r="B78" s="1">
        <f ca="1">IFERROR(__xludf.DUMMYFUNCTION("""COMPUTED_VALUE"""),77)</f>
        <v>77</v>
      </c>
      <c r="C78" s="1" t="str">
        <f ca="1">IFERROR(__xludf.DUMMYFUNCTION("""COMPUTED_VALUE"""),"Chennai")</f>
        <v>Chennai</v>
      </c>
      <c r="D78" s="1" t="str">
        <f ca="1">IFERROR(__xludf.DUMMYFUNCTION("""COMPUTED_VALUE"""),"St. Thomas Hospital")</f>
        <v>St. Thomas Hospital</v>
      </c>
      <c r="E78" s="1">
        <f ca="1">IFERROR(__xludf.DUMMYFUNCTION("""COMPUTED_VALUE"""),47)</f>
        <v>47</v>
      </c>
      <c r="F78" s="1">
        <f ca="1">IFERROR(__xludf.DUMMYFUNCTION("""COMPUTED_VALUE"""),47)</f>
        <v>47</v>
      </c>
      <c r="G78" s="1">
        <f ca="1">IFERROR(__xludf.DUMMYFUNCTION("""COMPUTED_VALUE"""),0)</f>
        <v>0</v>
      </c>
      <c r="H78" s="1">
        <f ca="1">IFERROR(__xludf.DUMMYFUNCTION("""COMPUTED_VALUE"""),10)</f>
        <v>10</v>
      </c>
      <c r="I78" s="1">
        <f ca="1">IFERROR(__xludf.DUMMYFUNCTION("""COMPUTED_VALUE"""),10)</f>
        <v>10</v>
      </c>
      <c r="J78" s="1">
        <f ca="1">IFERROR(__xludf.DUMMYFUNCTION("""COMPUTED_VALUE"""),0)</f>
        <v>0</v>
      </c>
      <c r="K78" s="1">
        <f ca="1">IFERROR(__xludf.DUMMYFUNCTION("""COMPUTED_VALUE"""),37)</f>
        <v>37</v>
      </c>
      <c r="L78" s="1">
        <f ca="1">IFERROR(__xludf.DUMMYFUNCTION("""COMPUTED_VALUE"""),37)</f>
        <v>37</v>
      </c>
      <c r="M78" s="1">
        <f ca="1">IFERROR(__xludf.DUMMYFUNCTION("""COMPUTED_VALUE"""),0)</f>
        <v>0</v>
      </c>
      <c r="N78" s="1">
        <f ca="1">IFERROR(__xludf.DUMMYFUNCTION("""COMPUTED_VALUE"""),0)</f>
        <v>0</v>
      </c>
      <c r="O78" s="1">
        <f ca="1">IFERROR(__xludf.DUMMYFUNCTION("""COMPUTED_VALUE"""),0)</f>
        <v>0</v>
      </c>
      <c r="P78" s="1">
        <f ca="1">IFERROR(__xludf.DUMMYFUNCTION("""COMPUTED_VALUE"""),0)</f>
        <v>0</v>
      </c>
      <c r="Q78" s="1">
        <f ca="1">IFERROR(__xludf.DUMMYFUNCTION("""COMPUTED_VALUE"""),0)</f>
        <v>0</v>
      </c>
      <c r="R78" s="1">
        <f ca="1">IFERROR(__xludf.DUMMYFUNCTION("""COMPUTED_VALUE"""),0)</f>
        <v>0</v>
      </c>
      <c r="S78" s="1">
        <f ca="1">IFERROR(__xludf.DUMMYFUNCTION("""COMPUTED_VALUE"""),0)</f>
        <v>0</v>
      </c>
      <c r="T78" s="1">
        <f ca="1">IFERROR(__xludf.DUMMYFUNCTION("""COMPUTED_VALUE"""),44305.3566666666)</f>
        <v>44305.356666666601</v>
      </c>
      <c r="U78" s="1" t="str">
        <f ca="1">IFERROR(__xludf.DUMMYFUNCTION("""COMPUTED_VALUE"""),"19.04.2021")</f>
        <v>19.04.2021</v>
      </c>
    </row>
    <row r="79" spans="1:21" ht="13" x14ac:dyDescent="0.15">
      <c r="A79" s="1" t="str">
        <f t="shared" ca="1" si="0"/>
        <v>ChennaiSundaram Medical Foundation</v>
      </c>
      <c r="B79" s="1">
        <f ca="1">IFERROR(__xludf.DUMMYFUNCTION("""COMPUTED_VALUE"""),78)</f>
        <v>78</v>
      </c>
      <c r="C79" s="1" t="str">
        <f ca="1">IFERROR(__xludf.DUMMYFUNCTION("""COMPUTED_VALUE"""),"Chennai")</f>
        <v>Chennai</v>
      </c>
      <c r="D79" s="1" t="str">
        <f ca="1">IFERROR(__xludf.DUMMYFUNCTION("""COMPUTED_VALUE"""),"Sundaram Medical Foundation")</f>
        <v>Sundaram Medical Foundation</v>
      </c>
      <c r="E79" s="1">
        <f ca="1">IFERROR(__xludf.DUMMYFUNCTION("""COMPUTED_VALUE"""),20)</f>
        <v>20</v>
      </c>
      <c r="F79" s="1">
        <f ca="1">IFERROR(__xludf.DUMMYFUNCTION("""COMPUTED_VALUE"""),17)</f>
        <v>17</v>
      </c>
      <c r="G79" s="1">
        <f ca="1">IFERROR(__xludf.DUMMYFUNCTION("""COMPUTED_VALUE"""),3)</f>
        <v>3</v>
      </c>
      <c r="H79" s="1">
        <f ca="1">IFERROR(__xludf.DUMMYFUNCTION("""COMPUTED_VALUE"""),14)</f>
        <v>14</v>
      </c>
      <c r="I79" s="1">
        <f ca="1">IFERROR(__xludf.DUMMYFUNCTION("""COMPUTED_VALUE"""),11)</f>
        <v>11</v>
      </c>
      <c r="J79" s="1">
        <f ca="1">IFERROR(__xludf.DUMMYFUNCTION("""COMPUTED_VALUE"""),3)</f>
        <v>3</v>
      </c>
      <c r="K79" s="1">
        <f ca="1">IFERROR(__xludf.DUMMYFUNCTION("""COMPUTED_VALUE"""),0)</f>
        <v>0</v>
      </c>
      <c r="L79" s="1">
        <f ca="1">IFERROR(__xludf.DUMMYFUNCTION("""COMPUTED_VALUE"""),0)</f>
        <v>0</v>
      </c>
      <c r="M79" s="1">
        <f ca="1">IFERROR(__xludf.DUMMYFUNCTION("""COMPUTED_VALUE"""),0)</f>
        <v>0</v>
      </c>
      <c r="N79" s="1">
        <f ca="1">IFERROR(__xludf.DUMMYFUNCTION("""COMPUTED_VALUE"""),6)</f>
        <v>6</v>
      </c>
      <c r="O79" s="1">
        <f ca="1">IFERROR(__xludf.DUMMYFUNCTION("""COMPUTED_VALUE"""),6)</f>
        <v>6</v>
      </c>
      <c r="P79" s="1">
        <f ca="1">IFERROR(__xludf.DUMMYFUNCTION("""COMPUTED_VALUE"""),0)</f>
        <v>0</v>
      </c>
      <c r="Q79" s="1">
        <f ca="1">IFERROR(__xludf.DUMMYFUNCTION("""COMPUTED_VALUE"""),5)</f>
        <v>5</v>
      </c>
      <c r="R79" s="1">
        <f ca="1">IFERROR(__xludf.DUMMYFUNCTION("""COMPUTED_VALUE"""),5)</f>
        <v>5</v>
      </c>
      <c r="S79" s="1">
        <f ca="1">IFERROR(__xludf.DUMMYFUNCTION("""COMPUTED_VALUE"""),0)</f>
        <v>0</v>
      </c>
      <c r="T79" s="1">
        <f ca="1">IFERROR(__xludf.DUMMYFUNCTION("""COMPUTED_VALUE"""),44305.3748842592)</f>
        <v>44305.374884259203</v>
      </c>
      <c r="U79" s="1" t="str">
        <f ca="1">IFERROR(__xludf.DUMMYFUNCTION("""COMPUTED_VALUE"""),"-")</f>
        <v>-</v>
      </c>
    </row>
    <row r="80" spans="1:21" ht="13" x14ac:dyDescent="0.15">
      <c r="A80" s="1" t="str">
        <f t="shared" ca="1" si="0"/>
        <v>ChennaiTagore Medical College &amp; Hospital</v>
      </c>
      <c r="B80" s="1">
        <f ca="1">IFERROR(__xludf.DUMMYFUNCTION("""COMPUTED_VALUE"""),79)</f>
        <v>79</v>
      </c>
      <c r="C80" s="1" t="str">
        <f ca="1">IFERROR(__xludf.DUMMYFUNCTION("""COMPUTED_VALUE"""),"Chennai")</f>
        <v>Chennai</v>
      </c>
      <c r="D80" s="1" t="str">
        <f ca="1">IFERROR(__xludf.DUMMYFUNCTION("""COMPUTED_VALUE"""),"Tagore Medical College &amp; Hospital")</f>
        <v>Tagore Medical College &amp; Hospital</v>
      </c>
      <c r="E80" s="1">
        <f ca="1">IFERROR(__xludf.DUMMYFUNCTION("""COMPUTED_VALUE"""),80)</f>
        <v>80</v>
      </c>
      <c r="F80" s="1">
        <f ca="1">IFERROR(__xludf.DUMMYFUNCTION("""COMPUTED_VALUE"""),0)</f>
        <v>0</v>
      </c>
      <c r="G80" s="1">
        <f ca="1">IFERROR(__xludf.DUMMYFUNCTION("""COMPUTED_VALUE"""),80)</f>
        <v>80</v>
      </c>
      <c r="H80" s="1">
        <f ca="1">IFERROR(__xludf.DUMMYFUNCTION("""COMPUTED_VALUE"""),80)</f>
        <v>80</v>
      </c>
      <c r="I80" s="1">
        <f ca="1">IFERROR(__xludf.DUMMYFUNCTION("""COMPUTED_VALUE"""),13)</f>
        <v>13</v>
      </c>
      <c r="J80" s="1">
        <f ca="1">IFERROR(__xludf.DUMMYFUNCTION("""COMPUTED_VALUE"""),67)</f>
        <v>67</v>
      </c>
      <c r="K80" s="1">
        <f ca="1">IFERROR(__xludf.DUMMYFUNCTION("""COMPUTED_VALUE"""),162)</f>
        <v>162</v>
      </c>
      <c r="L80" s="1">
        <f ca="1">IFERROR(__xludf.DUMMYFUNCTION("""COMPUTED_VALUE"""),41)</f>
        <v>41</v>
      </c>
      <c r="M80" s="1">
        <f ca="1">IFERROR(__xludf.DUMMYFUNCTION("""COMPUTED_VALUE"""),121)</f>
        <v>121</v>
      </c>
      <c r="N80" s="1">
        <f ca="1">IFERROR(__xludf.DUMMYFUNCTION("""COMPUTED_VALUE"""),12)</f>
        <v>12</v>
      </c>
      <c r="O80" s="1">
        <f ca="1">IFERROR(__xludf.DUMMYFUNCTION("""COMPUTED_VALUE"""),7)</f>
        <v>7</v>
      </c>
      <c r="P80" s="1">
        <f ca="1">IFERROR(__xludf.DUMMYFUNCTION("""COMPUTED_VALUE"""),5)</f>
        <v>5</v>
      </c>
      <c r="Q80" s="1">
        <f ca="1">IFERROR(__xludf.DUMMYFUNCTION("""COMPUTED_VALUE"""),4)</f>
        <v>4</v>
      </c>
      <c r="R80" s="1">
        <f ca="1">IFERROR(__xludf.DUMMYFUNCTION("""COMPUTED_VALUE"""),0)</f>
        <v>0</v>
      </c>
      <c r="S80" s="1">
        <f ca="1">IFERROR(__xludf.DUMMYFUNCTION("""COMPUTED_VALUE"""),4)</f>
        <v>4</v>
      </c>
      <c r="T80" s="1">
        <f ca="1">IFERROR(__xludf.DUMMYFUNCTION("""COMPUTED_VALUE"""),44303.4566319444)</f>
        <v>44303.456631944398</v>
      </c>
      <c r="U80" s="1" t="str">
        <f ca="1">IFERROR(__xludf.DUMMYFUNCTION("""COMPUTED_VALUE"""),"17-4-2021")</f>
        <v>17-4-2021</v>
      </c>
    </row>
    <row r="81" spans="1:21" ht="13" x14ac:dyDescent="0.15">
      <c r="A81" s="1" t="str">
        <f t="shared" ca="1" si="0"/>
        <v>ChennaiThe Guest Hospital, Kilpauk</v>
      </c>
      <c r="B81" s="1">
        <f ca="1">IFERROR(__xludf.DUMMYFUNCTION("""COMPUTED_VALUE"""),80)</f>
        <v>80</v>
      </c>
      <c r="C81" s="1" t="str">
        <f ca="1">IFERROR(__xludf.DUMMYFUNCTION("""COMPUTED_VALUE"""),"Chennai")</f>
        <v>Chennai</v>
      </c>
      <c r="D81" s="1" t="str">
        <f ca="1">IFERROR(__xludf.DUMMYFUNCTION("""COMPUTED_VALUE"""),"The Guest Hospital, Kilpauk")</f>
        <v>The Guest Hospital, Kilpauk</v>
      </c>
      <c r="E81" s="1">
        <f ca="1">IFERROR(__xludf.DUMMYFUNCTION("""COMPUTED_VALUE"""),23)</f>
        <v>23</v>
      </c>
      <c r="F81" s="1">
        <f ca="1">IFERROR(__xludf.DUMMYFUNCTION("""COMPUTED_VALUE"""),22)</f>
        <v>22</v>
      </c>
      <c r="G81" s="1">
        <f ca="1">IFERROR(__xludf.DUMMYFUNCTION("""COMPUTED_VALUE"""),1)</f>
        <v>1</v>
      </c>
      <c r="H81" s="1">
        <f ca="1">IFERROR(__xludf.DUMMYFUNCTION("""COMPUTED_VALUE"""),23)</f>
        <v>23</v>
      </c>
      <c r="I81" s="1">
        <f ca="1">IFERROR(__xludf.DUMMYFUNCTION("""COMPUTED_VALUE"""),22)</f>
        <v>22</v>
      </c>
      <c r="J81" s="1">
        <f ca="1">IFERROR(__xludf.DUMMYFUNCTION("""COMPUTED_VALUE"""),1)</f>
        <v>1</v>
      </c>
      <c r="K81" s="1">
        <f ca="1">IFERROR(__xludf.DUMMYFUNCTION("""COMPUTED_VALUE"""),0)</f>
        <v>0</v>
      </c>
      <c r="L81" s="1">
        <f ca="1">IFERROR(__xludf.DUMMYFUNCTION("""COMPUTED_VALUE"""),0)</f>
        <v>0</v>
      </c>
      <c r="M81" s="1">
        <f ca="1">IFERROR(__xludf.DUMMYFUNCTION("""COMPUTED_VALUE"""),0)</f>
        <v>0</v>
      </c>
      <c r="N81" s="1">
        <f ca="1">IFERROR(__xludf.DUMMYFUNCTION("""COMPUTED_VALUE"""),2)</f>
        <v>2</v>
      </c>
      <c r="O81" s="1">
        <f ca="1">IFERROR(__xludf.DUMMYFUNCTION("""COMPUTED_VALUE"""),2)</f>
        <v>2</v>
      </c>
      <c r="P81" s="1">
        <f ca="1">IFERROR(__xludf.DUMMYFUNCTION("""COMPUTED_VALUE"""),0)</f>
        <v>0</v>
      </c>
      <c r="Q81" s="1">
        <f ca="1">IFERROR(__xludf.DUMMYFUNCTION("""COMPUTED_VALUE"""),0)</f>
        <v>0</v>
      </c>
      <c r="R81" s="1">
        <f ca="1">IFERROR(__xludf.DUMMYFUNCTION("""COMPUTED_VALUE"""),0)</f>
        <v>0</v>
      </c>
      <c r="S81" s="1">
        <f ca="1">IFERROR(__xludf.DUMMYFUNCTION("""COMPUTED_VALUE"""),0)</f>
        <v>0</v>
      </c>
      <c r="T81" s="1">
        <f ca="1">IFERROR(__xludf.DUMMYFUNCTION("""COMPUTED_VALUE"""),44305.3532523148)</f>
        <v>44305.353252314802</v>
      </c>
      <c r="U81" s="1" t="str">
        <f ca="1">IFERROR(__xludf.DUMMYFUNCTION("""COMPUTED_VALUE"""),"19/04/2021")</f>
        <v>19/04/2021</v>
      </c>
    </row>
    <row r="82" spans="1:21" ht="13" x14ac:dyDescent="0.15">
      <c r="A82" s="1" t="str">
        <f t="shared" ca="1" si="0"/>
        <v>ChennaiTosh Hospitals Pvt Ltd</v>
      </c>
      <c r="B82" s="1">
        <f ca="1">IFERROR(__xludf.DUMMYFUNCTION("""COMPUTED_VALUE"""),81)</f>
        <v>81</v>
      </c>
      <c r="C82" s="1" t="str">
        <f ca="1">IFERROR(__xludf.DUMMYFUNCTION("""COMPUTED_VALUE"""),"Chennai")</f>
        <v>Chennai</v>
      </c>
      <c r="D82" s="1" t="str">
        <f ca="1">IFERROR(__xludf.DUMMYFUNCTION("""COMPUTED_VALUE"""),"Tosh Hospitals Pvt Ltd")</f>
        <v>Tosh Hospitals Pvt Ltd</v>
      </c>
      <c r="E82" s="1">
        <f ca="1">IFERROR(__xludf.DUMMYFUNCTION("""COMPUTED_VALUE"""),26)</f>
        <v>26</v>
      </c>
      <c r="F82" s="1">
        <f ca="1">IFERROR(__xludf.DUMMYFUNCTION("""COMPUTED_VALUE"""),19)</f>
        <v>19</v>
      </c>
      <c r="G82" s="1">
        <f ca="1">IFERROR(__xludf.DUMMYFUNCTION("""COMPUTED_VALUE"""),7)</f>
        <v>7</v>
      </c>
      <c r="H82" s="1">
        <f ca="1">IFERROR(__xludf.DUMMYFUNCTION("""COMPUTED_VALUE"""),22)</f>
        <v>22</v>
      </c>
      <c r="I82" s="1">
        <f ca="1">IFERROR(__xludf.DUMMYFUNCTION("""COMPUTED_VALUE"""),19)</f>
        <v>19</v>
      </c>
      <c r="J82" s="1">
        <f ca="1">IFERROR(__xludf.DUMMYFUNCTION("""COMPUTED_VALUE"""),3)</f>
        <v>3</v>
      </c>
      <c r="K82" s="1">
        <f ca="1">IFERROR(__xludf.DUMMYFUNCTION("""COMPUTED_VALUE"""),0)</f>
        <v>0</v>
      </c>
      <c r="L82" s="1">
        <f ca="1">IFERROR(__xludf.DUMMYFUNCTION("""COMPUTED_VALUE"""),0)</f>
        <v>0</v>
      </c>
      <c r="M82" s="1">
        <f ca="1">IFERROR(__xludf.DUMMYFUNCTION("""COMPUTED_VALUE"""),0)</f>
        <v>0</v>
      </c>
      <c r="N82" s="1">
        <f ca="1">IFERROR(__xludf.DUMMYFUNCTION("""COMPUTED_VALUE"""),4)</f>
        <v>4</v>
      </c>
      <c r="O82" s="1">
        <f ca="1">IFERROR(__xludf.DUMMYFUNCTION("""COMPUTED_VALUE"""),0)</f>
        <v>0</v>
      </c>
      <c r="P82" s="1">
        <f ca="1">IFERROR(__xludf.DUMMYFUNCTION("""COMPUTED_VALUE"""),4)</f>
        <v>4</v>
      </c>
      <c r="Q82" s="1">
        <f ca="1">IFERROR(__xludf.DUMMYFUNCTION("""COMPUTED_VALUE"""),1)</f>
        <v>1</v>
      </c>
      <c r="R82" s="1">
        <f ca="1">IFERROR(__xludf.DUMMYFUNCTION("""COMPUTED_VALUE"""),0)</f>
        <v>0</v>
      </c>
      <c r="S82" s="1">
        <f ca="1">IFERROR(__xludf.DUMMYFUNCTION("""COMPUTED_VALUE"""),1)</f>
        <v>1</v>
      </c>
      <c r="T82" s="1">
        <f ca="1">IFERROR(__xludf.DUMMYFUNCTION("""COMPUTED_VALUE"""),44304.3361111111)</f>
        <v>44304.336111111101</v>
      </c>
      <c r="U82" s="1" t="str">
        <f ca="1">IFERROR(__xludf.DUMMYFUNCTION("""COMPUTED_VALUE"""),"18-04-2021")</f>
        <v>18-04-2021</v>
      </c>
    </row>
    <row r="83" spans="1:21" ht="13" x14ac:dyDescent="0.15">
      <c r="A83" s="1" t="str">
        <f t="shared" ca="1" si="0"/>
        <v>ChennaiTrinity Acute care Hospital</v>
      </c>
      <c r="B83" s="1">
        <f ca="1">IFERROR(__xludf.DUMMYFUNCTION("""COMPUTED_VALUE"""),82)</f>
        <v>82</v>
      </c>
      <c r="C83" s="1" t="str">
        <f ca="1">IFERROR(__xludf.DUMMYFUNCTION("""COMPUTED_VALUE"""),"Chennai")</f>
        <v>Chennai</v>
      </c>
      <c r="D83" s="1" t="str">
        <f ca="1">IFERROR(__xludf.DUMMYFUNCTION("""COMPUTED_VALUE"""),"Trinity Acute care Hospital")</f>
        <v>Trinity Acute care Hospital</v>
      </c>
      <c r="E83" s="1">
        <f ca="1">IFERROR(__xludf.DUMMYFUNCTION("""COMPUTED_VALUE"""),24)</f>
        <v>24</v>
      </c>
      <c r="F83" s="1">
        <f ca="1">IFERROR(__xludf.DUMMYFUNCTION("""COMPUTED_VALUE"""),20)</f>
        <v>20</v>
      </c>
      <c r="G83" s="1">
        <f ca="1">IFERROR(__xludf.DUMMYFUNCTION("""COMPUTED_VALUE"""),0)</f>
        <v>0</v>
      </c>
      <c r="H83" s="1">
        <f ca="1">IFERROR(__xludf.DUMMYFUNCTION("""COMPUTED_VALUE"""),20)</f>
        <v>20</v>
      </c>
      <c r="I83" s="1">
        <f ca="1">IFERROR(__xludf.DUMMYFUNCTION("""COMPUTED_VALUE"""),20)</f>
        <v>20</v>
      </c>
      <c r="J83" s="1">
        <f ca="1">IFERROR(__xludf.DUMMYFUNCTION("""COMPUTED_VALUE"""),0)</f>
        <v>0</v>
      </c>
      <c r="K83" s="1">
        <f ca="1">IFERROR(__xludf.DUMMYFUNCTION("""COMPUTED_VALUE"""),0)</f>
        <v>0</v>
      </c>
      <c r="L83" s="1">
        <f ca="1">IFERROR(__xludf.DUMMYFUNCTION("""COMPUTED_VALUE"""),0)</f>
        <v>0</v>
      </c>
      <c r="M83" s="1">
        <f ca="1">IFERROR(__xludf.DUMMYFUNCTION("""COMPUTED_VALUE"""),0)</f>
        <v>0</v>
      </c>
      <c r="N83" s="1">
        <f ca="1">IFERROR(__xludf.DUMMYFUNCTION("""COMPUTED_VALUE"""),4)</f>
        <v>4</v>
      </c>
      <c r="O83" s="1">
        <f ca="1">IFERROR(__xludf.DUMMYFUNCTION("""COMPUTED_VALUE"""),4)</f>
        <v>4</v>
      </c>
      <c r="P83" s="1">
        <f ca="1">IFERROR(__xludf.DUMMYFUNCTION("""COMPUTED_VALUE"""),0)</f>
        <v>0</v>
      </c>
      <c r="Q83" s="1">
        <f ca="1">IFERROR(__xludf.DUMMYFUNCTION("""COMPUTED_VALUE"""),4)</f>
        <v>4</v>
      </c>
      <c r="R83" s="1">
        <f ca="1">IFERROR(__xludf.DUMMYFUNCTION("""COMPUTED_VALUE"""),0)</f>
        <v>0</v>
      </c>
      <c r="S83" s="1">
        <f ca="1">IFERROR(__xludf.DUMMYFUNCTION("""COMPUTED_VALUE"""),4)</f>
        <v>4</v>
      </c>
      <c r="T83" s="1">
        <f ca="1">IFERROR(__xludf.DUMMYFUNCTION("""COMPUTED_VALUE"""),44305.3862847222)</f>
        <v>44305.386284722197</v>
      </c>
      <c r="U83" s="1" t="str">
        <f ca="1">IFERROR(__xludf.DUMMYFUNCTION("""COMPUTED_VALUE"""),"19/04/2021")</f>
        <v>19/04/2021</v>
      </c>
    </row>
    <row r="84" spans="1:21" ht="13" x14ac:dyDescent="0.15">
      <c r="A84" s="1" t="str">
        <f t="shared" ca="1" si="0"/>
        <v>ChennaiVasantha Subramanian Hospitals Pvt Ltd, Chetpet</v>
      </c>
      <c r="B84" s="1">
        <f ca="1">IFERROR(__xludf.DUMMYFUNCTION("""COMPUTED_VALUE"""),83)</f>
        <v>83</v>
      </c>
      <c r="C84" s="1" t="str">
        <f ca="1">IFERROR(__xludf.DUMMYFUNCTION("""COMPUTED_VALUE"""),"Chennai")</f>
        <v>Chennai</v>
      </c>
      <c r="D84" s="1" t="str">
        <f ca="1">IFERROR(__xludf.DUMMYFUNCTION("""COMPUTED_VALUE"""),"Vasantha Subramanian Hospitals Pvt Ltd, Chetpet")</f>
        <v>Vasantha Subramanian Hospitals Pvt Ltd, Chetpet</v>
      </c>
      <c r="E84" s="1">
        <f ca="1">IFERROR(__xludf.DUMMYFUNCTION("""COMPUTED_VALUE"""),49)</f>
        <v>49</v>
      </c>
      <c r="F84" s="1">
        <f ca="1">IFERROR(__xludf.DUMMYFUNCTION("""COMPUTED_VALUE"""),49)</f>
        <v>49</v>
      </c>
      <c r="G84" s="1">
        <f ca="1">IFERROR(__xludf.DUMMYFUNCTION("""COMPUTED_VALUE"""),0)</f>
        <v>0</v>
      </c>
      <c r="H84" s="1">
        <f ca="1">IFERROR(__xludf.DUMMYFUNCTION("""COMPUTED_VALUE"""),43)</f>
        <v>43</v>
      </c>
      <c r="I84" s="1">
        <f ca="1">IFERROR(__xludf.DUMMYFUNCTION("""COMPUTED_VALUE"""),43)</f>
        <v>43</v>
      </c>
      <c r="J84" s="1">
        <f ca="1">IFERROR(__xludf.DUMMYFUNCTION("""COMPUTED_VALUE"""),0)</f>
        <v>0</v>
      </c>
      <c r="K84" s="1">
        <f ca="1">IFERROR(__xludf.DUMMYFUNCTION("""COMPUTED_VALUE"""),0)</f>
        <v>0</v>
      </c>
      <c r="L84" s="1">
        <f ca="1">IFERROR(__xludf.DUMMYFUNCTION("""COMPUTED_VALUE"""),0)</f>
        <v>0</v>
      </c>
      <c r="M84" s="1">
        <f ca="1">IFERROR(__xludf.DUMMYFUNCTION("""COMPUTED_VALUE"""),0)</f>
        <v>0</v>
      </c>
      <c r="N84" s="1">
        <f ca="1">IFERROR(__xludf.DUMMYFUNCTION("""COMPUTED_VALUE"""),6)</f>
        <v>6</v>
      </c>
      <c r="O84" s="1">
        <f ca="1">IFERROR(__xludf.DUMMYFUNCTION("""COMPUTED_VALUE"""),6)</f>
        <v>6</v>
      </c>
      <c r="P84" s="1">
        <f ca="1">IFERROR(__xludf.DUMMYFUNCTION("""COMPUTED_VALUE"""),0)</f>
        <v>0</v>
      </c>
      <c r="Q84" s="1">
        <f ca="1">IFERROR(__xludf.DUMMYFUNCTION("""COMPUTED_VALUE"""),6)</f>
        <v>6</v>
      </c>
      <c r="R84" s="1">
        <f ca="1">IFERROR(__xludf.DUMMYFUNCTION("""COMPUTED_VALUE"""),2)</f>
        <v>2</v>
      </c>
      <c r="S84" s="1">
        <f ca="1">IFERROR(__xludf.DUMMYFUNCTION("""COMPUTED_VALUE"""),4)</f>
        <v>4</v>
      </c>
      <c r="T84" s="1">
        <f ca="1">IFERROR(__xludf.DUMMYFUNCTION("""COMPUTED_VALUE"""),44305.4044212963)</f>
        <v>44305.404421296298</v>
      </c>
      <c r="U84" s="1" t="str">
        <f ca="1">IFERROR(__xludf.DUMMYFUNCTION("""COMPUTED_VALUE"""),"19/04/2021")</f>
        <v>19/04/2021</v>
      </c>
    </row>
    <row r="85" spans="1:21" ht="13" x14ac:dyDescent="0.15">
      <c r="A85" s="1" t="str">
        <f t="shared" ca="1" si="0"/>
        <v>ChennaiVenkateswara Hospital</v>
      </c>
      <c r="B85" s="1">
        <f ca="1">IFERROR(__xludf.DUMMYFUNCTION("""COMPUTED_VALUE"""),84)</f>
        <v>84</v>
      </c>
      <c r="C85" s="1" t="str">
        <f ca="1">IFERROR(__xludf.DUMMYFUNCTION("""COMPUTED_VALUE"""),"Chennai")</f>
        <v>Chennai</v>
      </c>
      <c r="D85" s="1" t="str">
        <f ca="1">IFERROR(__xludf.DUMMYFUNCTION("""COMPUTED_VALUE"""),"Venkateswara Hospital")</f>
        <v>Venkateswara Hospital</v>
      </c>
      <c r="E85" s="1">
        <f ca="1">IFERROR(__xludf.DUMMYFUNCTION("""COMPUTED_VALUE"""),100)</f>
        <v>100</v>
      </c>
      <c r="F85" s="1">
        <f ca="1">IFERROR(__xludf.DUMMYFUNCTION("""COMPUTED_VALUE"""),100)</f>
        <v>100</v>
      </c>
      <c r="G85" s="1">
        <f ca="1">IFERROR(__xludf.DUMMYFUNCTION("""COMPUTED_VALUE"""),0)</f>
        <v>0</v>
      </c>
      <c r="H85" s="1">
        <f ca="1">IFERROR(__xludf.DUMMYFUNCTION("""COMPUTED_VALUE"""),100)</f>
        <v>100</v>
      </c>
      <c r="I85" s="1">
        <f ca="1">IFERROR(__xludf.DUMMYFUNCTION("""COMPUTED_VALUE"""),100)</f>
        <v>100</v>
      </c>
      <c r="J85" s="1">
        <f ca="1">IFERROR(__xludf.DUMMYFUNCTION("""COMPUTED_VALUE"""),0)</f>
        <v>0</v>
      </c>
      <c r="K85" s="1">
        <f ca="1">IFERROR(__xludf.DUMMYFUNCTION("""COMPUTED_VALUE"""),0)</f>
        <v>0</v>
      </c>
      <c r="L85" s="1">
        <f ca="1">IFERROR(__xludf.DUMMYFUNCTION("""COMPUTED_VALUE"""),0)</f>
        <v>0</v>
      </c>
      <c r="M85" s="1">
        <f ca="1">IFERROR(__xludf.DUMMYFUNCTION("""COMPUTED_VALUE"""),0)</f>
        <v>0</v>
      </c>
      <c r="N85" s="1">
        <f ca="1">IFERROR(__xludf.DUMMYFUNCTION("""COMPUTED_VALUE"""),20)</f>
        <v>20</v>
      </c>
      <c r="O85" s="1">
        <f ca="1">IFERROR(__xludf.DUMMYFUNCTION("""COMPUTED_VALUE"""),20)</f>
        <v>20</v>
      </c>
      <c r="P85" s="1">
        <f ca="1">IFERROR(__xludf.DUMMYFUNCTION("""COMPUTED_VALUE"""),0)</f>
        <v>0</v>
      </c>
      <c r="Q85" s="1">
        <f ca="1">IFERROR(__xludf.DUMMYFUNCTION("""COMPUTED_VALUE"""),10)</f>
        <v>10</v>
      </c>
      <c r="R85" s="1">
        <f ca="1">IFERROR(__xludf.DUMMYFUNCTION("""COMPUTED_VALUE"""),10)</f>
        <v>10</v>
      </c>
      <c r="S85" s="1">
        <f ca="1">IFERROR(__xludf.DUMMYFUNCTION("""COMPUTED_VALUE"""),0)</f>
        <v>0</v>
      </c>
      <c r="T85" s="1">
        <f ca="1">IFERROR(__xludf.DUMMYFUNCTION("""COMPUTED_VALUE"""),44305.4391319444)</f>
        <v>44305.439131944397</v>
      </c>
      <c r="U85" s="1" t="str">
        <f ca="1">IFERROR(__xludf.DUMMYFUNCTION("""COMPUTED_VALUE"""),"19.04.2021")</f>
        <v>19.04.2021</v>
      </c>
    </row>
    <row r="86" spans="1:21" ht="13" x14ac:dyDescent="0.15">
      <c r="A86" s="1" t="str">
        <f t="shared" ca="1" si="0"/>
        <v>ChennaiVhs, Adayar</v>
      </c>
      <c r="B86" s="1">
        <f ca="1">IFERROR(__xludf.DUMMYFUNCTION("""COMPUTED_VALUE"""),85)</f>
        <v>85</v>
      </c>
      <c r="C86" s="1" t="str">
        <f ca="1">IFERROR(__xludf.DUMMYFUNCTION("""COMPUTED_VALUE"""),"Chennai")</f>
        <v>Chennai</v>
      </c>
      <c r="D86" s="1" t="str">
        <f ca="1">IFERROR(__xludf.DUMMYFUNCTION("""COMPUTED_VALUE"""),"Vhs, Adayar")</f>
        <v>Vhs, Adayar</v>
      </c>
      <c r="E86" s="1">
        <f ca="1">IFERROR(__xludf.DUMMYFUNCTION("""COMPUTED_VALUE"""),70)</f>
        <v>70</v>
      </c>
      <c r="F86" s="1">
        <f ca="1">IFERROR(__xludf.DUMMYFUNCTION("""COMPUTED_VALUE"""),56)</f>
        <v>56</v>
      </c>
      <c r="G86" s="1">
        <f ca="1">IFERROR(__xludf.DUMMYFUNCTION("""COMPUTED_VALUE"""),14)</f>
        <v>14</v>
      </c>
      <c r="H86" s="1">
        <f ca="1">IFERROR(__xludf.DUMMYFUNCTION("""COMPUTED_VALUE"""),70)</f>
        <v>70</v>
      </c>
      <c r="I86" s="1">
        <f ca="1">IFERROR(__xludf.DUMMYFUNCTION("""COMPUTED_VALUE"""),56)</f>
        <v>56</v>
      </c>
      <c r="J86" s="1">
        <f ca="1">IFERROR(__xludf.DUMMYFUNCTION("""COMPUTED_VALUE"""),14)</f>
        <v>14</v>
      </c>
      <c r="K86" s="1">
        <f ca="1">IFERROR(__xludf.DUMMYFUNCTION("""COMPUTED_VALUE"""),0)</f>
        <v>0</v>
      </c>
      <c r="L86" s="1">
        <f ca="1">IFERROR(__xludf.DUMMYFUNCTION("""COMPUTED_VALUE"""),0)</f>
        <v>0</v>
      </c>
      <c r="M86" s="1">
        <f ca="1">IFERROR(__xludf.DUMMYFUNCTION("""COMPUTED_VALUE"""),0)</f>
        <v>0</v>
      </c>
      <c r="N86" s="1">
        <f ca="1">IFERROR(__xludf.DUMMYFUNCTION("""COMPUTED_VALUE"""),24)</f>
        <v>24</v>
      </c>
      <c r="O86" s="1">
        <f ca="1">IFERROR(__xludf.DUMMYFUNCTION("""COMPUTED_VALUE"""),20)</f>
        <v>20</v>
      </c>
      <c r="P86" s="1">
        <f ca="1">IFERROR(__xludf.DUMMYFUNCTION("""COMPUTED_VALUE"""),4)</f>
        <v>4</v>
      </c>
      <c r="Q86" s="1">
        <f ca="1">IFERROR(__xludf.DUMMYFUNCTION("""COMPUTED_VALUE"""),11)</f>
        <v>11</v>
      </c>
      <c r="R86" s="1">
        <f ca="1">IFERROR(__xludf.DUMMYFUNCTION("""COMPUTED_VALUE"""),11)</f>
        <v>11</v>
      </c>
      <c r="S86" s="1">
        <f ca="1">IFERROR(__xludf.DUMMYFUNCTION("""COMPUTED_VALUE"""),0)</f>
        <v>0</v>
      </c>
      <c r="T86" s="1">
        <f ca="1">IFERROR(__xludf.DUMMYFUNCTION("""COMPUTED_VALUE"""),44305.5508449074)</f>
        <v>44305.550844907397</v>
      </c>
      <c r="U86" s="1"/>
    </row>
    <row r="87" spans="1:21" ht="13" x14ac:dyDescent="0.15">
      <c r="A87" s="1" t="str">
        <f t="shared" ca="1" si="0"/>
        <v>ChennaiVihaa Hospital Anna Nagar</v>
      </c>
      <c r="B87" s="1">
        <f ca="1">IFERROR(__xludf.DUMMYFUNCTION("""COMPUTED_VALUE"""),86)</f>
        <v>86</v>
      </c>
      <c r="C87" s="1" t="str">
        <f ca="1">IFERROR(__xludf.DUMMYFUNCTION("""COMPUTED_VALUE"""),"Chennai")</f>
        <v>Chennai</v>
      </c>
      <c r="D87" s="1" t="str">
        <f ca="1">IFERROR(__xludf.DUMMYFUNCTION("""COMPUTED_VALUE"""),"Vihaa Hospital Anna Nagar")</f>
        <v>Vihaa Hospital Anna Nagar</v>
      </c>
      <c r="E87" s="1">
        <f ca="1">IFERROR(__xludf.DUMMYFUNCTION("""COMPUTED_VALUE"""),30)</f>
        <v>30</v>
      </c>
      <c r="F87" s="1">
        <f ca="1">IFERROR(__xludf.DUMMYFUNCTION("""COMPUTED_VALUE"""),28)</f>
        <v>28</v>
      </c>
      <c r="G87" s="1">
        <f ca="1">IFERROR(__xludf.DUMMYFUNCTION("""COMPUTED_VALUE"""),0)</f>
        <v>0</v>
      </c>
      <c r="H87" s="1">
        <f ca="1">IFERROR(__xludf.DUMMYFUNCTION("""COMPUTED_VALUE"""),30)</f>
        <v>30</v>
      </c>
      <c r="I87" s="1">
        <f ca="1">IFERROR(__xludf.DUMMYFUNCTION("""COMPUTED_VALUE"""),28)</f>
        <v>28</v>
      </c>
      <c r="J87" s="1">
        <f ca="1">IFERROR(__xludf.DUMMYFUNCTION("""COMPUTED_VALUE"""),0)</f>
        <v>0</v>
      </c>
      <c r="K87" s="1">
        <f ca="1">IFERROR(__xludf.DUMMYFUNCTION("""COMPUTED_VALUE"""),0)</f>
        <v>0</v>
      </c>
      <c r="L87" s="1">
        <f ca="1">IFERROR(__xludf.DUMMYFUNCTION("""COMPUTED_VALUE"""),0)</f>
        <v>0</v>
      </c>
      <c r="M87" s="1">
        <f ca="1">IFERROR(__xludf.DUMMYFUNCTION("""COMPUTED_VALUE"""),0)</f>
        <v>0</v>
      </c>
      <c r="N87" s="1">
        <f ca="1">IFERROR(__xludf.DUMMYFUNCTION("""COMPUTED_VALUE"""),0)</f>
        <v>0</v>
      </c>
      <c r="O87" s="1">
        <f ca="1">IFERROR(__xludf.DUMMYFUNCTION("""COMPUTED_VALUE"""),0)</f>
        <v>0</v>
      </c>
      <c r="P87" s="1">
        <f ca="1">IFERROR(__xludf.DUMMYFUNCTION("""COMPUTED_VALUE"""),0)</f>
        <v>0</v>
      </c>
      <c r="Q87" s="1">
        <f ca="1">IFERROR(__xludf.DUMMYFUNCTION("""COMPUTED_VALUE"""),2)</f>
        <v>2</v>
      </c>
      <c r="R87" s="1">
        <f ca="1">IFERROR(__xludf.DUMMYFUNCTION("""COMPUTED_VALUE"""),0)</f>
        <v>0</v>
      </c>
      <c r="S87" s="1">
        <f ca="1">IFERROR(__xludf.DUMMYFUNCTION("""COMPUTED_VALUE"""),2)</f>
        <v>2</v>
      </c>
      <c r="T87" s="1">
        <f ca="1">IFERROR(__xludf.DUMMYFUNCTION("""COMPUTED_VALUE"""),44305.3367476851)</f>
        <v>44305.336747685098</v>
      </c>
      <c r="U87" s="1" t="str">
        <f ca="1">IFERROR(__xludf.DUMMYFUNCTION("""COMPUTED_VALUE"""),"19/04/2021")</f>
        <v>19/04/2021</v>
      </c>
    </row>
    <row r="88" spans="1:21" ht="13" x14ac:dyDescent="0.15">
      <c r="A88" s="1" t="str">
        <f t="shared" ca="1" si="0"/>
        <v>ChennaiVijaya Group Of Hospital</v>
      </c>
      <c r="B88" s="1">
        <f ca="1">IFERROR(__xludf.DUMMYFUNCTION("""COMPUTED_VALUE"""),87)</f>
        <v>87</v>
      </c>
      <c r="C88" s="1" t="str">
        <f ca="1">IFERROR(__xludf.DUMMYFUNCTION("""COMPUTED_VALUE"""),"Chennai")</f>
        <v>Chennai</v>
      </c>
      <c r="D88" s="1" t="str">
        <f ca="1">IFERROR(__xludf.DUMMYFUNCTION("""COMPUTED_VALUE"""),"Vijaya Group Of Hospital")</f>
        <v>Vijaya Group Of Hospital</v>
      </c>
      <c r="E88" s="1">
        <f ca="1">IFERROR(__xludf.DUMMYFUNCTION("""COMPUTED_VALUE"""),90)</f>
        <v>90</v>
      </c>
      <c r="F88" s="1">
        <f ca="1">IFERROR(__xludf.DUMMYFUNCTION("""COMPUTED_VALUE"""),84)</f>
        <v>84</v>
      </c>
      <c r="G88" s="1">
        <f ca="1">IFERROR(__xludf.DUMMYFUNCTION("""COMPUTED_VALUE"""),6)</f>
        <v>6</v>
      </c>
      <c r="H88" s="1">
        <f ca="1">IFERROR(__xludf.DUMMYFUNCTION("""COMPUTED_VALUE"""),80)</f>
        <v>80</v>
      </c>
      <c r="I88" s="1">
        <f ca="1">IFERROR(__xludf.DUMMYFUNCTION("""COMPUTED_VALUE"""),70)</f>
        <v>70</v>
      </c>
      <c r="J88" s="1">
        <f ca="1">IFERROR(__xludf.DUMMYFUNCTION("""COMPUTED_VALUE"""),10)</f>
        <v>10</v>
      </c>
      <c r="K88" s="1">
        <f ca="1">IFERROR(__xludf.DUMMYFUNCTION("""COMPUTED_VALUE"""),0)</f>
        <v>0</v>
      </c>
      <c r="L88" s="1">
        <f ca="1">IFERROR(__xludf.DUMMYFUNCTION("""COMPUTED_VALUE"""),0)</f>
        <v>0</v>
      </c>
      <c r="M88" s="1">
        <f ca="1">IFERROR(__xludf.DUMMYFUNCTION("""COMPUTED_VALUE"""),0)</f>
        <v>0</v>
      </c>
      <c r="N88" s="1">
        <f ca="1">IFERROR(__xludf.DUMMYFUNCTION("""COMPUTED_VALUE"""),10)</f>
        <v>10</v>
      </c>
      <c r="O88" s="1">
        <f ca="1">IFERROR(__xludf.DUMMYFUNCTION("""COMPUTED_VALUE"""),10)</f>
        <v>10</v>
      </c>
      <c r="P88" s="1">
        <f ca="1">IFERROR(__xludf.DUMMYFUNCTION("""COMPUTED_VALUE"""),0)</f>
        <v>0</v>
      </c>
      <c r="Q88" s="1">
        <f ca="1">IFERROR(__xludf.DUMMYFUNCTION("""COMPUTED_VALUE"""),6)</f>
        <v>6</v>
      </c>
      <c r="R88" s="1">
        <f ca="1">IFERROR(__xludf.DUMMYFUNCTION("""COMPUTED_VALUE"""),2)</f>
        <v>2</v>
      </c>
      <c r="S88" s="1">
        <f ca="1">IFERROR(__xludf.DUMMYFUNCTION("""COMPUTED_VALUE"""),4)</f>
        <v>4</v>
      </c>
      <c r="T88" s="1">
        <f ca="1">IFERROR(__xludf.DUMMYFUNCTION("""COMPUTED_VALUE"""),44305.6784375)</f>
        <v>44305.678437499999</v>
      </c>
      <c r="U88" s="1" t="str">
        <f ca="1">IFERROR(__xludf.DUMMYFUNCTION("""COMPUTED_VALUE"""),"19/04/2021")</f>
        <v>19/04/2021</v>
      </c>
    </row>
    <row r="89" spans="1:21" ht="13" x14ac:dyDescent="0.15">
      <c r="A89" s="1" t="str">
        <f t="shared" ca="1" si="0"/>
        <v>ChennaiSims (Srm Institutes For Medical Science Hospital) Nungumbakkam</v>
      </c>
      <c r="B89" s="1">
        <f ca="1">IFERROR(__xludf.DUMMYFUNCTION("""COMPUTED_VALUE"""),88)</f>
        <v>88</v>
      </c>
      <c r="C89" s="1" t="str">
        <f ca="1">IFERROR(__xludf.DUMMYFUNCTION("""COMPUTED_VALUE"""),"Chennai")</f>
        <v>Chennai</v>
      </c>
      <c r="D89" s="1" t="str">
        <f ca="1">IFERROR(__xludf.DUMMYFUNCTION("""COMPUTED_VALUE"""),"Sims (Srm Institutes For Medical Science Hospital) Nungumbakkam")</f>
        <v>Sims (Srm Institutes For Medical Science Hospital) Nungumbakkam</v>
      </c>
      <c r="E89" s="1">
        <f ca="1">IFERROR(__xludf.DUMMYFUNCTION("""COMPUTED_VALUE"""),70)</f>
        <v>70</v>
      </c>
      <c r="F89" s="1">
        <f ca="1">IFERROR(__xludf.DUMMYFUNCTION("""COMPUTED_VALUE"""),69)</f>
        <v>69</v>
      </c>
      <c r="G89" s="1">
        <f ca="1">IFERROR(__xludf.DUMMYFUNCTION("""COMPUTED_VALUE"""),1)</f>
        <v>1</v>
      </c>
      <c r="H89" s="1">
        <f ca="1">IFERROR(__xludf.DUMMYFUNCTION("""COMPUTED_VALUE"""),62)</f>
        <v>62</v>
      </c>
      <c r="I89" s="1">
        <f ca="1">IFERROR(__xludf.DUMMYFUNCTION("""COMPUTED_VALUE"""),61)</f>
        <v>61</v>
      </c>
      <c r="J89" s="1">
        <f ca="1">IFERROR(__xludf.DUMMYFUNCTION("""COMPUTED_VALUE"""),3)</f>
        <v>3</v>
      </c>
      <c r="K89" s="1">
        <f ca="1">IFERROR(__xludf.DUMMYFUNCTION("""COMPUTED_VALUE"""),0)</f>
        <v>0</v>
      </c>
      <c r="L89" s="1">
        <f ca="1">IFERROR(__xludf.DUMMYFUNCTION("""COMPUTED_VALUE"""),0)</f>
        <v>0</v>
      </c>
      <c r="M89" s="1">
        <f ca="1">IFERROR(__xludf.DUMMYFUNCTION("""COMPUTED_VALUE"""),0)</f>
        <v>0</v>
      </c>
      <c r="N89" s="1">
        <f ca="1">IFERROR(__xludf.DUMMYFUNCTION("""COMPUTED_VALUE"""),8)</f>
        <v>8</v>
      </c>
      <c r="O89" s="1">
        <f ca="1">IFERROR(__xludf.DUMMYFUNCTION("""COMPUTED_VALUE"""),8)</f>
        <v>8</v>
      </c>
      <c r="P89" s="1">
        <f ca="1">IFERROR(__xludf.DUMMYFUNCTION("""COMPUTED_VALUE"""),0)</f>
        <v>0</v>
      </c>
      <c r="Q89" s="1">
        <f ca="1">IFERROR(__xludf.DUMMYFUNCTION("""COMPUTED_VALUE"""),6)</f>
        <v>6</v>
      </c>
      <c r="R89" s="1">
        <f ca="1">IFERROR(__xludf.DUMMYFUNCTION("""COMPUTED_VALUE"""),1)</f>
        <v>1</v>
      </c>
      <c r="S89" s="1">
        <f ca="1">IFERROR(__xludf.DUMMYFUNCTION("""COMPUTED_VALUE"""),5)</f>
        <v>5</v>
      </c>
      <c r="T89" s="1">
        <f ca="1">IFERROR(__xludf.DUMMYFUNCTION("""COMPUTED_VALUE"""),44305.3977199074)</f>
        <v>44305.3977199074</v>
      </c>
      <c r="U89" s="1"/>
    </row>
    <row r="90" spans="1:21" ht="13" x14ac:dyDescent="0.15">
      <c r="A90" s="1" t="str">
        <f t="shared" ca="1" si="0"/>
        <v>ChennaiKMS Health Centre Pvt Ltd,Selaiyur</v>
      </c>
      <c r="B90" s="1">
        <f ca="1">IFERROR(__xludf.DUMMYFUNCTION("""COMPUTED_VALUE"""),89)</f>
        <v>89</v>
      </c>
      <c r="C90" s="1" t="str">
        <f ca="1">IFERROR(__xludf.DUMMYFUNCTION("""COMPUTED_VALUE"""),"Chennai")</f>
        <v>Chennai</v>
      </c>
      <c r="D90" s="1" t="str">
        <f ca="1">IFERROR(__xludf.DUMMYFUNCTION("""COMPUTED_VALUE"""),"KMS Health Centre Pvt Ltd,Selaiyur")</f>
        <v>KMS Health Centre Pvt Ltd,Selaiyur</v>
      </c>
      <c r="E90" s="1">
        <f ca="1">IFERROR(__xludf.DUMMYFUNCTION("""COMPUTED_VALUE"""),30)</f>
        <v>30</v>
      </c>
      <c r="F90" s="1">
        <f ca="1">IFERROR(__xludf.DUMMYFUNCTION("""COMPUTED_VALUE"""),16)</f>
        <v>16</v>
      </c>
      <c r="G90" s="1">
        <f ca="1">IFERROR(__xludf.DUMMYFUNCTION("""COMPUTED_VALUE"""),14)</f>
        <v>14</v>
      </c>
      <c r="H90" s="1">
        <f ca="1">IFERROR(__xludf.DUMMYFUNCTION("""COMPUTED_VALUE"""),10)</f>
        <v>10</v>
      </c>
      <c r="I90" s="1">
        <f ca="1">IFERROR(__xludf.DUMMYFUNCTION("""COMPUTED_VALUE"""),10)</f>
        <v>10</v>
      </c>
      <c r="J90" s="1">
        <f ca="1">IFERROR(__xludf.DUMMYFUNCTION("""COMPUTED_VALUE"""),0)</f>
        <v>0</v>
      </c>
      <c r="K90" s="1">
        <f ca="1">IFERROR(__xludf.DUMMYFUNCTION("""COMPUTED_VALUE"""),10)</f>
        <v>10</v>
      </c>
      <c r="L90" s="1">
        <f ca="1">IFERROR(__xludf.DUMMYFUNCTION("""COMPUTED_VALUE"""),0)</f>
        <v>0</v>
      </c>
      <c r="M90" s="1">
        <f ca="1">IFERROR(__xludf.DUMMYFUNCTION("""COMPUTED_VALUE"""),10)</f>
        <v>10</v>
      </c>
      <c r="N90" s="1">
        <f ca="1">IFERROR(__xludf.DUMMYFUNCTION("""COMPUTED_VALUE"""),10)</f>
        <v>10</v>
      </c>
      <c r="O90" s="1">
        <f ca="1">IFERROR(__xludf.DUMMYFUNCTION("""COMPUTED_VALUE"""),5)</f>
        <v>5</v>
      </c>
      <c r="P90" s="1">
        <f ca="1">IFERROR(__xludf.DUMMYFUNCTION("""COMPUTED_VALUE"""),5)</f>
        <v>5</v>
      </c>
      <c r="Q90" s="1">
        <f ca="1">IFERROR(__xludf.DUMMYFUNCTION("""COMPUTED_VALUE"""),2)</f>
        <v>2</v>
      </c>
      <c r="R90" s="1">
        <f ca="1">IFERROR(__xludf.DUMMYFUNCTION("""COMPUTED_VALUE"""),1)</f>
        <v>1</v>
      </c>
      <c r="S90" s="1">
        <f ca="1">IFERROR(__xludf.DUMMYFUNCTION("""COMPUTED_VALUE"""),1)</f>
        <v>1</v>
      </c>
      <c r="T90" s="1">
        <f ca="1">IFERROR(__xludf.DUMMYFUNCTION("""COMPUTED_VALUE"""),44298.7198032407)</f>
        <v>44298.719803240703</v>
      </c>
      <c r="U90" s="1">
        <f ca="1">IFERROR(__xludf.DUMMYFUNCTION("""COMPUTED_VALUE"""),44298)</f>
        <v>44298</v>
      </c>
    </row>
    <row r="91" spans="1:21" ht="13" x14ac:dyDescent="0.15">
      <c r="A91" s="1" t="str">
        <f t="shared" ca="1" si="0"/>
        <v>ChennaiNichani Hospital</v>
      </c>
      <c r="B91" s="1">
        <f ca="1">IFERROR(__xludf.DUMMYFUNCTION("""COMPUTED_VALUE"""),90)</f>
        <v>90</v>
      </c>
      <c r="C91" s="1" t="str">
        <f ca="1">IFERROR(__xludf.DUMMYFUNCTION("""COMPUTED_VALUE"""),"Chennai")</f>
        <v>Chennai</v>
      </c>
      <c r="D91" s="1" t="str">
        <f ca="1">IFERROR(__xludf.DUMMYFUNCTION("""COMPUTED_VALUE"""),"Nichani Hospital")</f>
        <v>Nichani Hospital</v>
      </c>
      <c r="E91" s="1">
        <f ca="1">IFERROR(__xludf.DUMMYFUNCTION("""COMPUTED_VALUE"""),30)</f>
        <v>30</v>
      </c>
      <c r="F91" s="1">
        <f ca="1">IFERROR(__xludf.DUMMYFUNCTION("""COMPUTED_VALUE"""),0)</f>
        <v>0</v>
      </c>
      <c r="G91" s="1">
        <f ca="1">IFERROR(__xludf.DUMMYFUNCTION("""COMPUTED_VALUE"""),30)</f>
        <v>30</v>
      </c>
      <c r="H91" s="1">
        <f ca="1">IFERROR(__xludf.DUMMYFUNCTION("""COMPUTED_VALUE"""),5)</f>
        <v>5</v>
      </c>
      <c r="I91" s="1">
        <f ca="1">IFERROR(__xludf.DUMMYFUNCTION("""COMPUTED_VALUE"""),0)</f>
        <v>0</v>
      </c>
      <c r="J91" s="1">
        <f ca="1">IFERROR(__xludf.DUMMYFUNCTION("""COMPUTED_VALUE"""),5)</f>
        <v>5</v>
      </c>
      <c r="K91" s="1">
        <f ca="1">IFERROR(__xludf.DUMMYFUNCTION("""COMPUTED_VALUE"""),20)</f>
        <v>20</v>
      </c>
      <c r="L91" s="1">
        <f ca="1">IFERROR(__xludf.DUMMYFUNCTION("""COMPUTED_VALUE"""),0)</f>
        <v>0</v>
      </c>
      <c r="M91" s="1">
        <f ca="1">IFERROR(__xludf.DUMMYFUNCTION("""COMPUTED_VALUE"""),20)</f>
        <v>20</v>
      </c>
      <c r="N91" s="1">
        <f ca="1">IFERROR(__xludf.DUMMYFUNCTION("""COMPUTED_VALUE"""),1)</f>
        <v>1</v>
      </c>
      <c r="O91" s="1">
        <f ca="1">IFERROR(__xludf.DUMMYFUNCTION("""COMPUTED_VALUE"""),0)</f>
        <v>0</v>
      </c>
      <c r="P91" s="1">
        <f ca="1">IFERROR(__xludf.DUMMYFUNCTION("""COMPUTED_VALUE"""),1)</f>
        <v>1</v>
      </c>
      <c r="Q91" s="1">
        <f ca="1">IFERROR(__xludf.DUMMYFUNCTION("""COMPUTED_VALUE"""),1)</f>
        <v>1</v>
      </c>
      <c r="R91" s="1">
        <f ca="1">IFERROR(__xludf.DUMMYFUNCTION("""COMPUTED_VALUE"""),0)</f>
        <v>0</v>
      </c>
      <c r="S91" s="1">
        <f ca="1">IFERROR(__xludf.DUMMYFUNCTION("""COMPUTED_VALUE"""),1)</f>
        <v>1</v>
      </c>
      <c r="T91" s="1">
        <f ca="1">IFERROR(__xludf.DUMMYFUNCTION("""COMPUTED_VALUE"""),44305.380474537)</f>
        <v>44305.380474537</v>
      </c>
      <c r="U91" s="1" t="str">
        <f ca="1">IFERROR(__xludf.DUMMYFUNCTION("""COMPUTED_VALUE"""),"19/4/2021 - 0")</f>
        <v>19/4/2021 - 0</v>
      </c>
    </row>
    <row r="92" spans="1:21" ht="13" x14ac:dyDescent="0.15">
      <c r="A92" s="1" t="str">
        <f t="shared" ca="1" si="0"/>
        <v>ChennaiDr.Metha hospital Chetpet</v>
      </c>
      <c r="B92" s="1">
        <f ca="1">IFERROR(__xludf.DUMMYFUNCTION("""COMPUTED_VALUE"""),91)</f>
        <v>91</v>
      </c>
      <c r="C92" s="1" t="str">
        <f ca="1">IFERROR(__xludf.DUMMYFUNCTION("""COMPUTED_VALUE"""),"Chennai")</f>
        <v>Chennai</v>
      </c>
      <c r="D92" s="1" t="str">
        <f ca="1">IFERROR(__xludf.DUMMYFUNCTION("""COMPUTED_VALUE"""),"Dr.Metha hospital Chetpet")</f>
        <v>Dr.Metha hospital Chetpet</v>
      </c>
      <c r="E92" s="1">
        <f ca="1">IFERROR(__xludf.DUMMYFUNCTION("""COMPUTED_VALUE"""),45)</f>
        <v>45</v>
      </c>
      <c r="F92" s="1">
        <f ca="1">IFERROR(__xludf.DUMMYFUNCTION("""COMPUTED_VALUE"""),37)</f>
        <v>37</v>
      </c>
      <c r="G92" s="1">
        <f ca="1">IFERROR(__xludf.DUMMYFUNCTION("""COMPUTED_VALUE"""),8)</f>
        <v>8</v>
      </c>
      <c r="H92" s="1">
        <f ca="1">IFERROR(__xludf.DUMMYFUNCTION("""COMPUTED_VALUE"""),43)</f>
        <v>43</v>
      </c>
      <c r="I92" s="1">
        <f ca="1">IFERROR(__xludf.DUMMYFUNCTION("""COMPUTED_VALUE"""),34)</f>
        <v>34</v>
      </c>
      <c r="J92" s="1">
        <f ca="1">IFERROR(__xludf.DUMMYFUNCTION("""COMPUTED_VALUE"""),9)</f>
        <v>9</v>
      </c>
      <c r="K92" s="1">
        <f ca="1">IFERROR(__xludf.DUMMYFUNCTION("""COMPUTED_VALUE"""),0)</f>
        <v>0</v>
      </c>
      <c r="L92" s="1">
        <f ca="1">IFERROR(__xludf.DUMMYFUNCTION("""COMPUTED_VALUE"""),0)</f>
        <v>0</v>
      </c>
      <c r="M92" s="1">
        <f ca="1">IFERROR(__xludf.DUMMYFUNCTION("""COMPUTED_VALUE"""),0)</f>
        <v>0</v>
      </c>
      <c r="N92" s="1">
        <f ca="1">IFERROR(__xludf.DUMMYFUNCTION("""COMPUTED_VALUE"""),3)</f>
        <v>3</v>
      </c>
      <c r="O92" s="1">
        <f ca="1">IFERROR(__xludf.DUMMYFUNCTION("""COMPUTED_VALUE"""),3)</f>
        <v>3</v>
      </c>
      <c r="P92" s="1">
        <f ca="1">IFERROR(__xludf.DUMMYFUNCTION("""COMPUTED_VALUE"""),0)</f>
        <v>0</v>
      </c>
      <c r="Q92" s="1">
        <f ca="1">IFERROR(__xludf.DUMMYFUNCTION("""COMPUTED_VALUE"""),2)</f>
        <v>2</v>
      </c>
      <c r="R92" s="1">
        <f ca="1">IFERROR(__xludf.DUMMYFUNCTION("""COMPUTED_VALUE"""),0)</f>
        <v>0</v>
      </c>
      <c r="S92" s="1">
        <f ca="1">IFERROR(__xludf.DUMMYFUNCTION("""COMPUTED_VALUE"""),0)</f>
        <v>0</v>
      </c>
      <c r="T92" s="1">
        <f ca="1">IFERROR(__xludf.DUMMYFUNCTION("""COMPUTED_VALUE"""),44305.3760069444)</f>
        <v>44305.376006944403</v>
      </c>
      <c r="U92" s="1" t="str">
        <f ca="1">IFERROR(__xludf.DUMMYFUNCTION("""COMPUTED_VALUE"""),"19/04/2021")</f>
        <v>19/04/2021</v>
      </c>
    </row>
    <row r="93" spans="1:21" ht="13" x14ac:dyDescent="0.15">
      <c r="A93" s="1" t="str">
        <f t="shared" ca="1" si="0"/>
        <v>CoimbatoreG. Kuppusamy Naidu Hospital</v>
      </c>
      <c r="B93" s="1">
        <f ca="1">IFERROR(__xludf.DUMMYFUNCTION("""COMPUTED_VALUE"""),92)</f>
        <v>92</v>
      </c>
      <c r="C93" s="1" t="str">
        <f ca="1">IFERROR(__xludf.DUMMYFUNCTION("""COMPUTED_VALUE"""),"Coimbatore")</f>
        <v>Coimbatore</v>
      </c>
      <c r="D93" s="1" t="str">
        <f ca="1">IFERROR(__xludf.DUMMYFUNCTION("""COMPUTED_VALUE"""),"G. Kuppusamy Naidu Hospital")</f>
        <v>G. Kuppusamy Naidu Hospital</v>
      </c>
      <c r="E93" s="1">
        <f ca="1">IFERROR(__xludf.DUMMYFUNCTION("""COMPUTED_VALUE"""),154)</f>
        <v>154</v>
      </c>
      <c r="F93" s="1">
        <f ca="1">IFERROR(__xludf.DUMMYFUNCTION("""COMPUTED_VALUE"""),84)</f>
        <v>84</v>
      </c>
      <c r="G93" s="1">
        <f ca="1">IFERROR(__xludf.DUMMYFUNCTION("""COMPUTED_VALUE"""),70)</f>
        <v>70</v>
      </c>
      <c r="H93" s="1">
        <f ca="1">IFERROR(__xludf.DUMMYFUNCTION("""COMPUTED_VALUE"""),120)</f>
        <v>120</v>
      </c>
      <c r="I93" s="1">
        <f ca="1">IFERROR(__xludf.DUMMYFUNCTION("""COMPUTED_VALUE"""),73)</f>
        <v>73</v>
      </c>
      <c r="J93" s="1">
        <f ca="1">IFERROR(__xludf.DUMMYFUNCTION("""COMPUTED_VALUE"""),47)</f>
        <v>47</v>
      </c>
      <c r="K93" s="1">
        <f ca="1">IFERROR(__xludf.DUMMYFUNCTION("""COMPUTED_VALUE"""),24)</f>
        <v>24</v>
      </c>
      <c r="L93" s="1">
        <f ca="1">IFERROR(__xludf.DUMMYFUNCTION("""COMPUTED_VALUE"""),1)</f>
        <v>1</v>
      </c>
      <c r="M93" s="1">
        <f ca="1">IFERROR(__xludf.DUMMYFUNCTION("""COMPUTED_VALUE"""),23)</f>
        <v>23</v>
      </c>
      <c r="N93" s="1">
        <f ca="1">IFERROR(__xludf.DUMMYFUNCTION("""COMPUTED_VALUE"""),10)</f>
        <v>10</v>
      </c>
      <c r="O93" s="1">
        <f ca="1">IFERROR(__xludf.DUMMYFUNCTION("""COMPUTED_VALUE"""),10)</f>
        <v>10</v>
      </c>
      <c r="P93" s="1">
        <f ca="1">IFERROR(__xludf.DUMMYFUNCTION("""COMPUTED_VALUE"""),0)</f>
        <v>0</v>
      </c>
      <c r="Q93" s="1">
        <f ca="1">IFERROR(__xludf.DUMMYFUNCTION("""COMPUTED_VALUE"""),0)</f>
        <v>0</v>
      </c>
      <c r="R93" s="1">
        <f ca="1">IFERROR(__xludf.DUMMYFUNCTION("""COMPUTED_VALUE"""),0)</f>
        <v>0</v>
      </c>
      <c r="S93" s="1">
        <f ca="1">IFERROR(__xludf.DUMMYFUNCTION("""COMPUTED_VALUE"""),0)</f>
        <v>0</v>
      </c>
      <c r="T93" s="1">
        <f ca="1">IFERROR(__xludf.DUMMYFUNCTION("""COMPUTED_VALUE"""),44305.4250578703)</f>
        <v>44305.425057870299</v>
      </c>
      <c r="U93" s="1" t="str">
        <f ca="1">IFERROR(__xludf.DUMMYFUNCTION("""COMPUTED_VALUE"""),"GKNM Cbe")</f>
        <v>GKNM Cbe</v>
      </c>
    </row>
    <row r="94" spans="1:21" ht="13" x14ac:dyDescent="0.15">
      <c r="A94" s="1" t="str">
        <f t="shared" ca="1" si="0"/>
        <v>CoimbatoreHindusthan Hospital, Udaiyampalayam</v>
      </c>
      <c r="B94" s="1">
        <f ca="1">IFERROR(__xludf.DUMMYFUNCTION("""COMPUTED_VALUE"""),93)</f>
        <v>93</v>
      </c>
      <c r="C94" s="1" t="str">
        <f ca="1">IFERROR(__xludf.DUMMYFUNCTION("""COMPUTED_VALUE"""),"Coimbatore")</f>
        <v>Coimbatore</v>
      </c>
      <c r="D94" s="1" t="str">
        <f ca="1">IFERROR(__xludf.DUMMYFUNCTION("""COMPUTED_VALUE"""),"Hindusthan Hospital, Udaiyampalayam")</f>
        <v>Hindusthan Hospital, Udaiyampalayam</v>
      </c>
      <c r="E94" s="1">
        <f ca="1">IFERROR(__xludf.DUMMYFUNCTION("""COMPUTED_VALUE"""),70)</f>
        <v>70</v>
      </c>
      <c r="F94" s="1">
        <f ca="1">IFERROR(__xludf.DUMMYFUNCTION("""COMPUTED_VALUE"""),61)</f>
        <v>61</v>
      </c>
      <c r="G94" s="1">
        <f ca="1">IFERROR(__xludf.DUMMYFUNCTION("""COMPUTED_VALUE"""),9)</f>
        <v>9</v>
      </c>
      <c r="H94" s="1">
        <f ca="1">IFERROR(__xludf.DUMMYFUNCTION("""COMPUTED_VALUE"""),45)</f>
        <v>45</v>
      </c>
      <c r="I94" s="1">
        <f ca="1">IFERROR(__xludf.DUMMYFUNCTION("""COMPUTED_VALUE"""),45)</f>
        <v>45</v>
      </c>
      <c r="J94" s="1">
        <f ca="1">IFERROR(__xludf.DUMMYFUNCTION("""COMPUTED_VALUE"""),0)</f>
        <v>0</v>
      </c>
      <c r="K94" s="1">
        <f ca="1">IFERROR(__xludf.DUMMYFUNCTION("""COMPUTED_VALUE"""),20)</f>
        <v>20</v>
      </c>
      <c r="L94" s="1">
        <f ca="1">IFERROR(__xludf.DUMMYFUNCTION("""COMPUTED_VALUE"""),6)</f>
        <v>6</v>
      </c>
      <c r="M94" s="1">
        <f ca="1">IFERROR(__xludf.DUMMYFUNCTION("""COMPUTED_VALUE"""),14)</f>
        <v>14</v>
      </c>
      <c r="N94" s="1">
        <f ca="1">IFERROR(__xludf.DUMMYFUNCTION("""COMPUTED_VALUE"""),4)</f>
        <v>4</v>
      </c>
      <c r="O94" s="1">
        <f ca="1">IFERROR(__xludf.DUMMYFUNCTION("""COMPUTED_VALUE"""),2)</f>
        <v>2</v>
      </c>
      <c r="P94" s="1">
        <f ca="1">IFERROR(__xludf.DUMMYFUNCTION("""COMPUTED_VALUE"""),2)</f>
        <v>2</v>
      </c>
      <c r="Q94" s="1">
        <f ca="1">IFERROR(__xludf.DUMMYFUNCTION("""COMPUTED_VALUE"""),4)</f>
        <v>4</v>
      </c>
      <c r="R94" s="1">
        <f ca="1">IFERROR(__xludf.DUMMYFUNCTION("""COMPUTED_VALUE"""),2)</f>
        <v>2</v>
      </c>
      <c r="S94" s="1">
        <f ca="1">IFERROR(__xludf.DUMMYFUNCTION("""COMPUTED_VALUE"""),2)</f>
        <v>2</v>
      </c>
      <c r="T94" s="1">
        <f ca="1">IFERROR(__xludf.DUMMYFUNCTION("""COMPUTED_VALUE"""),44305.4199189814)</f>
        <v>44305.419918981403</v>
      </c>
      <c r="U94" s="1" t="str">
        <f ca="1">IFERROR(__xludf.DUMMYFUNCTION("""COMPUTED_VALUE"""),"Hindusthan 19.04.2021")</f>
        <v>Hindusthan 19.04.2021</v>
      </c>
    </row>
    <row r="95" spans="1:21" ht="13" x14ac:dyDescent="0.15">
      <c r="A95" s="1" t="str">
        <f t="shared" ca="1" si="0"/>
        <v>CoimbatoreKarpagam Faculty Medical College And Hospital</v>
      </c>
      <c r="B95" s="1">
        <f ca="1">IFERROR(__xludf.DUMMYFUNCTION("""COMPUTED_VALUE"""),94)</f>
        <v>94</v>
      </c>
      <c r="C95" s="1" t="str">
        <f ca="1">IFERROR(__xludf.DUMMYFUNCTION("""COMPUTED_VALUE"""),"Coimbatore")</f>
        <v>Coimbatore</v>
      </c>
      <c r="D95" s="1" t="str">
        <f ca="1">IFERROR(__xludf.DUMMYFUNCTION("""COMPUTED_VALUE"""),"Karpagam Faculty Medical College And Hospital")</f>
        <v>Karpagam Faculty Medical College And Hospital</v>
      </c>
      <c r="E95" s="1">
        <f ca="1">IFERROR(__xludf.DUMMYFUNCTION("""COMPUTED_VALUE"""),250)</f>
        <v>250</v>
      </c>
      <c r="F95" s="1">
        <f ca="1">IFERROR(__xludf.DUMMYFUNCTION("""COMPUTED_VALUE"""),30)</f>
        <v>30</v>
      </c>
      <c r="G95" s="1">
        <f ca="1">IFERROR(__xludf.DUMMYFUNCTION("""COMPUTED_VALUE"""),220)</f>
        <v>220</v>
      </c>
      <c r="H95" s="1">
        <f ca="1">IFERROR(__xludf.DUMMYFUNCTION("""COMPUTED_VALUE"""),30)</f>
        <v>30</v>
      </c>
      <c r="I95" s="1">
        <f ca="1">IFERROR(__xludf.DUMMYFUNCTION("""COMPUTED_VALUE"""),5)</f>
        <v>5</v>
      </c>
      <c r="J95" s="1">
        <f ca="1">IFERROR(__xludf.DUMMYFUNCTION("""COMPUTED_VALUE"""),25)</f>
        <v>25</v>
      </c>
      <c r="K95" s="1">
        <f ca="1">IFERROR(__xludf.DUMMYFUNCTION("""COMPUTED_VALUE"""),217)</f>
        <v>217</v>
      </c>
      <c r="L95" s="1">
        <f ca="1">IFERROR(__xludf.DUMMYFUNCTION("""COMPUTED_VALUE"""),25)</f>
        <v>25</v>
      </c>
      <c r="M95" s="1">
        <f ca="1">IFERROR(__xludf.DUMMYFUNCTION("""COMPUTED_VALUE"""),192)</f>
        <v>192</v>
      </c>
      <c r="N95" s="1">
        <f ca="1">IFERROR(__xludf.DUMMYFUNCTION("""COMPUTED_VALUE"""),3)</f>
        <v>3</v>
      </c>
      <c r="O95" s="1">
        <f ca="1">IFERROR(__xludf.DUMMYFUNCTION("""COMPUTED_VALUE"""),0)</f>
        <v>0</v>
      </c>
      <c r="P95" s="1">
        <f ca="1">IFERROR(__xludf.DUMMYFUNCTION("""COMPUTED_VALUE"""),3)</f>
        <v>3</v>
      </c>
      <c r="Q95" s="1">
        <f ca="1">IFERROR(__xludf.DUMMYFUNCTION("""COMPUTED_VALUE"""),2)</f>
        <v>2</v>
      </c>
      <c r="R95" s="1">
        <f ca="1">IFERROR(__xludf.DUMMYFUNCTION("""COMPUTED_VALUE"""),0)</f>
        <v>0</v>
      </c>
      <c r="S95" s="1">
        <f ca="1">IFERROR(__xludf.DUMMYFUNCTION("""COMPUTED_VALUE"""),2)</f>
        <v>2</v>
      </c>
      <c r="T95" s="1">
        <f ca="1">IFERROR(__xludf.DUMMYFUNCTION("""COMPUTED_VALUE"""),44305.4162037037)</f>
        <v>44305.416203703702</v>
      </c>
      <c r="U95" s="1" t="str">
        <f ca="1">IFERROR(__xludf.DUMMYFUNCTION("""COMPUTED_VALUE"""),"30 POSITIVE + 6 SUSPECTS")</f>
        <v>30 POSITIVE + 6 SUSPECTS</v>
      </c>
    </row>
    <row r="96" spans="1:21" ht="13" x14ac:dyDescent="0.15">
      <c r="A96" s="1" t="str">
        <f t="shared" ca="1" si="0"/>
        <v>CoimbatoreKG Hospital</v>
      </c>
      <c r="B96" s="1">
        <f ca="1">IFERROR(__xludf.DUMMYFUNCTION("""COMPUTED_VALUE"""),95)</f>
        <v>95</v>
      </c>
      <c r="C96" s="1" t="str">
        <f ca="1">IFERROR(__xludf.DUMMYFUNCTION("""COMPUTED_VALUE"""),"Coimbatore")</f>
        <v>Coimbatore</v>
      </c>
      <c r="D96" s="1" t="str">
        <f ca="1">IFERROR(__xludf.DUMMYFUNCTION("""COMPUTED_VALUE"""),"KG Hospital")</f>
        <v>KG Hospital</v>
      </c>
      <c r="E96" s="1">
        <f ca="1">IFERROR(__xludf.DUMMYFUNCTION("""COMPUTED_VALUE"""),71)</f>
        <v>71</v>
      </c>
      <c r="F96" s="1">
        <f ca="1">IFERROR(__xludf.DUMMYFUNCTION("""COMPUTED_VALUE"""),71)</f>
        <v>71</v>
      </c>
      <c r="G96" s="1">
        <f ca="1">IFERROR(__xludf.DUMMYFUNCTION("""COMPUTED_VALUE"""),0)</f>
        <v>0</v>
      </c>
      <c r="H96" s="1">
        <f ca="1">IFERROR(__xludf.DUMMYFUNCTION("""COMPUTED_VALUE"""),71)</f>
        <v>71</v>
      </c>
      <c r="I96" s="1">
        <f ca="1">IFERROR(__xludf.DUMMYFUNCTION("""COMPUTED_VALUE"""),71)</f>
        <v>71</v>
      </c>
      <c r="J96" s="1">
        <f ca="1">IFERROR(__xludf.DUMMYFUNCTION("""COMPUTED_VALUE"""),0)</f>
        <v>0</v>
      </c>
      <c r="K96" s="1">
        <f ca="1">IFERROR(__xludf.DUMMYFUNCTION("""COMPUTED_VALUE"""),0)</f>
        <v>0</v>
      </c>
      <c r="L96" s="1">
        <f ca="1">IFERROR(__xludf.DUMMYFUNCTION("""COMPUTED_VALUE"""),0)</f>
        <v>0</v>
      </c>
      <c r="M96" s="1">
        <f ca="1">IFERROR(__xludf.DUMMYFUNCTION("""COMPUTED_VALUE"""),0)</f>
        <v>0</v>
      </c>
      <c r="N96" s="1">
        <f ca="1">IFERROR(__xludf.DUMMYFUNCTION("""COMPUTED_VALUE"""),24)</f>
        <v>24</v>
      </c>
      <c r="O96" s="1">
        <f ca="1">IFERROR(__xludf.DUMMYFUNCTION("""COMPUTED_VALUE"""),24)</f>
        <v>24</v>
      </c>
      <c r="P96" s="1">
        <f ca="1">IFERROR(__xludf.DUMMYFUNCTION("""COMPUTED_VALUE"""),0)</f>
        <v>0</v>
      </c>
      <c r="Q96" s="1">
        <f ca="1">IFERROR(__xludf.DUMMYFUNCTION("""COMPUTED_VALUE"""),24)</f>
        <v>24</v>
      </c>
      <c r="R96" s="1">
        <f ca="1">IFERROR(__xludf.DUMMYFUNCTION("""COMPUTED_VALUE"""),24)</f>
        <v>24</v>
      </c>
      <c r="S96" s="1">
        <f ca="1">IFERROR(__xludf.DUMMYFUNCTION("""COMPUTED_VALUE"""),0)</f>
        <v>0</v>
      </c>
      <c r="T96" s="1">
        <f ca="1">IFERROR(__xludf.DUMMYFUNCTION("""COMPUTED_VALUE"""),44305.4736226851)</f>
        <v>44305.473622685102</v>
      </c>
      <c r="U96" s="1" t="str">
        <f ca="1">IFERROR(__xludf.DUMMYFUNCTION("""COMPUTED_VALUE"""),"KG HOSPITAL RACE COURSE Coimbatore")</f>
        <v>KG HOSPITAL RACE COURSE Coimbatore</v>
      </c>
    </row>
    <row r="97" spans="1:21" ht="13" x14ac:dyDescent="0.15">
      <c r="A97" s="1" t="str">
        <f t="shared" ca="1" si="0"/>
        <v>CoimbatoreKongunad Hospital</v>
      </c>
      <c r="B97" s="1">
        <f ca="1">IFERROR(__xludf.DUMMYFUNCTION("""COMPUTED_VALUE"""),96)</f>
        <v>96</v>
      </c>
      <c r="C97" s="1" t="str">
        <f ca="1">IFERROR(__xludf.DUMMYFUNCTION("""COMPUTED_VALUE"""),"Coimbatore")</f>
        <v>Coimbatore</v>
      </c>
      <c r="D97" s="1" t="str">
        <f ca="1">IFERROR(__xludf.DUMMYFUNCTION("""COMPUTED_VALUE"""),"Kongunad Hospital")</f>
        <v>Kongunad Hospital</v>
      </c>
      <c r="E97" s="1">
        <f ca="1">IFERROR(__xludf.DUMMYFUNCTION("""COMPUTED_VALUE"""),200)</f>
        <v>200</v>
      </c>
      <c r="F97" s="1">
        <f ca="1">IFERROR(__xludf.DUMMYFUNCTION("""COMPUTED_VALUE"""),195)</f>
        <v>195</v>
      </c>
      <c r="G97" s="1">
        <f ca="1">IFERROR(__xludf.DUMMYFUNCTION("""COMPUTED_VALUE"""),5)</f>
        <v>5</v>
      </c>
      <c r="H97" s="1">
        <f ca="1">IFERROR(__xludf.DUMMYFUNCTION("""COMPUTED_VALUE"""),165)</f>
        <v>165</v>
      </c>
      <c r="I97" s="1">
        <f ca="1">IFERROR(__xludf.DUMMYFUNCTION("""COMPUTED_VALUE"""),165)</f>
        <v>165</v>
      </c>
      <c r="J97" s="1">
        <f ca="1">IFERROR(__xludf.DUMMYFUNCTION("""COMPUTED_VALUE"""),0)</f>
        <v>0</v>
      </c>
      <c r="K97" s="1">
        <f ca="1">IFERROR(__xludf.DUMMYFUNCTION("""COMPUTED_VALUE"""),20)</f>
        <v>20</v>
      </c>
      <c r="L97" s="1">
        <f ca="1">IFERROR(__xludf.DUMMYFUNCTION("""COMPUTED_VALUE"""),15)</f>
        <v>15</v>
      </c>
      <c r="M97" s="1">
        <f ca="1">IFERROR(__xludf.DUMMYFUNCTION("""COMPUTED_VALUE"""),5)</f>
        <v>5</v>
      </c>
      <c r="N97" s="1">
        <f ca="1">IFERROR(__xludf.DUMMYFUNCTION("""COMPUTED_VALUE"""),15)</f>
        <v>15</v>
      </c>
      <c r="O97" s="1">
        <f ca="1">IFERROR(__xludf.DUMMYFUNCTION("""COMPUTED_VALUE"""),15)</f>
        <v>15</v>
      </c>
      <c r="P97" s="1">
        <f ca="1">IFERROR(__xludf.DUMMYFUNCTION("""COMPUTED_VALUE"""),0)</f>
        <v>0</v>
      </c>
      <c r="Q97" s="1">
        <f ca="1">IFERROR(__xludf.DUMMYFUNCTION("""COMPUTED_VALUE"""),5)</f>
        <v>5</v>
      </c>
      <c r="R97" s="1">
        <f ca="1">IFERROR(__xludf.DUMMYFUNCTION("""COMPUTED_VALUE"""),5)</f>
        <v>5</v>
      </c>
      <c r="S97" s="1">
        <f ca="1">IFERROR(__xludf.DUMMYFUNCTION("""COMPUTED_VALUE"""),0)</f>
        <v>0</v>
      </c>
      <c r="T97" s="1">
        <f ca="1">IFERROR(__xludf.DUMMYFUNCTION("""COMPUTED_VALUE"""),44305.4219675925)</f>
        <v>44305.421967592498</v>
      </c>
      <c r="U97" s="1" t="str">
        <f ca="1">IFERROR(__xludf.DUMMYFUNCTION("""COMPUTED_VALUE"""),"Kongunad Hospitals Pvt ltd")</f>
        <v>Kongunad Hospitals Pvt ltd</v>
      </c>
    </row>
    <row r="98" spans="1:21" ht="13" x14ac:dyDescent="0.15">
      <c r="A98" s="1" t="str">
        <f t="shared" ca="1" si="0"/>
        <v>CoimbatoreKovai Medical College Hospital</v>
      </c>
      <c r="B98" s="1">
        <f ca="1">IFERROR(__xludf.DUMMYFUNCTION("""COMPUTED_VALUE"""),97)</f>
        <v>97</v>
      </c>
      <c r="C98" s="1" t="str">
        <f ca="1">IFERROR(__xludf.DUMMYFUNCTION("""COMPUTED_VALUE"""),"Coimbatore")</f>
        <v>Coimbatore</v>
      </c>
      <c r="D98" s="1" t="str">
        <f ca="1">IFERROR(__xludf.DUMMYFUNCTION("""COMPUTED_VALUE"""),"Kovai Medical College Hospital")</f>
        <v>Kovai Medical College Hospital</v>
      </c>
      <c r="E98" s="1">
        <f ca="1">IFERROR(__xludf.DUMMYFUNCTION("""COMPUTED_VALUE"""),163)</f>
        <v>163</v>
      </c>
      <c r="F98" s="1">
        <f ca="1">IFERROR(__xludf.DUMMYFUNCTION("""COMPUTED_VALUE"""),160)</f>
        <v>160</v>
      </c>
      <c r="G98" s="1">
        <f ca="1">IFERROR(__xludf.DUMMYFUNCTION("""COMPUTED_VALUE"""),3)</f>
        <v>3</v>
      </c>
      <c r="H98" s="1">
        <f ca="1">IFERROR(__xludf.DUMMYFUNCTION("""COMPUTED_VALUE"""),40)</f>
        <v>40</v>
      </c>
      <c r="I98" s="1">
        <f ca="1">IFERROR(__xludf.DUMMYFUNCTION("""COMPUTED_VALUE"""),40)</f>
        <v>40</v>
      </c>
      <c r="J98" s="1">
        <f ca="1">IFERROR(__xludf.DUMMYFUNCTION("""COMPUTED_VALUE"""),0)</f>
        <v>0</v>
      </c>
      <c r="K98" s="1">
        <f ca="1">IFERROR(__xludf.DUMMYFUNCTION("""COMPUTED_VALUE"""),107)</f>
        <v>107</v>
      </c>
      <c r="L98" s="1">
        <f ca="1">IFERROR(__xludf.DUMMYFUNCTION("""COMPUTED_VALUE"""),104)</f>
        <v>104</v>
      </c>
      <c r="M98" s="1">
        <f ca="1">IFERROR(__xludf.DUMMYFUNCTION("""COMPUTED_VALUE"""),3)</f>
        <v>3</v>
      </c>
      <c r="N98" s="1">
        <f ca="1">IFERROR(__xludf.DUMMYFUNCTION("""COMPUTED_VALUE"""),16)</f>
        <v>16</v>
      </c>
      <c r="O98" s="1">
        <f ca="1">IFERROR(__xludf.DUMMYFUNCTION("""COMPUTED_VALUE"""),16)</f>
        <v>16</v>
      </c>
      <c r="P98" s="1">
        <f ca="1">IFERROR(__xludf.DUMMYFUNCTION("""COMPUTED_VALUE"""),0)</f>
        <v>0</v>
      </c>
      <c r="Q98" s="1">
        <f ca="1">IFERROR(__xludf.DUMMYFUNCTION("""COMPUTED_VALUE"""),8)</f>
        <v>8</v>
      </c>
      <c r="R98" s="1">
        <f ca="1">IFERROR(__xludf.DUMMYFUNCTION("""COMPUTED_VALUE"""),8)</f>
        <v>8</v>
      </c>
      <c r="S98" s="1">
        <f ca="1">IFERROR(__xludf.DUMMYFUNCTION("""COMPUTED_VALUE"""),0)</f>
        <v>0</v>
      </c>
      <c r="T98" s="1">
        <f ca="1">IFERROR(__xludf.DUMMYFUNCTION("""COMPUTED_VALUE"""),44305.4026388888)</f>
        <v>44305.402638888801</v>
      </c>
      <c r="U98" s="1"/>
    </row>
    <row r="99" spans="1:21" ht="13" x14ac:dyDescent="0.15">
      <c r="A99" s="1" t="str">
        <f t="shared" ca="1" si="0"/>
        <v>CoimbatoreOne Care Medical Centre</v>
      </c>
      <c r="B99" s="1">
        <f ca="1">IFERROR(__xludf.DUMMYFUNCTION("""COMPUTED_VALUE"""),98)</f>
        <v>98</v>
      </c>
      <c r="C99" s="1" t="str">
        <f ca="1">IFERROR(__xludf.DUMMYFUNCTION("""COMPUTED_VALUE"""),"Coimbatore")</f>
        <v>Coimbatore</v>
      </c>
      <c r="D99" s="1" t="str">
        <f ca="1">IFERROR(__xludf.DUMMYFUNCTION("""COMPUTED_VALUE"""),"One Care Medical Centre")</f>
        <v>One Care Medical Centre</v>
      </c>
      <c r="E99" s="1">
        <f ca="1">IFERROR(__xludf.DUMMYFUNCTION("""COMPUTED_VALUE"""),38)</f>
        <v>38</v>
      </c>
      <c r="F99" s="1">
        <f ca="1">IFERROR(__xludf.DUMMYFUNCTION("""COMPUTED_VALUE"""),32)</f>
        <v>32</v>
      </c>
      <c r="G99" s="1">
        <f ca="1">IFERROR(__xludf.DUMMYFUNCTION("""COMPUTED_VALUE"""),6)</f>
        <v>6</v>
      </c>
      <c r="H99" s="1">
        <f ca="1">IFERROR(__xludf.DUMMYFUNCTION("""COMPUTED_VALUE"""),38)</f>
        <v>38</v>
      </c>
      <c r="I99" s="1">
        <f ca="1">IFERROR(__xludf.DUMMYFUNCTION("""COMPUTED_VALUE"""),32)</f>
        <v>32</v>
      </c>
      <c r="J99" s="1">
        <f ca="1">IFERROR(__xludf.DUMMYFUNCTION("""COMPUTED_VALUE"""),6)</f>
        <v>6</v>
      </c>
      <c r="K99" s="1">
        <f ca="1">IFERROR(__xludf.DUMMYFUNCTION("""COMPUTED_VALUE"""),0)</f>
        <v>0</v>
      </c>
      <c r="L99" s="1">
        <f ca="1">IFERROR(__xludf.DUMMYFUNCTION("""COMPUTED_VALUE"""),0)</f>
        <v>0</v>
      </c>
      <c r="M99" s="1">
        <f ca="1">IFERROR(__xludf.DUMMYFUNCTION("""COMPUTED_VALUE"""),0)</f>
        <v>0</v>
      </c>
      <c r="N99" s="1">
        <f ca="1">IFERROR(__xludf.DUMMYFUNCTION("""COMPUTED_VALUE"""),6)</f>
        <v>6</v>
      </c>
      <c r="O99" s="1">
        <f ca="1">IFERROR(__xludf.DUMMYFUNCTION("""COMPUTED_VALUE"""),6)</f>
        <v>6</v>
      </c>
      <c r="P99" s="1">
        <f ca="1">IFERROR(__xludf.DUMMYFUNCTION("""COMPUTED_VALUE"""),0)</f>
        <v>0</v>
      </c>
      <c r="Q99" s="1">
        <f ca="1">IFERROR(__xludf.DUMMYFUNCTION("""COMPUTED_VALUE"""),3)</f>
        <v>3</v>
      </c>
      <c r="R99" s="1">
        <f ca="1">IFERROR(__xludf.DUMMYFUNCTION("""COMPUTED_VALUE"""),3)</f>
        <v>3</v>
      </c>
      <c r="S99" s="1">
        <f ca="1">IFERROR(__xludf.DUMMYFUNCTION("""COMPUTED_VALUE"""),0)</f>
        <v>0</v>
      </c>
      <c r="T99" s="1">
        <f ca="1">IFERROR(__xludf.DUMMYFUNCTION("""COMPUTED_VALUE"""),44305.3602662037)</f>
        <v>44305.360266203701</v>
      </c>
      <c r="U99" s="1" t="str">
        <f ca="1">IFERROR(__xludf.DUMMYFUNCTION("""COMPUTED_VALUE"""),"19/04/2021")</f>
        <v>19/04/2021</v>
      </c>
    </row>
    <row r="100" spans="1:21" ht="13" x14ac:dyDescent="0.15">
      <c r="A100" s="1" t="str">
        <f t="shared" ca="1" si="0"/>
        <v>CoimbatorePSG Institute Of Medical Sciences and Research, Coimbatore</v>
      </c>
      <c r="B100" s="1">
        <f ca="1">IFERROR(__xludf.DUMMYFUNCTION("""COMPUTED_VALUE"""),99)</f>
        <v>99</v>
      </c>
      <c r="C100" s="1" t="str">
        <f ca="1">IFERROR(__xludf.DUMMYFUNCTION("""COMPUTED_VALUE"""),"Coimbatore")</f>
        <v>Coimbatore</v>
      </c>
      <c r="D100" s="1" t="str">
        <f ca="1">IFERROR(__xludf.DUMMYFUNCTION("""COMPUTED_VALUE"""),"PSG Institute Of Medical Sciences and Research, Coimbatore")</f>
        <v>PSG Institute Of Medical Sciences and Research, Coimbatore</v>
      </c>
      <c r="E100" s="1">
        <f ca="1">IFERROR(__xludf.DUMMYFUNCTION("""COMPUTED_VALUE"""),440)</f>
        <v>440</v>
      </c>
      <c r="F100" s="1">
        <f ca="1">IFERROR(__xludf.DUMMYFUNCTION("""COMPUTED_VALUE"""),330)</f>
        <v>330</v>
      </c>
      <c r="G100" s="1">
        <f ca="1">IFERROR(__xludf.DUMMYFUNCTION("""COMPUTED_VALUE"""),110)</f>
        <v>110</v>
      </c>
      <c r="H100" s="1">
        <f ca="1">IFERROR(__xludf.DUMMYFUNCTION("""COMPUTED_VALUE"""),145)</f>
        <v>145</v>
      </c>
      <c r="I100" s="1">
        <f ca="1">IFERROR(__xludf.DUMMYFUNCTION("""COMPUTED_VALUE"""),139)</f>
        <v>139</v>
      </c>
      <c r="J100" s="1">
        <f ca="1">IFERROR(__xludf.DUMMYFUNCTION("""COMPUTED_VALUE"""),6)</f>
        <v>6</v>
      </c>
      <c r="K100" s="1">
        <f ca="1">IFERROR(__xludf.DUMMYFUNCTION("""COMPUTED_VALUE"""),265)</f>
        <v>265</v>
      </c>
      <c r="L100" s="1">
        <f ca="1">IFERROR(__xludf.DUMMYFUNCTION("""COMPUTED_VALUE"""),164)</f>
        <v>164</v>
      </c>
      <c r="M100" s="1">
        <f ca="1">IFERROR(__xludf.DUMMYFUNCTION("""COMPUTED_VALUE"""),101)</f>
        <v>101</v>
      </c>
      <c r="N100" s="1">
        <f ca="1">IFERROR(__xludf.DUMMYFUNCTION("""COMPUTED_VALUE"""),30)</f>
        <v>30</v>
      </c>
      <c r="O100" s="1">
        <f ca="1">IFERROR(__xludf.DUMMYFUNCTION("""COMPUTED_VALUE"""),27)</f>
        <v>27</v>
      </c>
      <c r="P100" s="1">
        <f ca="1">IFERROR(__xludf.DUMMYFUNCTION("""COMPUTED_VALUE"""),3)</f>
        <v>3</v>
      </c>
      <c r="Q100" s="1">
        <f ca="1">IFERROR(__xludf.DUMMYFUNCTION("""COMPUTED_VALUE"""),15)</f>
        <v>15</v>
      </c>
      <c r="R100" s="1">
        <f ca="1">IFERROR(__xludf.DUMMYFUNCTION("""COMPUTED_VALUE"""),10)</f>
        <v>10</v>
      </c>
      <c r="S100" s="1">
        <f ca="1">IFERROR(__xludf.DUMMYFUNCTION("""COMPUTED_VALUE"""),5)</f>
        <v>5</v>
      </c>
      <c r="T100" s="1">
        <f ca="1">IFERROR(__xludf.DUMMYFUNCTION("""COMPUTED_VALUE"""),44305.4495601851)</f>
        <v>44305.449560185101</v>
      </c>
      <c r="U100" s="1" t="str">
        <f ca="1">IFERROR(__xludf.DUMMYFUNCTION("""COMPUTED_VALUE"""),"19th APRIL")</f>
        <v>19th APRIL</v>
      </c>
    </row>
    <row r="101" spans="1:21" ht="13" x14ac:dyDescent="0.15">
      <c r="A101" s="1" t="str">
        <f t="shared" ca="1" si="0"/>
        <v>CoimbatoreRoyal Care Super Speciality Hospital</v>
      </c>
      <c r="B101" s="1">
        <f ca="1">IFERROR(__xludf.DUMMYFUNCTION("""COMPUTED_VALUE"""),100)</f>
        <v>100</v>
      </c>
      <c r="C101" s="1" t="str">
        <f ca="1">IFERROR(__xludf.DUMMYFUNCTION("""COMPUTED_VALUE"""),"Coimbatore")</f>
        <v>Coimbatore</v>
      </c>
      <c r="D101" s="1" t="str">
        <f ca="1">IFERROR(__xludf.DUMMYFUNCTION("""COMPUTED_VALUE"""),"Royal Care Super Speciality Hospital")</f>
        <v>Royal Care Super Speciality Hospital</v>
      </c>
      <c r="E101" s="1">
        <f ca="1">IFERROR(__xludf.DUMMYFUNCTION("""COMPUTED_VALUE"""),50)</f>
        <v>50</v>
      </c>
      <c r="F101" s="1">
        <f ca="1">IFERROR(__xludf.DUMMYFUNCTION("""COMPUTED_VALUE"""),50)</f>
        <v>50</v>
      </c>
      <c r="G101" s="1">
        <f ca="1">IFERROR(__xludf.DUMMYFUNCTION("""COMPUTED_VALUE"""),0)</f>
        <v>0</v>
      </c>
      <c r="H101" s="1">
        <f ca="1">IFERROR(__xludf.DUMMYFUNCTION("""COMPUTED_VALUE"""),44)</f>
        <v>44</v>
      </c>
      <c r="I101" s="1">
        <f ca="1">IFERROR(__xludf.DUMMYFUNCTION("""COMPUTED_VALUE"""),44)</f>
        <v>44</v>
      </c>
      <c r="J101" s="1">
        <f ca="1">IFERROR(__xludf.DUMMYFUNCTION("""COMPUTED_VALUE"""),0)</f>
        <v>0</v>
      </c>
      <c r="K101" s="1">
        <f ca="1">IFERROR(__xludf.DUMMYFUNCTION("""COMPUTED_VALUE"""),0)</f>
        <v>0</v>
      </c>
      <c r="L101" s="1">
        <f ca="1">IFERROR(__xludf.DUMMYFUNCTION("""COMPUTED_VALUE"""),0)</f>
        <v>0</v>
      </c>
      <c r="M101" s="1">
        <f ca="1">IFERROR(__xludf.DUMMYFUNCTION("""COMPUTED_VALUE"""),0)</f>
        <v>0</v>
      </c>
      <c r="N101" s="1">
        <f ca="1">IFERROR(__xludf.DUMMYFUNCTION("""COMPUTED_VALUE"""),6)</f>
        <v>6</v>
      </c>
      <c r="O101" s="1">
        <f ca="1">IFERROR(__xludf.DUMMYFUNCTION("""COMPUTED_VALUE"""),6)</f>
        <v>6</v>
      </c>
      <c r="P101" s="1">
        <f ca="1">IFERROR(__xludf.DUMMYFUNCTION("""COMPUTED_VALUE"""),0)</f>
        <v>0</v>
      </c>
      <c r="Q101" s="1">
        <f ca="1">IFERROR(__xludf.DUMMYFUNCTION("""COMPUTED_VALUE"""),3)</f>
        <v>3</v>
      </c>
      <c r="R101" s="1">
        <f ca="1">IFERROR(__xludf.DUMMYFUNCTION("""COMPUTED_VALUE"""),3)</f>
        <v>3</v>
      </c>
      <c r="S101" s="1">
        <f ca="1">IFERROR(__xludf.DUMMYFUNCTION("""COMPUTED_VALUE"""),0)</f>
        <v>0</v>
      </c>
      <c r="T101" s="1">
        <f ca="1">IFERROR(__xludf.DUMMYFUNCTION("""COMPUTED_VALUE"""),44305.2866898148)</f>
        <v>44305.286689814799</v>
      </c>
      <c r="U101" s="1" t="str">
        <f ca="1">IFERROR(__xludf.DUMMYFUNCTION("""COMPUTED_VALUE"""),"Neelambur unit 19.04.2021")</f>
        <v>Neelambur unit 19.04.2021</v>
      </c>
    </row>
    <row r="102" spans="1:21" ht="13" x14ac:dyDescent="0.15">
      <c r="A102" s="1" t="str">
        <f t="shared" ca="1" si="0"/>
        <v>CoimbatoreRoyal Care Super Speciality Hospital Gandhipuram</v>
      </c>
      <c r="B102" s="1">
        <f ca="1">IFERROR(__xludf.DUMMYFUNCTION("""COMPUTED_VALUE"""),101)</f>
        <v>101</v>
      </c>
      <c r="C102" s="1" t="str">
        <f ca="1">IFERROR(__xludf.DUMMYFUNCTION("""COMPUTED_VALUE"""),"Coimbatore")</f>
        <v>Coimbatore</v>
      </c>
      <c r="D102" s="1" t="str">
        <f ca="1">IFERROR(__xludf.DUMMYFUNCTION("""COMPUTED_VALUE"""),"Royal Care Super Speciality Hospital Gandhipuram")</f>
        <v>Royal Care Super Speciality Hospital Gandhipuram</v>
      </c>
      <c r="E102" s="1">
        <f ca="1">IFERROR(__xludf.DUMMYFUNCTION("""COMPUTED_VALUE"""),0)</f>
        <v>0</v>
      </c>
      <c r="F102" s="1">
        <f ca="1">IFERROR(__xludf.DUMMYFUNCTION("""COMPUTED_VALUE"""),0)</f>
        <v>0</v>
      </c>
      <c r="G102" s="1">
        <f ca="1">IFERROR(__xludf.DUMMYFUNCTION("""COMPUTED_VALUE"""),0)</f>
        <v>0</v>
      </c>
      <c r="H102" s="1">
        <f ca="1">IFERROR(__xludf.DUMMYFUNCTION("""COMPUTED_VALUE"""),0)</f>
        <v>0</v>
      </c>
      <c r="I102" s="1">
        <f ca="1">IFERROR(__xludf.DUMMYFUNCTION("""COMPUTED_VALUE"""),0)</f>
        <v>0</v>
      </c>
      <c r="J102" s="1">
        <f ca="1">IFERROR(__xludf.DUMMYFUNCTION("""COMPUTED_VALUE"""),0)</f>
        <v>0</v>
      </c>
      <c r="K102" s="1">
        <f ca="1">IFERROR(__xludf.DUMMYFUNCTION("""COMPUTED_VALUE"""),0)</f>
        <v>0</v>
      </c>
      <c r="L102" s="1">
        <f ca="1">IFERROR(__xludf.DUMMYFUNCTION("""COMPUTED_VALUE"""),0)</f>
        <v>0</v>
      </c>
      <c r="M102" s="1">
        <f ca="1">IFERROR(__xludf.DUMMYFUNCTION("""COMPUTED_VALUE"""),0)</f>
        <v>0</v>
      </c>
      <c r="N102" s="1">
        <f ca="1">IFERROR(__xludf.DUMMYFUNCTION("""COMPUTED_VALUE"""),0)</f>
        <v>0</v>
      </c>
      <c r="O102" s="1">
        <f ca="1">IFERROR(__xludf.DUMMYFUNCTION("""COMPUTED_VALUE"""),0)</f>
        <v>0</v>
      </c>
      <c r="P102" s="1">
        <f ca="1">IFERROR(__xludf.DUMMYFUNCTION("""COMPUTED_VALUE"""),0)</f>
        <v>0</v>
      </c>
      <c r="Q102" s="1">
        <f ca="1">IFERROR(__xludf.DUMMYFUNCTION("""COMPUTED_VALUE"""),0)</f>
        <v>0</v>
      </c>
      <c r="R102" s="1">
        <f ca="1">IFERROR(__xludf.DUMMYFUNCTION("""COMPUTED_VALUE"""),0)</f>
        <v>0</v>
      </c>
      <c r="S102" s="1">
        <f ca="1">IFERROR(__xludf.DUMMYFUNCTION("""COMPUTED_VALUE"""),0)</f>
        <v>0</v>
      </c>
      <c r="T102" s="1">
        <f ca="1">IFERROR(__xludf.DUMMYFUNCTION("""COMPUTED_VALUE"""),44305.2871643518)</f>
        <v>44305.287164351801</v>
      </c>
      <c r="U102" s="1" t="str">
        <f ca="1">IFERROR(__xludf.DUMMYFUNCTION("""COMPUTED_VALUE"""),"Gandhipuram unit - 19.04.2021")</f>
        <v>Gandhipuram unit - 19.04.2021</v>
      </c>
    </row>
    <row r="103" spans="1:21" ht="13" x14ac:dyDescent="0.15">
      <c r="A103" s="1" t="str">
        <f t="shared" ca="1" si="0"/>
        <v>CoimbatoreSri Ramakrishna Hospital</v>
      </c>
      <c r="B103" s="1">
        <f ca="1">IFERROR(__xludf.DUMMYFUNCTION("""COMPUTED_VALUE"""),102)</f>
        <v>102</v>
      </c>
      <c r="C103" s="1" t="str">
        <f ca="1">IFERROR(__xludf.DUMMYFUNCTION("""COMPUTED_VALUE"""),"Coimbatore")</f>
        <v>Coimbatore</v>
      </c>
      <c r="D103" s="1" t="str">
        <f ca="1">IFERROR(__xludf.DUMMYFUNCTION("""COMPUTED_VALUE"""),"Sri Ramakrishna Hospital")</f>
        <v>Sri Ramakrishna Hospital</v>
      </c>
      <c r="E103" s="1">
        <f ca="1">IFERROR(__xludf.DUMMYFUNCTION("""COMPUTED_VALUE"""),80)</f>
        <v>80</v>
      </c>
      <c r="F103" s="1">
        <f ca="1">IFERROR(__xludf.DUMMYFUNCTION("""COMPUTED_VALUE"""),80)</f>
        <v>80</v>
      </c>
      <c r="G103" s="1">
        <f ca="1">IFERROR(__xludf.DUMMYFUNCTION("""COMPUTED_VALUE"""),0)</f>
        <v>0</v>
      </c>
      <c r="H103" s="1">
        <f ca="1">IFERROR(__xludf.DUMMYFUNCTION("""COMPUTED_VALUE"""),64)</f>
        <v>64</v>
      </c>
      <c r="I103" s="1">
        <f ca="1">IFERROR(__xludf.DUMMYFUNCTION("""COMPUTED_VALUE"""),64)</f>
        <v>64</v>
      </c>
      <c r="J103" s="1">
        <f ca="1">IFERROR(__xludf.DUMMYFUNCTION("""COMPUTED_VALUE"""),0)</f>
        <v>0</v>
      </c>
      <c r="K103" s="1">
        <f ca="1">IFERROR(__xludf.DUMMYFUNCTION("""COMPUTED_VALUE"""),11)</f>
        <v>11</v>
      </c>
      <c r="L103" s="1">
        <f ca="1">IFERROR(__xludf.DUMMYFUNCTION("""COMPUTED_VALUE"""),11)</f>
        <v>11</v>
      </c>
      <c r="M103" s="1">
        <f ca="1">IFERROR(__xludf.DUMMYFUNCTION("""COMPUTED_VALUE"""),0)</f>
        <v>0</v>
      </c>
      <c r="N103" s="1">
        <f ca="1">IFERROR(__xludf.DUMMYFUNCTION("""COMPUTED_VALUE"""),5)</f>
        <v>5</v>
      </c>
      <c r="O103" s="1">
        <f ca="1">IFERROR(__xludf.DUMMYFUNCTION("""COMPUTED_VALUE"""),5)</f>
        <v>5</v>
      </c>
      <c r="P103" s="1">
        <f ca="1">IFERROR(__xludf.DUMMYFUNCTION("""COMPUTED_VALUE"""),0)</f>
        <v>0</v>
      </c>
      <c r="Q103" s="1">
        <f ca="1">IFERROR(__xludf.DUMMYFUNCTION("""COMPUTED_VALUE"""),5)</f>
        <v>5</v>
      </c>
      <c r="R103" s="1">
        <f ca="1">IFERROR(__xludf.DUMMYFUNCTION("""COMPUTED_VALUE"""),2)</f>
        <v>2</v>
      </c>
      <c r="S103" s="1">
        <f ca="1">IFERROR(__xludf.DUMMYFUNCTION("""COMPUTED_VALUE"""),3)</f>
        <v>3</v>
      </c>
      <c r="T103" s="1">
        <f ca="1">IFERROR(__xludf.DUMMYFUNCTION("""COMPUTED_VALUE"""),44305.3903125)</f>
        <v>44305.3903125</v>
      </c>
      <c r="U103" s="1" t="str">
        <f ca="1">IFERROR(__xludf.DUMMYFUNCTION("""COMPUTED_VALUE"""),"19.04.2021")</f>
        <v>19.04.2021</v>
      </c>
    </row>
    <row r="104" spans="1:21" ht="13" x14ac:dyDescent="0.15">
      <c r="A104" s="1" t="str">
        <f t="shared" ca="1" si="0"/>
        <v>CoimbatoreKMCH Kovilampalayam Hospital, Sathy Road</v>
      </c>
      <c r="B104" s="1">
        <f ca="1">IFERROR(__xludf.DUMMYFUNCTION("""COMPUTED_VALUE"""),103)</f>
        <v>103</v>
      </c>
      <c r="C104" s="1" t="str">
        <f ca="1">IFERROR(__xludf.DUMMYFUNCTION("""COMPUTED_VALUE"""),"Coimbatore")</f>
        <v>Coimbatore</v>
      </c>
      <c r="D104" s="1" t="str">
        <f ca="1">IFERROR(__xludf.DUMMYFUNCTION("""COMPUTED_VALUE"""),"KMCH Kovilampalayam Hospital, Sathy Road")</f>
        <v>KMCH Kovilampalayam Hospital, Sathy Road</v>
      </c>
      <c r="E104" s="1">
        <f ca="1">IFERROR(__xludf.DUMMYFUNCTION("""COMPUTED_VALUE"""),50)</f>
        <v>50</v>
      </c>
      <c r="F104" s="1">
        <f ca="1">IFERROR(__xludf.DUMMYFUNCTION("""COMPUTED_VALUE"""),50)</f>
        <v>50</v>
      </c>
      <c r="G104" s="1">
        <f ca="1">IFERROR(__xludf.DUMMYFUNCTION("""COMPUTED_VALUE"""),0)</f>
        <v>0</v>
      </c>
      <c r="H104" s="1">
        <f ca="1">IFERROR(__xludf.DUMMYFUNCTION("""COMPUTED_VALUE"""),50)</f>
        <v>50</v>
      </c>
      <c r="I104" s="1">
        <f ca="1">IFERROR(__xludf.DUMMYFUNCTION("""COMPUTED_VALUE"""),50)</f>
        <v>50</v>
      </c>
      <c r="J104" s="1">
        <f ca="1">IFERROR(__xludf.DUMMYFUNCTION("""COMPUTED_VALUE"""),0)</f>
        <v>0</v>
      </c>
      <c r="K104" s="1">
        <f ca="1">IFERROR(__xludf.DUMMYFUNCTION("""COMPUTED_VALUE"""),0)</f>
        <v>0</v>
      </c>
      <c r="L104" s="1">
        <f ca="1">IFERROR(__xludf.DUMMYFUNCTION("""COMPUTED_VALUE"""),0)</f>
        <v>0</v>
      </c>
      <c r="M104" s="1">
        <f ca="1">IFERROR(__xludf.DUMMYFUNCTION("""COMPUTED_VALUE"""),0)</f>
        <v>0</v>
      </c>
      <c r="N104" s="1">
        <f ca="1">IFERROR(__xludf.DUMMYFUNCTION("""COMPUTED_VALUE"""),0)</f>
        <v>0</v>
      </c>
      <c r="O104" s="1">
        <f ca="1">IFERROR(__xludf.DUMMYFUNCTION("""COMPUTED_VALUE"""),0)</f>
        <v>0</v>
      </c>
      <c r="P104" s="1">
        <f ca="1">IFERROR(__xludf.DUMMYFUNCTION("""COMPUTED_VALUE"""),0)</f>
        <v>0</v>
      </c>
      <c r="Q104" s="1">
        <f ca="1">IFERROR(__xludf.DUMMYFUNCTION("""COMPUTED_VALUE"""),10)</f>
        <v>10</v>
      </c>
      <c r="R104" s="1">
        <f ca="1">IFERROR(__xludf.DUMMYFUNCTION("""COMPUTED_VALUE"""),0)</f>
        <v>0</v>
      </c>
      <c r="S104" s="1">
        <f ca="1">IFERROR(__xludf.DUMMYFUNCTION("""COMPUTED_VALUE"""),10)</f>
        <v>10</v>
      </c>
      <c r="T104" s="1">
        <f ca="1">IFERROR(__xludf.DUMMYFUNCTION("""COMPUTED_VALUE"""),44305.4688888888)</f>
        <v>44305.468888888798</v>
      </c>
      <c r="U104" s="1" t="str">
        <f ca="1">IFERROR(__xludf.DUMMYFUNCTION("""COMPUTED_VALUE"""),"19.04.2021")</f>
        <v>19.04.2021</v>
      </c>
    </row>
    <row r="105" spans="1:21" ht="13" x14ac:dyDescent="0.15">
      <c r="A105" s="1" t="str">
        <f t="shared" ca="1" si="0"/>
        <v>CuddaloreNLCIL Hospital,Neyveli</v>
      </c>
      <c r="B105" s="1">
        <f ca="1">IFERROR(__xludf.DUMMYFUNCTION("""COMPUTED_VALUE"""),104)</f>
        <v>104</v>
      </c>
      <c r="C105" s="1" t="str">
        <f ca="1">IFERROR(__xludf.DUMMYFUNCTION("""COMPUTED_VALUE"""),"Cuddalore")</f>
        <v>Cuddalore</v>
      </c>
      <c r="D105" s="1" t="str">
        <f ca="1">IFERROR(__xludf.DUMMYFUNCTION("""COMPUTED_VALUE"""),"NLCIL Hospital,Neyveli")</f>
        <v>NLCIL Hospital,Neyveli</v>
      </c>
      <c r="E105" s="1">
        <f ca="1">IFERROR(__xludf.DUMMYFUNCTION("""COMPUTED_VALUE"""),92)</f>
        <v>92</v>
      </c>
      <c r="F105" s="1">
        <f ca="1">IFERROR(__xludf.DUMMYFUNCTION("""COMPUTED_VALUE"""),77)</f>
        <v>77</v>
      </c>
      <c r="G105" s="1">
        <f ca="1">IFERROR(__xludf.DUMMYFUNCTION("""COMPUTED_VALUE"""),15)</f>
        <v>15</v>
      </c>
      <c r="H105" s="1">
        <f ca="1">IFERROR(__xludf.DUMMYFUNCTION("""COMPUTED_VALUE"""),10)</f>
        <v>10</v>
      </c>
      <c r="I105" s="1">
        <f ca="1">IFERROR(__xludf.DUMMYFUNCTION("""COMPUTED_VALUE"""),2)</f>
        <v>2</v>
      </c>
      <c r="J105" s="1">
        <f ca="1">IFERROR(__xludf.DUMMYFUNCTION("""COMPUTED_VALUE"""),8)</f>
        <v>8</v>
      </c>
      <c r="K105" s="1">
        <f ca="1">IFERROR(__xludf.DUMMYFUNCTION("""COMPUTED_VALUE"""),80)</f>
        <v>80</v>
      </c>
      <c r="L105" s="1">
        <f ca="1">IFERROR(__xludf.DUMMYFUNCTION("""COMPUTED_VALUE"""),75)</f>
        <v>75</v>
      </c>
      <c r="M105" s="1">
        <f ca="1">IFERROR(__xludf.DUMMYFUNCTION("""COMPUTED_VALUE"""),5)</f>
        <v>5</v>
      </c>
      <c r="N105" s="1">
        <f ca="1">IFERROR(__xludf.DUMMYFUNCTION("""COMPUTED_VALUE"""),2)</f>
        <v>2</v>
      </c>
      <c r="O105" s="1">
        <f ca="1">IFERROR(__xludf.DUMMYFUNCTION("""COMPUTED_VALUE"""),0)</f>
        <v>0</v>
      </c>
      <c r="P105" s="1">
        <f ca="1">IFERROR(__xludf.DUMMYFUNCTION("""COMPUTED_VALUE"""),2)</f>
        <v>2</v>
      </c>
      <c r="Q105" s="1">
        <f ca="1">IFERROR(__xludf.DUMMYFUNCTION("""COMPUTED_VALUE"""),2)</f>
        <v>2</v>
      </c>
      <c r="R105" s="1">
        <f ca="1">IFERROR(__xludf.DUMMYFUNCTION("""COMPUTED_VALUE"""),0)</f>
        <v>0</v>
      </c>
      <c r="S105" s="1">
        <f ca="1">IFERROR(__xludf.DUMMYFUNCTION("""COMPUTED_VALUE"""),2)</f>
        <v>2</v>
      </c>
      <c r="T105" s="1">
        <f ca="1">IFERROR(__xludf.DUMMYFUNCTION("""COMPUTED_VALUE"""),44305.3069328703)</f>
        <v>44305.306932870299</v>
      </c>
      <c r="U105" s="1" t="str">
        <f ca="1">IFERROR(__xludf.DUMMYFUNCTION("""COMPUTED_VALUE"""),"As on 19-04-2021 Ventilator beds are in ICU for Emergency sick patients,)")</f>
        <v>As on 19-04-2021 Ventilator beds are in ICU for Emergency sick patients,)</v>
      </c>
    </row>
    <row r="106" spans="1:21" ht="13" x14ac:dyDescent="0.15">
      <c r="A106" s="1" t="str">
        <f t="shared" ca="1" si="0"/>
        <v>DindigulChristian Fellow Community Centre</v>
      </c>
      <c r="B106" s="1">
        <f ca="1">IFERROR(__xludf.DUMMYFUNCTION("""COMPUTED_VALUE"""),105)</f>
        <v>105</v>
      </c>
      <c r="C106" s="1" t="str">
        <f ca="1">IFERROR(__xludf.DUMMYFUNCTION("""COMPUTED_VALUE"""),"Dindigul")</f>
        <v>Dindigul</v>
      </c>
      <c r="D106" s="1" t="str">
        <f ca="1">IFERROR(__xludf.DUMMYFUNCTION("""COMPUTED_VALUE"""),"Christian Fellow Community Centre")</f>
        <v>Christian Fellow Community Centre</v>
      </c>
      <c r="E106" s="1">
        <f ca="1">IFERROR(__xludf.DUMMYFUNCTION("""COMPUTED_VALUE"""),50)</f>
        <v>50</v>
      </c>
      <c r="F106" s="1">
        <f ca="1">IFERROR(__xludf.DUMMYFUNCTION("""COMPUTED_VALUE"""),0)</f>
        <v>0</v>
      </c>
      <c r="G106" s="1">
        <f ca="1">IFERROR(__xludf.DUMMYFUNCTION("""COMPUTED_VALUE"""),50)</f>
        <v>50</v>
      </c>
      <c r="H106" s="1">
        <f ca="1">IFERROR(__xludf.DUMMYFUNCTION("""COMPUTED_VALUE"""),3)</f>
        <v>3</v>
      </c>
      <c r="I106" s="1">
        <f ca="1">IFERROR(__xludf.DUMMYFUNCTION("""COMPUTED_VALUE"""),0)</f>
        <v>0</v>
      </c>
      <c r="J106" s="1">
        <f ca="1">IFERROR(__xludf.DUMMYFUNCTION("""COMPUTED_VALUE"""),3)</f>
        <v>3</v>
      </c>
      <c r="K106" s="1">
        <f ca="1">IFERROR(__xludf.DUMMYFUNCTION("""COMPUTED_VALUE"""),47)</f>
        <v>47</v>
      </c>
      <c r="L106" s="1">
        <f ca="1">IFERROR(__xludf.DUMMYFUNCTION("""COMPUTED_VALUE"""),0)</f>
        <v>0</v>
      </c>
      <c r="M106" s="1">
        <f ca="1">IFERROR(__xludf.DUMMYFUNCTION("""COMPUTED_VALUE"""),47)</f>
        <v>47</v>
      </c>
      <c r="N106" s="1">
        <f ca="1">IFERROR(__xludf.DUMMYFUNCTION("""COMPUTED_VALUE"""),0)</f>
        <v>0</v>
      </c>
      <c r="O106" s="1">
        <f ca="1">IFERROR(__xludf.DUMMYFUNCTION("""COMPUTED_VALUE"""),0)</f>
        <v>0</v>
      </c>
      <c r="P106" s="1">
        <f ca="1">IFERROR(__xludf.DUMMYFUNCTION("""COMPUTED_VALUE"""),0)</f>
        <v>0</v>
      </c>
      <c r="Q106" s="1">
        <f ca="1">IFERROR(__xludf.DUMMYFUNCTION("""COMPUTED_VALUE"""),0)</f>
        <v>0</v>
      </c>
      <c r="R106" s="1">
        <f ca="1">IFERROR(__xludf.DUMMYFUNCTION("""COMPUTED_VALUE"""),0)</f>
        <v>0</v>
      </c>
      <c r="S106" s="1">
        <f ca="1">IFERROR(__xludf.DUMMYFUNCTION("""COMPUTED_VALUE"""),0)</f>
        <v>0</v>
      </c>
      <c r="T106" s="1">
        <f ca="1">IFERROR(__xludf.DUMMYFUNCTION("""COMPUTED_VALUE"""),44305.3030902777)</f>
        <v>44305.303090277703</v>
      </c>
      <c r="U106" s="1" t="str">
        <f ca="1">IFERROR(__xludf.DUMMYFUNCTION("""COMPUTED_VALUE"""),"19/04/2021")</f>
        <v>19/04/2021</v>
      </c>
    </row>
    <row r="107" spans="1:21" ht="13" x14ac:dyDescent="0.15">
      <c r="A107" s="1" t="str">
        <f t="shared" ca="1" si="0"/>
        <v>DindigulChristian Fellowship Hospital</v>
      </c>
      <c r="B107" s="1">
        <f ca="1">IFERROR(__xludf.DUMMYFUNCTION("""COMPUTED_VALUE"""),106)</f>
        <v>106</v>
      </c>
      <c r="C107" s="1" t="str">
        <f ca="1">IFERROR(__xludf.DUMMYFUNCTION("""COMPUTED_VALUE"""),"Dindigul")</f>
        <v>Dindigul</v>
      </c>
      <c r="D107" s="1" t="str">
        <f ca="1">IFERROR(__xludf.DUMMYFUNCTION("""COMPUTED_VALUE"""),"Christian Fellowship Hospital")</f>
        <v>Christian Fellowship Hospital</v>
      </c>
      <c r="E107" s="1">
        <f ca="1">IFERROR(__xludf.DUMMYFUNCTION("""COMPUTED_VALUE"""),16)</f>
        <v>16</v>
      </c>
      <c r="F107" s="1">
        <f ca="1">IFERROR(__xludf.DUMMYFUNCTION("""COMPUTED_VALUE"""),0)</f>
        <v>0</v>
      </c>
      <c r="G107" s="1">
        <f ca="1">IFERROR(__xludf.DUMMYFUNCTION("""COMPUTED_VALUE"""),16)</f>
        <v>16</v>
      </c>
      <c r="H107" s="1">
        <f ca="1">IFERROR(__xludf.DUMMYFUNCTION("""COMPUTED_VALUE"""),4)</f>
        <v>4</v>
      </c>
      <c r="I107" s="1">
        <f ca="1">IFERROR(__xludf.DUMMYFUNCTION("""COMPUTED_VALUE"""),0)</f>
        <v>0</v>
      </c>
      <c r="J107" s="1">
        <f ca="1">IFERROR(__xludf.DUMMYFUNCTION("""COMPUTED_VALUE"""),4)</f>
        <v>4</v>
      </c>
      <c r="K107" s="1">
        <f ca="1">IFERROR(__xludf.DUMMYFUNCTION("""COMPUTED_VALUE"""),12)</f>
        <v>12</v>
      </c>
      <c r="L107" s="1">
        <f ca="1">IFERROR(__xludf.DUMMYFUNCTION("""COMPUTED_VALUE"""),0)</f>
        <v>0</v>
      </c>
      <c r="M107" s="1">
        <f ca="1">IFERROR(__xludf.DUMMYFUNCTION("""COMPUTED_VALUE"""),12)</f>
        <v>12</v>
      </c>
      <c r="N107" s="1">
        <f ca="1">IFERROR(__xludf.DUMMYFUNCTION("""COMPUTED_VALUE"""),0)</f>
        <v>0</v>
      </c>
      <c r="O107" s="1">
        <f ca="1">IFERROR(__xludf.DUMMYFUNCTION("""COMPUTED_VALUE"""),0)</f>
        <v>0</v>
      </c>
      <c r="P107" s="1">
        <f ca="1">IFERROR(__xludf.DUMMYFUNCTION("""COMPUTED_VALUE"""),0)</f>
        <v>0</v>
      </c>
      <c r="Q107" s="1">
        <f ca="1">IFERROR(__xludf.DUMMYFUNCTION("""COMPUTED_VALUE"""),0)</f>
        <v>0</v>
      </c>
      <c r="R107" s="1">
        <f ca="1">IFERROR(__xludf.DUMMYFUNCTION("""COMPUTED_VALUE"""),0)</f>
        <v>0</v>
      </c>
      <c r="S107" s="1">
        <f ca="1">IFERROR(__xludf.DUMMYFUNCTION("""COMPUTED_VALUE"""),0)</f>
        <v>0</v>
      </c>
      <c r="T107" s="1">
        <f ca="1">IFERROR(__xludf.DUMMYFUNCTION("""COMPUTED_VALUE"""),44305.3210185185)</f>
        <v>44305.321018518502</v>
      </c>
      <c r="U107" s="1" t="str">
        <f ca="1">IFERROR(__xludf.DUMMYFUNCTION("""COMPUTED_VALUE"""),"19.04.2021")</f>
        <v>19.04.2021</v>
      </c>
    </row>
    <row r="108" spans="1:21" ht="13" x14ac:dyDescent="0.15">
      <c r="A108" s="1" t="str">
        <f t="shared" ca="1" si="0"/>
        <v>DindigulLeonard Hospital</v>
      </c>
      <c r="B108" s="1">
        <f ca="1">IFERROR(__xludf.DUMMYFUNCTION("""COMPUTED_VALUE"""),107)</f>
        <v>107</v>
      </c>
      <c r="C108" s="1" t="str">
        <f ca="1">IFERROR(__xludf.DUMMYFUNCTION("""COMPUTED_VALUE"""),"Dindigul")</f>
        <v>Dindigul</v>
      </c>
      <c r="D108" s="1" t="str">
        <f ca="1">IFERROR(__xludf.DUMMYFUNCTION("""COMPUTED_VALUE"""),"Leonard Hospital")</f>
        <v>Leonard Hospital</v>
      </c>
      <c r="E108" s="1">
        <f ca="1">IFERROR(__xludf.DUMMYFUNCTION("""COMPUTED_VALUE"""),50)</f>
        <v>50</v>
      </c>
      <c r="F108" s="1">
        <f ca="1">IFERROR(__xludf.DUMMYFUNCTION("""COMPUTED_VALUE"""),1)</f>
        <v>1</v>
      </c>
      <c r="G108" s="1">
        <f ca="1">IFERROR(__xludf.DUMMYFUNCTION("""COMPUTED_VALUE"""),49)</f>
        <v>49</v>
      </c>
      <c r="H108" s="1">
        <f ca="1">IFERROR(__xludf.DUMMYFUNCTION("""COMPUTED_VALUE"""),10)</f>
        <v>10</v>
      </c>
      <c r="I108" s="1">
        <f ca="1">IFERROR(__xludf.DUMMYFUNCTION("""COMPUTED_VALUE"""),0)</f>
        <v>0</v>
      </c>
      <c r="J108" s="1">
        <f ca="1">IFERROR(__xludf.DUMMYFUNCTION("""COMPUTED_VALUE"""),10)</f>
        <v>10</v>
      </c>
      <c r="K108" s="1">
        <f ca="1">IFERROR(__xludf.DUMMYFUNCTION("""COMPUTED_VALUE"""),40)</f>
        <v>40</v>
      </c>
      <c r="L108" s="1">
        <f ca="1">IFERROR(__xludf.DUMMYFUNCTION("""COMPUTED_VALUE"""),0)</f>
        <v>0</v>
      </c>
      <c r="M108" s="1">
        <f ca="1">IFERROR(__xludf.DUMMYFUNCTION("""COMPUTED_VALUE"""),39)</f>
        <v>39</v>
      </c>
      <c r="N108" s="1">
        <f ca="1">IFERROR(__xludf.DUMMYFUNCTION("""COMPUTED_VALUE"""),0)</f>
        <v>0</v>
      </c>
      <c r="O108" s="1">
        <f ca="1">IFERROR(__xludf.DUMMYFUNCTION("""COMPUTED_VALUE"""),0)</f>
        <v>0</v>
      </c>
      <c r="P108" s="1">
        <f ca="1">IFERROR(__xludf.DUMMYFUNCTION("""COMPUTED_VALUE"""),0)</f>
        <v>0</v>
      </c>
      <c r="Q108" s="1">
        <f ca="1">IFERROR(__xludf.DUMMYFUNCTION("""COMPUTED_VALUE"""),0)</f>
        <v>0</v>
      </c>
      <c r="R108" s="1">
        <f ca="1">IFERROR(__xludf.DUMMYFUNCTION("""COMPUTED_VALUE"""),0)</f>
        <v>0</v>
      </c>
      <c r="S108" s="1">
        <f ca="1">IFERROR(__xludf.DUMMYFUNCTION("""COMPUTED_VALUE"""),0)</f>
        <v>0</v>
      </c>
      <c r="T108" s="1">
        <f ca="1">IFERROR(__xludf.DUMMYFUNCTION("""COMPUTED_VALUE"""),44305.3307060185)</f>
        <v>44305.330706018503</v>
      </c>
      <c r="U108" s="1" t="str">
        <f ca="1">IFERROR(__xludf.DUMMYFUNCTION("""COMPUTED_VALUE"""),"19.04.2021")</f>
        <v>19.04.2021</v>
      </c>
    </row>
    <row r="109" spans="1:21" ht="13" x14ac:dyDescent="0.15">
      <c r="A109" s="1" t="str">
        <f t="shared" ca="1" si="0"/>
        <v>DindigulSt.Joseph Hospital</v>
      </c>
      <c r="B109" s="1">
        <f ca="1">IFERROR(__xludf.DUMMYFUNCTION("""COMPUTED_VALUE"""),108)</f>
        <v>108</v>
      </c>
      <c r="C109" s="1" t="str">
        <f ca="1">IFERROR(__xludf.DUMMYFUNCTION("""COMPUTED_VALUE"""),"Dindigul")</f>
        <v>Dindigul</v>
      </c>
      <c r="D109" s="1" t="str">
        <f ca="1">IFERROR(__xludf.DUMMYFUNCTION("""COMPUTED_VALUE"""),"St.Joseph Hospital")</f>
        <v>St.Joseph Hospital</v>
      </c>
      <c r="E109" s="1">
        <f ca="1">IFERROR(__xludf.DUMMYFUNCTION("""COMPUTED_VALUE"""),50)</f>
        <v>50</v>
      </c>
      <c r="F109" s="1">
        <f ca="1">IFERROR(__xludf.DUMMYFUNCTION("""COMPUTED_VALUE"""),44)</f>
        <v>44</v>
      </c>
      <c r="G109" s="1">
        <f ca="1">IFERROR(__xludf.DUMMYFUNCTION("""COMPUTED_VALUE"""),6)</f>
        <v>6</v>
      </c>
      <c r="H109" s="1">
        <f ca="1">IFERROR(__xludf.DUMMYFUNCTION("""COMPUTED_VALUE"""),50)</f>
        <v>50</v>
      </c>
      <c r="I109" s="1">
        <f ca="1">IFERROR(__xludf.DUMMYFUNCTION("""COMPUTED_VALUE"""),44)</f>
        <v>44</v>
      </c>
      <c r="J109" s="1">
        <f ca="1">IFERROR(__xludf.DUMMYFUNCTION("""COMPUTED_VALUE"""),6)</f>
        <v>6</v>
      </c>
      <c r="K109" s="1">
        <f ca="1">IFERROR(__xludf.DUMMYFUNCTION("""COMPUTED_VALUE"""),0)</f>
        <v>0</v>
      </c>
      <c r="L109" s="1">
        <f ca="1">IFERROR(__xludf.DUMMYFUNCTION("""COMPUTED_VALUE"""),0)</f>
        <v>0</v>
      </c>
      <c r="M109" s="1">
        <f ca="1">IFERROR(__xludf.DUMMYFUNCTION("""COMPUTED_VALUE"""),0)</f>
        <v>0</v>
      </c>
      <c r="N109" s="1">
        <f ca="1">IFERROR(__xludf.DUMMYFUNCTION("""COMPUTED_VALUE"""),0)</f>
        <v>0</v>
      </c>
      <c r="O109" s="1">
        <f ca="1">IFERROR(__xludf.DUMMYFUNCTION("""COMPUTED_VALUE"""),0)</f>
        <v>0</v>
      </c>
      <c r="P109" s="1">
        <f ca="1">IFERROR(__xludf.DUMMYFUNCTION("""COMPUTED_VALUE"""),0)</f>
        <v>0</v>
      </c>
      <c r="Q109" s="1">
        <f ca="1">IFERROR(__xludf.DUMMYFUNCTION("""COMPUTED_VALUE"""),0)</f>
        <v>0</v>
      </c>
      <c r="R109" s="1">
        <f ca="1">IFERROR(__xludf.DUMMYFUNCTION("""COMPUTED_VALUE"""),0)</f>
        <v>0</v>
      </c>
      <c r="S109" s="1">
        <f ca="1">IFERROR(__xludf.DUMMYFUNCTION("""COMPUTED_VALUE"""),0)</f>
        <v>0</v>
      </c>
      <c r="T109" s="1">
        <f ca="1">IFERROR(__xludf.DUMMYFUNCTION("""COMPUTED_VALUE"""),44305.301875)</f>
        <v>44305.301874999997</v>
      </c>
      <c r="U109" s="1" t="str">
        <f ca="1">IFERROR(__xludf.DUMMYFUNCTION("""COMPUTED_VALUE"""),"19.04.2021")</f>
        <v>19.04.2021</v>
      </c>
    </row>
    <row r="110" spans="1:21" ht="13" x14ac:dyDescent="0.15">
      <c r="A110" s="1" t="str">
        <f t="shared" ca="1" si="0"/>
        <v>DindigulVel Multispeciality Hospital</v>
      </c>
      <c r="B110" s="1">
        <f ca="1">IFERROR(__xludf.DUMMYFUNCTION("""COMPUTED_VALUE"""),109)</f>
        <v>109</v>
      </c>
      <c r="C110" s="1" t="str">
        <f ca="1">IFERROR(__xludf.DUMMYFUNCTION("""COMPUTED_VALUE"""),"Dindigul")</f>
        <v>Dindigul</v>
      </c>
      <c r="D110" s="1" t="str">
        <f ca="1">IFERROR(__xludf.DUMMYFUNCTION("""COMPUTED_VALUE"""),"Vel Multispeciality Hospital")</f>
        <v>Vel Multispeciality Hospital</v>
      </c>
      <c r="E110" s="1">
        <f ca="1">IFERROR(__xludf.DUMMYFUNCTION("""COMPUTED_VALUE"""),50)</f>
        <v>50</v>
      </c>
      <c r="F110" s="1">
        <f ca="1">IFERROR(__xludf.DUMMYFUNCTION("""COMPUTED_VALUE"""),41)</f>
        <v>41</v>
      </c>
      <c r="G110" s="1">
        <f ca="1">IFERROR(__xludf.DUMMYFUNCTION("""COMPUTED_VALUE"""),9)</f>
        <v>9</v>
      </c>
      <c r="H110" s="1">
        <f ca="1">IFERROR(__xludf.DUMMYFUNCTION("""COMPUTED_VALUE"""),23)</f>
        <v>23</v>
      </c>
      <c r="I110" s="1">
        <f ca="1">IFERROR(__xludf.DUMMYFUNCTION("""COMPUTED_VALUE"""),14)</f>
        <v>14</v>
      </c>
      <c r="J110" s="1">
        <f ca="1">IFERROR(__xludf.DUMMYFUNCTION("""COMPUTED_VALUE"""),9)</f>
        <v>9</v>
      </c>
      <c r="K110" s="1">
        <f ca="1">IFERROR(__xludf.DUMMYFUNCTION("""COMPUTED_VALUE"""),25)</f>
        <v>25</v>
      </c>
      <c r="L110" s="1">
        <f ca="1">IFERROR(__xludf.DUMMYFUNCTION("""COMPUTED_VALUE"""),25)</f>
        <v>25</v>
      </c>
      <c r="M110" s="1">
        <f ca="1">IFERROR(__xludf.DUMMYFUNCTION("""COMPUTED_VALUE"""),0)</f>
        <v>0</v>
      </c>
      <c r="N110" s="1">
        <f ca="1">IFERROR(__xludf.DUMMYFUNCTION("""COMPUTED_VALUE"""),2)</f>
        <v>2</v>
      </c>
      <c r="O110" s="1">
        <f ca="1">IFERROR(__xludf.DUMMYFUNCTION("""COMPUTED_VALUE"""),2)</f>
        <v>2</v>
      </c>
      <c r="P110" s="1">
        <f ca="1">IFERROR(__xludf.DUMMYFUNCTION("""COMPUTED_VALUE"""),0)</f>
        <v>0</v>
      </c>
      <c r="Q110" s="1">
        <f ca="1">IFERROR(__xludf.DUMMYFUNCTION("""COMPUTED_VALUE"""),1)</f>
        <v>1</v>
      </c>
      <c r="R110" s="1">
        <f ca="1">IFERROR(__xludf.DUMMYFUNCTION("""COMPUTED_VALUE"""),1)</f>
        <v>1</v>
      </c>
      <c r="S110" s="1">
        <f ca="1">IFERROR(__xludf.DUMMYFUNCTION("""COMPUTED_VALUE"""),0)</f>
        <v>0</v>
      </c>
      <c r="T110" s="1">
        <f ca="1">IFERROR(__xludf.DUMMYFUNCTION("""COMPUTED_VALUE"""),44305.6076388888)</f>
        <v>44305.607638888803</v>
      </c>
      <c r="U110" s="1"/>
    </row>
    <row r="111" spans="1:21" ht="13" x14ac:dyDescent="0.15">
      <c r="A111" s="1" t="str">
        <f t="shared" ca="1" si="0"/>
        <v>ErodeErode Medical Centre</v>
      </c>
      <c r="B111" s="1">
        <f ca="1">IFERROR(__xludf.DUMMYFUNCTION("""COMPUTED_VALUE"""),110)</f>
        <v>110</v>
      </c>
      <c r="C111" s="1" t="str">
        <f ca="1">IFERROR(__xludf.DUMMYFUNCTION("""COMPUTED_VALUE"""),"Erode")</f>
        <v>Erode</v>
      </c>
      <c r="D111" s="1" t="str">
        <f ca="1">IFERROR(__xludf.DUMMYFUNCTION("""COMPUTED_VALUE"""),"Erode Medical Centre")</f>
        <v>Erode Medical Centre</v>
      </c>
      <c r="E111" s="1">
        <f ca="1">IFERROR(__xludf.DUMMYFUNCTION("""COMPUTED_VALUE"""),25)</f>
        <v>25</v>
      </c>
      <c r="F111" s="1">
        <f ca="1">IFERROR(__xludf.DUMMYFUNCTION("""COMPUTED_VALUE"""),0)</f>
        <v>0</v>
      </c>
      <c r="G111" s="1">
        <f ca="1">IFERROR(__xludf.DUMMYFUNCTION("""COMPUTED_VALUE"""),25)</f>
        <v>25</v>
      </c>
      <c r="H111" s="1">
        <f ca="1">IFERROR(__xludf.DUMMYFUNCTION("""COMPUTED_VALUE"""),11)</f>
        <v>11</v>
      </c>
      <c r="I111" s="1">
        <f ca="1">IFERROR(__xludf.DUMMYFUNCTION("""COMPUTED_VALUE"""),0)</f>
        <v>0</v>
      </c>
      <c r="J111" s="1">
        <f ca="1">IFERROR(__xludf.DUMMYFUNCTION("""COMPUTED_VALUE"""),11)</f>
        <v>11</v>
      </c>
      <c r="K111" s="1">
        <f ca="1">IFERROR(__xludf.DUMMYFUNCTION("""COMPUTED_VALUE"""),14)</f>
        <v>14</v>
      </c>
      <c r="L111" s="1">
        <f ca="1">IFERROR(__xludf.DUMMYFUNCTION("""COMPUTED_VALUE"""),0)</f>
        <v>0</v>
      </c>
      <c r="M111" s="1">
        <f ca="1">IFERROR(__xludf.DUMMYFUNCTION("""COMPUTED_VALUE"""),14)</f>
        <v>14</v>
      </c>
      <c r="N111" s="1">
        <f ca="1">IFERROR(__xludf.DUMMYFUNCTION("""COMPUTED_VALUE"""),14)</f>
        <v>14</v>
      </c>
      <c r="O111" s="1">
        <f ca="1">IFERROR(__xludf.DUMMYFUNCTION("""COMPUTED_VALUE"""),0)</f>
        <v>0</v>
      </c>
      <c r="P111" s="1">
        <f ca="1">IFERROR(__xludf.DUMMYFUNCTION("""COMPUTED_VALUE"""),14)</f>
        <v>14</v>
      </c>
      <c r="Q111" s="1">
        <f ca="1">IFERROR(__xludf.DUMMYFUNCTION("""COMPUTED_VALUE"""),2)</f>
        <v>2</v>
      </c>
      <c r="R111" s="1">
        <f ca="1">IFERROR(__xludf.DUMMYFUNCTION("""COMPUTED_VALUE"""),0)</f>
        <v>0</v>
      </c>
      <c r="S111" s="1">
        <f ca="1">IFERROR(__xludf.DUMMYFUNCTION("""COMPUTED_VALUE"""),2)</f>
        <v>2</v>
      </c>
      <c r="T111" s="1">
        <f ca="1">IFERROR(__xludf.DUMMYFUNCTION("""COMPUTED_VALUE"""),44305.2884606481)</f>
        <v>44305.288460648102</v>
      </c>
      <c r="U111" s="1"/>
    </row>
    <row r="112" spans="1:21" ht="13" x14ac:dyDescent="0.15">
      <c r="A112" s="1" t="str">
        <f t="shared" ca="1" si="0"/>
        <v>ErodeMaaruthi Medical Centre And Hospital</v>
      </c>
      <c r="B112" s="1">
        <f ca="1">IFERROR(__xludf.DUMMYFUNCTION("""COMPUTED_VALUE"""),111)</f>
        <v>111</v>
      </c>
      <c r="C112" s="1" t="str">
        <f ca="1">IFERROR(__xludf.DUMMYFUNCTION("""COMPUTED_VALUE"""),"Erode")</f>
        <v>Erode</v>
      </c>
      <c r="D112" s="1" t="str">
        <f ca="1">IFERROR(__xludf.DUMMYFUNCTION("""COMPUTED_VALUE"""),"Maaruthi Medical Centre And Hospital")</f>
        <v>Maaruthi Medical Centre And Hospital</v>
      </c>
      <c r="E112" s="1">
        <f ca="1">IFERROR(__xludf.DUMMYFUNCTION("""COMPUTED_VALUE"""),10)</f>
        <v>10</v>
      </c>
      <c r="F112" s="1">
        <f ca="1">IFERROR(__xludf.DUMMYFUNCTION("""COMPUTED_VALUE"""),0)</f>
        <v>0</v>
      </c>
      <c r="G112" s="1">
        <f ca="1">IFERROR(__xludf.DUMMYFUNCTION("""COMPUTED_VALUE"""),10)</f>
        <v>10</v>
      </c>
      <c r="H112" s="1">
        <f ca="1">IFERROR(__xludf.DUMMYFUNCTION("""COMPUTED_VALUE"""),4)</f>
        <v>4</v>
      </c>
      <c r="I112" s="1">
        <f ca="1">IFERROR(__xludf.DUMMYFUNCTION("""COMPUTED_VALUE"""),0)</f>
        <v>0</v>
      </c>
      <c r="J112" s="1">
        <f ca="1">IFERROR(__xludf.DUMMYFUNCTION("""COMPUTED_VALUE"""),4)</f>
        <v>4</v>
      </c>
      <c r="K112" s="1">
        <f ca="1">IFERROR(__xludf.DUMMYFUNCTION("""COMPUTED_VALUE"""),3)</f>
        <v>3</v>
      </c>
      <c r="L112" s="1">
        <f ca="1">IFERROR(__xludf.DUMMYFUNCTION("""COMPUTED_VALUE"""),0)</f>
        <v>0</v>
      </c>
      <c r="M112" s="1">
        <f ca="1">IFERROR(__xludf.DUMMYFUNCTION("""COMPUTED_VALUE"""),3)</f>
        <v>3</v>
      </c>
      <c r="N112" s="1">
        <f ca="1">IFERROR(__xludf.DUMMYFUNCTION("""COMPUTED_VALUE"""),3)</f>
        <v>3</v>
      </c>
      <c r="O112" s="1">
        <f ca="1">IFERROR(__xludf.DUMMYFUNCTION("""COMPUTED_VALUE"""),0)</f>
        <v>0</v>
      </c>
      <c r="P112" s="1">
        <f ca="1">IFERROR(__xludf.DUMMYFUNCTION("""COMPUTED_VALUE"""),3)</f>
        <v>3</v>
      </c>
      <c r="Q112" s="1">
        <f ca="1">IFERROR(__xludf.DUMMYFUNCTION("""COMPUTED_VALUE"""),1)</f>
        <v>1</v>
      </c>
      <c r="R112" s="1">
        <f ca="1">IFERROR(__xludf.DUMMYFUNCTION("""COMPUTED_VALUE"""),0)</f>
        <v>0</v>
      </c>
      <c r="S112" s="1">
        <f ca="1">IFERROR(__xludf.DUMMYFUNCTION("""COMPUTED_VALUE"""),1)</f>
        <v>1</v>
      </c>
      <c r="T112" s="1">
        <f ca="1">IFERROR(__xludf.DUMMYFUNCTION("""COMPUTED_VALUE"""),44305.3798611111)</f>
        <v>44305.379861111098</v>
      </c>
      <c r="U112" s="1"/>
    </row>
    <row r="113" spans="1:21" ht="13" x14ac:dyDescent="0.15">
      <c r="A113" s="1" t="str">
        <f t="shared" ca="1" si="0"/>
        <v>ErodeSudha Hospital</v>
      </c>
      <c r="B113" s="1">
        <f ca="1">IFERROR(__xludf.DUMMYFUNCTION("""COMPUTED_VALUE"""),112)</f>
        <v>112</v>
      </c>
      <c r="C113" s="1" t="str">
        <f ca="1">IFERROR(__xludf.DUMMYFUNCTION("""COMPUTED_VALUE"""),"Erode")</f>
        <v>Erode</v>
      </c>
      <c r="D113" s="1" t="str">
        <f ca="1">IFERROR(__xludf.DUMMYFUNCTION("""COMPUTED_VALUE"""),"Sudha Hospital")</f>
        <v>Sudha Hospital</v>
      </c>
      <c r="E113" s="1">
        <f ca="1">IFERROR(__xludf.DUMMYFUNCTION("""COMPUTED_VALUE"""),62)</f>
        <v>62</v>
      </c>
      <c r="F113" s="1">
        <f ca="1">IFERROR(__xludf.DUMMYFUNCTION("""COMPUTED_VALUE"""),62)</f>
        <v>62</v>
      </c>
      <c r="G113" s="1">
        <f ca="1">IFERROR(__xludf.DUMMYFUNCTION("""COMPUTED_VALUE"""),0)</f>
        <v>0</v>
      </c>
      <c r="H113" s="1">
        <f ca="1">IFERROR(__xludf.DUMMYFUNCTION("""COMPUTED_VALUE"""),40)</f>
        <v>40</v>
      </c>
      <c r="I113" s="1">
        <f ca="1">IFERROR(__xludf.DUMMYFUNCTION("""COMPUTED_VALUE"""),40)</f>
        <v>40</v>
      </c>
      <c r="J113" s="1">
        <f ca="1">IFERROR(__xludf.DUMMYFUNCTION("""COMPUTED_VALUE"""),0)</f>
        <v>0</v>
      </c>
      <c r="K113" s="1">
        <f ca="1">IFERROR(__xludf.DUMMYFUNCTION("""COMPUTED_VALUE"""),18)</f>
        <v>18</v>
      </c>
      <c r="L113" s="1">
        <f ca="1">IFERROR(__xludf.DUMMYFUNCTION("""COMPUTED_VALUE"""),18)</f>
        <v>18</v>
      </c>
      <c r="M113" s="1">
        <f ca="1">IFERROR(__xludf.DUMMYFUNCTION("""COMPUTED_VALUE"""),0)</f>
        <v>0</v>
      </c>
      <c r="N113" s="1">
        <f ca="1">IFERROR(__xludf.DUMMYFUNCTION("""COMPUTED_VALUE"""),7)</f>
        <v>7</v>
      </c>
      <c r="O113" s="1">
        <f ca="1">IFERROR(__xludf.DUMMYFUNCTION("""COMPUTED_VALUE"""),7)</f>
        <v>7</v>
      </c>
      <c r="P113" s="1">
        <f ca="1">IFERROR(__xludf.DUMMYFUNCTION("""COMPUTED_VALUE"""),0)</f>
        <v>0</v>
      </c>
      <c r="Q113" s="1">
        <f ca="1">IFERROR(__xludf.DUMMYFUNCTION("""COMPUTED_VALUE"""),12)</f>
        <v>12</v>
      </c>
      <c r="R113" s="1">
        <f ca="1">IFERROR(__xludf.DUMMYFUNCTION("""COMPUTED_VALUE"""),12)</f>
        <v>12</v>
      </c>
      <c r="S113" s="1">
        <f ca="1">IFERROR(__xludf.DUMMYFUNCTION("""COMPUTED_VALUE"""),12)</f>
        <v>12</v>
      </c>
      <c r="T113" s="1">
        <f ca="1">IFERROR(__xludf.DUMMYFUNCTION("""COMPUTED_VALUE"""),44305.3320138888)</f>
        <v>44305.332013888801</v>
      </c>
      <c r="U113" s="1" t="str">
        <f ca="1">IFERROR(__xludf.DUMMYFUNCTION("""COMPUTED_VALUE"""),"NIL")</f>
        <v>NIL</v>
      </c>
    </row>
    <row r="114" spans="1:21" ht="13" x14ac:dyDescent="0.15">
      <c r="A114" s="1" t="str">
        <f t="shared" ca="1" si="0"/>
        <v>KallakurichiAnnai Medical Centre</v>
      </c>
      <c r="B114" s="1">
        <f ca="1">IFERROR(__xludf.DUMMYFUNCTION("""COMPUTED_VALUE"""),113)</f>
        <v>113</v>
      </c>
      <c r="C114" s="1" t="str">
        <f ca="1">IFERROR(__xludf.DUMMYFUNCTION("""COMPUTED_VALUE"""),"Kallakurichi")</f>
        <v>Kallakurichi</v>
      </c>
      <c r="D114" s="1" t="str">
        <f ca="1">IFERROR(__xludf.DUMMYFUNCTION("""COMPUTED_VALUE"""),"Annai Medical Centre")</f>
        <v>Annai Medical Centre</v>
      </c>
      <c r="E114" s="1">
        <f ca="1">IFERROR(__xludf.DUMMYFUNCTION("""COMPUTED_VALUE"""),25)</f>
        <v>25</v>
      </c>
      <c r="F114" s="1">
        <f ca="1">IFERROR(__xludf.DUMMYFUNCTION("""COMPUTED_VALUE"""),9)</f>
        <v>9</v>
      </c>
      <c r="G114" s="1">
        <f ca="1">IFERROR(__xludf.DUMMYFUNCTION("""COMPUTED_VALUE"""),16)</f>
        <v>16</v>
      </c>
      <c r="H114" s="1">
        <f ca="1">IFERROR(__xludf.DUMMYFUNCTION("""COMPUTED_VALUE"""),15)</f>
        <v>15</v>
      </c>
      <c r="I114" s="1">
        <f ca="1">IFERROR(__xludf.DUMMYFUNCTION("""COMPUTED_VALUE"""),9)</f>
        <v>9</v>
      </c>
      <c r="J114" s="1">
        <f ca="1">IFERROR(__xludf.DUMMYFUNCTION("""COMPUTED_VALUE"""),6)</f>
        <v>6</v>
      </c>
      <c r="K114" s="1">
        <f ca="1">IFERROR(__xludf.DUMMYFUNCTION("""COMPUTED_VALUE"""),0)</f>
        <v>0</v>
      </c>
      <c r="L114" s="1">
        <f ca="1">IFERROR(__xludf.DUMMYFUNCTION("""COMPUTED_VALUE"""),0)</f>
        <v>0</v>
      </c>
      <c r="M114" s="1">
        <f ca="1">IFERROR(__xludf.DUMMYFUNCTION("""COMPUTED_VALUE"""),0)</f>
        <v>0</v>
      </c>
      <c r="N114" s="1">
        <f ca="1">IFERROR(__xludf.DUMMYFUNCTION("""COMPUTED_VALUE"""),10)</f>
        <v>10</v>
      </c>
      <c r="O114" s="1">
        <f ca="1">IFERROR(__xludf.DUMMYFUNCTION("""COMPUTED_VALUE"""),0)</f>
        <v>0</v>
      </c>
      <c r="P114" s="1">
        <f ca="1">IFERROR(__xludf.DUMMYFUNCTION("""COMPUTED_VALUE"""),10)</f>
        <v>10</v>
      </c>
      <c r="Q114" s="1">
        <f ca="1">IFERROR(__xludf.DUMMYFUNCTION("""COMPUTED_VALUE"""),4)</f>
        <v>4</v>
      </c>
      <c r="R114" s="1">
        <f ca="1">IFERROR(__xludf.DUMMYFUNCTION("""COMPUTED_VALUE"""),0)</f>
        <v>0</v>
      </c>
      <c r="S114" s="1">
        <f ca="1">IFERROR(__xludf.DUMMYFUNCTION("""COMPUTED_VALUE"""),4)</f>
        <v>4</v>
      </c>
      <c r="T114" s="1">
        <f ca="1">IFERROR(__xludf.DUMMYFUNCTION("""COMPUTED_VALUE"""),44305.4185069444)</f>
        <v>44305.418506944399</v>
      </c>
      <c r="U114" s="1" t="str">
        <f ca="1">IFERROR(__xludf.DUMMYFUNCTION("""COMPUTED_VALUE"""),"A")</f>
        <v>A</v>
      </c>
    </row>
    <row r="115" spans="1:21" ht="13" x14ac:dyDescent="0.15">
      <c r="A115" s="1" t="str">
        <f t="shared" ca="1" si="0"/>
        <v>KallakurichiE.S. Hospital</v>
      </c>
      <c r="B115" s="1">
        <f ca="1">IFERROR(__xludf.DUMMYFUNCTION("""COMPUTED_VALUE"""),114)</f>
        <v>114</v>
      </c>
      <c r="C115" s="1" t="str">
        <f ca="1">IFERROR(__xludf.DUMMYFUNCTION("""COMPUTED_VALUE"""),"Kallakurichi")</f>
        <v>Kallakurichi</v>
      </c>
      <c r="D115" s="1" t="str">
        <f ca="1">IFERROR(__xludf.DUMMYFUNCTION("""COMPUTED_VALUE"""),"E.S. Hospital")</f>
        <v>E.S. Hospital</v>
      </c>
      <c r="E115" s="1">
        <f ca="1">IFERROR(__xludf.DUMMYFUNCTION("""COMPUTED_VALUE"""),25)</f>
        <v>25</v>
      </c>
      <c r="F115" s="1">
        <f ca="1">IFERROR(__xludf.DUMMYFUNCTION("""COMPUTED_VALUE"""),0)</f>
        <v>0</v>
      </c>
      <c r="G115" s="1">
        <f ca="1">IFERROR(__xludf.DUMMYFUNCTION("""COMPUTED_VALUE"""),25)</f>
        <v>25</v>
      </c>
      <c r="H115" s="1">
        <f ca="1">IFERROR(__xludf.DUMMYFUNCTION("""COMPUTED_VALUE"""),6)</f>
        <v>6</v>
      </c>
      <c r="I115" s="1">
        <f ca="1">IFERROR(__xludf.DUMMYFUNCTION("""COMPUTED_VALUE"""),0)</f>
        <v>0</v>
      </c>
      <c r="J115" s="1">
        <f ca="1">IFERROR(__xludf.DUMMYFUNCTION("""COMPUTED_VALUE"""),6)</f>
        <v>6</v>
      </c>
      <c r="K115" s="1">
        <f ca="1">IFERROR(__xludf.DUMMYFUNCTION("""COMPUTED_VALUE"""),9)</f>
        <v>9</v>
      </c>
      <c r="L115" s="1">
        <f ca="1">IFERROR(__xludf.DUMMYFUNCTION("""COMPUTED_VALUE"""),0)</f>
        <v>0</v>
      </c>
      <c r="M115" s="1">
        <f ca="1">IFERROR(__xludf.DUMMYFUNCTION("""COMPUTED_VALUE"""),9)</f>
        <v>9</v>
      </c>
      <c r="N115" s="1">
        <f ca="1">IFERROR(__xludf.DUMMYFUNCTION("""COMPUTED_VALUE"""),10)</f>
        <v>10</v>
      </c>
      <c r="O115" s="1">
        <f ca="1">IFERROR(__xludf.DUMMYFUNCTION("""COMPUTED_VALUE"""),0)</f>
        <v>0</v>
      </c>
      <c r="P115" s="1">
        <f ca="1">IFERROR(__xludf.DUMMYFUNCTION("""COMPUTED_VALUE"""),10)</f>
        <v>10</v>
      </c>
      <c r="Q115" s="1">
        <f ca="1">IFERROR(__xludf.DUMMYFUNCTION("""COMPUTED_VALUE"""),6)</f>
        <v>6</v>
      </c>
      <c r="R115" s="1">
        <f ca="1">IFERROR(__xludf.DUMMYFUNCTION("""COMPUTED_VALUE"""),0)</f>
        <v>0</v>
      </c>
      <c r="S115" s="1">
        <f ca="1">IFERROR(__xludf.DUMMYFUNCTION("""COMPUTED_VALUE"""),6)</f>
        <v>6</v>
      </c>
      <c r="T115" s="1">
        <f ca="1">IFERROR(__xludf.DUMMYFUNCTION("""COMPUTED_VALUE"""),44305.4320601851)</f>
        <v>44305.4320601851</v>
      </c>
      <c r="U115" s="1" t="str">
        <f ca="1">IFERROR(__xludf.DUMMYFUNCTION("""COMPUTED_VALUE"""),"PATIENT NILL")</f>
        <v>PATIENT NILL</v>
      </c>
    </row>
    <row r="116" spans="1:21" ht="13" x14ac:dyDescent="0.15">
      <c r="A116" s="1" t="str">
        <f t="shared" ca="1" si="0"/>
        <v>KallakurichiI Med Super Speciality Hospital</v>
      </c>
      <c r="B116" s="1">
        <f ca="1">IFERROR(__xludf.DUMMYFUNCTION("""COMPUTED_VALUE"""),115)</f>
        <v>115</v>
      </c>
      <c r="C116" s="1" t="str">
        <f ca="1">IFERROR(__xludf.DUMMYFUNCTION("""COMPUTED_VALUE"""),"Kallakurichi")</f>
        <v>Kallakurichi</v>
      </c>
      <c r="D116" s="1" t="str">
        <f ca="1">IFERROR(__xludf.DUMMYFUNCTION("""COMPUTED_VALUE"""),"I Med Super Speciality Hospital")</f>
        <v>I Med Super Speciality Hospital</v>
      </c>
      <c r="E116" s="1">
        <f ca="1">IFERROR(__xludf.DUMMYFUNCTION("""COMPUTED_VALUE"""),10)</f>
        <v>10</v>
      </c>
      <c r="F116" s="1">
        <f ca="1">IFERROR(__xludf.DUMMYFUNCTION("""COMPUTED_VALUE"""),3)</f>
        <v>3</v>
      </c>
      <c r="G116" s="1">
        <f ca="1">IFERROR(__xludf.DUMMYFUNCTION("""COMPUTED_VALUE"""),7)</f>
        <v>7</v>
      </c>
      <c r="H116" s="1">
        <f ca="1">IFERROR(__xludf.DUMMYFUNCTION("""COMPUTED_VALUE"""),5)</f>
        <v>5</v>
      </c>
      <c r="I116" s="1">
        <f ca="1">IFERROR(__xludf.DUMMYFUNCTION("""COMPUTED_VALUE"""),1)</f>
        <v>1</v>
      </c>
      <c r="J116" s="1">
        <f ca="1">IFERROR(__xludf.DUMMYFUNCTION("""COMPUTED_VALUE"""),4)</f>
        <v>4</v>
      </c>
      <c r="K116" s="1">
        <f ca="1">IFERROR(__xludf.DUMMYFUNCTION("""COMPUTED_VALUE"""),5)</f>
        <v>5</v>
      </c>
      <c r="L116" s="1">
        <f ca="1">IFERROR(__xludf.DUMMYFUNCTION("""COMPUTED_VALUE"""),2)</f>
        <v>2</v>
      </c>
      <c r="M116" s="1">
        <f ca="1">IFERROR(__xludf.DUMMYFUNCTION("""COMPUTED_VALUE"""),3)</f>
        <v>3</v>
      </c>
      <c r="N116" s="1">
        <f ca="1">IFERROR(__xludf.DUMMYFUNCTION("""COMPUTED_VALUE"""),2)</f>
        <v>2</v>
      </c>
      <c r="O116" s="1">
        <f ca="1">IFERROR(__xludf.DUMMYFUNCTION("""COMPUTED_VALUE"""),0)</f>
        <v>0</v>
      </c>
      <c r="P116" s="1">
        <f ca="1">IFERROR(__xludf.DUMMYFUNCTION("""COMPUTED_VALUE"""),2)</f>
        <v>2</v>
      </c>
      <c r="Q116" s="1">
        <f ca="1">IFERROR(__xludf.DUMMYFUNCTION("""COMPUTED_VALUE"""),1)</f>
        <v>1</v>
      </c>
      <c r="R116" s="1">
        <f ca="1">IFERROR(__xludf.DUMMYFUNCTION("""COMPUTED_VALUE"""),0)</f>
        <v>0</v>
      </c>
      <c r="S116" s="1">
        <f ca="1">IFERROR(__xludf.DUMMYFUNCTION("""COMPUTED_VALUE"""),1)</f>
        <v>1</v>
      </c>
      <c r="T116" s="1">
        <f ca="1">IFERROR(__xludf.DUMMYFUNCTION("""COMPUTED_VALUE"""),44305.460011574)</f>
        <v>44305.460011574003</v>
      </c>
      <c r="U116" s="1" t="str">
        <f ca="1">IFERROR(__xludf.DUMMYFUNCTION("""COMPUTED_VALUE"""),"019 23")</f>
        <v>019 23</v>
      </c>
    </row>
    <row r="117" spans="1:21" ht="13" x14ac:dyDescent="0.15">
      <c r="A117" s="1" t="str">
        <f t="shared" ca="1" si="0"/>
        <v>KallakurichiLotus Paediatric Emergency Centre</v>
      </c>
      <c r="B117" s="1">
        <f ca="1">IFERROR(__xludf.DUMMYFUNCTION("""COMPUTED_VALUE"""),116)</f>
        <v>116</v>
      </c>
      <c r="C117" s="1" t="str">
        <f ca="1">IFERROR(__xludf.DUMMYFUNCTION("""COMPUTED_VALUE"""),"Kallakurichi")</f>
        <v>Kallakurichi</v>
      </c>
      <c r="D117" s="1" t="str">
        <f ca="1">IFERROR(__xludf.DUMMYFUNCTION("""COMPUTED_VALUE"""),"Lotus Paediatric Emergency Centre")</f>
        <v>Lotus Paediatric Emergency Centre</v>
      </c>
      <c r="E117" s="1">
        <f ca="1">IFERROR(__xludf.DUMMYFUNCTION("""COMPUTED_VALUE"""),5)</f>
        <v>5</v>
      </c>
      <c r="F117" s="1">
        <f ca="1">IFERROR(__xludf.DUMMYFUNCTION("""COMPUTED_VALUE"""),0)</f>
        <v>0</v>
      </c>
      <c r="G117" s="1">
        <f ca="1">IFERROR(__xludf.DUMMYFUNCTION("""COMPUTED_VALUE"""),5)</f>
        <v>5</v>
      </c>
      <c r="H117" s="1">
        <f ca="1">IFERROR(__xludf.DUMMYFUNCTION("""COMPUTED_VALUE"""),0)</f>
        <v>0</v>
      </c>
      <c r="I117" s="1">
        <f ca="1">IFERROR(__xludf.DUMMYFUNCTION("""COMPUTED_VALUE"""),0)</f>
        <v>0</v>
      </c>
      <c r="J117" s="1">
        <f ca="1">IFERROR(__xludf.DUMMYFUNCTION("""COMPUTED_VALUE"""),0)</f>
        <v>0</v>
      </c>
      <c r="K117" s="1">
        <f ca="1">IFERROR(__xludf.DUMMYFUNCTION("""COMPUTED_VALUE"""),0)</f>
        <v>0</v>
      </c>
      <c r="L117" s="1">
        <f ca="1">IFERROR(__xludf.DUMMYFUNCTION("""COMPUTED_VALUE"""),0)</f>
        <v>0</v>
      </c>
      <c r="M117" s="1">
        <f ca="1">IFERROR(__xludf.DUMMYFUNCTION("""COMPUTED_VALUE"""),0)</f>
        <v>0</v>
      </c>
      <c r="N117" s="1">
        <f ca="1">IFERROR(__xludf.DUMMYFUNCTION("""COMPUTED_VALUE"""),7)</f>
        <v>7</v>
      </c>
      <c r="O117" s="1">
        <f ca="1">IFERROR(__xludf.DUMMYFUNCTION("""COMPUTED_VALUE"""),0)</f>
        <v>0</v>
      </c>
      <c r="P117" s="1">
        <f ca="1">IFERROR(__xludf.DUMMYFUNCTION("""COMPUTED_VALUE"""),7)</f>
        <v>7</v>
      </c>
      <c r="Q117" s="1">
        <f ca="1">IFERROR(__xludf.DUMMYFUNCTION("""COMPUTED_VALUE"""),0)</f>
        <v>0</v>
      </c>
      <c r="R117" s="1">
        <f ca="1">IFERROR(__xludf.DUMMYFUNCTION("""COMPUTED_VALUE"""),0)</f>
        <v>0</v>
      </c>
      <c r="S117" s="1">
        <f ca="1">IFERROR(__xludf.DUMMYFUNCTION("""COMPUTED_VALUE"""),0)</f>
        <v>0</v>
      </c>
      <c r="T117" s="1">
        <f ca="1">IFERROR(__xludf.DUMMYFUNCTION("""COMPUTED_VALUE"""),44304.8685300925)</f>
        <v>44304.868530092499</v>
      </c>
      <c r="U117" s="1" t="str">
        <f ca="1">IFERROR(__xludf.DUMMYFUNCTION("""COMPUTED_VALUE"""),"Lotus hospital.")</f>
        <v>Lotus hospital.</v>
      </c>
    </row>
    <row r="118" spans="1:21" ht="13" x14ac:dyDescent="0.15">
      <c r="A118" s="1" t="str">
        <f t="shared" ca="1" si="0"/>
        <v>KallakurichiMaragadam Hospital</v>
      </c>
      <c r="B118" s="1">
        <f ca="1">IFERROR(__xludf.DUMMYFUNCTION("""COMPUTED_VALUE"""),117)</f>
        <v>117</v>
      </c>
      <c r="C118" s="1" t="str">
        <f ca="1">IFERROR(__xludf.DUMMYFUNCTION("""COMPUTED_VALUE"""),"Kallakurichi")</f>
        <v>Kallakurichi</v>
      </c>
      <c r="D118" s="1" t="str">
        <f ca="1">IFERROR(__xludf.DUMMYFUNCTION("""COMPUTED_VALUE"""),"Maragadam Hospital")</f>
        <v>Maragadam Hospital</v>
      </c>
      <c r="E118" s="1">
        <f ca="1">IFERROR(__xludf.DUMMYFUNCTION("""COMPUTED_VALUE"""),15)</f>
        <v>15</v>
      </c>
      <c r="F118" s="1">
        <f ca="1">IFERROR(__xludf.DUMMYFUNCTION("""COMPUTED_VALUE"""),0)</f>
        <v>0</v>
      </c>
      <c r="G118" s="1">
        <f ca="1">IFERROR(__xludf.DUMMYFUNCTION("""COMPUTED_VALUE"""),15)</f>
        <v>15</v>
      </c>
      <c r="H118" s="1">
        <f ca="1">IFERROR(__xludf.DUMMYFUNCTION("""COMPUTED_VALUE"""),6)</f>
        <v>6</v>
      </c>
      <c r="I118" s="1">
        <f ca="1">IFERROR(__xludf.DUMMYFUNCTION("""COMPUTED_VALUE"""),0)</f>
        <v>0</v>
      </c>
      <c r="J118" s="1">
        <f ca="1">IFERROR(__xludf.DUMMYFUNCTION("""COMPUTED_VALUE"""),5)</f>
        <v>5</v>
      </c>
      <c r="K118" s="1">
        <f ca="1">IFERROR(__xludf.DUMMYFUNCTION("""COMPUTED_VALUE"""),5)</f>
        <v>5</v>
      </c>
      <c r="L118" s="1">
        <f ca="1">IFERROR(__xludf.DUMMYFUNCTION("""COMPUTED_VALUE"""),0)</f>
        <v>0</v>
      </c>
      <c r="M118" s="1">
        <f ca="1">IFERROR(__xludf.DUMMYFUNCTION("""COMPUTED_VALUE"""),5)</f>
        <v>5</v>
      </c>
      <c r="N118" s="1">
        <f ca="1">IFERROR(__xludf.DUMMYFUNCTION("""COMPUTED_VALUE"""),2)</f>
        <v>2</v>
      </c>
      <c r="O118" s="1">
        <f ca="1">IFERROR(__xludf.DUMMYFUNCTION("""COMPUTED_VALUE"""),0)</f>
        <v>0</v>
      </c>
      <c r="P118" s="1">
        <f ca="1">IFERROR(__xludf.DUMMYFUNCTION("""COMPUTED_VALUE"""),1)</f>
        <v>1</v>
      </c>
      <c r="Q118" s="1">
        <f ca="1">IFERROR(__xludf.DUMMYFUNCTION("""COMPUTED_VALUE"""),1)</f>
        <v>1</v>
      </c>
      <c r="R118" s="1">
        <f ca="1">IFERROR(__xludf.DUMMYFUNCTION("""COMPUTED_VALUE"""),0)</f>
        <v>0</v>
      </c>
      <c r="S118" s="1">
        <f ca="1">IFERROR(__xludf.DUMMYFUNCTION("""COMPUTED_VALUE"""),1)</f>
        <v>1</v>
      </c>
      <c r="T118" s="1">
        <f ca="1">IFERROR(__xludf.DUMMYFUNCTION("""COMPUTED_VALUE"""),44305.4040046296)</f>
        <v>44305.4040046296</v>
      </c>
      <c r="U118" s="1" t="str">
        <f ca="1">IFERROR(__xludf.DUMMYFUNCTION("""COMPUTED_VALUE"""),"Nil")</f>
        <v>Nil</v>
      </c>
    </row>
    <row r="119" spans="1:21" ht="13" x14ac:dyDescent="0.15">
      <c r="A119" s="1" t="str">
        <f t="shared" ca="1" si="0"/>
        <v>KallakurichiS A Hospital</v>
      </c>
      <c r="B119" s="1">
        <f ca="1">IFERROR(__xludf.DUMMYFUNCTION("""COMPUTED_VALUE"""),118)</f>
        <v>118</v>
      </c>
      <c r="C119" s="1" t="str">
        <f ca="1">IFERROR(__xludf.DUMMYFUNCTION("""COMPUTED_VALUE"""),"Kallakurichi")</f>
        <v>Kallakurichi</v>
      </c>
      <c r="D119" s="1" t="str">
        <f ca="1">IFERROR(__xludf.DUMMYFUNCTION("""COMPUTED_VALUE"""),"S A Hospital")</f>
        <v>S A Hospital</v>
      </c>
      <c r="E119" s="1">
        <f ca="1">IFERROR(__xludf.DUMMYFUNCTION("""COMPUTED_VALUE"""),5)</f>
        <v>5</v>
      </c>
      <c r="F119" s="1">
        <f ca="1">IFERROR(__xludf.DUMMYFUNCTION("""COMPUTED_VALUE"""),0)</f>
        <v>0</v>
      </c>
      <c r="G119" s="1">
        <f ca="1">IFERROR(__xludf.DUMMYFUNCTION("""COMPUTED_VALUE"""),5)</f>
        <v>5</v>
      </c>
      <c r="H119" s="1">
        <f ca="1">IFERROR(__xludf.DUMMYFUNCTION("""COMPUTED_VALUE"""),3)</f>
        <v>3</v>
      </c>
      <c r="I119" s="1">
        <f ca="1">IFERROR(__xludf.DUMMYFUNCTION("""COMPUTED_VALUE"""),0)</f>
        <v>0</v>
      </c>
      <c r="J119" s="1">
        <f ca="1">IFERROR(__xludf.DUMMYFUNCTION("""COMPUTED_VALUE"""),3)</f>
        <v>3</v>
      </c>
      <c r="K119" s="1">
        <f ca="1">IFERROR(__xludf.DUMMYFUNCTION("""COMPUTED_VALUE"""),2)</f>
        <v>2</v>
      </c>
      <c r="L119" s="1">
        <f ca="1">IFERROR(__xludf.DUMMYFUNCTION("""COMPUTED_VALUE"""),0)</f>
        <v>0</v>
      </c>
      <c r="M119" s="1">
        <f ca="1">IFERROR(__xludf.DUMMYFUNCTION("""COMPUTED_VALUE"""),2)</f>
        <v>2</v>
      </c>
      <c r="N119" s="1">
        <f ca="1">IFERROR(__xludf.DUMMYFUNCTION("""COMPUTED_VALUE"""),3)</f>
        <v>3</v>
      </c>
      <c r="O119" s="1">
        <f ca="1">IFERROR(__xludf.DUMMYFUNCTION("""COMPUTED_VALUE"""),0)</f>
        <v>0</v>
      </c>
      <c r="P119" s="1">
        <f ca="1">IFERROR(__xludf.DUMMYFUNCTION("""COMPUTED_VALUE"""),3)</f>
        <v>3</v>
      </c>
      <c r="Q119" s="1">
        <f ca="1">IFERROR(__xludf.DUMMYFUNCTION("""COMPUTED_VALUE"""),1)</f>
        <v>1</v>
      </c>
      <c r="R119" s="1">
        <f ca="1">IFERROR(__xludf.DUMMYFUNCTION("""COMPUTED_VALUE"""),0)</f>
        <v>0</v>
      </c>
      <c r="S119" s="1">
        <f ca="1">IFERROR(__xludf.DUMMYFUNCTION("""COMPUTED_VALUE"""),1)</f>
        <v>1</v>
      </c>
      <c r="T119" s="1">
        <f ca="1">IFERROR(__xludf.DUMMYFUNCTION("""COMPUTED_VALUE"""),44305.3621064814)</f>
        <v>44305.3621064814</v>
      </c>
      <c r="U119" s="1"/>
    </row>
    <row r="120" spans="1:21" ht="13" x14ac:dyDescent="0.15">
      <c r="A120" s="1" t="str">
        <f t="shared" ca="1" si="0"/>
        <v>KallakurichiSri Sanjeevi Hospital</v>
      </c>
      <c r="B120" s="1">
        <f ca="1">IFERROR(__xludf.DUMMYFUNCTION("""COMPUTED_VALUE"""),119)</f>
        <v>119</v>
      </c>
      <c r="C120" s="1" t="str">
        <f ca="1">IFERROR(__xludf.DUMMYFUNCTION("""COMPUTED_VALUE"""),"Kallakurichi")</f>
        <v>Kallakurichi</v>
      </c>
      <c r="D120" s="1" t="str">
        <f ca="1">IFERROR(__xludf.DUMMYFUNCTION("""COMPUTED_VALUE"""),"Sri Sanjeevi Hospital")</f>
        <v>Sri Sanjeevi Hospital</v>
      </c>
      <c r="E120" s="1">
        <f ca="1">IFERROR(__xludf.DUMMYFUNCTION("""COMPUTED_VALUE"""),60)</f>
        <v>60</v>
      </c>
      <c r="F120" s="1">
        <f ca="1">IFERROR(__xludf.DUMMYFUNCTION("""COMPUTED_VALUE"""),40)</f>
        <v>40</v>
      </c>
      <c r="G120" s="1">
        <f ca="1">IFERROR(__xludf.DUMMYFUNCTION("""COMPUTED_VALUE"""),20)</f>
        <v>20</v>
      </c>
      <c r="H120" s="1">
        <f ca="1">IFERROR(__xludf.DUMMYFUNCTION("""COMPUTED_VALUE"""),35)</f>
        <v>35</v>
      </c>
      <c r="I120" s="1">
        <f ca="1">IFERROR(__xludf.DUMMYFUNCTION("""COMPUTED_VALUE"""),35)</f>
        <v>35</v>
      </c>
      <c r="J120" s="1">
        <f ca="1">IFERROR(__xludf.DUMMYFUNCTION("""COMPUTED_VALUE"""),0)</f>
        <v>0</v>
      </c>
      <c r="K120" s="1">
        <f ca="1">IFERROR(__xludf.DUMMYFUNCTION("""COMPUTED_VALUE"""),10)</f>
        <v>10</v>
      </c>
      <c r="L120" s="1">
        <f ca="1">IFERROR(__xludf.DUMMYFUNCTION("""COMPUTED_VALUE"""),0)</f>
        <v>0</v>
      </c>
      <c r="M120" s="1">
        <f ca="1">IFERROR(__xludf.DUMMYFUNCTION("""COMPUTED_VALUE"""),10)</f>
        <v>10</v>
      </c>
      <c r="N120" s="1">
        <f ca="1">IFERROR(__xludf.DUMMYFUNCTION("""COMPUTED_VALUE"""),16)</f>
        <v>16</v>
      </c>
      <c r="O120" s="1">
        <f ca="1">IFERROR(__xludf.DUMMYFUNCTION("""COMPUTED_VALUE"""),5)</f>
        <v>5</v>
      </c>
      <c r="P120" s="1">
        <f ca="1">IFERROR(__xludf.DUMMYFUNCTION("""COMPUTED_VALUE"""),12)</f>
        <v>12</v>
      </c>
      <c r="Q120" s="1">
        <f ca="1">IFERROR(__xludf.DUMMYFUNCTION("""COMPUTED_VALUE"""),9)</f>
        <v>9</v>
      </c>
      <c r="R120" s="1">
        <f ca="1">IFERROR(__xludf.DUMMYFUNCTION("""COMPUTED_VALUE"""),0)</f>
        <v>0</v>
      </c>
      <c r="S120" s="1">
        <f ca="1">IFERROR(__xludf.DUMMYFUNCTION("""COMPUTED_VALUE"""),9)</f>
        <v>9</v>
      </c>
      <c r="T120" s="1">
        <f ca="1">IFERROR(__xludf.DUMMYFUNCTION("""COMPUTED_VALUE"""),44305.4262152777)</f>
        <v>44305.426215277701</v>
      </c>
      <c r="U120" s="1" t="str">
        <f ca="1">IFERROR(__xludf.DUMMYFUNCTION("""COMPUTED_VALUE"""),"Updated...")</f>
        <v>Updated...</v>
      </c>
    </row>
    <row r="121" spans="1:21" ht="13" x14ac:dyDescent="0.15">
      <c r="A121" s="1" t="str">
        <f t="shared" ca="1" si="0"/>
        <v>KancheepuramBon Secuors Hospital</v>
      </c>
      <c r="B121" s="1">
        <f ca="1">IFERROR(__xludf.DUMMYFUNCTION("""COMPUTED_VALUE"""),120)</f>
        <v>120</v>
      </c>
      <c r="C121" s="1" t="str">
        <f ca="1">IFERROR(__xludf.DUMMYFUNCTION("""COMPUTED_VALUE"""),"Kancheepuram")</f>
        <v>Kancheepuram</v>
      </c>
      <c r="D121" s="1" t="str">
        <f ca="1">IFERROR(__xludf.DUMMYFUNCTION("""COMPUTED_VALUE"""),"Bon Secuors Hospital")</f>
        <v>Bon Secuors Hospital</v>
      </c>
      <c r="E121" s="1">
        <f ca="1">IFERROR(__xludf.DUMMYFUNCTION("""COMPUTED_VALUE"""),30)</f>
        <v>30</v>
      </c>
      <c r="F121" s="1">
        <f ca="1">IFERROR(__xludf.DUMMYFUNCTION("""COMPUTED_VALUE"""),0)</f>
        <v>0</v>
      </c>
      <c r="G121" s="1">
        <f ca="1">IFERROR(__xludf.DUMMYFUNCTION("""COMPUTED_VALUE"""),30)</f>
        <v>30</v>
      </c>
      <c r="H121" s="1">
        <f ca="1">IFERROR(__xludf.DUMMYFUNCTION("""COMPUTED_VALUE"""),5)</f>
        <v>5</v>
      </c>
      <c r="I121" s="1">
        <f ca="1">IFERROR(__xludf.DUMMYFUNCTION("""COMPUTED_VALUE"""),0)</f>
        <v>0</v>
      </c>
      <c r="J121" s="1">
        <f ca="1">IFERROR(__xludf.DUMMYFUNCTION("""COMPUTED_VALUE"""),5)</f>
        <v>5</v>
      </c>
      <c r="K121" s="1">
        <f ca="1">IFERROR(__xludf.DUMMYFUNCTION("""COMPUTED_VALUE"""),25)</f>
        <v>25</v>
      </c>
      <c r="L121" s="1">
        <f ca="1">IFERROR(__xludf.DUMMYFUNCTION("""COMPUTED_VALUE"""),0)</f>
        <v>0</v>
      </c>
      <c r="M121" s="1">
        <f ca="1">IFERROR(__xludf.DUMMYFUNCTION("""COMPUTED_VALUE"""),25)</f>
        <v>25</v>
      </c>
      <c r="N121" s="1">
        <f ca="1">IFERROR(__xludf.DUMMYFUNCTION("""COMPUTED_VALUE"""),0)</f>
        <v>0</v>
      </c>
      <c r="O121" s="1">
        <f ca="1">IFERROR(__xludf.DUMMYFUNCTION("""COMPUTED_VALUE"""),0)</f>
        <v>0</v>
      </c>
      <c r="P121" s="1">
        <f ca="1">IFERROR(__xludf.DUMMYFUNCTION("""COMPUTED_VALUE"""),0)</f>
        <v>0</v>
      </c>
      <c r="Q121" s="1">
        <f ca="1">IFERROR(__xludf.DUMMYFUNCTION("""COMPUTED_VALUE"""),0)</f>
        <v>0</v>
      </c>
      <c r="R121" s="1">
        <f ca="1">IFERROR(__xludf.DUMMYFUNCTION("""COMPUTED_VALUE"""),0)</f>
        <v>0</v>
      </c>
      <c r="S121" s="1">
        <f ca="1">IFERROR(__xludf.DUMMYFUNCTION("""COMPUTED_VALUE"""),0)</f>
        <v>0</v>
      </c>
      <c r="T121" s="1">
        <f ca="1">IFERROR(__xludf.DUMMYFUNCTION("""COMPUTED_VALUE"""),44305.3559722222)</f>
        <v>44305.355972222198</v>
      </c>
      <c r="U121" s="1" t="str">
        <f ca="1">IFERROR(__xludf.DUMMYFUNCTION("""COMPUTED_VALUE"""),"Updated 19/04/2021")</f>
        <v>Updated 19/04/2021</v>
      </c>
    </row>
    <row r="122" spans="1:21" ht="13" x14ac:dyDescent="0.15">
      <c r="A122" s="1" t="str">
        <f t="shared" ca="1" si="0"/>
        <v>KancheepuramChennai Urology &amp; Robotics Institute Hospital Thoraippakkam</v>
      </c>
      <c r="B122" s="1">
        <f ca="1">IFERROR(__xludf.DUMMYFUNCTION("""COMPUTED_VALUE"""),121)</f>
        <v>121</v>
      </c>
      <c r="C122" s="1" t="str">
        <f ca="1">IFERROR(__xludf.DUMMYFUNCTION("""COMPUTED_VALUE"""),"Kancheepuram")</f>
        <v>Kancheepuram</v>
      </c>
      <c r="D122" s="1" t="str">
        <f ca="1">IFERROR(__xludf.DUMMYFUNCTION("""COMPUTED_VALUE"""),"Chennai Urology &amp; Robotics Institute Hospital Thoraippakkam")</f>
        <v>Chennai Urology &amp; Robotics Institute Hospital Thoraippakkam</v>
      </c>
      <c r="E122" s="1">
        <f ca="1">IFERROR(__xludf.DUMMYFUNCTION("""COMPUTED_VALUE"""),20)</f>
        <v>20</v>
      </c>
      <c r="F122" s="1">
        <f ca="1">IFERROR(__xludf.DUMMYFUNCTION("""COMPUTED_VALUE"""),16)</f>
        <v>16</v>
      </c>
      <c r="G122" s="1">
        <f ca="1">IFERROR(__xludf.DUMMYFUNCTION("""COMPUTED_VALUE"""),4)</f>
        <v>4</v>
      </c>
      <c r="H122" s="1">
        <f ca="1">IFERROR(__xludf.DUMMYFUNCTION("""COMPUTED_VALUE"""),20)</f>
        <v>20</v>
      </c>
      <c r="I122" s="1">
        <f ca="1">IFERROR(__xludf.DUMMYFUNCTION("""COMPUTED_VALUE"""),16)</f>
        <v>16</v>
      </c>
      <c r="J122" s="1">
        <f ca="1">IFERROR(__xludf.DUMMYFUNCTION("""COMPUTED_VALUE"""),4)</f>
        <v>4</v>
      </c>
      <c r="K122" s="1">
        <f ca="1">IFERROR(__xludf.DUMMYFUNCTION("""COMPUTED_VALUE"""),0)</f>
        <v>0</v>
      </c>
      <c r="L122" s="1">
        <f ca="1">IFERROR(__xludf.DUMMYFUNCTION("""COMPUTED_VALUE"""),0)</f>
        <v>0</v>
      </c>
      <c r="M122" s="1">
        <f ca="1">IFERROR(__xludf.DUMMYFUNCTION("""COMPUTED_VALUE"""),0)</f>
        <v>0</v>
      </c>
      <c r="N122" s="1">
        <f ca="1">IFERROR(__xludf.DUMMYFUNCTION("""COMPUTED_VALUE"""),0)</f>
        <v>0</v>
      </c>
      <c r="O122" s="1">
        <f ca="1">IFERROR(__xludf.DUMMYFUNCTION("""COMPUTED_VALUE"""),0)</f>
        <v>0</v>
      </c>
      <c r="P122" s="1">
        <f ca="1">IFERROR(__xludf.DUMMYFUNCTION("""COMPUTED_VALUE"""),0)</f>
        <v>0</v>
      </c>
      <c r="Q122" s="1">
        <f ca="1">IFERROR(__xludf.DUMMYFUNCTION("""COMPUTED_VALUE"""),0)</f>
        <v>0</v>
      </c>
      <c r="R122" s="1">
        <f ca="1">IFERROR(__xludf.DUMMYFUNCTION("""COMPUTED_VALUE"""),0)</f>
        <v>0</v>
      </c>
      <c r="S122" s="1">
        <f ca="1">IFERROR(__xludf.DUMMYFUNCTION("""COMPUTED_VALUE"""),0)</f>
        <v>0</v>
      </c>
      <c r="T122" s="1">
        <f ca="1">IFERROR(__xludf.DUMMYFUNCTION("""COMPUTED_VALUE"""),44304.3863194444)</f>
        <v>44304.386319444398</v>
      </c>
      <c r="U122" s="1" t="str">
        <f ca="1">IFERROR(__xludf.DUMMYFUNCTION("""COMPUTED_VALUE"""),"18.04.2021")</f>
        <v>18.04.2021</v>
      </c>
    </row>
    <row r="123" spans="1:21" ht="13" x14ac:dyDescent="0.15">
      <c r="A123" s="1" t="str">
        <f t="shared" ca="1" si="0"/>
        <v>KancheepuramMadha Medical College&amp;Research Institute</v>
      </c>
      <c r="B123" s="1">
        <f ca="1">IFERROR(__xludf.DUMMYFUNCTION("""COMPUTED_VALUE"""),122)</f>
        <v>122</v>
      </c>
      <c r="C123" s="1" t="str">
        <f ca="1">IFERROR(__xludf.DUMMYFUNCTION("""COMPUTED_VALUE"""),"Kancheepuram")</f>
        <v>Kancheepuram</v>
      </c>
      <c r="D123" s="1" t="str">
        <f ca="1">IFERROR(__xludf.DUMMYFUNCTION("""COMPUTED_VALUE"""),"Madha Medical College&amp;Research Institute")</f>
        <v>Madha Medical College&amp;Research Institute</v>
      </c>
      <c r="E123" s="1">
        <f ca="1">IFERROR(__xludf.DUMMYFUNCTION("""COMPUTED_VALUE"""),200)</f>
        <v>200</v>
      </c>
      <c r="F123" s="1">
        <f ca="1">IFERROR(__xludf.DUMMYFUNCTION("""COMPUTED_VALUE"""),33)</f>
        <v>33</v>
      </c>
      <c r="G123" s="1">
        <f ca="1">IFERROR(__xludf.DUMMYFUNCTION("""COMPUTED_VALUE"""),167)</f>
        <v>167</v>
      </c>
      <c r="H123" s="1">
        <f ca="1">IFERROR(__xludf.DUMMYFUNCTION("""COMPUTED_VALUE"""),20)</f>
        <v>20</v>
      </c>
      <c r="I123" s="1">
        <f ca="1">IFERROR(__xludf.DUMMYFUNCTION("""COMPUTED_VALUE"""),6)</f>
        <v>6</v>
      </c>
      <c r="J123" s="1">
        <f ca="1">IFERROR(__xludf.DUMMYFUNCTION("""COMPUTED_VALUE"""),14)</f>
        <v>14</v>
      </c>
      <c r="K123" s="1">
        <f ca="1">IFERROR(__xludf.DUMMYFUNCTION("""COMPUTED_VALUE"""),174)</f>
        <v>174</v>
      </c>
      <c r="L123" s="1">
        <f ca="1">IFERROR(__xludf.DUMMYFUNCTION("""COMPUTED_VALUE"""),23)</f>
        <v>23</v>
      </c>
      <c r="M123" s="1">
        <f ca="1">IFERROR(__xludf.DUMMYFUNCTION("""COMPUTED_VALUE"""),151)</f>
        <v>151</v>
      </c>
      <c r="N123" s="1">
        <f ca="1">IFERROR(__xludf.DUMMYFUNCTION("""COMPUTED_VALUE"""),6)</f>
        <v>6</v>
      </c>
      <c r="O123" s="1">
        <f ca="1">IFERROR(__xludf.DUMMYFUNCTION("""COMPUTED_VALUE"""),4)</f>
        <v>4</v>
      </c>
      <c r="P123" s="1">
        <f ca="1">IFERROR(__xludf.DUMMYFUNCTION("""COMPUTED_VALUE"""),2)</f>
        <v>2</v>
      </c>
      <c r="Q123" s="1">
        <f ca="1">IFERROR(__xludf.DUMMYFUNCTION("""COMPUTED_VALUE"""),2)</f>
        <v>2</v>
      </c>
      <c r="R123" s="1">
        <f ca="1">IFERROR(__xludf.DUMMYFUNCTION("""COMPUTED_VALUE"""),2)</f>
        <v>2</v>
      </c>
      <c r="S123" s="1">
        <f ca="1">IFERROR(__xludf.DUMMYFUNCTION("""COMPUTED_VALUE"""),0)</f>
        <v>0</v>
      </c>
      <c r="T123" s="1">
        <f ca="1">IFERROR(__xludf.DUMMYFUNCTION("""COMPUTED_VALUE"""),44305.4507638888)</f>
        <v>44305.450763888803</v>
      </c>
      <c r="U123" s="1" t="str">
        <f ca="1">IFERROR(__xludf.DUMMYFUNCTION("""COMPUTED_VALUE"""),"19.4.2021")</f>
        <v>19.4.2021</v>
      </c>
    </row>
    <row r="124" spans="1:21" ht="13" x14ac:dyDescent="0.15">
      <c r="A124" s="1" t="str">
        <f t="shared" ca="1" si="0"/>
        <v>KancheepuramSri Muthukumaran Medical College</v>
      </c>
      <c r="B124" s="1">
        <f ca="1">IFERROR(__xludf.DUMMYFUNCTION("""COMPUTED_VALUE"""),123)</f>
        <v>123</v>
      </c>
      <c r="C124" s="1" t="str">
        <f ca="1">IFERROR(__xludf.DUMMYFUNCTION("""COMPUTED_VALUE"""),"Kancheepuram")</f>
        <v>Kancheepuram</v>
      </c>
      <c r="D124" s="1" t="str">
        <f ca="1">IFERROR(__xludf.DUMMYFUNCTION("""COMPUTED_VALUE"""),"Sri Muthukumaran Medical College")</f>
        <v>Sri Muthukumaran Medical College</v>
      </c>
      <c r="E124" s="1">
        <f ca="1">IFERROR(__xludf.DUMMYFUNCTION("""COMPUTED_VALUE"""),380)</f>
        <v>380</v>
      </c>
      <c r="F124" s="1">
        <f ca="1">IFERROR(__xludf.DUMMYFUNCTION("""COMPUTED_VALUE"""),6)</f>
        <v>6</v>
      </c>
      <c r="G124" s="1">
        <f ca="1">IFERROR(__xludf.DUMMYFUNCTION("""COMPUTED_VALUE"""),374)</f>
        <v>374</v>
      </c>
      <c r="H124" s="1">
        <f ca="1">IFERROR(__xludf.DUMMYFUNCTION("""COMPUTED_VALUE"""),50)</f>
        <v>50</v>
      </c>
      <c r="I124" s="1">
        <f ca="1">IFERROR(__xludf.DUMMYFUNCTION("""COMPUTED_VALUE"""),2)</f>
        <v>2</v>
      </c>
      <c r="J124" s="1">
        <f ca="1">IFERROR(__xludf.DUMMYFUNCTION("""COMPUTED_VALUE"""),48)</f>
        <v>48</v>
      </c>
      <c r="K124" s="1">
        <f ca="1">IFERROR(__xludf.DUMMYFUNCTION("""COMPUTED_VALUE"""),314)</f>
        <v>314</v>
      </c>
      <c r="L124" s="1">
        <f ca="1">IFERROR(__xludf.DUMMYFUNCTION("""COMPUTED_VALUE"""),4)</f>
        <v>4</v>
      </c>
      <c r="M124" s="1">
        <f ca="1">IFERROR(__xludf.DUMMYFUNCTION("""COMPUTED_VALUE"""),310)</f>
        <v>310</v>
      </c>
      <c r="N124" s="1">
        <f ca="1">IFERROR(__xludf.DUMMYFUNCTION("""COMPUTED_VALUE"""),16)</f>
        <v>16</v>
      </c>
      <c r="O124" s="1">
        <f ca="1">IFERROR(__xludf.DUMMYFUNCTION("""COMPUTED_VALUE"""),0)</f>
        <v>0</v>
      </c>
      <c r="P124" s="1">
        <f ca="1">IFERROR(__xludf.DUMMYFUNCTION("""COMPUTED_VALUE"""),16)</f>
        <v>16</v>
      </c>
      <c r="Q124" s="1">
        <f ca="1">IFERROR(__xludf.DUMMYFUNCTION("""COMPUTED_VALUE"""),6)</f>
        <v>6</v>
      </c>
      <c r="R124" s="1">
        <f ca="1">IFERROR(__xludf.DUMMYFUNCTION("""COMPUTED_VALUE"""),0)</f>
        <v>0</v>
      </c>
      <c r="S124" s="1">
        <f ca="1">IFERROR(__xludf.DUMMYFUNCTION("""COMPUTED_VALUE"""),6)</f>
        <v>6</v>
      </c>
      <c r="T124" s="1">
        <f ca="1">IFERROR(__xludf.DUMMYFUNCTION("""COMPUTED_VALUE"""),44305.3890972222)</f>
        <v>44305.3890972222</v>
      </c>
      <c r="U124" s="1" t="str">
        <f ca="1">IFERROR(__xludf.DUMMYFUNCTION("""COMPUTED_VALUE"""),"19.04.2021")</f>
        <v>19.04.2021</v>
      </c>
    </row>
    <row r="125" spans="1:21" ht="13" x14ac:dyDescent="0.15">
      <c r="A125" s="1" t="str">
        <f t="shared" ca="1" si="0"/>
        <v>KancheepuramApollo Medical Centre Karapakkam</v>
      </c>
      <c r="B125" s="1">
        <f ca="1">IFERROR(__xludf.DUMMYFUNCTION("""COMPUTED_VALUE"""),124)</f>
        <v>124</v>
      </c>
      <c r="C125" s="1" t="str">
        <f ca="1">IFERROR(__xludf.DUMMYFUNCTION("""COMPUTED_VALUE"""),"Kancheepuram")</f>
        <v>Kancheepuram</v>
      </c>
      <c r="D125" s="1" t="str">
        <f ca="1">IFERROR(__xludf.DUMMYFUNCTION("""COMPUTED_VALUE"""),"Apollo Medical Centre Karapakkam")</f>
        <v>Apollo Medical Centre Karapakkam</v>
      </c>
      <c r="E125" s="1">
        <f ca="1">IFERROR(__xludf.DUMMYFUNCTION("""COMPUTED_VALUE"""),0)</f>
        <v>0</v>
      </c>
      <c r="F125" s="1">
        <f ca="1">IFERROR(__xludf.DUMMYFUNCTION("""COMPUTED_VALUE"""),0)</f>
        <v>0</v>
      </c>
      <c r="G125" s="1">
        <f ca="1">IFERROR(__xludf.DUMMYFUNCTION("""COMPUTED_VALUE"""),0)</f>
        <v>0</v>
      </c>
      <c r="H125" s="1">
        <f ca="1">IFERROR(__xludf.DUMMYFUNCTION("""COMPUTED_VALUE"""),0)</f>
        <v>0</v>
      </c>
      <c r="I125" s="1">
        <f ca="1">IFERROR(__xludf.DUMMYFUNCTION("""COMPUTED_VALUE"""),0)</f>
        <v>0</v>
      </c>
      <c r="J125" s="1">
        <f ca="1">IFERROR(__xludf.DUMMYFUNCTION("""COMPUTED_VALUE"""),0)</f>
        <v>0</v>
      </c>
      <c r="K125" s="1">
        <f ca="1">IFERROR(__xludf.DUMMYFUNCTION("""COMPUTED_VALUE"""),0)</f>
        <v>0</v>
      </c>
      <c r="L125" s="1">
        <f ca="1">IFERROR(__xludf.DUMMYFUNCTION("""COMPUTED_VALUE"""),0)</f>
        <v>0</v>
      </c>
      <c r="M125" s="1">
        <f ca="1">IFERROR(__xludf.DUMMYFUNCTION("""COMPUTED_VALUE"""),0)</f>
        <v>0</v>
      </c>
      <c r="N125" s="1">
        <f ca="1">IFERROR(__xludf.DUMMYFUNCTION("""COMPUTED_VALUE"""),0)</f>
        <v>0</v>
      </c>
      <c r="O125" s="1">
        <f ca="1">IFERROR(__xludf.DUMMYFUNCTION("""COMPUTED_VALUE"""),0)</f>
        <v>0</v>
      </c>
      <c r="P125" s="1">
        <f ca="1">IFERROR(__xludf.DUMMYFUNCTION("""COMPUTED_VALUE"""),0)</f>
        <v>0</v>
      </c>
      <c r="Q125" s="1">
        <f ca="1">IFERROR(__xludf.DUMMYFUNCTION("""COMPUTED_VALUE"""),0)</f>
        <v>0</v>
      </c>
      <c r="R125" s="1">
        <f ca="1">IFERROR(__xludf.DUMMYFUNCTION("""COMPUTED_VALUE"""),0)</f>
        <v>0</v>
      </c>
      <c r="S125" s="1">
        <f ca="1">IFERROR(__xludf.DUMMYFUNCTION("""COMPUTED_VALUE"""),0)</f>
        <v>0</v>
      </c>
      <c r="T125" s="1">
        <f ca="1">IFERROR(__xludf.DUMMYFUNCTION("""COMPUTED_VALUE"""),44305.3852430555)</f>
        <v>44305.385243055498</v>
      </c>
      <c r="U125" s="1" t="str">
        <f ca="1">IFERROR(__xludf.DUMMYFUNCTION("""COMPUTED_VALUE"""),"Updated 19.04.2021")</f>
        <v>Updated 19.04.2021</v>
      </c>
    </row>
    <row r="126" spans="1:21" ht="13" x14ac:dyDescent="0.15">
      <c r="A126" s="1" t="str">
        <f t="shared" ca="1" si="0"/>
        <v>KanyakumariBensam Hospital</v>
      </c>
      <c r="B126" s="1">
        <f ca="1">IFERROR(__xludf.DUMMYFUNCTION("""COMPUTED_VALUE"""),125)</f>
        <v>125</v>
      </c>
      <c r="C126" s="1" t="str">
        <f ca="1">IFERROR(__xludf.DUMMYFUNCTION("""COMPUTED_VALUE"""),"Kanyakumari")</f>
        <v>Kanyakumari</v>
      </c>
      <c r="D126" s="1" t="str">
        <f ca="1">IFERROR(__xludf.DUMMYFUNCTION("""COMPUTED_VALUE"""),"Bensam Hospital")</f>
        <v>Bensam Hospital</v>
      </c>
      <c r="E126" s="1">
        <f ca="1">IFERROR(__xludf.DUMMYFUNCTION("""COMPUTED_VALUE"""),65)</f>
        <v>65</v>
      </c>
      <c r="F126" s="1">
        <f ca="1">IFERROR(__xludf.DUMMYFUNCTION("""COMPUTED_VALUE"""),28)</f>
        <v>28</v>
      </c>
      <c r="G126" s="1">
        <f ca="1">IFERROR(__xludf.DUMMYFUNCTION("""COMPUTED_VALUE"""),24)</f>
        <v>24</v>
      </c>
      <c r="H126" s="1">
        <f ca="1">IFERROR(__xludf.DUMMYFUNCTION("""COMPUTED_VALUE"""),48)</f>
        <v>48</v>
      </c>
      <c r="I126" s="1">
        <f ca="1">IFERROR(__xludf.DUMMYFUNCTION("""COMPUTED_VALUE"""),4)</f>
        <v>4</v>
      </c>
      <c r="J126" s="1">
        <f ca="1">IFERROR(__xludf.DUMMYFUNCTION("""COMPUTED_VALUE"""),44)</f>
        <v>44</v>
      </c>
      <c r="K126" s="1">
        <f ca="1">IFERROR(__xludf.DUMMYFUNCTION("""COMPUTED_VALUE"""),16)</f>
        <v>16</v>
      </c>
      <c r="L126" s="1">
        <f ca="1">IFERROR(__xludf.DUMMYFUNCTION("""COMPUTED_VALUE"""),24)</f>
        <v>24</v>
      </c>
      <c r="M126" s="1">
        <f ca="1">IFERROR(__xludf.DUMMYFUNCTION("""COMPUTED_VALUE"""),0)</f>
        <v>0</v>
      </c>
      <c r="N126" s="1">
        <f ca="1">IFERROR(__xludf.DUMMYFUNCTION("""COMPUTED_VALUE"""),1)</f>
        <v>1</v>
      </c>
      <c r="O126" s="1">
        <f ca="1">IFERROR(__xludf.DUMMYFUNCTION("""COMPUTED_VALUE"""),0)</f>
        <v>0</v>
      </c>
      <c r="P126" s="1">
        <f ca="1">IFERROR(__xludf.DUMMYFUNCTION("""COMPUTED_VALUE"""),1)</f>
        <v>1</v>
      </c>
      <c r="Q126" s="1">
        <f ca="1">IFERROR(__xludf.DUMMYFUNCTION("""COMPUTED_VALUE"""),1)</f>
        <v>1</v>
      </c>
      <c r="R126" s="1">
        <f ca="1">IFERROR(__xludf.DUMMYFUNCTION("""COMPUTED_VALUE"""),0)</f>
        <v>0</v>
      </c>
      <c r="S126" s="1">
        <f ca="1">IFERROR(__xludf.DUMMYFUNCTION("""COMPUTED_VALUE"""),1)</f>
        <v>1</v>
      </c>
      <c r="T126" s="1">
        <f ca="1">IFERROR(__xludf.DUMMYFUNCTION("""COMPUTED_VALUE"""),44305.4876041666)</f>
        <v>44305.487604166599</v>
      </c>
      <c r="U126" s="1"/>
    </row>
    <row r="127" spans="1:21" ht="13" x14ac:dyDescent="0.15">
      <c r="A127" s="1" t="str">
        <f t="shared" ca="1" si="0"/>
        <v>KanyakumariC.S.I.MISSION HOSPITAL</v>
      </c>
      <c r="B127" s="1">
        <f ca="1">IFERROR(__xludf.DUMMYFUNCTION("""COMPUTED_VALUE"""),126)</f>
        <v>126</v>
      </c>
      <c r="C127" s="1" t="str">
        <f ca="1">IFERROR(__xludf.DUMMYFUNCTION("""COMPUTED_VALUE"""),"Kanyakumari")</f>
        <v>Kanyakumari</v>
      </c>
      <c r="D127" s="1" t="str">
        <f ca="1">IFERROR(__xludf.DUMMYFUNCTION("""COMPUTED_VALUE"""),"C.S.I.MISSION HOSPITAL")</f>
        <v>C.S.I.MISSION HOSPITAL</v>
      </c>
      <c r="E127" s="1">
        <f ca="1">IFERROR(__xludf.DUMMYFUNCTION("""COMPUTED_VALUE"""),108)</f>
        <v>108</v>
      </c>
      <c r="F127" s="1">
        <f ca="1">IFERROR(__xludf.DUMMYFUNCTION("""COMPUTED_VALUE"""),8)</f>
        <v>8</v>
      </c>
      <c r="G127" s="1">
        <f ca="1">IFERROR(__xludf.DUMMYFUNCTION("""COMPUTED_VALUE"""),100)</f>
        <v>100</v>
      </c>
      <c r="H127" s="1">
        <f ca="1">IFERROR(__xludf.DUMMYFUNCTION("""COMPUTED_VALUE"""),25)</f>
        <v>25</v>
      </c>
      <c r="I127" s="1">
        <f ca="1">IFERROR(__xludf.DUMMYFUNCTION("""COMPUTED_VALUE"""),0)</f>
        <v>0</v>
      </c>
      <c r="J127" s="1">
        <f ca="1">IFERROR(__xludf.DUMMYFUNCTION("""COMPUTED_VALUE"""),25)</f>
        <v>25</v>
      </c>
      <c r="K127" s="1">
        <f ca="1">IFERROR(__xludf.DUMMYFUNCTION("""COMPUTED_VALUE"""),75)</f>
        <v>75</v>
      </c>
      <c r="L127" s="1">
        <f ca="1">IFERROR(__xludf.DUMMYFUNCTION("""COMPUTED_VALUE"""),8)</f>
        <v>8</v>
      </c>
      <c r="M127" s="1">
        <f ca="1">IFERROR(__xludf.DUMMYFUNCTION("""COMPUTED_VALUE"""),67)</f>
        <v>67</v>
      </c>
      <c r="N127" s="1">
        <f ca="1">IFERROR(__xludf.DUMMYFUNCTION("""COMPUTED_VALUE"""),8)</f>
        <v>8</v>
      </c>
      <c r="O127" s="1">
        <f ca="1">IFERROR(__xludf.DUMMYFUNCTION("""COMPUTED_VALUE"""),0)</f>
        <v>0</v>
      </c>
      <c r="P127" s="1">
        <f ca="1">IFERROR(__xludf.DUMMYFUNCTION("""COMPUTED_VALUE"""),8)</f>
        <v>8</v>
      </c>
      <c r="Q127" s="1">
        <f ca="1">IFERROR(__xludf.DUMMYFUNCTION("""COMPUTED_VALUE"""),5)</f>
        <v>5</v>
      </c>
      <c r="R127" s="1">
        <f ca="1">IFERROR(__xludf.DUMMYFUNCTION("""COMPUTED_VALUE"""),0)</f>
        <v>0</v>
      </c>
      <c r="S127" s="1">
        <f ca="1">IFERROR(__xludf.DUMMYFUNCTION("""COMPUTED_VALUE"""),5)</f>
        <v>5</v>
      </c>
      <c r="T127" s="1">
        <f ca="1">IFERROR(__xludf.DUMMYFUNCTION("""COMPUTED_VALUE"""),44305.3170486111)</f>
        <v>44305.317048611098</v>
      </c>
      <c r="U127" s="1"/>
    </row>
    <row r="128" spans="1:21" ht="13" x14ac:dyDescent="0.15">
      <c r="A128" s="1" t="str">
        <f t="shared" ca="1" si="0"/>
        <v>KanyakumariDr. Jayasekaran Medical Trust Hospital</v>
      </c>
      <c r="B128" s="1">
        <f ca="1">IFERROR(__xludf.DUMMYFUNCTION("""COMPUTED_VALUE"""),127)</f>
        <v>127</v>
      </c>
      <c r="C128" s="1" t="str">
        <f ca="1">IFERROR(__xludf.DUMMYFUNCTION("""COMPUTED_VALUE"""),"Kanyakumari")</f>
        <v>Kanyakumari</v>
      </c>
      <c r="D128" s="1" t="str">
        <f ca="1">IFERROR(__xludf.DUMMYFUNCTION("""COMPUTED_VALUE"""),"Dr. Jayasekaran Medical Trust Hospital")</f>
        <v>Dr. Jayasekaran Medical Trust Hospital</v>
      </c>
      <c r="E128" s="1">
        <f ca="1">IFERROR(__xludf.DUMMYFUNCTION("""COMPUTED_VALUE"""),100)</f>
        <v>100</v>
      </c>
      <c r="F128" s="1">
        <f ca="1">IFERROR(__xludf.DUMMYFUNCTION("""COMPUTED_VALUE"""),100)</f>
        <v>100</v>
      </c>
      <c r="G128" s="1">
        <f ca="1">IFERROR(__xludf.DUMMYFUNCTION("""COMPUTED_VALUE"""),0)</f>
        <v>0</v>
      </c>
      <c r="H128" s="1">
        <f ca="1">IFERROR(__xludf.DUMMYFUNCTION("""COMPUTED_VALUE"""),34)</f>
        <v>34</v>
      </c>
      <c r="I128" s="1">
        <f ca="1">IFERROR(__xludf.DUMMYFUNCTION("""COMPUTED_VALUE"""),34)</f>
        <v>34</v>
      </c>
      <c r="J128" s="1">
        <f ca="1">IFERROR(__xludf.DUMMYFUNCTION("""COMPUTED_VALUE"""),0)</f>
        <v>0</v>
      </c>
      <c r="K128" s="1">
        <f ca="1">IFERROR(__xludf.DUMMYFUNCTION("""COMPUTED_VALUE"""),55)</f>
        <v>55</v>
      </c>
      <c r="L128" s="1">
        <f ca="1">IFERROR(__xludf.DUMMYFUNCTION("""COMPUTED_VALUE"""),55)</f>
        <v>55</v>
      </c>
      <c r="M128" s="1">
        <f ca="1">IFERROR(__xludf.DUMMYFUNCTION("""COMPUTED_VALUE"""),0)</f>
        <v>0</v>
      </c>
      <c r="N128" s="1">
        <f ca="1">IFERROR(__xludf.DUMMYFUNCTION("""COMPUTED_VALUE"""),11)</f>
        <v>11</v>
      </c>
      <c r="O128" s="1">
        <f ca="1">IFERROR(__xludf.DUMMYFUNCTION("""COMPUTED_VALUE"""),11)</f>
        <v>11</v>
      </c>
      <c r="P128" s="1">
        <f ca="1">IFERROR(__xludf.DUMMYFUNCTION("""COMPUTED_VALUE"""),0)</f>
        <v>0</v>
      </c>
      <c r="Q128" s="1">
        <f ca="1">IFERROR(__xludf.DUMMYFUNCTION("""COMPUTED_VALUE"""),4)</f>
        <v>4</v>
      </c>
      <c r="R128" s="1">
        <f ca="1">IFERROR(__xludf.DUMMYFUNCTION("""COMPUTED_VALUE"""),2)</f>
        <v>2</v>
      </c>
      <c r="S128" s="1">
        <f ca="1">IFERROR(__xludf.DUMMYFUNCTION("""COMPUTED_VALUE"""),2)</f>
        <v>2</v>
      </c>
      <c r="T128" s="1">
        <f ca="1">IFERROR(__xludf.DUMMYFUNCTION("""COMPUTED_VALUE"""),44305.4219675925)</f>
        <v>44305.421967592498</v>
      </c>
      <c r="U128" s="1"/>
    </row>
    <row r="129" spans="1:21" ht="13" x14ac:dyDescent="0.15">
      <c r="A129" s="1" t="str">
        <f t="shared" ca="1" si="0"/>
        <v>KanyakumariSree Mookambika Institute of Medical Sciences</v>
      </c>
      <c r="B129" s="1">
        <f ca="1">IFERROR(__xludf.DUMMYFUNCTION("""COMPUTED_VALUE"""),128)</f>
        <v>128</v>
      </c>
      <c r="C129" s="1" t="str">
        <f ca="1">IFERROR(__xludf.DUMMYFUNCTION("""COMPUTED_VALUE"""),"Kanyakumari")</f>
        <v>Kanyakumari</v>
      </c>
      <c r="D129" s="1" t="str">
        <f ca="1">IFERROR(__xludf.DUMMYFUNCTION("""COMPUTED_VALUE"""),"Sree Mookambika Institute of Medical Sciences")</f>
        <v>Sree Mookambika Institute of Medical Sciences</v>
      </c>
      <c r="E129" s="1">
        <f ca="1">IFERROR(__xludf.DUMMYFUNCTION("""COMPUTED_VALUE"""),180)</f>
        <v>180</v>
      </c>
      <c r="F129" s="1">
        <f ca="1">IFERROR(__xludf.DUMMYFUNCTION("""COMPUTED_VALUE"""),0)</f>
        <v>0</v>
      </c>
      <c r="G129" s="1">
        <f ca="1">IFERROR(__xludf.DUMMYFUNCTION("""COMPUTED_VALUE"""),180)</f>
        <v>180</v>
      </c>
      <c r="H129" s="1">
        <f ca="1">IFERROR(__xludf.DUMMYFUNCTION("""COMPUTED_VALUE"""),75)</f>
        <v>75</v>
      </c>
      <c r="I129" s="1">
        <f ca="1">IFERROR(__xludf.DUMMYFUNCTION("""COMPUTED_VALUE"""),0)</f>
        <v>0</v>
      </c>
      <c r="J129" s="1">
        <f ca="1">IFERROR(__xludf.DUMMYFUNCTION("""COMPUTED_VALUE"""),75)</f>
        <v>75</v>
      </c>
      <c r="K129" s="1">
        <f ca="1">IFERROR(__xludf.DUMMYFUNCTION("""COMPUTED_VALUE"""),95)</f>
        <v>95</v>
      </c>
      <c r="L129" s="1">
        <f ca="1">IFERROR(__xludf.DUMMYFUNCTION("""COMPUTED_VALUE"""),0)</f>
        <v>0</v>
      </c>
      <c r="M129" s="1">
        <f ca="1">IFERROR(__xludf.DUMMYFUNCTION("""COMPUTED_VALUE"""),95)</f>
        <v>95</v>
      </c>
      <c r="N129" s="1">
        <f ca="1">IFERROR(__xludf.DUMMYFUNCTION("""COMPUTED_VALUE"""),10)</f>
        <v>10</v>
      </c>
      <c r="O129" s="1">
        <f ca="1">IFERROR(__xludf.DUMMYFUNCTION("""COMPUTED_VALUE"""),0)</f>
        <v>0</v>
      </c>
      <c r="P129" s="1">
        <f ca="1">IFERROR(__xludf.DUMMYFUNCTION("""COMPUTED_VALUE"""),10)</f>
        <v>10</v>
      </c>
      <c r="Q129" s="1">
        <f ca="1">IFERROR(__xludf.DUMMYFUNCTION("""COMPUTED_VALUE"""),10)</f>
        <v>10</v>
      </c>
      <c r="R129" s="1">
        <f ca="1">IFERROR(__xludf.DUMMYFUNCTION("""COMPUTED_VALUE"""),0)</f>
        <v>0</v>
      </c>
      <c r="S129" s="1">
        <f ca="1">IFERROR(__xludf.DUMMYFUNCTION("""COMPUTED_VALUE"""),10)</f>
        <v>10</v>
      </c>
      <c r="T129" s="1">
        <f ca="1">IFERROR(__xludf.DUMMYFUNCTION("""COMPUTED_VALUE"""),44305.3161689814)</f>
        <v>44305.316168981401</v>
      </c>
      <c r="U129" s="1" t="str">
        <f ca="1">IFERROR(__xludf.DUMMYFUNCTION("""COMPUTED_VALUE"""),".")</f>
        <v>.</v>
      </c>
    </row>
    <row r="130" spans="1:21" ht="13" x14ac:dyDescent="0.15">
      <c r="A130" s="1" t="str">
        <f t="shared" ca="1" si="0"/>
        <v>KanyakumariVasantham Health Centre</v>
      </c>
      <c r="B130" s="1">
        <f ca="1">IFERROR(__xludf.DUMMYFUNCTION("""COMPUTED_VALUE"""),129)</f>
        <v>129</v>
      </c>
      <c r="C130" s="1" t="str">
        <f ca="1">IFERROR(__xludf.DUMMYFUNCTION("""COMPUTED_VALUE"""),"Kanyakumari")</f>
        <v>Kanyakumari</v>
      </c>
      <c r="D130" s="1" t="str">
        <f ca="1">IFERROR(__xludf.DUMMYFUNCTION("""COMPUTED_VALUE"""),"Vasantham Health Centre")</f>
        <v>Vasantham Health Centre</v>
      </c>
      <c r="E130" s="1">
        <f ca="1">IFERROR(__xludf.DUMMYFUNCTION("""COMPUTED_VALUE"""),80)</f>
        <v>80</v>
      </c>
      <c r="F130" s="1">
        <f ca="1">IFERROR(__xludf.DUMMYFUNCTION("""COMPUTED_VALUE"""),47)</f>
        <v>47</v>
      </c>
      <c r="G130" s="1">
        <f ca="1">IFERROR(__xludf.DUMMYFUNCTION("""COMPUTED_VALUE"""),33)</f>
        <v>33</v>
      </c>
      <c r="H130" s="1">
        <f ca="1">IFERROR(__xludf.DUMMYFUNCTION("""COMPUTED_VALUE"""),40)</f>
        <v>40</v>
      </c>
      <c r="I130" s="1">
        <f ca="1">IFERROR(__xludf.DUMMYFUNCTION("""COMPUTED_VALUE"""),9)</f>
        <v>9</v>
      </c>
      <c r="J130" s="1">
        <f ca="1">IFERROR(__xludf.DUMMYFUNCTION("""COMPUTED_VALUE"""),31)</f>
        <v>31</v>
      </c>
      <c r="K130" s="1">
        <f ca="1">IFERROR(__xludf.DUMMYFUNCTION("""COMPUTED_VALUE"""),33)</f>
        <v>33</v>
      </c>
      <c r="L130" s="1">
        <f ca="1">IFERROR(__xludf.DUMMYFUNCTION("""COMPUTED_VALUE"""),1)</f>
        <v>1</v>
      </c>
      <c r="M130" s="1">
        <f ca="1">IFERROR(__xludf.DUMMYFUNCTION("""COMPUTED_VALUE"""),26)</f>
        <v>26</v>
      </c>
      <c r="N130" s="1">
        <f ca="1">IFERROR(__xludf.DUMMYFUNCTION("""COMPUTED_VALUE"""),7)</f>
        <v>7</v>
      </c>
      <c r="O130" s="1">
        <f ca="1">IFERROR(__xludf.DUMMYFUNCTION("""COMPUTED_VALUE"""),2)</f>
        <v>2</v>
      </c>
      <c r="P130" s="1">
        <f ca="1">IFERROR(__xludf.DUMMYFUNCTION("""COMPUTED_VALUE"""),8)</f>
        <v>8</v>
      </c>
      <c r="Q130" s="1">
        <f ca="1">IFERROR(__xludf.DUMMYFUNCTION("""COMPUTED_VALUE"""),6)</f>
        <v>6</v>
      </c>
      <c r="R130" s="1">
        <f ca="1">IFERROR(__xludf.DUMMYFUNCTION("""COMPUTED_VALUE"""),2)</f>
        <v>2</v>
      </c>
      <c r="S130" s="1">
        <f ca="1">IFERROR(__xludf.DUMMYFUNCTION("""COMPUTED_VALUE"""),4)</f>
        <v>4</v>
      </c>
      <c r="T130" s="1">
        <f ca="1">IFERROR(__xludf.DUMMYFUNCTION("""COMPUTED_VALUE"""),44305.4369791666)</f>
        <v>44305.436979166603</v>
      </c>
      <c r="U130" s="1"/>
    </row>
    <row r="131" spans="1:21" ht="13" x14ac:dyDescent="0.15">
      <c r="A131" s="1" t="str">
        <f t="shared" ca="1" si="0"/>
        <v>KarurAmaravathi Hospital</v>
      </c>
      <c r="B131" s="1">
        <f ca="1">IFERROR(__xludf.DUMMYFUNCTION("""COMPUTED_VALUE"""),130)</f>
        <v>130</v>
      </c>
      <c r="C131" s="1" t="str">
        <f ca="1">IFERROR(__xludf.DUMMYFUNCTION("""COMPUTED_VALUE"""),"Karur")</f>
        <v>Karur</v>
      </c>
      <c r="D131" s="1" t="str">
        <f ca="1">IFERROR(__xludf.DUMMYFUNCTION("""COMPUTED_VALUE"""),"Amaravathi Hospital")</f>
        <v>Amaravathi Hospital</v>
      </c>
      <c r="E131" s="1">
        <f ca="1">IFERROR(__xludf.DUMMYFUNCTION("""COMPUTED_VALUE"""),19)</f>
        <v>19</v>
      </c>
      <c r="F131" s="1">
        <f ca="1">IFERROR(__xludf.DUMMYFUNCTION("""COMPUTED_VALUE"""),19)</f>
        <v>19</v>
      </c>
      <c r="G131" s="1">
        <f ca="1">IFERROR(__xludf.DUMMYFUNCTION("""COMPUTED_VALUE"""),0)</f>
        <v>0</v>
      </c>
      <c r="H131" s="1">
        <f ca="1">IFERROR(__xludf.DUMMYFUNCTION("""COMPUTED_VALUE"""),4)</f>
        <v>4</v>
      </c>
      <c r="I131" s="1">
        <f ca="1">IFERROR(__xludf.DUMMYFUNCTION("""COMPUTED_VALUE"""),0)</f>
        <v>0</v>
      </c>
      <c r="J131" s="1">
        <f ca="1">IFERROR(__xludf.DUMMYFUNCTION("""COMPUTED_VALUE"""),4)</f>
        <v>4</v>
      </c>
      <c r="K131" s="1">
        <f ca="1">IFERROR(__xludf.DUMMYFUNCTION("""COMPUTED_VALUE"""),4)</f>
        <v>4</v>
      </c>
      <c r="L131" s="1">
        <f ca="1">IFERROR(__xludf.DUMMYFUNCTION("""COMPUTED_VALUE"""),0)</f>
        <v>0</v>
      </c>
      <c r="M131" s="1">
        <f ca="1">IFERROR(__xludf.DUMMYFUNCTION("""COMPUTED_VALUE"""),0)</f>
        <v>0</v>
      </c>
      <c r="N131" s="1">
        <f ca="1">IFERROR(__xludf.DUMMYFUNCTION("""COMPUTED_VALUE"""),12)</f>
        <v>12</v>
      </c>
      <c r="O131" s="1">
        <f ca="1">IFERROR(__xludf.DUMMYFUNCTION("""COMPUTED_VALUE"""),6)</f>
        <v>6</v>
      </c>
      <c r="P131" s="1">
        <f ca="1">IFERROR(__xludf.DUMMYFUNCTION("""COMPUTED_VALUE"""),12)</f>
        <v>12</v>
      </c>
      <c r="Q131" s="1">
        <f ca="1">IFERROR(__xludf.DUMMYFUNCTION("""COMPUTED_VALUE"""),2)</f>
        <v>2</v>
      </c>
      <c r="R131" s="1">
        <f ca="1">IFERROR(__xludf.DUMMYFUNCTION("""COMPUTED_VALUE"""),0)</f>
        <v>0</v>
      </c>
      <c r="S131" s="1">
        <f ca="1">IFERROR(__xludf.DUMMYFUNCTION("""COMPUTED_VALUE"""),2)</f>
        <v>2</v>
      </c>
      <c r="T131" s="1">
        <f ca="1">IFERROR(__xludf.DUMMYFUNCTION("""COMPUTED_VALUE"""),44305.3100462963)</f>
        <v>44305.310046296298</v>
      </c>
      <c r="U131" s="1" t="str">
        <f ca="1">IFERROR(__xludf.DUMMYFUNCTION("""COMPUTED_VALUE"""),"19.04.2021")</f>
        <v>19.04.2021</v>
      </c>
    </row>
    <row r="132" spans="1:21" ht="13" x14ac:dyDescent="0.15">
      <c r="A132" s="1" t="str">
        <f t="shared" ca="1" si="0"/>
        <v>KarurApollo Logo Hospital,Karur</v>
      </c>
      <c r="B132" s="1">
        <f ca="1">IFERROR(__xludf.DUMMYFUNCTION("""COMPUTED_VALUE"""),131)</f>
        <v>131</v>
      </c>
      <c r="C132" s="1" t="str">
        <f ca="1">IFERROR(__xludf.DUMMYFUNCTION("""COMPUTED_VALUE"""),"Karur")</f>
        <v>Karur</v>
      </c>
      <c r="D132" s="1" t="str">
        <f ca="1">IFERROR(__xludf.DUMMYFUNCTION("""COMPUTED_VALUE"""),"Apollo Logo Hospital,Karur")</f>
        <v>Apollo Logo Hospital,Karur</v>
      </c>
      <c r="E132" s="1">
        <f ca="1">IFERROR(__xludf.DUMMYFUNCTION("""COMPUTED_VALUE"""),19)</f>
        <v>19</v>
      </c>
      <c r="F132" s="1">
        <f ca="1">IFERROR(__xludf.DUMMYFUNCTION("""COMPUTED_VALUE"""),19)</f>
        <v>19</v>
      </c>
      <c r="G132" s="1">
        <f ca="1">IFERROR(__xludf.DUMMYFUNCTION("""COMPUTED_VALUE"""),0)</f>
        <v>0</v>
      </c>
      <c r="H132" s="1">
        <f ca="1">IFERROR(__xludf.DUMMYFUNCTION("""COMPUTED_VALUE"""),19)</f>
        <v>19</v>
      </c>
      <c r="I132" s="1">
        <f ca="1">IFERROR(__xludf.DUMMYFUNCTION("""COMPUTED_VALUE"""),19)</f>
        <v>19</v>
      </c>
      <c r="J132" s="1">
        <f ca="1">IFERROR(__xludf.DUMMYFUNCTION("""COMPUTED_VALUE"""),0)</f>
        <v>0</v>
      </c>
      <c r="K132" s="1">
        <f ca="1">IFERROR(__xludf.DUMMYFUNCTION("""COMPUTED_VALUE"""),0)</f>
        <v>0</v>
      </c>
      <c r="L132" s="1">
        <f ca="1">IFERROR(__xludf.DUMMYFUNCTION("""COMPUTED_VALUE"""),0)</f>
        <v>0</v>
      </c>
      <c r="M132" s="1">
        <f ca="1">IFERROR(__xludf.DUMMYFUNCTION("""COMPUTED_VALUE"""),0)</f>
        <v>0</v>
      </c>
      <c r="N132" s="1">
        <f ca="1">IFERROR(__xludf.DUMMYFUNCTION("""COMPUTED_VALUE"""),2)</f>
        <v>2</v>
      </c>
      <c r="O132" s="1">
        <f ca="1">IFERROR(__xludf.DUMMYFUNCTION("""COMPUTED_VALUE"""),1)</f>
        <v>1</v>
      </c>
      <c r="P132" s="1">
        <f ca="1">IFERROR(__xludf.DUMMYFUNCTION("""COMPUTED_VALUE"""),1)</f>
        <v>1</v>
      </c>
      <c r="Q132" s="1">
        <f ca="1">IFERROR(__xludf.DUMMYFUNCTION("""COMPUTED_VALUE"""),2)</f>
        <v>2</v>
      </c>
      <c r="R132" s="1">
        <f ca="1">IFERROR(__xludf.DUMMYFUNCTION("""COMPUTED_VALUE"""),0)</f>
        <v>0</v>
      </c>
      <c r="S132" s="1">
        <f ca="1">IFERROR(__xludf.DUMMYFUNCTION("""COMPUTED_VALUE"""),2)</f>
        <v>2</v>
      </c>
      <c r="T132" s="1">
        <f ca="1">IFERROR(__xludf.DUMMYFUNCTION("""COMPUTED_VALUE"""),44305.3066550925)</f>
        <v>44305.3066550925</v>
      </c>
      <c r="U132" s="1" t="str">
        <f ca="1">IFERROR(__xludf.DUMMYFUNCTION("""COMPUTED_VALUE"""),"19.04.2021")</f>
        <v>19.04.2021</v>
      </c>
    </row>
    <row r="133" spans="1:21" ht="13" x14ac:dyDescent="0.15">
      <c r="A133" s="1" t="str">
        <f t="shared" ca="1" si="0"/>
        <v>KrishnagiriChandrasekara Hospital</v>
      </c>
      <c r="B133" s="1">
        <f ca="1">IFERROR(__xludf.DUMMYFUNCTION("""COMPUTED_VALUE"""),132)</f>
        <v>132</v>
      </c>
      <c r="C133" s="1" t="str">
        <f ca="1">IFERROR(__xludf.DUMMYFUNCTION("""COMPUTED_VALUE"""),"Krishnagiri")</f>
        <v>Krishnagiri</v>
      </c>
      <c r="D133" s="1" t="str">
        <f ca="1">IFERROR(__xludf.DUMMYFUNCTION("""COMPUTED_VALUE"""),"Chandrasekara Hospital")</f>
        <v>Chandrasekara Hospital</v>
      </c>
      <c r="E133" s="1">
        <f ca="1">IFERROR(__xludf.DUMMYFUNCTION("""COMPUTED_VALUE"""),10)</f>
        <v>10</v>
      </c>
      <c r="F133" s="1">
        <f ca="1">IFERROR(__xludf.DUMMYFUNCTION("""COMPUTED_VALUE"""),1)</f>
        <v>1</v>
      </c>
      <c r="G133" s="1">
        <f ca="1">IFERROR(__xludf.DUMMYFUNCTION("""COMPUTED_VALUE"""),9)</f>
        <v>9</v>
      </c>
      <c r="H133" s="1">
        <f ca="1">IFERROR(__xludf.DUMMYFUNCTION("""COMPUTED_VALUE"""),10)</f>
        <v>10</v>
      </c>
      <c r="I133" s="1">
        <f ca="1">IFERROR(__xludf.DUMMYFUNCTION("""COMPUTED_VALUE"""),1)</f>
        <v>1</v>
      </c>
      <c r="J133" s="1">
        <f ca="1">IFERROR(__xludf.DUMMYFUNCTION("""COMPUTED_VALUE"""),9)</f>
        <v>9</v>
      </c>
      <c r="K133" s="1">
        <f ca="1">IFERROR(__xludf.DUMMYFUNCTION("""COMPUTED_VALUE"""),0)</f>
        <v>0</v>
      </c>
      <c r="L133" s="1">
        <f ca="1">IFERROR(__xludf.DUMMYFUNCTION("""COMPUTED_VALUE"""),0)</f>
        <v>0</v>
      </c>
      <c r="M133" s="1">
        <f ca="1">IFERROR(__xludf.DUMMYFUNCTION("""COMPUTED_VALUE"""),0)</f>
        <v>0</v>
      </c>
      <c r="N133" s="1">
        <f ca="1">IFERROR(__xludf.DUMMYFUNCTION("""COMPUTED_VALUE"""),0)</f>
        <v>0</v>
      </c>
      <c r="O133" s="1">
        <f ca="1">IFERROR(__xludf.DUMMYFUNCTION("""COMPUTED_VALUE"""),0)</f>
        <v>0</v>
      </c>
      <c r="P133" s="1">
        <f ca="1">IFERROR(__xludf.DUMMYFUNCTION("""COMPUTED_VALUE"""),0)</f>
        <v>0</v>
      </c>
      <c r="Q133" s="1">
        <f ca="1">IFERROR(__xludf.DUMMYFUNCTION("""COMPUTED_VALUE"""),0)</f>
        <v>0</v>
      </c>
      <c r="R133" s="1">
        <f ca="1">IFERROR(__xludf.DUMMYFUNCTION("""COMPUTED_VALUE"""),0)</f>
        <v>0</v>
      </c>
      <c r="S133" s="1">
        <f ca="1">IFERROR(__xludf.DUMMYFUNCTION("""COMPUTED_VALUE"""),0)</f>
        <v>0</v>
      </c>
      <c r="T133" s="1">
        <f ca="1">IFERROR(__xludf.DUMMYFUNCTION("""COMPUTED_VALUE"""),44305.443449074)</f>
        <v>44305.443449074002</v>
      </c>
      <c r="U133" s="1"/>
    </row>
    <row r="134" spans="1:21" ht="13" x14ac:dyDescent="0.15">
      <c r="A134" s="1" t="str">
        <f t="shared" ca="1" si="0"/>
        <v>KrishnagiriKauvery Hospital, Hosur</v>
      </c>
      <c r="B134" s="1">
        <f ca="1">IFERROR(__xludf.DUMMYFUNCTION("""COMPUTED_VALUE"""),133)</f>
        <v>133</v>
      </c>
      <c r="C134" s="1" t="str">
        <f ca="1">IFERROR(__xludf.DUMMYFUNCTION("""COMPUTED_VALUE"""),"Krishnagiri")</f>
        <v>Krishnagiri</v>
      </c>
      <c r="D134" s="1" t="str">
        <f ca="1">IFERROR(__xludf.DUMMYFUNCTION("""COMPUTED_VALUE"""),"Kauvery Hospital, Hosur")</f>
        <v>Kauvery Hospital, Hosur</v>
      </c>
      <c r="E134" s="1">
        <f ca="1">IFERROR(__xludf.DUMMYFUNCTION("""COMPUTED_VALUE"""),25)</f>
        <v>25</v>
      </c>
      <c r="F134" s="1">
        <f ca="1">IFERROR(__xludf.DUMMYFUNCTION("""COMPUTED_VALUE"""),25)</f>
        <v>25</v>
      </c>
      <c r="G134" s="1">
        <f ca="1">IFERROR(__xludf.DUMMYFUNCTION("""COMPUTED_VALUE"""),0)</f>
        <v>0</v>
      </c>
      <c r="H134" s="1">
        <f ca="1">IFERROR(__xludf.DUMMYFUNCTION("""COMPUTED_VALUE"""),25)</f>
        <v>25</v>
      </c>
      <c r="I134" s="1">
        <f ca="1">IFERROR(__xludf.DUMMYFUNCTION("""COMPUTED_VALUE"""),25)</f>
        <v>25</v>
      </c>
      <c r="J134" s="1">
        <f ca="1">IFERROR(__xludf.DUMMYFUNCTION("""COMPUTED_VALUE"""),0)</f>
        <v>0</v>
      </c>
      <c r="K134" s="1">
        <f ca="1">IFERROR(__xludf.DUMMYFUNCTION("""COMPUTED_VALUE"""),0)</f>
        <v>0</v>
      </c>
      <c r="L134" s="1">
        <f ca="1">IFERROR(__xludf.DUMMYFUNCTION("""COMPUTED_VALUE"""),0)</f>
        <v>0</v>
      </c>
      <c r="M134" s="1">
        <f ca="1">IFERROR(__xludf.DUMMYFUNCTION("""COMPUTED_VALUE"""),0)</f>
        <v>0</v>
      </c>
      <c r="N134" s="1">
        <f ca="1">IFERROR(__xludf.DUMMYFUNCTION("""COMPUTED_VALUE"""),0)</f>
        <v>0</v>
      </c>
      <c r="O134" s="1">
        <f ca="1">IFERROR(__xludf.DUMMYFUNCTION("""COMPUTED_VALUE"""),0)</f>
        <v>0</v>
      </c>
      <c r="P134" s="1">
        <f ca="1">IFERROR(__xludf.DUMMYFUNCTION("""COMPUTED_VALUE"""),0)</f>
        <v>0</v>
      </c>
      <c r="Q134" s="1">
        <f ca="1">IFERROR(__xludf.DUMMYFUNCTION("""COMPUTED_VALUE"""),0)</f>
        <v>0</v>
      </c>
      <c r="R134" s="1">
        <f ca="1">IFERROR(__xludf.DUMMYFUNCTION("""COMPUTED_VALUE"""),0)</f>
        <v>0</v>
      </c>
      <c r="S134" s="1">
        <f ca="1">IFERROR(__xludf.DUMMYFUNCTION("""COMPUTED_VALUE"""),0)</f>
        <v>0</v>
      </c>
      <c r="T134" s="1">
        <f ca="1">IFERROR(__xludf.DUMMYFUNCTION("""COMPUTED_VALUE"""),44305.4434375)</f>
        <v>44305.443437499998</v>
      </c>
      <c r="U134" s="1" t="str">
        <f ca="1">IFERROR(__xludf.DUMMYFUNCTION("""COMPUTED_VALUE"""),"NILL")</f>
        <v>NILL</v>
      </c>
    </row>
    <row r="135" spans="1:21" ht="13" x14ac:dyDescent="0.15">
      <c r="A135" s="1" t="str">
        <f t="shared" ca="1" si="0"/>
        <v>MaduraiApollo Hospital</v>
      </c>
      <c r="B135" s="1">
        <f ca="1">IFERROR(__xludf.DUMMYFUNCTION("""COMPUTED_VALUE"""),134)</f>
        <v>134</v>
      </c>
      <c r="C135" s="1" t="str">
        <f ca="1">IFERROR(__xludf.DUMMYFUNCTION("""COMPUTED_VALUE"""),"Madurai")</f>
        <v>Madurai</v>
      </c>
      <c r="D135" s="1" t="str">
        <f ca="1">IFERROR(__xludf.DUMMYFUNCTION("""COMPUTED_VALUE"""),"Apollo Hospital")</f>
        <v>Apollo Hospital</v>
      </c>
      <c r="E135" s="1">
        <f ca="1">IFERROR(__xludf.DUMMYFUNCTION("""COMPUTED_VALUE"""),77)</f>
        <v>77</v>
      </c>
      <c r="F135" s="1">
        <f ca="1">IFERROR(__xludf.DUMMYFUNCTION("""COMPUTED_VALUE"""),75)</f>
        <v>75</v>
      </c>
      <c r="G135" s="1">
        <f ca="1">IFERROR(__xludf.DUMMYFUNCTION("""COMPUTED_VALUE"""),36)</f>
        <v>36</v>
      </c>
      <c r="H135" s="1">
        <f ca="1">IFERROR(__xludf.DUMMYFUNCTION("""COMPUTED_VALUE"""),71)</f>
        <v>71</v>
      </c>
      <c r="I135" s="1">
        <f ca="1">IFERROR(__xludf.DUMMYFUNCTION("""COMPUTED_VALUE"""),75)</f>
        <v>75</v>
      </c>
      <c r="J135" s="1">
        <f ca="1">IFERROR(__xludf.DUMMYFUNCTION("""COMPUTED_VALUE"""),36)</f>
        <v>36</v>
      </c>
      <c r="K135" s="1">
        <f ca="1">IFERROR(__xludf.DUMMYFUNCTION("""COMPUTED_VALUE"""),0)</f>
        <v>0</v>
      </c>
      <c r="L135" s="1">
        <f ca="1">IFERROR(__xludf.DUMMYFUNCTION("""COMPUTED_VALUE"""),0)</f>
        <v>0</v>
      </c>
      <c r="M135" s="1">
        <f ca="1">IFERROR(__xludf.DUMMYFUNCTION("""COMPUTED_VALUE"""),0)</f>
        <v>0</v>
      </c>
      <c r="N135" s="1">
        <f ca="1">IFERROR(__xludf.DUMMYFUNCTION("""COMPUTED_VALUE"""),6)</f>
        <v>6</v>
      </c>
      <c r="O135" s="1">
        <f ca="1">IFERROR(__xludf.DUMMYFUNCTION("""COMPUTED_VALUE"""),6)</f>
        <v>6</v>
      </c>
      <c r="P135" s="1">
        <f ca="1">IFERROR(__xludf.DUMMYFUNCTION("""COMPUTED_VALUE"""),0)</f>
        <v>0</v>
      </c>
      <c r="Q135" s="1">
        <f ca="1">IFERROR(__xludf.DUMMYFUNCTION("""COMPUTED_VALUE"""),4)</f>
        <v>4</v>
      </c>
      <c r="R135" s="1">
        <f ca="1">IFERROR(__xludf.DUMMYFUNCTION("""COMPUTED_VALUE"""),0)</f>
        <v>0</v>
      </c>
      <c r="S135" s="1">
        <f ca="1">IFERROR(__xludf.DUMMYFUNCTION("""COMPUTED_VALUE"""),0)</f>
        <v>0</v>
      </c>
      <c r="T135" s="1">
        <f ca="1">IFERROR(__xludf.DUMMYFUNCTION("""COMPUTED_VALUE"""),44305.427037037)</f>
        <v>44305.427037037</v>
      </c>
      <c r="U135" s="1" t="str">
        <f ca="1">IFERROR(__xludf.DUMMYFUNCTION("""COMPUTED_VALUE"""),"Updated.")</f>
        <v>Updated.</v>
      </c>
    </row>
    <row r="136" spans="1:21" ht="13" x14ac:dyDescent="0.15">
      <c r="A136" s="1" t="str">
        <f t="shared" ca="1" si="0"/>
        <v>MaduraiBharathi Hospital</v>
      </c>
      <c r="B136" s="1">
        <f ca="1">IFERROR(__xludf.DUMMYFUNCTION("""COMPUTED_VALUE"""),135)</f>
        <v>135</v>
      </c>
      <c r="C136" s="1" t="str">
        <f ca="1">IFERROR(__xludf.DUMMYFUNCTION("""COMPUTED_VALUE"""),"Madurai")</f>
        <v>Madurai</v>
      </c>
      <c r="D136" s="1" t="str">
        <f ca="1">IFERROR(__xludf.DUMMYFUNCTION("""COMPUTED_VALUE"""),"Bharathi Hospital")</f>
        <v>Bharathi Hospital</v>
      </c>
      <c r="E136" s="1">
        <f ca="1">IFERROR(__xludf.DUMMYFUNCTION("""COMPUTED_VALUE"""),12)</f>
        <v>12</v>
      </c>
      <c r="F136" s="1">
        <f ca="1">IFERROR(__xludf.DUMMYFUNCTION("""COMPUTED_VALUE"""),12)</f>
        <v>12</v>
      </c>
      <c r="G136" s="1">
        <f ca="1">IFERROR(__xludf.DUMMYFUNCTION("""COMPUTED_VALUE"""),0)</f>
        <v>0</v>
      </c>
      <c r="H136" s="1">
        <f ca="1">IFERROR(__xludf.DUMMYFUNCTION("""COMPUTED_VALUE"""),1)</f>
        <v>1</v>
      </c>
      <c r="I136" s="1">
        <f ca="1">IFERROR(__xludf.DUMMYFUNCTION("""COMPUTED_VALUE"""),0)</f>
        <v>0</v>
      </c>
      <c r="J136" s="1">
        <f ca="1">IFERROR(__xludf.DUMMYFUNCTION("""COMPUTED_VALUE"""),1)</f>
        <v>1</v>
      </c>
      <c r="K136" s="1">
        <f ca="1">IFERROR(__xludf.DUMMYFUNCTION("""COMPUTED_VALUE"""),12)</f>
        <v>12</v>
      </c>
      <c r="L136" s="1">
        <f ca="1">IFERROR(__xludf.DUMMYFUNCTION("""COMPUTED_VALUE"""),12)</f>
        <v>12</v>
      </c>
      <c r="M136" s="1">
        <f ca="1">IFERROR(__xludf.DUMMYFUNCTION("""COMPUTED_VALUE"""),0)</f>
        <v>0</v>
      </c>
      <c r="N136" s="1">
        <f ca="1">IFERROR(__xludf.DUMMYFUNCTION("""COMPUTED_VALUE"""),0)</f>
        <v>0</v>
      </c>
      <c r="O136" s="1">
        <f ca="1">IFERROR(__xludf.DUMMYFUNCTION("""COMPUTED_VALUE"""),0)</f>
        <v>0</v>
      </c>
      <c r="P136" s="1">
        <f ca="1">IFERROR(__xludf.DUMMYFUNCTION("""COMPUTED_VALUE"""),0)</f>
        <v>0</v>
      </c>
      <c r="Q136" s="1">
        <f ca="1">IFERROR(__xludf.DUMMYFUNCTION("""COMPUTED_VALUE"""),0)</f>
        <v>0</v>
      </c>
      <c r="R136" s="1">
        <f ca="1">IFERROR(__xludf.DUMMYFUNCTION("""COMPUTED_VALUE"""),0)</f>
        <v>0</v>
      </c>
      <c r="S136" s="1">
        <f ca="1">IFERROR(__xludf.DUMMYFUNCTION("""COMPUTED_VALUE"""),0)</f>
        <v>0</v>
      </c>
      <c r="T136" s="1">
        <f ca="1">IFERROR(__xludf.DUMMYFUNCTION("""COMPUTED_VALUE"""),44305.4093055555)</f>
        <v>44305.409305555499</v>
      </c>
      <c r="U136" s="1" t="str">
        <f ca="1">IFERROR(__xludf.DUMMYFUNCTION("""COMPUTED_VALUE"""),"19.04.2021 Updated....")</f>
        <v>19.04.2021 Updated....</v>
      </c>
    </row>
    <row r="137" spans="1:21" ht="13" x14ac:dyDescent="0.15">
      <c r="A137" s="1" t="str">
        <f t="shared" ca="1" si="0"/>
        <v>MaduraiDevadoss Multispeciality Hospital</v>
      </c>
      <c r="B137" s="1">
        <f ca="1">IFERROR(__xludf.DUMMYFUNCTION("""COMPUTED_VALUE"""),136)</f>
        <v>136</v>
      </c>
      <c r="C137" s="1" t="str">
        <f ca="1">IFERROR(__xludf.DUMMYFUNCTION("""COMPUTED_VALUE"""),"Madurai")</f>
        <v>Madurai</v>
      </c>
      <c r="D137" s="1" t="str">
        <f ca="1">IFERROR(__xludf.DUMMYFUNCTION("""COMPUTED_VALUE"""),"Devadoss Multispeciality Hospital")</f>
        <v>Devadoss Multispeciality Hospital</v>
      </c>
      <c r="E137" s="1">
        <f ca="1">IFERROR(__xludf.DUMMYFUNCTION("""COMPUTED_VALUE"""),33)</f>
        <v>33</v>
      </c>
      <c r="F137" s="1">
        <f ca="1">IFERROR(__xludf.DUMMYFUNCTION("""COMPUTED_VALUE"""),18)</f>
        <v>18</v>
      </c>
      <c r="G137" s="1">
        <f ca="1">IFERROR(__xludf.DUMMYFUNCTION("""COMPUTED_VALUE"""),15)</f>
        <v>15</v>
      </c>
      <c r="H137" s="1">
        <f ca="1">IFERROR(__xludf.DUMMYFUNCTION("""COMPUTED_VALUE"""),7)</f>
        <v>7</v>
      </c>
      <c r="I137" s="1">
        <f ca="1">IFERROR(__xludf.DUMMYFUNCTION("""COMPUTED_VALUE"""),3)</f>
        <v>3</v>
      </c>
      <c r="J137" s="1">
        <f ca="1">IFERROR(__xludf.DUMMYFUNCTION("""COMPUTED_VALUE"""),4)</f>
        <v>4</v>
      </c>
      <c r="K137" s="1">
        <f ca="1">IFERROR(__xludf.DUMMYFUNCTION("""COMPUTED_VALUE"""),17)</f>
        <v>17</v>
      </c>
      <c r="L137" s="1">
        <f ca="1">IFERROR(__xludf.DUMMYFUNCTION("""COMPUTED_VALUE"""),8)</f>
        <v>8</v>
      </c>
      <c r="M137" s="1">
        <f ca="1">IFERROR(__xludf.DUMMYFUNCTION("""COMPUTED_VALUE"""),9)</f>
        <v>9</v>
      </c>
      <c r="N137" s="1">
        <f ca="1">IFERROR(__xludf.DUMMYFUNCTION("""COMPUTED_VALUE"""),9)</f>
        <v>9</v>
      </c>
      <c r="O137" s="1">
        <f ca="1">IFERROR(__xludf.DUMMYFUNCTION("""COMPUTED_VALUE"""),7)</f>
        <v>7</v>
      </c>
      <c r="P137" s="1">
        <f ca="1">IFERROR(__xludf.DUMMYFUNCTION("""COMPUTED_VALUE"""),2)</f>
        <v>2</v>
      </c>
      <c r="Q137" s="1">
        <f ca="1">IFERROR(__xludf.DUMMYFUNCTION("""COMPUTED_VALUE"""),3)</f>
        <v>3</v>
      </c>
      <c r="R137" s="1">
        <f ca="1">IFERROR(__xludf.DUMMYFUNCTION("""COMPUTED_VALUE"""),2)</f>
        <v>2</v>
      </c>
      <c r="S137" s="1">
        <f ca="1">IFERROR(__xludf.DUMMYFUNCTION("""COMPUTED_VALUE"""),1)</f>
        <v>1</v>
      </c>
      <c r="T137" s="1">
        <f ca="1">IFERROR(__xludf.DUMMYFUNCTION("""COMPUTED_VALUE"""),44305.3110069444)</f>
        <v>44305.311006944401</v>
      </c>
      <c r="U137" s="1" t="str">
        <f ca="1">IFERROR(__xludf.DUMMYFUNCTION("""COMPUTED_VALUE"""),"Update")</f>
        <v>Update</v>
      </c>
    </row>
    <row r="138" spans="1:21" ht="13" x14ac:dyDescent="0.15">
      <c r="A138" s="1" t="str">
        <f t="shared" ca="1" si="0"/>
        <v>MaduraiGuru Multispeciality Hospital</v>
      </c>
      <c r="B138" s="1">
        <f ca="1">IFERROR(__xludf.DUMMYFUNCTION("""COMPUTED_VALUE"""),137)</f>
        <v>137</v>
      </c>
      <c r="C138" s="1" t="str">
        <f ca="1">IFERROR(__xludf.DUMMYFUNCTION("""COMPUTED_VALUE"""),"Madurai")</f>
        <v>Madurai</v>
      </c>
      <c r="D138" s="1" t="str">
        <f ca="1">IFERROR(__xludf.DUMMYFUNCTION("""COMPUTED_VALUE"""),"Guru Multispeciality Hospital")</f>
        <v>Guru Multispeciality Hospital</v>
      </c>
      <c r="E138" s="1">
        <f ca="1">IFERROR(__xludf.DUMMYFUNCTION("""COMPUTED_VALUE"""),40)</f>
        <v>40</v>
      </c>
      <c r="F138" s="1">
        <f ca="1">IFERROR(__xludf.DUMMYFUNCTION("""COMPUTED_VALUE"""),34)</f>
        <v>34</v>
      </c>
      <c r="G138" s="1">
        <f ca="1">IFERROR(__xludf.DUMMYFUNCTION("""COMPUTED_VALUE"""),6)</f>
        <v>6</v>
      </c>
      <c r="H138" s="1">
        <f ca="1">IFERROR(__xludf.DUMMYFUNCTION("""COMPUTED_VALUE"""),12)</f>
        <v>12</v>
      </c>
      <c r="I138" s="1">
        <f ca="1">IFERROR(__xludf.DUMMYFUNCTION("""COMPUTED_VALUE"""),0)</f>
        <v>0</v>
      </c>
      <c r="J138" s="1">
        <f ca="1">IFERROR(__xludf.DUMMYFUNCTION("""COMPUTED_VALUE"""),10)</f>
        <v>10</v>
      </c>
      <c r="K138" s="1">
        <f ca="1">IFERROR(__xludf.DUMMYFUNCTION("""COMPUTED_VALUE"""),15)</f>
        <v>15</v>
      </c>
      <c r="L138" s="1">
        <f ca="1">IFERROR(__xludf.DUMMYFUNCTION("""COMPUTED_VALUE"""),15)</f>
        <v>15</v>
      </c>
      <c r="M138" s="1">
        <f ca="1">IFERROR(__xludf.DUMMYFUNCTION("""COMPUTED_VALUE"""),0)</f>
        <v>0</v>
      </c>
      <c r="N138" s="1">
        <f ca="1">IFERROR(__xludf.DUMMYFUNCTION("""COMPUTED_VALUE"""),13)</f>
        <v>13</v>
      </c>
      <c r="O138" s="1">
        <f ca="1">IFERROR(__xludf.DUMMYFUNCTION("""COMPUTED_VALUE"""),0)</f>
        <v>0</v>
      </c>
      <c r="P138" s="1">
        <f ca="1">IFERROR(__xludf.DUMMYFUNCTION("""COMPUTED_VALUE"""),35)</f>
        <v>35</v>
      </c>
      <c r="Q138" s="1">
        <f ca="1">IFERROR(__xludf.DUMMYFUNCTION("""COMPUTED_VALUE"""),3)</f>
        <v>3</v>
      </c>
      <c r="R138" s="1">
        <f ca="1">IFERROR(__xludf.DUMMYFUNCTION("""COMPUTED_VALUE"""),0)</f>
        <v>0</v>
      </c>
      <c r="S138" s="1">
        <f ca="1">IFERROR(__xludf.DUMMYFUNCTION("""COMPUTED_VALUE"""),3)</f>
        <v>3</v>
      </c>
      <c r="T138" s="1">
        <f ca="1">IFERROR(__xludf.DUMMYFUNCTION("""COMPUTED_VALUE"""),44305.4446643518)</f>
        <v>44305.444664351802</v>
      </c>
      <c r="U138" s="1" t="str">
        <f ca="1">IFERROR(__xludf.DUMMYFUNCTION("""COMPUTED_VALUE"""),"Updated")</f>
        <v>Updated</v>
      </c>
    </row>
    <row r="139" spans="1:21" ht="13" x14ac:dyDescent="0.15">
      <c r="A139" s="1" t="str">
        <f t="shared" ca="1" si="0"/>
        <v>MaduraiHarshini Hospital,Sathamangalam</v>
      </c>
      <c r="B139" s="1">
        <f ca="1">IFERROR(__xludf.DUMMYFUNCTION("""COMPUTED_VALUE"""),138)</f>
        <v>138</v>
      </c>
      <c r="C139" s="1" t="str">
        <f ca="1">IFERROR(__xludf.DUMMYFUNCTION("""COMPUTED_VALUE"""),"Madurai")</f>
        <v>Madurai</v>
      </c>
      <c r="D139" s="1" t="str">
        <f ca="1">IFERROR(__xludf.DUMMYFUNCTION("""COMPUTED_VALUE"""),"Harshini Hospital,Sathamangalam")</f>
        <v>Harshini Hospital,Sathamangalam</v>
      </c>
      <c r="E139" s="1">
        <f ca="1">IFERROR(__xludf.DUMMYFUNCTION("""COMPUTED_VALUE"""),25)</f>
        <v>25</v>
      </c>
      <c r="F139" s="1">
        <f ca="1">IFERROR(__xludf.DUMMYFUNCTION("""COMPUTED_VALUE"""),16)</f>
        <v>16</v>
      </c>
      <c r="G139" s="1">
        <f ca="1">IFERROR(__xludf.DUMMYFUNCTION("""COMPUTED_VALUE"""),9)</f>
        <v>9</v>
      </c>
      <c r="H139" s="1">
        <f ca="1">IFERROR(__xludf.DUMMYFUNCTION("""COMPUTED_VALUE"""),5)</f>
        <v>5</v>
      </c>
      <c r="I139" s="1">
        <f ca="1">IFERROR(__xludf.DUMMYFUNCTION("""COMPUTED_VALUE"""),5)</f>
        <v>5</v>
      </c>
      <c r="J139" s="1">
        <f ca="1">IFERROR(__xludf.DUMMYFUNCTION("""COMPUTED_VALUE"""),0)</f>
        <v>0</v>
      </c>
      <c r="K139" s="1">
        <f ca="1">IFERROR(__xludf.DUMMYFUNCTION("""COMPUTED_VALUE"""),20)</f>
        <v>20</v>
      </c>
      <c r="L139" s="1">
        <f ca="1">IFERROR(__xludf.DUMMYFUNCTION("""COMPUTED_VALUE"""),11)</f>
        <v>11</v>
      </c>
      <c r="M139" s="1">
        <f ca="1">IFERROR(__xludf.DUMMYFUNCTION("""COMPUTED_VALUE"""),9)</f>
        <v>9</v>
      </c>
      <c r="N139" s="1">
        <f ca="1">IFERROR(__xludf.DUMMYFUNCTION("""COMPUTED_VALUE"""),0)</f>
        <v>0</v>
      </c>
      <c r="O139" s="1">
        <f ca="1">IFERROR(__xludf.DUMMYFUNCTION("""COMPUTED_VALUE"""),0)</f>
        <v>0</v>
      </c>
      <c r="P139" s="1">
        <f ca="1">IFERROR(__xludf.DUMMYFUNCTION("""COMPUTED_VALUE"""),0)</f>
        <v>0</v>
      </c>
      <c r="Q139" s="1">
        <f ca="1">IFERROR(__xludf.DUMMYFUNCTION("""COMPUTED_VALUE"""),0)</f>
        <v>0</v>
      </c>
      <c r="R139" s="1">
        <f ca="1">IFERROR(__xludf.DUMMYFUNCTION("""COMPUTED_VALUE"""),0)</f>
        <v>0</v>
      </c>
      <c r="S139" s="1">
        <f ca="1">IFERROR(__xludf.DUMMYFUNCTION("""COMPUTED_VALUE"""),0)</f>
        <v>0</v>
      </c>
      <c r="T139" s="1">
        <f ca="1">IFERROR(__xludf.DUMMYFUNCTION("""COMPUTED_VALUE"""),44305.5132523148)</f>
        <v>44305.513252314799</v>
      </c>
      <c r="U139" s="1" t="str">
        <f ca="1">IFERROR(__xludf.DUMMYFUNCTION("""COMPUTED_VALUE"""),"Updated 19.04.2021")</f>
        <v>Updated 19.04.2021</v>
      </c>
    </row>
    <row r="140" spans="1:21" ht="13" x14ac:dyDescent="0.15">
      <c r="A140" s="1" t="str">
        <f t="shared" ca="1" si="0"/>
        <v>MaduraiHarshitha Hospital, Avaniyapuram</v>
      </c>
      <c r="B140" s="1">
        <f ca="1">IFERROR(__xludf.DUMMYFUNCTION("""COMPUTED_VALUE"""),139)</f>
        <v>139</v>
      </c>
      <c r="C140" s="1" t="str">
        <f ca="1">IFERROR(__xludf.DUMMYFUNCTION("""COMPUTED_VALUE"""),"Madurai")</f>
        <v>Madurai</v>
      </c>
      <c r="D140" s="1" t="str">
        <f ca="1">IFERROR(__xludf.DUMMYFUNCTION("""COMPUTED_VALUE"""),"Harshitha Hospital, Avaniyapuram")</f>
        <v>Harshitha Hospital, Avaniyapuram</v>
      </c>
      <c r="E140" s="1">
        <f ca="1">IFERROR(__xludf.DUMMYFUNCTION("""COMPUTED_VALUE"""),40)</f>
        <v>40</v>
      </c>
      <c r="F140" s="1">
        <f ca="1">IFERROR(__xludf.DUMMYFUNCTION("""COMPUTED_VALUE"""),40)</f>
        <v>40</v>
      </c>
      <c r="G140" s="1">
        <f ca="1">IFERROR(__xludf.DUMMYFUNCTION("""COMPUTED_VALUE"""),0)</f>
        <v>0</v>
      </c>
      <c r="H140" s="1">
        <f ca="1">IFERROR(__xludf.DUMMYFUNCTION("""COMPUTED_VALUE"""),36)</f>
        <v>36</v>
      </c>
      <c r="I140" s="1">
        <f ca="1">IFERROR(__xludf.DUMMYFUNCTION("""COMPUTED_VALUE"""),37)</f>
        <v>37</v>
      </c>
      <c r="J140" s="1">
        <f ca="1">IFERROR(__xludf.DUMMYFUNCTION("""COMPUTED_VALUE"""),0)</f>
        <v>0</v>
      </c>
      <c r="K140" s="1">
        <f ca="1">IFERROR(__xludf.DUMMYFUNCTION("""COMPUTED_VALUE"""),0)</f>
        <v>0</v>
      </c>
      <c r="L140" s="1">
        <f ca="1">IFERROR(__xludf.DUMMYFUNCTION("""COMPUTED_VALUE"""),0)</f>
        <v>0</v>
      </c>
      <c r="M140" s="1">
        <f ca="1">IFERROR(__xludf.DUMMYFUNCTION("""COMPUTED_VALUE"""),0)</f>
        <v>0</v>
      </c>
      <c r="N140" s="1">
        <f ca="1">IFERROR(__xludf.DUMMYFUNCTION("""COMPUTED_VALUE"""),4)</f>
        <v>4</v>
      </c>
      <c r="O140" s="1">
        <f ca="1">IFERROR(__xludf.DUMMYFUNCTION("""COMPUTED_VALUE"""),4)</f>
        <v>4</v>
      </c>
      <c r="P140" s="1">
        <f ca="1">IFERROR(__xludf.DUMMYFUNCTION("""COMPUTED_VALUE"""),0)</f>
        <v>0</v>
      </c>
      <c r="Q140" s="1">
        <f ca="1">IFERROR(__xludf.DUMMYFUNCTION("""COMPUTED_VALUE"""),2)</f>
        <v>2</v>
      </c>
      <c r="R140" s="1">
        <f ca="1">IFERROR(__xludf.DUMMYFUNCTION("""COMPUTED_VALUE"""),0)</f>
        <v>0</v>
      </c>
      <c r="S140" s="1">
        <f ca="1">IFERROR(__xludf.DUMMYFUNCTION("""COMPUTED_VALUE"""),2)</f>
        <v>2</v>
      </c>
      <c r="T140" s="1">
        <f ca="1">IFERROR(__xludf.DUMMYFUNCTION("""COMPUTED_VALUE"""),44305.4041550925)</f>
        <v>44305.404155092503</v>
      </c>
      <c r="U140" s="1" t="str">
        <f ca="1">IFERROR(__xludf.DUMMYFUNCTION("""COMPUTED_VALUE"""),"UPDATED 19.04.2021.")</f>
        <v>UPDATED 19.04.2021.</v>
      </c>
    </row>
    <row r="141" spans="1:21" ht="13" x14ac:dyDescent="0.15">
      <c r="A141" s="1" t="str">
        <f t="shared" ca="1" si="0"/>
        <v>MaduraiLakshmana Multispeciality Hospital</v>
      </c>
      <c r="B141" s="1">
        <f ca="1">IFERROR(__xludf.DUMMYFUNCTION("""COMPUTED_VALUE"""),140)</f>
        <v>140</v>
      </c>
      <c r="C141" s="1" t="str">
        <f ca="1">IFERROR(__xludf.DUMMYFUNCTION("""COMPUTED_VALUE"""),"Madurai")</f>
        <v>Madurai</v>
      </c>
      <c r="D141" s="1" t="str">
        <f ca="1">IFERROR(__xludf.DUMMYFUNCTION("""COMPUTED_VALUE"""),"Lakshmana Multispeciality Hospital")</f>
        <v>Lakshmana Multispeciality Hospital</v>
      </c>
      <c r="E141" s="1">
        <f ca="1">IFERROR(__xludf.DUMMYFUNCTION("""COMPUTED_VALUE"""),25)</f>
        <v>25</v>
      </c>
      <c r="F141" s="1">
        <f ca="1">IFERROR(__xludf.DUMMYFUNCTION("""COMPUTED_VALUE"""),8)</f>
        <v>8</v>
      </c>
      <c r="G141" s="1">
        <f ca="1">IFERROR(__xludf.DUMMYFUNCTION("""COMPUTED_VALUE"""),17)</f>
        <v>17</v>
      </c>
      <c r="H141" s="1">
        <f ca="1">IFERROR(__xludf.DUMMYFUNCTION("""COMPUTED_VALUE"""),13)</f>
        <v>13</v>
      </c>
      <c r="I141" s="1">
        <f ca="1">IFERROR(__xludf.DUMMYFUNCTION("""COMPUTED_VALUE"""),13)</f>
        <v>13</v>
      </c>
      <c r="J141" s="1">
        <f ca="1">IFERROR(__xludf.DUMMYFUNCTION("""COMPUTED_VALUE"""),0)</f>
        <v>0</v>
      </c>
      <c r="K141" s="1">
        <f ca="1">IFERROR(__xludf.DUMMYFUNCTION("""COMPUTED_VALUE"""),10)</f>
        <v>10</v>
      </c>
      <c r="L141" s="1">
        <f ca="1">IFERROR(__xludf.DUMMYFUNCTION("""COMPUTED_VALUE"""),0)</f>
        <v>0</v>
      </c>
      <c r="M141" s="1">
        <f ca="1">IFERROR(__xludf.DUMMYFUNCTION("""COMPUTED_VALUE"""),10)</f>
        <v>10</v>
      </c>
      <c r="N141" s="1">
        <f ca="1">IFERROR(__xludf.DUMMYFUNCTION("""COMPUTED_VALUE"""),2)</f>
        <v>2</v>
      </c>
      <c r="O141" s="1">
        <f ca="1">IFERROR(__xludf.DUMMYFUNCTION("""COMPUTED_VALUE"""),0)</f>
        <v>0</v>
      </c>
      <c r="P141" s="1">
        <f ca="1">IFERROR(__xludf.DUMMYFUNCTION("""COMPUTED_VALUE"""),0)</f>
        <v>0</v>
      </c>
      <c r="Q141" s="1">
        <f ca="1">IFERROR(__xludf.DUMMYFUNCTION("""COMPUTED_VALUE"""),2)</f>
        <v>2</v>
      </c>
      <c r="R141" s="1">
        <f ca="1">IFERROR(__xludf.DUMMYFUNCTION("""COMPUTED_VALUE"""),0)</f>
        <v>0</v>
      </c>
      <c r="S141" s="1">
        <f ca="1">IFERROR(__xludf.DUMMYFUNCTION("""COMPUTED_VALUE"""),2)</f>
        <v>2</v>
      </c>
      <c r="T141" s="1">
        <f ca="1">IFERROR(__xludf.DUMMYFUNCTION("""COMPUTED_VALUE"""),44305.3839930555)</f>
        <v>44305.383993055497</v>
      </c>
      <c r="U141" s="1" t="str">
        <f ca="1">IFERROR(__xludf.DUMMYFUNCTION("""COMPUTED_VALUE"""),"Updated on 19.4.2021")</f>
        <v>Updated on 19.4.2021</v>
      </c>
    </row>
    <row r="142" spans="1:21" ht="13" x14ac:dyDescent="0.15">
      <c r="A142" s="1" t="str">
        <f t="shared" ca="1" si="0"/>
        <v>MaduraiMeenakshi Mission Hospital and Research Centre</v>
      </c>
      <c r="B142" s="1">
        <f ca="1">IFERROR(__xludf.DUMMYFUNCTION("""COMPUTED_VALUE"""),141)</f>
        <v>141</v>
      </c>
      <c r="C142" s="1" t="str">
        <f ca="1">IFERROR(__xludf.DUMMYFUNCTION("""COMPUTED_VALUE"""),"Madurai")</f>
        <v>Madurai</v>
      </c>
      <c r="D142" s="1" t="str">
        <f ca="1">IFERROR(__xludf.DUMMYFUNCTION("""COMPUTED_VALUE"""),"Meenakshi Mission Hospital and Research Centre")</f>
        <v>Meenakshi Mission Hospital and Research Centre</v>
      </c>
      <c r="E142" s="1">
        <f ca="1">IFERROR(__xludf.DUMMYFUNCTION("""COMPUTED_VALUE"""),154)</f>
        <v>154</v>
      </c>
      <c r="F142" s="1">
        <f ca="1">IFERROR(__xludf.DUMMYFUNCTION("""COMPUTED_VALUE"""),81)</f>
        <v>81</v>
      </c>
      <c r="G142" s="1">
        <f ca="1">IFERROR(__xludf.DUMMYFUNCTION("""COMPUTED_VALUE"""),73)</f>
        <v>73</v>
      </c>
      <c r="H142" s="1">
        <f ca="1">IFERROR(__xludf.DUMMYFUNCTION("""COMPUTED_VALUE"""),78)</f>
        <v>78</v>
      </c>
      <c r="I142" s="1">
        <f ca="1">IFERROR(__xludf.DUMMYFUNCTION("""COMPUTED_VALUE"""),71)</f>
        <v>71</v>
      </c>
      <c r="J142" s="1">
        <f ca="1">IFERROR(__xludf.DUMMYFUNCTION("""COMPUTED_VALUE"""),7)</f>
        <v>7</v>
      </c>
      <c r="K142" s="1">
        <f ca="1">IFERROR(__xludf.DUMMYFUNCTION("""COMPUTED_VALUE"""),66)</f>
        <v>66</v>
      </c>
      <c r="L142" s="1">
        <f ca="1">IFERROR(__xludf.DUMMYFUNCTION("""COMPUTED_VALUE"""),0)</f>
        <v>0</v>
      </c>
      <c r="M142" s="1">
        <f ca="1">IFERROR(__xludf.DUMMYFUNCTION("""COMPUTED_VALUE"""),66)</f>
        <v>66</v>
      </c>
      <c r="N142" s="1">
        <f ca="1">IFERROR(__xludf.DUMMYFUNCTION("""COMPUTED_VALUE"""),10)</f>
        <v>10</v>
      </c>
      <c r="O142" s="1">
        <f ca="1">IFERROR(__xludf.DUMMYFUNCTION("""COMPUTED_VALUE"""),10)</f>
        <v>10</v>
      </c>
      <c r="P142" s="1">
        <f ca="1">IFERROR(__xludf.DUMMYFUNCTION("""COMPUTED_VALUE"""),0)</f>
        <v>0</v>
      </c>
      <c r="Q142" s="1">
        <f ca="1">IFERROR(__xludf.DUMMYFUNCTION("""COMPUTED_VALUE"""),6)</f>
        <v>6</v>
      </c>
      <c r="R142" s="1">
        <f ca="1">IFERROR(__xludf.DUMMYFUNCTION("""COMPUTED_VALUE"""),2)</f>
        <v>2</v>
      </c>
      <c r="S142" s="1">
        <f ca="1">IFERROR(__xludf.DUMMYFUNCTION("""COMPUTED_VALUE"""),4)</f>
        <v>4</v>
      </c>
      <c r="T142" s="1">
        <f ca="1">IFERROR(__xludf.DUMMYFUNCTION("""COMPUTED_VALUE"""),44305.3953009259)</f>
        <v>44305.395300925898</v>
      </c>
      <c r="U142" s="1" t="str">
        <f ca="1">IFERROR(__xludf.DUMMYFUNCTION("""COMPUTED_VALUE"""),"nil....")</f>
        <v>nil....</v>
      </c>
    </row>
    <row r="143" spans="1:21" ht="13" x14ac:dyDescent="0.15">
      <c r="A143" s="1" t="str">
        <f t="shared" ca="1" si="0"/>
        <v>MaduraiRahavendhar Hospital</v>
      </c>
      <c r="B143" s="1">
        <f ca="1">IFERROR(__xludf.DUMMYFUNCTION("""COMPUTED_VALUE"""),142)</f>
        <v>142</v>
      </c>
      <c r="C143" s="1" t="str">
        <f ca="1">IFERROR(__xludf.DUMMYFUNCTION("""COMPUTED_VALUE"""),"Madurai")</f>
        <v>Madurai</v>
      </c>
      <c r="D143" s="1" t="str">
        <f ca="1">IFERROR(__xludf.DUMMYFUNCTION("""COMPUTED_VALUE"""),"Rahavendhar Hospital")</f>
        <v>Rahavendhar Hospital</v>
      </c>
      <c r="E143" s="1">
        <f ca="1">IFERROR(__xludf.DUMMYFUNCTION("""COMPUTED_VALUE"""),45)</f>
        <v>45</v>
      </c>
      <c r="F143" s="1">
        <f ca="1">IFERROR(__xludf.DUMMYFUNCTION("""COMPUTED_VALUE"""),25)</f>
        <v>25</v>
      </c>
      <c r="G143" s="1">
        <f ca="1">IFERROR(__xludf.DUMMYFUNCTION("""COMPUTED_VALUE"""),20)</f>
        <v>20</v>
      </c>
      <c r="H143" s="1">
        <f ca="1">IFERROR(__xludf.DUMMYFUNCTION("""COMPUTED_VALUE"""),8)</f>
        <v>8</v>
      </c>
      <c r="I143" s="1">
        <f ca="1">IFERROR(__xludf.DUMMYFUNCTION("""COMPUTED_VALUE"""),7)</f>
        <v>7</v>
      </c>
      <c r="J143" s="1">
        <f ca="1">IFERROR(__xludf.DUMMYFUNCTION("""COMPUTED_VALUE"""),1)</f>
        <v>1</v>
      </c>
      <c r="K143" s="1">
        <f ca="1">IFERROR(__xludf.DUMMYFUNCTION("""COMPUTED_VALUE"""),28)</f>
        <v>28</v>
      </c>
      <c r="L143" s="1">
        <f ca="1">IFERROR(__xludf.DUMMYFUNCTION("""COMPUTED_VALUE"""),10)</f>
        <v>10</v>
      </c>
      <c r="M143" s="1">
        <f ca="1">IFERROR(__xludf.DUMMYFUNCTION("""COMPUTED_VALUE"""),18)</f>
        <v>18</v>
      </c>
      <c r="N143" s="1">
        <f ca="1">IFERROR(__xludf.DUMMYFUNCTION("""COMPUTED_VALUE"""),9)</f>
        <v>9</v>
      </c>
      <c r="O143" s="1">
        <f ca="1">IFERROR(__xludf.DUMMYFUNCTION("""COMPUTED_VALUE"""),8)</f>
        <v>8</v>
      </c>
      <c r="P143" s="1">
        <f ca="1">IFERROR(__xludf.DUMMYFUNCTION("""COMPUTED_VALUE"""),1)</f>
        <v>1</v>
      </c>
      <c r="Q143" s="1">
        <f ca="1">IFERROR(__xludf.DUMMYFUNCTION("""COMPUTED_VALUE"""),2)</f>
        <v>2</v>
      </c>
      <c r="R143" s="1">
        <f ca="1">IFERROR(__xludf.DUMMYFUNCTION("""COMPUTED_VALUE"""),2)</f>
        <v>2</v>
      </c>
      <c r="S143" s="1">
        <f ca="1">IFERROR(__xludf.DUMMYFUNCTION("""COMPUTED_VALUE"""),0)</f>
        <v>0</v>
      </c>
      <c r="T143" s="1">
        <f ca="1">IFERROR(__xludf.DUMMYFUNCTION("""COMPUTED_VALUE"""),44305.4423379629)</f>
        <v>44305.442337962901</v>
      </c>
      <c r="U143" s="1" t="str">
        <f ca="1">IFERROR(__xludf.DUMMYFUNCTION("""COMPUTED_VALUE"""),"19.04.2021")</f>
        <v>19.04.2021</v>
      </c>
    </row>
    <row r="144" spans="1:21" ht="13" x14ac:dyDescent="0.15">
      <c r="A144" s="1" t="str">
        <f t="shared" ca="1" si="0"/>
        <v>MaduraiSaravana Hospital</v>
      </c>
      <c r="B144" s="1">
        <f ca="1">IFERROR(__xludf.DUMMYFUNCTION("""COMPUTED_VALUE"""),143)</f>
        <v>143</v>
      </c>
      <c r="C144" s="1" t="str">
        <f ca="1">IFERROR(__xludf.DUMMYFUNCTION("""COMPUTED_VALUE"""),"Madurai")</f>
        <v>Madurai</v>
      </c>
      <c r="D144" s="1" t="str">
        <f ca="1">IFERROR(__xludf.DUMMYFUNCTION("""COMPUTED_VALUE"""),"Saravana Hospital")</f>
        <v>Saravana Hospital</v>
      </c>
      <c r="E144" s="1">
        <f ca="1">IFERROR(__xludf.DUMMYFUNCTION("""COMPUTED_VALUE"""),30)</f>
        <v>30</v>
      </c>
      <c r="F144" s="1">
        <f ca="1">IFERROR(__xludf.DUMMYFUNCTION("""COMPUTED_VALUE"""),4)</f>
        <v>4</v>
      </c>
      <c r="G144" s="1">
        <f ca="1">IFERROR(__xludf.DUMMYFUNCTION("""COMPUTED_VALUE"""),26)</f>
        <v>26</v>
      </c>
      <c r="H144" s="1">
        <f ca="1">IFERROR(__xludf.DUMMYFUNCTION("""COMPUTED_VALUE"""),15)</f>
        <v>15</v>
      </c>
      <c r="I144" s="1">
        <f ca="1">IFERROR(__xludf.DUMMYFUNCTION("""COMPUTED_VALUE"""),1)</f>
        <v>1</v>
      </c>
      <c r="J144" s="1">
        <f ca="1">IFERROR(__xludf.DUMMYFUNCTION("""COMPUTED_VALUE"""),14)</f>
        <v>14</v>
      </c>
      <c r="K144" s="1">
        <f ca="1">IFERROR(__xludf.DUMMYFUNCTION("""COMPUTED_VALUE"""),9)</f>
        <v>9</v>
      </c>
      <c r="L144" s="1">
        <f ca="1">IFERROR(__xludf.DUMMYFUNCTION("""COMPUTED_VALUE"""),0)</f>
        <v>0</v>
      </c>
      <c r="M144" s="1">
        <f ca="1">IFERROR(__xludf.DUMMYFUNCTION("""COMPUTED_VALUE"""),5)</f>
        <v>5</v>
      </c>
      <c r="N144" s="1">
        <f ca="1">IFERROR(__xludf.DUMMYFUNCTION("""COMPUTED_VALUE"""),6)</f>
        <v>6</v>
      </c>
      <c r="O144" s="1">
        <f ca="1">IFERROR(__xludf.DUMMYFUNCTION("""COMPUTED_VALUE"""),0)</f>
        <v>0</v>
      </c>
      <c r="P144" s="1">
        <f ca="1">IFERROR(__xludf.DUMMYFUNCTION("""COMPUTED_VALUE"""),6)</f>
        <v>6</v>
      </c>
      <c r="Q144" s="1">
        <f ca="1">IFERROR(__xludf.DUMMYFUNCTION("""COMPUTED_VALUE"""),4)</f>
        <v>4</v>
      </c>
      <c r="R144" s="1">
        <f ca="1">IFERROR(__xludf.DUMMYFUNCTION("""COMPUTED_VALUE"""),0)</f>
        <v>0</v>
      </c>
      <c r="S144" s="1">
        <f ca="1">IFERROR(__xludf.DUMMYFUNCTION("""COMPUTED_VALUE"""),4)</f>
        <v>4</v>
      </c>
      <c r="T144" s="1">
        <f ca="1">IFERROR(__xludf.DUMMYFUNCTION("""COMPUTED_VALUE"""),44305.1763310185)</f>
        <v>44305.176331018498</v>
      </c>
      <c r="U144" s="1" t="str">
        <f ca="1">IFERROR(__xludf.DUMMYFUNCTION("""COMPUTED_VALUE"""),"19.04.2021 updated")</f>
        <v>19.04.2021 updated</v>
      </c>
    </row>
    <row r="145" spans="1:21" ht="13" x14ac:dyDescent="0.15">
      <c r="A145" s="1" t="str">
        <f t="shared" ca="1" si="0"/>
        <v>MaduraiShenbagam Hospitals Pvt Ltd.</v>
      </c>
      <c r="B145" s="1">
        <f ca="1">IFERROR(__xludf.DUMMYFUNCTION("""COMPUTED_VALUE"""),144)</f>
        <v>144</v>
      </c>
      <c r="C145" s="1" t="str">
        <f ca="1">IFERROR(__xludf.DUMMYFUNCTION("""COMPUTED_VALUE"""),"Madurai")</f>
        <v>Madurai</v>
      </c>
      <c r="D145" s="1" t="str">
        <f ca="1">IFERROR(__xludf.DUMMYFUNCTION("""COMPUTED_VALUE"""),"Shenbagam Hospitals Pvt Ltd.")</f>
        <v>Shenbagam Hospitals Pvt Ltd.</v>
      </c>
      <c r="E145" s="1">
        <f ca="1">IFERROR(__xludf.DUMMYFUNCTION("""COMPUTED_VALUE"""),30)</f>
        <v>30</v>
      </c>
      <c r="F145" s="1">
        <f ca="1">IFERROR(__xludf.DUMMYFUNCTION("""COMPUTED_VALUE"""),20)</f>
        <v>20</v>
      </c>
      <c r="G145" s="1">
        <f ca="1">IFERROR(__xludf.DUMMYFUNCTION("""COMPUTED_VALUE"""),10)</f>
        <v>10</v>
      </c>
      <c r="H145" s="1">
        <f ca="1">IFERROR(__xludf.DUMMYFUNCTION("""COMPUTED_VALUE"""),26)</f>
        <v>26</v>
      </c>
      <c r="I145" s="1">
        <f ca="1">IFERROR(__xludf.DUMMYFUNCTION("""COMPUTED_VALUE"""),18)</f>
        <v>18</v>
      </c>
      <c r="J145" s="1">
        <f ca="1">IFERROR(__xludf.DUMMYFUNCTION("""COMPUTED_VALUE"""),8)</f>
        <v>8</v>
      </c>
      <c r="K145" s="1">
        <f ca="1">IFERROR(__xludf.DUMMYFUNCTION("""COMPUTED_VALUE"""),0)</f>
        <v>0</v>
      </c>
      <c r="L145" s="1">
        <f ca="1">IFERROR(__xludf.DUMMYFUNCTION("""COMPUTED_VALUE"""),0)</f>
        <v>0</v>
      </c>
      <c r="M145" s="1">
        <f ca="1">IFERROR(__xludf.DUMMYFUNCTION("""COMPUTED_VALUE"""),0)</f>
        <v>0</v>
      </c>
      <c r="N145" s="1">
        <f ca="1">IFERROR(__xludf.DUMMYFUNCTION("""COMPUTED_VALUE"""),4)</f>
        <v>4</v>
      </c>
      <c r="O145" s="1">
        <f ca="1">IFERROR(__xludf.DUMMYFUNCTION("""COMPUTED_VALUE"""),2)</f>
        <v>2</v>
      </c>
      <c r="P145" s="1">
        <f ca="1">IFERROR(__xludf.DUMMYFUNCTION("""COMPUTED_VALUE"""),2)</f>
        <v>2</v>
      </c>
      <c r="Q145" s="1">
        <f ca="1">IFERROR(__xludf.DUMMYFUNCTION("""COMPUTED_VALUE"""),3)</f>
        <v>3</v>
      </c>
      <c r="R145" s="1">
        <f ca="1">IFERROR(__xludf.DUMMYFUNCTION("""COMPUTED_VALUE"""),0)</f>
        <v>0</v>
      </c>
      <c r="S145" s="1">
        <f ca="1">IFERROR(__xludf.DUMMYFUNCTION("""COMPUTED_VALUE"""),3)</f>
        <v>3</v>
      </c>
      <c r="T145" s="1">
        <f ca="1">IFERROR(__xludf.DUMMYFUNCTION("""COMPUTED_VALUE"""),44305.3803125)</f>
        <v>44305.380312499998</v>
      </c>
      <c r="U145" s="1" t="str">
        <f ca="1">IFERROR(__xludf.DUMMYFUNCTION("""COMPUTED_VALUE"""),"UPDATE ON 19.04.2021")</f>
        <v>UPDATE ON 19.04.2021</v>
      </c>
    </row>
    <row r="146" spans="1:21" ht="13" x14ac:dyDescent="0.15">
      <c r="A146" s="1" t="str">
        <f t="shared" ca="1" si="0"/>
        <v>MaduraiSumathi Hospital &amp; Fertility Center,Anna Nagar</v>
      </c>
      <c r="B146" s="1">
        <f ca="1">IFERROR(__xludf.DUMMYFUNCTION("""COMPUTED_VALUE"""),145)</f>
        <v>145</v>
      </c>
      <c r="C146" s="1" t="str">
        <f ca="1">IFERROR(__xludf.DUMMYFUNCTION("""COMPUTED_VALUE"""),"Madurai")</f>
        <v>Madurai</v>
      </c>
      <c r="D146" s="1" t="str">
        <f ca="1">IFERROR(__xludf.DUMMYFUNCTION("""COMPUTED_VALUE"""),"Sumathi Hospital &amp; Fertility Center,Anna Nagar")</f>
        <v>Sumathi Hospital &amp; Fertility Center,Anna Nagar</v>
      </c>
      <c r="E146" s="1">
        <f ca="1">IFERROR(__xludf.DUMMYFUNCTION("""COMPUTED_VALUE"""),18)</f>
        <v>18</v>
      </c>
      <c r="F146" s="1">
        <f ca="1">IFERROR(__xludf.DUMMYFUNCTION("""COMPUTED_VALUE"""),10)</f>
        <v>10</v>
      </c>
      <c r="G146" s="1">
        <f ca="1">IFERROR(__xludf.DUMMYFUNCTION("""COMPUTED_VALUE"""),8)</f>
        <v>8</v>
      </c>
      <c r="H146" s="1">
        <f ca="1">IFERROR(__xludf.DUMMYFUNCTION("""COMPUTED_VALUE"""),15)</f>
        <v>15</v>
      </c>
      <c r="I146" s="1">
        <f ca="1">IFERROR(__xludf.DUMMYFUNCTION("""COMPUTED_VALUE"""),10)</f>
        <v>10</v>
      </c>
      <c r="J146" s="1">
        <f ca="1">IFERROR(__xludf.DUMMYFUNCTION("""COMPUTED_VALUE"""),5)</f>
        <v>5</v>
      </c>
      <c r="K146" s="1">
        <f ca="1">IFERROR(__xludf.DUMMYFUNCTION("""COMPUTED_VALUE"""),0)</f>
        <v>0</v>
      </c>
      <c r="L146" s="1">
        <f ca="1">IFERROR(__xludf.DUMMYFUNCTION("""COMPUTED_VALUE"""),0)</f>
        <v>0</v>
      </c>
      <c r="M146" s="1">
        <f ca="1">IFERROR(__xludf.DUMMYFUNCTION("""COMPUTED_VALUE"""),0)</f>
        <v>0</v>
      </c>
      <c r="N146" s="1">
        <f ca="1">IFERROR(__xludf.DUMMYFUNCTION("""COMPUTED_VALUE"""),2)</f>
        <v>2</v>
      </c>
      <c r="O146" s="1">
        <f ca="1">IFERROR(__xludf.DUMMYFUNCTION("""COMPUTED_VALUE"""),0)</f>
        <v>0</v>
      </c>
      <c r="P146" s="1">
        <f ca="1">IFERROR(__xludf.DUMMYFUNCTION("""COMPUTED_VALUE"""),2)</f>
        <v>2</v>
      </c>
      <c r="Q146" s="1">
        <f ca="1">IFERROR(__xludf.DUMMYFUNCTION("""COMPUTED_VALUE"""),1)</f>
        <v>1</v>
      </c>
      <c r="R146" s="1">
        <f ca="1">IFERROR(__xludf.DUMMYFUNCTION("""COMPUTED_VALUE"""),0)</f>
        <v>0</v>
      </c>
      <c r="S146" s="1">
        <f ca="1">IFERROR(__xludf.DUMMYFUNCTION("""COMPUTED_VALUE"""),1)</f>
        <v>1</v>
      </c>
      <c r="T146" s="1">
        <f ca="1">IFERROR(__xludf.DUMMYFUNCTION("""COMPUTED_VALUE"""),44305.4573379629)</f>
        <v>44305.4573379629</v>
      </c>
      <c r="U146" s="1" t="str">
        <f ca="1">IFERROR(__xludf.DUMMYFUNCTION("""COMPUTED_VALUE"""),"updated on 19/04/2021..")</f>
        <v>updated on 19/04/2021..</v>
      </c>
    </row>
    <row r="147" spans="1:21" ht="13" x14ac:dyDescent="0.15">
      <c r="A147" s="1" t="str">
        <f t="shared" ca="1" si="0"/>
        <v>MaduraiThembavani Hospital,Gnanaolipuram</v>
      </c>
      <c r="B147" s="1">
        <f ca="1">IFERROR(__xludf.DUMMYFUNCTION("""COMPUTED_VALUE"""),146)</f>
        <v>146</v>
      </c>
      <c r="C147" s="1" t="str">
        <f ca="1">IFERROR(__xludf.DUMMYFUNCTION("""COMPUTED_VALUE"""),"Madurai")</f>
        <v>Madurai</v>
      </c>
      <c r="D147" s="1" t="str">
        <f ca="1">IFERROR(__xludf.DUMMYFUNCTION("""COMPUTED_VALUE"""),"Thembavani Hospital,Gnanaolipuram")</f>
        <v>Thembavani Hospital,Gnanaolipuram</v>
      </c>
      <c r="E147" s="1">
        <f ca="1">IFERROR(__xludf.DUMMYFUNCTION("""COMPUTED_VALUE"""),20)</f>
        <v>20</v>
      </c>
      <c r="F147" s="1">
        <f ca="1">IFERROR(__xludf.DUMMYFUNCTION("""COMPUTED_VALUE"""),17)</f>
        <v>17</v>
      </c>
      <c r="G147" s="1">
        <f ca="1">IFERROR(__xludf.DUMMYFUNCTION("""COMPUTED_VALUE"""),3)</f>
        <v>3</v>
      </c>
      <c r="H147" s="1">
        <f ca="1">IFERROR(__xludf.DUMMYFUNCTION("""COMPUTED_VALUE"""),3)</f>
        <v>3</v>
      </c>
      <c r="I147" s="1">
        <f ca="1">IFERROR(__xludf.DUMMYFUNCTION("""COMPUTED_VALUE"""),3)</f>
        <v>3</v>
      </c>
      <c r="J147" s="1">
        <f ca="1">IFERROR(__xludf.DUMMYFUNCTION("""COMPUTED_VALUE"""),0)</f>
        <v>0</v>
      </c>
      <c r="K147" s="1">
        <f ca="1">IFERROR(__xludf.DUMMYFUNCTION("""COMPUTED_VALUE"""),14)</f>
        <v>14</v>
      </c>
      <c r="L147" s="1">
        <f ca="1">IFERROR(__xludf.DUMMYFUNCTION("""COMPUTED_VALUE"""),14)</f>
        <v>14</v>
      </c>
      <c r="M147" s="1">
        <f ca="1">IFERROR(__xludf.DUMMYFUNCTION("""COMPUTED_VALUE"""),0)</f>
        <v>0</v>
      </c>
      <c r="N147" s="1">
        <f ca="1">IFERROR(__xludf.DUMMYFUNCTION("""COMPUTED_VALUE"""),3)</f>
        <v>3</v>
      </c>
      <c r="O147" s="1">
        <f ca="1">IFERROR(__xludf.DUMMYFUNCTION("""COMPUTED_VALUE"""),2)</f>
        <v>2</v>
      </c>
      <c r="P147" s="1">
        <f ca="1">IFERROR(__xludf.DUMMYFUNCTION("""COMPUTED_VALUE"""),1)</f>
        <v>1</v>
      </c>
      <c r="Q147" s="1">
        <f ca="1">IFERROR(__xludf.DUMMYFUNCTION("""COMPUTED_VALUE"""),1)</f>
        <v>1</v>
      </c>
      <c r="R147" s="1">
        <f ca="1">IFERROR(__xludf.DUMMYFUNCTION("""COMPUTED_VALUE"""),0)</f>
        <v>0</v>
      </c>
      <c r="S147" s="1">
        <f ca="1">IFERROR(__xludf.DUMMYFUNCTION("""COMPUTED_VALUE"""),1)</f>
        <v>1</v>
      </c>
      <c r="T147" s="1">
        <f ca="1">IFERROR(__xludf.DUMMYFUNCTION("""COMPUTED_VALUE"""),44305.4675231481)</f>
        <v>44305.467523148101</v>
      </c>
      <c r="U147" s="1" t="str">
        <f ca="1">IFERROR(__xludf.DUMMYFUNCTION("""COMPUTED_VALUE"""),"19.04.2021....")</f>
        <v>19.04.2021....</v>
      </c>
    </row>
    <row r="148" spans="1:21" ht="13" x14ac:dyDescent="0.15">
      <c r="A148" s="1" t="str">
        <f t="shared" ca="1" si="0"/>
        <v>MaduraiVadamalayan Hospital</v>
      </c>
      <c r="B148" s="1">
        <f ca="1">IFERROR(__xludf.DUMMYFUNCTION("""COMPUTED_VALUE"""),147)</f>
        <v>147</v>
      </c>
      <c r="C148" s="1" t="str">
        <f ca="1">IFERROR(__xludf.DUMMYFUNCTION("""COMPUTED_VALUE"""),"Madurai")</f>
        <v>Madurai</v>
      </c>
      <c r="D148" s="1" t="str">
        <f ca="1">IFERROR(__xludf.DUMMYFUNCTION("""COMPUTED_VALUE"""),"Vadamalayan Hospital")</f>
        <v>Vadamalayan Hospital</v>
      </c>
      <c r="E148" s="1">
        <f ca="1">IFERROR(__xludf.DUMMYFUNCTION("""COMPUTED_VALUE"""),60)</f>
        <v>60</v>
      </c>
      <c r="F148" s="1">
        <f ca="1">IFERROR(__xludf.DUMMYFUNCTION("""COMPUTED_VALUE"""),57)</f>
        <v>57</v>
      </c>
      <c r="G148" s="1">
        <f ca="1">IFERROR(__xludf.DUMMYFUNCTION("""COMPUTED_VALUE"""),3)</f>
        <v>3</v>
      </c>
      <c r="H148" s="1">
        <f ca="1">IFERROR(__xludf.DUMMYFUNCTION("""COMPUTED_VALUE"""),53)</f>
        <v>53</v>
      </c>
      <c r="I148" s="1">
        <f ca="1">IFERROR(__xludf.DUMMYFUNCTION("""COMPUTED_VALUE"""),50)</f>
        <v>50</v>
      </c>
      <c r="J148" s="1">
        <f ca="1">IFERROR(__xludf.DUMMYFUNCTION("""COMPUTED_VALUE"""),3)</f>
        <v>3</v>
      </c>
      <c r="K148" s="1">
        <f ca="1">IFERROR(__xludf.DUMMYFUNCTION("""COMPUTED_VALUE"""),0)</f>
        <v>0</v>
      </c>
      <c r="L148" s="1">
        <f ca="1">IFERROR(__xludf.DUMMYFUNCTION("""COMPUTED_VALUE"""),0)</f>
        <v>0</v>
      </c>
      <c r="M148" s="1">
        <f ca="1">IFERROR(__xludf.DUMMYFUNCTION("""COMPUTED_VALUE"""),0)</f>
        <v>0</v>
      </c>
      <c r="N148" s="1">
        <f ca="1">IFERROR(__xludf.DUMMYFUNCTION("""COMPUTED_VALUE"""),7)</f>
        <v>7</v>
      </c>
      <c r="O148" s="1">
        <f ca="1">IFERROR(__xludf.DUMMYFUNCTION("""COMPUTED_VALUE"""),7)</f>
        <v>7</v>
      </c>
      <c r="P148" s="1">
        <f ca="1">IFERROR(__xludf.DUMMYFUNCTION("""COMPUTED_VALUE"""),0)</f>
        <v>0</v>
      </c>
      <c r="Q148" s="1">
        <f ca="1">IFERROR(__xludf.DUMMYFUNCTION("""COMPUTED_VALUE"""),4)</f>
        <v>4</v>
      </c>
      <c r="R148" s="1">
        <f ca="1">IFERROR(__xludf.DUMMYFUNCTION("""COMPUTED_VALUE"""),4)</f>
        <v>4</v>
      </c>
      <c r="S148" s="1">
        <f ca="1">IFERROR(__xludf.DUMMYFUNCTION("""COMPUTED_VALUE"""),0)</f>
        <v>0</v>
      </c>
      <c r="T148" s="1">
        <f ca="1">IFERROR(__xludf.DUMMYFUNCTION("""COMPUTED_VALUE"""),44305.3873611111)</f>
        <v>44305.387361111098</v>
      </c>
      <c r="U148" s="1" t="str">
        <f ca="1">IFERROR(__xludf.DUMMYFUNCTION("""COMPUTED_VALUE"""),"Updated 19-04-2021")</f>
        <v>Updated 19-04-2021</v>
      </c>
    </row>
    <row r="149" spans="1:21" ht="13" x14ac:dyDescent="0.15">
      <c r="A149" s="1" t="str">
        <f t="shared" ca="1" si="0"/>
        <v>MaduraiVelammal Medical College Hospital and Research Institute</v>
      </c>
      <c r="B149" s="1">
        <f ca="1">IFERROR(__xludf.DUMMYFUNCTION("""COMPUTED_VALUE"""),148)</f>
        <v>148</v>
      </c>
      <c r="C149" s="1" t="str">
        <f ca="1">IFERROR(__xludf.DUMMYFUNCTION("""COMPUTED_VALUE"""),"Madurai")</f>
        <v>Madurai</v>
      </c>
      <c r="D149" s="1" t="str">
        <f ca="1">IFERROR(__xludf.DUMMYFUNCTION("""COMPUTED_VALUE"""),"Velammal Medical College Hospital and Research Institute")</f>
        <v>Velammal Medical College Hospital and Research Institute</v>
      </c>
      <c r="E149" s="1">
        <f ca="1">IFERROR(__xludf.DUMMYFUNCTION("""COMPUTED_VALUE"""),200)</f>
        <v>200</v>
      </c>
      <c r="F149" s="1">
        <f ca="1">IFERROR(__xludf.DUMMYFUNCTION("""COMPUTED_VALUE"""),41)</f>
        <v>41</v>
      </c>
      <c r="G149" s="1">
        <f ca="1">IFERROR(__xludf.DUMMYFUNCTION("""COMPUTED_VALUE"""),159)</f>
        <v>159</v>
      </c>
      <c r="H149" s="1">
        <f ca="1">IFERROR(__xludf.DUMMYFUNCTION("""COMPUTED_VALUE"""),70)</f>
        <v>70</v>
      </c>
      <c r="I149" s="1">
        <f ca="1">IFERROR(__xludf.DUMMYFUNCTION("""COMPUTED_VALUE"""),16)</f>
        <v>16</v>
      </c>
      <c r="J149" s="1">
        <f ca="1">IFERROR(__xludf.DUMMYFUNCTION("""COMPUTED_VALUE"""),54)</f>
        <v>54</v>
      </c>
      <c r="K149" s="1">
        <f ca="1">IFERROR(__xludf.DUMMYFUNCTION("""COMPUTED_VALUE"""),100)</f>
        <v>100</v>
      </c>
      <c r="L149" s="1">
        <f ca="1">IFERROR(__xludf.DUMMYFUNCTION("""COMPUTED_VALUE"""),15)</f>
        <v>15</v>
      </c>
      <c r="M149" s="1">
        <f ca="1">IFERROR(__xludf.DUMMYFUNCTION("""COMPUTED_VALUE"""),85)</f>
        <v>85</v>
      </c>
      <c r="N149" s="1">
        <f ca="1">IFERROR(__xludf.DUMMYFUNCTION("""COMPUTED_VALUE"""),30)</f>
        <v>30</v>
      </c>
      <c r="O149" s="1">
        <f ca="1">IFERROR(__xludf.DUMMYFUNCTION("""COMPUTED_VALUE"""),10)</f>
        <v>10</v>
      </c>
      <c r="P149" s="1">
        <f ca="1">IFERROR(__xludf.DUMMYFUNCTION("""COMPUTED_VALUE"""),20)</f>
        <v>20</v>
      </c>
      <c r="Q149" s="1">
        <f ca="1">IFERROR(__xludf.DUMMYFUNCTION("""COMPUTED_VALUE"""),15)</f>
        <v>15</v>
      </c>
      <c r="R149" s="1">
        <f ca="1">IFERROR(__xludf.DUMMYFUNCTION("""COMPUTED_VALUE"""),2)</f>
        <v>2</v>
      </c>
      <c r="S149" s="1">
        <f ca="1">IFERROR(__xludf.DUMMYFUNCTION("""COMPUTED_VALUE"""),13)</f>
        <v>13</v>
      </c>
      <c r="T149" s="1">
        <f ca="1">IFERROR(__xludf.DUMMYFUNCTION("""COMPUTED_VALUE"""),44305.4844328703)</f>
        <v>44305.484432870297</v>
      </c>
      <c r="U149" s="1" t="str">
        <f ca="1">IFERROR(__xludf.DUMMYFUNCTION("""COMPUTED_VALUE"""),"Updated....")</f>
        <v>Updated....</v>
      </c>
    </row>
    <row r="150" spans="1:21" ht="13" x14ac:dyDescent="0.15">
      <c r="A150" s="1" t="str">
        <f t="shared" ca="1" si="0"/>
        <v>MayiladuthuraiCahoj Hospital</v>
      </c>
      <c r="B150" s="1">
        <f ca="1">IFERROR(__xludf.DUMMYFUNCTION("""COMPUTED_VALUE"""),149)</f>
        <v>149</v>
      </c>
      <c r="C150" s="1" t="str">
        <f ca="1">IFERROR(__xludf.DUMMYFUNCTION("""COMPUTED_VALUE"""),"Mayiladuthurai")</f>
        <v>Mayiladuthurai</v>
      </c>
      <c r="D150" s="1" t="str">
        <f ca="1">IFERROR(__xludf.DUMMYFUNCTION("""COMPUTED_VALUE"""),"Cahoj Hospital")</f>
        <v>Cahoj Hospital</v>
      </c>
      <c r="E150" s="1">
        <f ca="1">IFERROR(__xludf.DUMMYFUNCTION("""COMPUTED_VALUE"""),12)</f>
        <v>12</v>
      </c>
      <c r="F150" s="1">
        <f ca="1">IFERROR(__xludf.DUMMYFUNCTION("""COMPUTED_VALUE"""),0)</f>
        <v>0</v>
      </c>
      <c r="G150" s="1">
        <f ca="1">IFERROR(__xludf.DUMMYFUNCTION("""COMPUTED_VALUE"""),12)</f>
        <v>12</v>
      </c>
      <c r="H150" s="1">
        <f ca="1">IFERROR(__xludf.DUMMYFUNCTION("""COMPUTED_VALUE"""),7)</f>
        <v>7</v>
      </c>
      <c r="I150" s="1">
        <f ca="1">IFERROR(__xludf.DUMMYFUNCTION("""COMPUTED_VALUE"""),0)</f>
        <v>0</v>
      </c>
      <c r="J150" s="1">
        <f ca="1">IFERROR(__xludf.DUMMYFUNCTION("""COMPUTED_VALUE"""),7)</f>
        <v>7</v>
      </c>
      <c r="K150" s="1">
        <f ca="1">IFERROR(__xludf.DUMMYFUNCTION("""COMPUTED_VALUE"""),5)</f>
        <v>5</v>
      </c>
      <c r="L150" s="1">
        <f ca="1">IFERROR(__xludf.DUMMYFUNCTION("""COMPUTED_VALUE"""),0)</f>
        <v>0</v>
      </c>
      <c r="M150" s="1">
        <f ca="1">IFERROR(__xludf.DUMMYFUNCTION("""COMPUTED_VALUE"""),5)</f>
        <v>5</v>
      </c>
      <c r="N150" s="1">
        <f ca="1">IFERROR(__xludf.DUMMYFUNCTION("""COMPUTED_VALUE"""),0)</f>
        <v>0</v>
      </c>
      <c r="O150" s="1">
        <f ca="1">IFERROR(__xludf.DUMMYFUNCTION("""COMPUTED_VALUE"""),0)</f>
        <v>0</v>
      </c>
      <c r="P150" s="1">
        <f ca="1">IFERROR(__xludf.DUMMYFUNCTION("""COMPUTED_VALUE"""),0)</f>
        <v>0</v>
      </c>
      <c r="Q150" s="1">
        <f ca="1">IFERROR(__xludf.DUMMYFUNCTION("""COMPUTED_VALUE"""),0)</f>
        <v>0</v>
      </c>
      <c r="R150" s="1">
        <f ca="1">IFERROR(__xludf.DUMMYFUNCTION("""COMPUTED_VALUE"""),0)</f>
        <v>0</v>
      </c>
      <c r="S150" s="1">
        <f ca="1">IFERROR(__xludf.DUMMYFUNCTION("""COMPUTED_VALUE"""),0)</f>
        <v>0</v>
      </c>
      <c r="T150" s="1">
        <f ca="1">IFERROR(__xludf.DUMMYFUNCTION("""COMPUTED_VALUE"""),44305.3911111111)</f>
        <v>44305.391111111101</v>
      </c>
      <c r="U150" s="1" t="str">
        <f ca="1">IFERROR(__xludf.DUMMYFUNCTION("""COMPUTED_VALUE"""),"Nil")</f>
        <v>Nil</v>
      </c>
    </row>
    <row r="151" spans="1:21" ht="13" x14ac:dyDescent="0.15">
      <c r="A151" s="1" t="str">
        <f t="shared" ca="1" si="0"/>
        <v>MayiladuthuraiRam Bone And Joint Hospial</v>
      </c>
      <c r="B151" s="1">
        <f ca="1">IFERROR(__xludf.DUMMYFUNCTION("""COMPUTED_VALUE"""),150)</f>
        <v>150</v>
      </c>
      <c r="C151" s="1" t="str">
        <f ca="1">IFERROR(__xludf.DUMMYFUNCTION("""COMPUTED_VALUE"""),"Mayiladuthurai")</f>
        <v>Mayiladuthurai</v>
      </c>
      <c r="D151" s="1" t="str">
        <f ca="1">IFERROR(__xludf.DUMMYFUNCTION("""COMPUTED_VALUE"""),"Ram Bone And Joint Hospial")</f>
        <v>Ram Bone And Joint Hospial</v>
      </c>
      <c r="E151" s="1">
        <f ca="1">IFERROR(__xludf.DUMMYFUNCTION("""COMPUTED_VALUE"""),2)</f>
        <v>2</v>
      </c>
      <c r="F151" s="1">
        <f ca="1">IFERROR(__xludf.DUMMYFUNCTION("""COMPUTED_VALUE"""),0)</f>
        <v>0</v>
      </c>
      <c r="G151" s="1">
        <f ca="1">IFERROR(__xludf.DUMMYFUNCTION("""COMPUTED_VALUE"""),2)</f>
        <v>2</v>
      </c>
      <c r="H151" s="1">
        <f ca="1">IFERROR(__xludf.DUMMYFUNCTION("""COMPUTED_VALUE"""),0)</f>
        <v>0</v>
      </c>
      <c r="I151" s="1">
        <f ca="1">IFERROR(__xludf.DUMMYFUNCTION("""COMPUTED_VALUE"""),0)</f>
        <v>0</v>
      </c>
      <c r="J151" s="1">
        <f ca="1">IFERROR(__xludf.DUMMYFUNCTION("""COMPUTED_VALUE"""),0)</f>
        <v>0</v>
      </c>
      <c r="K151" s="1">
        <f ca="1">IFERROR(__xludf.DUMMYFUNCTION("""COMPUTED_VALUE"""),2)</f>
        <v>2</v>
      </c>
      <c r="L151" s="1">
        <f ca="1">IFERROR(__xludf.DUMMYFUNCTION("""COMPUTED_VALUE"""),0)</f>
        <v>0</v>
      </c>
      <c r="M151" s="1">
        <f ca="1">IFERROR(__xludf.DUMMYFUNCTION("""COMPUTED_VALUE"""),2)</f>
        <v>2</v>
      </c>
      <c r="N151" s="1">
        <f ca="1">IFERROR(__xludf.DUMMYFUNCTION("""COMPUTED_VALUE"""),1)</f>
        <v>1</v>
      </c>
      <c r="O151" s="1">
        <f ca="1">IFERROR(__xludf.DUMMYFUNCTION("""COMPUTED_VALUE"""),0)</f>
        <v>0</v>
      </c>
      <c r="P151" s="1">
        <f ca="1">IFERROR(__xludf.DUMMYFUNCTION("""COMPUTED_VALUE"""),1)</f>
        <v>1</v>
      </c>
      <c r="Q151" s="1">
        <f ca="1">IFERROR(__xludf.DUMMYFUNCTION("""COMPUTED_VALUE"""),1)</f>
        <v>1</v>
      </c>
      <c r="R151" s="1">
        <f ca="1">IFERROR(__xludf.DUMMYFUNCTION("""COMPUTED_VALUE"""),0)</f>
        <v>0</v>
      </c>
      <c r="S151" s="1">
        <f ca="1">IFERROR(__xludf.DUMMYFUNCTION("""COMPUTED_VALUE"""),1)</f>
        <v>1</v>
      </c>
      <c r="T151" s="1">
        <f ca="1">IFERROR(__xludf.DUMMYFUNCTION("""COMPUTED_VALUE"""),44305.3596875)</f>
        <v>44305.3596875</v>
      </c>
      <c r="U151" s="1"/>
    </row>
    <row r="152" spans="1:21" ht="13" x14ac:dyDescent="0.15">
      <c r="A152" s="1" t="str">
        <f t="shared" ca="1" si="0"/>
        <v>MayiladuthuraiShanthi Nursing Home</v>
      </c>
      <c r="B152" s="1">
        <f ca="1">IFERROR(__xludf.DUMMYFUNCTION("""COMPUTED_VALUE"""),151)</f>
        <v>151</v>
      </c>
      <c r="C152" s="1" t="str">
        <f ca="1">IFERROR(__xludf.DUMMYFUNCTION("""COMPUTED_VALUE"""),"Mayiladuthurai")</f>
        <v>Mayiladuthurai</v>
      </c>
      <c r="D152" s="1" t="str">
        <f ca="1">IFERROR(__xludf.DUMMYFUNCTION("""COMPUTED_VALUE"""),"Shanthi Nursing Home")</f>
        <v>Shanthi Nursing Home</v>
      </c>
      <c r="E152" s="1">
        <f ca="1">IFERROR(__xludf.DUMMYFUNCTION("""COMPUTED_VALUE"""),5)</f>
        <v>5</v>
      </c>
      <c r="F152" s="1">
        <f ca="1">IFERROR(__xludf.DUMMYFUNCTION("""COMPUTED_VALUE"""),0)</f>
        <v>0</v>
      </c>
      <c r="G152" s="1">
        <f ca="1">IFERROR(__xludf.DUMMYFUNCTION("""COMPUTED_VALUE"""),5)</f>
        <v>5</v>
      </c>
      <c r="H152" s="1">
        <f ca="1">IFERROR(__xludf.DUMMYFUNCTION("""COMPUTED_VALUE"""),2)</f>
        <v>2</v>
      </c>
      <c r="I152" s="1">
        <f ca="1">IFERROR(__xludf.DUMMYFUNCTION("""COMPUTED_VALUE"""),0)</f>
        <v>0</v>
      </c>
      <c r="J152" s="1">
        <f ca="1">IFERROR(__xludf.DUMMYFUNCTION("""COMPUTED_VALUE"""),2)</f>
        <v>2</v>
      </c>
      <c r="K152" s="1">
        <f ca="1">IFERROR(__xludf.DUMMYFUNCTION("""COMPUTED_VALUE"""),3)</f>
        <v>3</v>
      </c>
      <c r="L152" s="1">
        <f ca="1">IFERROR(__xludf.DUMMYFUNCTION("""COMPUTED_VALUE"""),0)</f>
        <v>0</v>
      </c>
      <c r="M152" s="1">
        <f ca="1">IFERROR(__xludf.DUMMYFUNCTION("""COMPUTED_VALUE"""),3)</f>
        <v>3</v>
      </c>
      <c r="N152" s="1">
        <f ca="1">IFERROR(__xludf.DUMMYFUNCTION("""COMPUTED_VALUE"""),1)</f>
        <v>1</v>
      </c>
      <c r="O152" s="1">
        <f ca="1">IFERROR(__xludf.DUMMYFUNCTION("""COMPUTED_VALUE"""),0)</f>
        <v>0</v>
      </c>
      <c r="P152" s="1">
        <f ca="1">IFERROR(__xludf.DUMMYFUNCTION("""COMPUTED_VALUE"""),1)</f>
        <v>1</v>
      </c>
      <c r="Q152" s="1">
        <f ca="1">IFERROR(__xludf.DUMMYFUNCTION("""COMPUTED_VALUE"""),1)</f>
        <v>1</v>
      </c>
      <c r="R152" s="1">
        <f ca="1">IFERROR(__xludf.DUMMYFUNCTION("""COMPUTED_VALUE"""),0)</f>
        <v>0</v>
      </c>
      <c r="S152" s="1">
        <f ca="1">IFERROR(__xludf.DUMMYFUNCTION("""COMPUTED_VALUE"""),1)</f>
        <v>1</v>
      </c>
      <c r="T152" s="1">
        <f ca="1">IFERROR(__xludf.DUMMYFUNCTION("""COMPUTED_VALUE"""),44305.3677777777)</f>
        <v>44305.367777777697</v>
      </c>
      <c r="U152" s="1"/>
    </row>
    <row r="153" spans="1:21" ht="13" x14ac:dyDescent="0.15">
      <c r="A153" s="1" t="str">
        <f t="shared" ca="1" si="0"/>
        <v>NamakkalAravinth Hospital</v>
      </c>
      <c r="B153" s="1">
        <f ca="1">IFERROR(__xludf.DUMMYFUNCTION("""COMPUTED_VALUE"""),152)</f>
        <v>152</v>
      </c>
      <c r="C153" s="1" t="str">
        <f ca="1">IFERROR(__xludf.DUMMYFUNCTION("""COMPUTED_VALUE"""),"Namakkal")</f>
        <v>Namakkal</v>
      </c>
      <c r="D153" s="1" t="str">
        <f ca="1">IFERROR(__xludf.DUMMYFUNCTION("""COMPUTED_VALUE"""),"Aravinth Hospital")</f>
        <v>Aravinth Hospital</v>
      </c>
      <c r="E153" s="1">
        <f ca="1">IFERROR(__xludf.DUMMYFUNCTION("""COMPUTED_VALUE"""),18)</f>
        <v>18</v>
      </c>
      <c r="F153" s="1">
        <f ca="1">IFERROR(__xludf.DUMMYFUNCTION("""COMPUTED_VALUE"""),0)</f>
        <v>0</v>
      </c>
      <c r="G153" s="1">
        <f ca="1">IFERROR(__xludf.DUMMYFUNCTION("""COMPUTED_VALUE"""),18)</f>
        <v>18</v>
      </c>
      <c r="H153" s="1">
        <f ca="1">IFERROR(__xludf.DUMMYFUNCTION("""COMPUTED_VALUE"""),2)</f>
        <v>2</v>
      </c>
      <c r="I153" s="1">
        <f ca="1">IFERROR(__xludf.DUMMYFUNCTION("""COMPUTED_VALUE"""),0)</f>
        <v>0</v>
      </c>
      <c r="J153" s="1">
        <f ca="1">IFERROR(__xludf.DUMMYFUNCTION("""COMPUTED_VALUE"""),2)</f>
        <v>2</v>
      </c>
      <c r="K153" s="1">
        <f ca="1">IFERROR(__xludf.DUMMYFUNCTION("""COMPUTED_VALUE"""),16)</f>
        <v>16</v>
      </c>
      <c r="L153" s="1">
        <f ca="1">IFERROR(__xludf.DUMMYFUNCTION("""COMPUTED_VALUE"""),0)</f>
        <v>0</v>
      </c>
      <c r="M153" s="1">
        <f ca="1">IFERROR(__xludf.DUMMYFUNCTION("""COMPUTED_VALUE"""),16)</f>
        <v>16</v>
      </c>
      <c r="N153" s="1">
        <f ca="1">IFERROR(__xludf.DUMMYFUNCTION("""COMPUTED_VALUE"""),4)</f>
        <v>4</v>
      </c>
      <c r="O153" s="1">
        <f ca="1">IFERROR(__xludf.DUMMYFUNCTION("""COMPUTED_VALUE"""),0)</f>
        <v>0</v>
      </c>
      <c r="P153" s="1">
        <f ca="1">IFERROR(__xludf.DUMMYFUNCTION("""COMPUTED_VALUE"""),4)</f>
        <v>4</v>
      </c>
      <c r="Q153" s="1">
        <f ca="1">IFERROR(__xludf.DUMMYFUNCTION("""COMPUTED_VALUE"""),2)</f>
        <v>2</v>
      </c>
      <c r="R153" s="1">
        <f ca="1">IFERROR(__xludf.DUMMYFUNCTION("""COMPUTED_VALUE"""),0)</f>
        <v>0</v>
      </c>
      <c r="S153" s="1">
        <f ca="1">IFERROR(__xludf.DUMMYFUNCTION("""COMPUTED_VALUE"""),2)</f>
        <v>2</v>
      </c>
      <c r="T153" s="1">
        <f ca="1">IFERROR(__xludf.DUMMYFUNCTION("""COMPUTED_VALUE"""),44305.274074074)</f>
        <v>44305.274074073997</v>
      </c>
      <c r="U153" s="1" t="str">
        <f ca="1">IFERROR(__xludf.DUMMYFUNCTION("""COMPUTED_VALUE"""),"Reports submitted for 19.04.2021")</f>
        <v>Reports submitted for 19.04.2021</v>
      </c>
    </row>
    <row r="154" spans="1:21" ht="13" x14ac:dyDescent="0.15">
      <c r="A154" s="1" t="str">
        <f t="shared" ca="1" si="0"/>
        <v>NamakkalM.M.Hospital</v>
      </c>
      <c r="B154" s="1">
        <f ca="1">IFERROR(__xludf.DUMMYFUNCTION("""COMPUTED_VALUE"""),153)</f>
        <v>153</v>
      </c>
      <c r="C154" s="1" t="str">
        <f ca="1">IFERROR(__xludf.DUMMYFUNCTION("""COMPUTED_VALUE"""),"Namakkal")</f>
        <v>Namakkal</v>
      </c>
      <c r="D154" s="1" t="str">
        <f ca="1">IFERROR(__xludf.DUMMYFUNCTION("""COMPUTED_VALUE"""),"M.M.Hospital")</f>
        <v>M.M.Hospital</v>
      </c>
      <c r="E154" s="1">
        <f ca="1">IFERROR(__xludf.DUMMYFUNCTION("""COMPUTED_VALUE"""),44)</f>
        <v>44</v>
      </c>
      <c r="F154" s="1">
        <f ca="1">IFERROR(__xludf.DUMMYFUNCTION("""COMPUTED_VALUE"""),14)</f>
        <v>14</v>
      </c>
      <c r="G154" s="1">
        <f ca="1">IFERROR(__xludf.DUMMYFUNCTION("""COMPUTED_VALUE"""),30)</f>
        <v>30</v>
      </c>
      <c r="H154" s="1">
        <f ca="1">IFERROR(__xludf.DUMMYFUNCTION("""COMPUTED_VALUE"""),35)</f>
        <v>35</v>
      </c>
      <c r="I154" s="1">
        <f ca="1">IFERROR(__xludf.DUMMYFUNCTION("""COMPUTED_VALUE"""),14)</f>
        <v>14</v>
      </c>
      <c r="J154" s="1">
        <f ca="1">IFERROR(__xludf.DUMMYFUNCTION("""COMPUTED_VALUE"""),21)</f>
        <v>21</v>
      </c>
      <c r="K154" s="1">
        <f ca="1">IFERROR(__xludf.DUMMYFUNCTION("""COMPUTED_VALUE"""),0)</f>
        <v>0</v>
      </c>
      <c r="L154" s="1">
        <f ca="1">IFERROR(__xludf.DUMMYFUNCTION("""COMPUTED_VALUE"""),0)</f>
        <v>0</v>
      </c>
      <c r="M154" s="1">
        <f ca="1">IFERROR(__xludf.DUMMYFUNCTION("""COMPUTED_VALUE"""),0)</f>
        <v>0</v>
      </c>
      <c r="N154" s="1">
        <f ca="1">IFERROR(__xludf.DUMMYFUNCTION("""COMPUTED_VALUE"""),5)</f>
        <v>5</v>
      </c>
      <c r="O154" s="1">
        <f ca="1">IFERROR(__xludf.DUMMYFUNCTION("""COMPUTED_VALUE"""),0)</f>
        <v>0</v>
      </c>
      <c r="P154" s="1">
        <f ca="1">IFERROR(__xludf.DUMMYFUNCTION("""COMPUTED_VALUE"""),5)</f>
        <v>5</v>
      </c>
      <c r="Q154" s="1">
        <f ca="1">IFERROR(__xludf.DUMMYFUNCTION("""COMPUTED_VALUE"""),4)</f>
        <v>4</v>
      </c>
      <c r="R154" s="1">
        <f ca="1">IFERROR(__xludf.DUMMYFUNCTION("""COMPUTED_VALUE"""),0)</f>
        <v>0</v>
      </c>
      <c r="S154" s="1">
        <f ca="1">IFERROR(__xludf.DUMMYFUNCTION("""COMPUTED_VALUE"""),4)</f>
        <v>4</v>
      </c>
      <c r="T154" s="1">
        <f ca="1">IFERROR(__xludf.DUMMYFUNCTION("""COMPUTED_VALUE"""),44305.2920023148)</f>
        <v>44305.292002314804</v>
      </c>
      <c r="U154" s="1" t="str">
        <f ca="1">IFERROR(__xludf.DUMMYFUNCTION("""COMPUTED_VALUE"""),"M M HOSPITAL REPORT UPDATE FOR 19.04.2021")</f>
        <v>M M HOSPITAL REPORT UPDATE FOR 19.04.2021</v>
      </c>
    </row>
    <row r="155" spans="1:21" ht="13" x14ac:dyDescent="0.15">
      <c r="A155" s="1" t="str">
        <f t="shared" ca="1" si="0"/>
        <v>NamakkalMaharaja Speciality Hospital</v>
      </c>
      <c r="B155" s="1">
        <f ca="1">IFERROR(__xludf.DUMMYFUNCTION("""COMPUTED_VALUE"""),154)</f>
        <v>154</v>
      </c>
      <c r="C155" s="1" t="str">
        <f ca="1">IFERROR(__xludf.DUMMYFUNCTION("""COMPUTED_VALUE"""),"Namakkal")</f>
        <v>Namakkal</v>
      </c>
      <c r="D155" s="1" t="str">
        <f ca="1">IFERROR(__xludf.DUMMYFUNCTION("""COMPUTED_VALUE"""),"Maharaja Speciality Hospital")</f>
        <v>Maharaja Speciality Hospital</v>
      </c>
      <c r="E155" s="1">
        <f ca="1">IFERROR(__xludf.DUMMYFUNCTION("""COMPUTED_VALUE"""),25)</f>
        <v>25</v>
      </c>
      <c r="F155" s="1">
        <f ca="1">IFERROR(__xludf.DUMMYFUNCTION("""COMPUTED_VALUE"""),8)</f>
        <v>8</v>
      </c>
      <c r="G155" s="1">
        <f ca="1">IFERROR(__xludf.DUMMYFUNCTION("""COMPUTED_VALUE"""),17)</f>
        <v>17</v>
      </c>
      <c r="H155" s="1">
        <f ca="1">IFERROR(__xludf.DUMMYFUNCTION("""COMPUTED_VALUE"""),25)</f>
        <v>25</v>
      </c>
      <c r="I155" s="1">
        <f ca="1">IFERROR(__xludf.DUMMYFUNCTION("""COMPUTED_VALUE"""),5)</f>
        <v>5</v>
      </c>
      <c r="J155" s="1">
        <f ca="1">IFERROR(__xludf.DUMMYFUNCTION("""COMPUTED_VALUE"""),17)</f>
        <v>17</v>
      </c>
      <c r="K155" s="1">
        <f ca="1">IFERROR(__xludf.DUMMYFUNCTION("""COMPUTED_VALUE"""),3)</f>
        <v>3</v>
      </c>
      <c r="L155" s="1">
        <f ca="1">IFERROR(__xludf.DUMMYFUNCTION("""COMPUTED_VALUE"""),0)</f>
        <v>0</v>
      </c>
      <c r="M155" s="1">
        <f ca="1">IFERROR(__xludf.DUMMYFUNCTION("""COMPUTED_VALUE"""),0)</f>
        <v>0</v>
      </c>
      <c r="N155" s="1">
        <f ca="1">IFERROR(__xludf.DUMMYFUNCTION("""COMPUTED_VALUE"""),7)</f>
        <v>7</v>
      </c>
      <c r="O155" s="1">
        <f ca="1">IFERROR(__xludf.DUMMYFUNCTION("""COMPUTED_VALUE"""),0)</f>
        <v>0</v>
      </c>
      <c r="P155" s="1">
        <f ca="1">IFERROR(__xludf.DUMMYFUNCTION("""COMPUTED_VALUE"""),7)</f>
        <v>7</v>
      </c>
      <c r="Q155" s="1">
        <f ca="1">IFERROR(__xludf.DUMMYFUNCTION("""COMPUTED_VALUE"""),2)</f>
        <v>2</v>
      </c>
      <c r="R155" s="1">
        <f ca="1">IFERROR(__xludf.DUMMYFUNCTION("""COMPUTED_VALUE"""),0)</f>
        <v>0</v>
      </c>
      <c r="S155" s="1">
        <f ca="1">IFERROR(__xludf.DUMMYFUNCTION("""COMPUTED_VALUE"""),2)</f>
        <v>2</v>
      </c>
      <c r="T155" s="1">
        <f ca="1">IFERROR(__xludf.DUMMYFUNCTION("""COMPUTED_VALUE"""),44305.0687731481)</f>
        <v>44305.068773148101</v>
      </c>
      <c r="U155" s="1" t="str">
        <f ca="1">IFERROR(__xludf.DUMMYFUNCTION("""COMPUTED_VALUE"""),"Report submitted on : 19.04.2021")</f>
        <v>Report submitted on : 19.04.2021</v>
      </c>
    </row>
    <row r="156" spans="1:21" ht="13" x14ac:dyDescent="0.15">
      <c r="A156" s="1" t="str">
        <f t="shared" ca="1" si="0"/>
        <v>NamakkalThangam Hospital</v>
      </c>
      <c r="B156" s="1">
        <f ca="1">IFERROR(__xludf.DUMMYFUNCTION("""COMPUTED_VALUE"""),155)</f>
        <v>155</v>
      </c>
      <c r="C156" s="1" t="str">
        <f ca="1">IFERROR(__xludf.DUMMYFUNCTION("""COMPUTED_VALUE"""),"Namakkal")</f>
        <v>Namakkal</v>
      </c>
      <c r="D156" s="1" t="str">
        <f ca="1">IFERROR(__xludf.DUMMYFUNCTION("""COMPUTED_VALUE"""),"Thangam Hospital")</f>
        <v>Thangam Hospital</v>
      </c>
      <c r="E156" s="1">
        <f ca="1">IFERROR(__xludf.DUMMYFUNCTION("""COMPUTED_VALUE"""),18)</f>
        <v>18</v>
      </c>
      <c r="F156" s="1">
        <f ca="1">IFERROR(__xludf.DUMMYFUNCTION("""COMPUTED_VALUE"""),17)</f>
        <v>17</v>
      </c>
      <c r="G156" s="1">
        <f ca="1">IFERROR(__xludf.DUMMYFUNCTION("""COMPUTED_VALUE"""),1)</f>
        <v>1</v>
      </c>
      <c r="H156" s="1">
        <f ca="1">IFERROR(__xludf.DUMMYFUNCTION("""COMPUTED_VALUE"""),18)</f>
        <v>18</v>
      </c>
      <c r="I156" s="1">
        <f ca="1">IFERROR(__xludf.DUMMYFUNCTION("""COMPUTED_VALUE"""),17)</f>
        <v>17</v>
      </c>
      <c r="J156" s="1">
        <f ca="1">IFERROR(__xludf.DUMMYFUNCTION("""COMPUTED_VALUE"""),1)</f>
        <v>1</v>
      </c>
      <c r="K156" s="1">
        <f ca="1">IFERROR(__xludf.DUMMYFUNCTION("""COMPUTED_VALUE"""),0)</f>
        <v>0</v>
      </c>
      <c r="L156" s="1">
        <f ca="1">IFERROR(__xludf.DUMMYFUNCTION("""COMPUTED_VALUE"""),0)</f>
        <v>0</v>
      </c>
      <c r="M156" s="1">
        <f ca="1">IFERROR(__xludf.DUMMYFUNCTION("""COMPUTED_VALUE"""),0)</f>
        <v>0</v>
      </c>
      <c r="N156" s="1">
        <f ca="1">IFERROR(__xludf.DUMMYFUNCTION("""COMPUTED_VALUE"""),4)</f>
        <v>4</v>
      </c>
      <c r="O156" s="1">
        <f ca="1">IFERROR(__xludf.DUMMYFUNCTION("""COMPUTED_VALUE"""),4)</f>
        <v>4</v>
      </c>
      <c r="P156" s="1">
        <f ca="1">IFERROR(__xludf.DUMMYFUNCTION("""COMPUTED_VALUE"""),0)</f>
        <v>0</v>
      </c>
      <c r="Q156" s="1">
        <f ca="1">IFERROR(__xludf.DUMMYFUNCTION("""COMPUTED_VALUE"""),1)</f>
        <v>1</v>
      </c>
      <c r="R156" s="1">
        <f ca="1">IFERROR(__xludf.DUMMYFUNCTION("""COMPUTED_VALUE"""),0)</f>
        <v>0</v>
      </c>
      <c r="S156" s="1">
        <f ca="1">IFERROR(__xludf.DUMMYFUNCTION("""COMPUTED_VALUE"""),1)</f>
        <v>1</v>
      </c>
      <c r="T156" s="1">
        <f ca="1">IFERROR(__xludf.DUMMYFUNCTION("""COMPUTED_VALUE"""),44305.2943634259)</f>
        <v>44305.294363425899</v>
      </c>
      <c r="U156" s="1" t="str">
        <f ca="1">IFERROR(__xludf.DUMMYFUNCTION("""COMPUTED_VALUE"""),"Submitted on 19.04.2021")</f>
        <v>Submitted on 19.04.2021</v>
      </c>
    </row>
    <row r="157" spans="1:21" ht="13" x14ac:dyDescent="0.15">
      <c r="A157" s="1" t="str">
        <f t="shared" ca="1" si="0"/>
        <v>NamakkalVivekanandha Medical Care Hospital</v>
      </c>
      <c r="B157" s="1">
        <f ca="1">IFERROR(__xludf.DUMMYFUNCTION("""COMPUTED_VALUE"""),156)</f>
        <v>156</v>
      </c>
      <c r="C157" s="1" t="str">
        <f ca="1">IFERROR(__xludf.DUMMYFUNCTION("""COMPUTED_VALUE"""),"Namakkal")</f>
        <v>Namakkal</v>
      </c>
      <c r="D157" s="1" t="str">
        <f ca="1">IFERROR(__xludf.DUMMYFUNCTION("""COMPUTED_VALUE"""),"Vivekanandha Medical Care Hospital")</f>
        <v>Vivekanandha Medical Care Hospital</v>
      </c>
      <c r="E157" s="1">
        <f ca="1">IFERROR(__xludf.DUMMYFUNCTION("""COMPUTED_VALUE"""),100)</f>
        <v>100</v>
      </c>
      <c r="F157" s="1">
        <f ca="1">IFERROR(__xludf.DUMMYFUNCTION("""COMPUTED_VALUE"""),17)</f>
        <v>17</v>
      </c>
      <c r="G157" s="1">
        <f ca="1">IFERROR(__xludf.DUMMYFUNCTION("""COMPUTED_VALUE"""),83)</f>
        <v>83</v>
      </c>
      <c r="H157" s="1">
        <f ca="1">IFERROR(__xludf.DUMMYFUNCTION("""COMPUTED_VALUE"""),20)</f>
        <v>20</v>
      </c>
      <c r="I157" s="1">
        <f ca="1">IFERROR(__xludf.DUMMYFUNCTION("""COMPUTED_VALUE"""),1)</f>
        <v>1</v>
      </c>
      <c r="J157" s="1">
        <f ca="1">IFERROR(__xludf.DUMMYFUNCTION("""COMPUTED_VALUE"""),19)</f>
        <v>19</v>
      </c>
      <c r="K157" s="1">
        <f ca="1">IFERROR(__xludf.DUMMYFUNCTION("""COMPUTED_VALUE"""),75)</f>
        <v>75</v>
      </c>
      <c r="L157" s="1">
        <f ca="1">IFERROR(__xludf.DUMMYFUNCTION("""COMPUTED_VALUE"""),14)</f>
        <v>14</v>
      </c>
      <c r="M157" s="1">
        <f ca="1">IFERROR(__xludf.DUMMYFUNCTION("""COMPUTED_VALUE"""),61)</f>
        <v>61</v>
      </c>
      <c r="N157" s="1">
        <f ca="1">IFERROR(__xludf.DUMMYFUNCTION("""COMPUTED_VALUE"""),5)</f>
        <v>5</v>
      </c>
      <c r="O157" s="1">
        <f ca="1">IFERROR(__xludf.DUMMYFUNCTION("""COMPUTED_VALUE"""),2)</f>
        <v>2</v>
      </c>
      <c r="P157" s="1">
        <f ca="1">IFERROR(__xludf.DUMMYFUNCTION("""COMPUTED_VALUE"""),3)</f>
        <v>3</v>
      </c>
      <c r="Q157" s="1">
        <f ca="1">IFERROR(__xludf.DUMMYFUNCTION("""COMPUTED_VALUE"""),5)</f>
        <v>5</v>
      </c>
      <c r="R157" s="1">
        <f ca="1">IFERROR(__xludf.DUMMYFUNCTION("""COMPUTED_VALUE"""),0)</f>
        <v>0</v>
      </c>
      <c r="S157" s="1">
        <f ca="1">IFERROR(__xludf.DUMMYFUNCTION("""COMPUTED_VALUE"""),5)</f>
        <v>5</v>
      </c>
      <c r="T157" s="1">
        <f ca="1">IFERROR(__xludf.DUMMYFUNCTION("""COMPUTED_VALUE"""),44305.3051504629)</f>
        <v>44305.305150462897</v>
      </c>
      <c r="U157" s="1" t="str">
        <f ca="1">IFERROR(__xludf.DUMMYFUNCTION("""COMPUTED_VALUE"""),"Dat19.04.2021 time. 6.18am")</f>
        <v>Dat19.04.2021 time. 6.18am</v>
      </c>
    </row>
    <row r="158" spans="1:21" ht="13" x14ac:dyDescent="0.15">
      <c r="A158" s="1" t="str">
        <f t="shared" ca="1" si="0"/>
        <v>TheNilgirisAshwini Gudalur Tribal Hospital</v>
      </c>
      <c r="B158" s="1">
        <f ca="1">IFERROR(__xludf.DUMMYFUNCTION("""COMPUTED_VALUE"""),157)</f>
        <v>157</v>
      </c>
      <c r="C158" s="1" t="str">
        <f ca="1">IFERROR(__xludf.DUMMYFUNCTION("""COMPUTED_VALUE"""),"TheNilgiris")</f>
        <v>TheNilgiris</v>
      </c>
      <c r="D158" s="1" t="str">
        <f ca="1">IFERROR(__xludf.DUMMYFUNCTION("""COMPUTED_VALUE"""),"Ashwini Gudalur Tribal Hospital")</f>
        <v>Ashwini Gudalur Tribal Hospital</v>
      </c>
      <c r="E158" s="1">
        <f ca="1">IFERROR(__xludf.DUMMYFUNCTION("""COMPUTED_VALUE"""),12)</f>
        <v>12</v>
      </c>
      <c r="F158" s="1">
        <f ca="1">IFERROR(__xludf.DUMMYFUNCTION("""COMPUTED_VALUE"""),0)</f>
        <v>0</v>
      </c>
      <c r="G158" s="1">
        <f ca="1">IFERROR(__xludf.DUMMYFUNCTION("""COMPUTED_VALUE"""),12)</f>
        <v>12</v>
      </c>
      <c r="H158" s="1">
        <f ca="1">IFERROR(__xludf.DUMMYFUNCTION("""COMPUTED_VALUE"""),4)</f>
        <v>4</v>
      </c>
      <c r="I158" s="1">
        <f ca="1">IFERROR(__xludf.DUMMYFUNCTION("""COMPUTED_VALUE"""),0)</f>
        <v>0</v>
      </c>
      <c r="J158" s="1">
        <f ca="1">IFERROR(__xludf.DUMMYFUNCTION("""COMPUTED_VALUE"""),4)</f>
        <v>4</v>
      </c>
      <c r="K158" s="1">
        <f ca="1">IFERROR(__xludf.DUMMYFUNCTION("""COMPUTED_VALUE"""),8)</f>
        <v>8</v>
      </c>
      <c r="L158" s="1">
        <f ca="1">IFERROR(__xludf.DUMMYFUNCTION("""COMPUTED_VALUE"""),0)</f>
        <v>0</v>
      </c>
      <c r="M158" s="1">
        <f ca="1">IFERROR(__xludf.DUMMYFUNCTION("""COMPUTED_VALUE"""),8)</f>
        <v>8</v>
      </c>
      <c r="N158" s="1">
        <f ca="1">IFERROR(__xludf.DUMMYFUNCTION("""COMPUTED_VALUE"""),0)</f>
        <v>0</v>
      </c>
      <c r="O158" s="1">
        <f ca="1">IFERROR(__xludf.DUMMYFUNCTION("""COMPUTED_VALUE"""),0)</f>
        <v>0</v>
      </c>
      <c r="P158" s="1">
        <f ca="1">IFERROR(__xludf.DUMMYFUNCTION("""COMPUTED_VALUE"""),0)</f>
        <v>0</v>
      </c>
      <c r="Q158" s="1">
        <f ca="1">IFERROR(__xludf.DUMMYFUNCTION("""COMPUTED_VALUE"""),0)</f>
        <v>0</v>
      </c>
      <c r="R158" s="1">
        <f ca="1">IFERROR(__xludf.DUMMYFUNCTION("""COMPUTED_VALUE"""),0)</f>
        <v>0</v>
      </c>
      <c r="S158" s="1">
        <f ca="1">IFERROR(__xludf.DUMMYFUNCTION("""COMPUTED_VALUE"""),0)</f>
        <v>0</v>
      </c>
      <c r="T158" s="1">
        <f ca="1">IFERROR(__xludf.DUMMYFUNCTION("""COMPUTED_VALUE"""),44305.3620486111)</f>
        <v>44305.362048611103</v>
      </c>
      <c r="U158" s="1" t="str">
        <f ca="1">IFERROR(__xludf.DUMMYFUNCTION("""COMPUTED_VALUE"""),"19.04.2021")</f>
        <v>19.04.2021</v>
      </c>
    </row>
    <row r="159" spans="1:21" ht="13" x14ac:dyDescent="0.15">
      <c r="A159" s="1" t="str">
        <f t="shared" ca="1" si="0"/>
        <v>TheNilgirisNankam Hospital</v>
      </c>
      <c r="B159" s="1">
        <f ca="1">IFERROR(__xludf.DUMMYFUNCTION("""COMPUTED_VALUE"""),158)</f>
        <v>158</v>
      </c>
      <c r="C159" s="1" t="str">
        <f ca="1">IFERROR(__xludf.DUMMYFUNCTION("""COMPUTED_VALUE"""),"TheNilgiris")</f>
        <v>TheNilgiris</v>
      </c>
      <c r="D159" s="1" t="str">
        <f ca="1">IFERROR(__xludf.DUMMYFUNCTION("""COMPUTED_VALUE"""),"Nankam Hospital")</f>
        <v>Nankam Hospital</v>
      </c>
      <c r="E159" s="1">
        <f ca="1">IFERROR(__xludf.DUMMYFUNCTION("""COMPUTED_VALUE"""),15)</f>
        <v>15</v>
      </c>
      <c r="F159" s="1">
        <f ca="1">IFERROR(__xludf.DUMMYFUNCTION("""COMPUTED_VALUE"""),14)</f>
        <v>14</v>
      </c>
      <c r="G159" s="1">
        <f ca="1">IFERROR(__xludf.DUMMYFUNCTION("""COMPUTED_VALUE"""),1)</f>
        <v>1</v>
      </c>
      <c r="H159" s="1">
        <f ca="1">IFERROR(__xludf.DUMMYFUNCTION("""COMPUTED_VALUE"""),0)</f>
        <v>0</v>
      </c>
      <c r="I159" s="1">
        <f ca="1">IFERROR(__xludf.DUMMYFUNCTION("""COMPUTED_VALUE"""),0)</f>
        <v>0</v>
      </c>
      <c r="J159" s="1">
        <f ca="1">IFERROR(__xludf.DUMMYFUNCTION("""COMPUTED_VALUE"""),0)</f>
        <v>0</v>
      </c>
      <c r="K159" s="1">
        <f ca="1">IFERROR(__xludf.DUMMYFUNCTION("""COMPUTED_VALUE"""),15)</f>
        <v>15</v>
      </c>
      <c r="L159" s="1">
        <f ca="1">IFERROR(__xludf.DUMMYFUNCTION("""COMPUTED_VALUE"""),15)</f>
        <v>15</v>
      </c>
      <c r="M159" s="1">
        <f ca="1">IFERROR(__xludf.DUMMYFUNCTION("""COMPUTED_VALUE"""),0)</f>
        <v>0</v>
      </c>
      <c r="N159" s="1">
        <f ca="1">IFERROR(__xludf.DUMMYFUNCTION("""COMPUTED_VALUE"""),0)</f>
        <v>0</v>
      </c>
      <c r="O159" s="1">
        <f ca="1">IFERROR(__xludf.DUMMYFUNCTION("""COMPUTED_VALUE"""),0)</f>
        <v>0</v>
      </c>
      <c r="P159" s="1">
        <f ca="1">IFERROR(__xludf.DUMMYFUNCTION("""COMPUTED_VALUE"""),0)</f>
        <v>0</v>
      </c>
      <c r="Q159" s="1">
        <f ca="1">IFERROR(__xludf.DUMMYFUNCTION("""COMPUTED_VALUE"""),2)</f>
        <v>2</v>
      </c>
      <c r="R159" s="1">
        <f ca="1">IFERROR(__xludf.DUMMYFUNCTION("""COMPUTED_VALUE"""),0)</f>
        <v>0</v>
      </c>
      <c r="S159" s="1">
        <f ca="1">IFERROR(__xludf.DUMMYFUNCTION("""COMPUTED_VALUE"""),2)</f>
        <v>2</v>
      </c>
      <c r="T159" s="1">
        <f ca="1">IFERROR(__xludf.DUMMYFUNCTION("""COMPUTED_VALUE"""),44305.4293287037)</f>
        <v>44305.4293287037</v>
      </c>
      <c r="U159" s="1" t="str">
        <f ca="1">IFERROR(__xludf.DUMMYFUNCTION("""COMPUTED_VALUE"""),"19.04.2021")</f>
        <v>19.04.2021</v>
      </c>
    </row>
    <row r="160" spans="1:21" ht="13" x14ac:dyDescent="0.15">
      <c r="A160" s="1" t="str">
        <f t="shared" ca="1" si="0"/>
        <v>TheNilgirisSagayamatha Hospital</v>
      </c>
      <c r="B160" s="1">
        <f ca="1">IFERROR(__xludf.DUMMYFUNCTION("""COMPUTED_VALUE"""),159)</f>
        <v>159</v>
      </c>
      <c r="C160" s="1" t="str">
        <f ca="1">IFERROR(__xludf.DUMMYFUNCTION("""COMPUTED_VALUE"""),"TheNilgiris")</f>
        <v>TheNilgiris</v>
      </c>
      <c r="D160" s="1" t="str">
        <f ca="1">IFERROR(__xludf.DUMMYFUNCTION("""COMPUTED_VALUE"""),"Sagayamatha Hospital")</f>
        <v>Sagayamatha Hospital</v>
      </c>
      <c r="E160" s="1">
        <f ca="1">IFERROR(__xludf.DUMMYFUNCTION("""COMPUTED_VALUE"""),0)</f>
        <v>0</v>
      </c>
      <c r="F160" s="1">
        <f ca="1">IFERROR(__xludf.DUMMYFUNCTION("""COMPUTED_VALUE"""),0)</f>
        <v>0</v>
      </c>
      <c r="G160" s="1">
        <f ca="1">IFERROR(__xludf.DUMMYFUNCTION("""COMPUTED_VALUE"""),0)</f>
        <v>0</v>
      </c>
      <c r="H160" s="1">
        <f ca="1">IFERROR(__xludf.DUMMYFUNCTION("""COMPUTED_VALUE"""),0)</f>
        <v>0</v>
      </c>
      <c r="I160" s="1">
        <f ca="1">IFERROR(__xludf.DUMMYFUNCTION("""COMPUTED_VALUE"""),0)</f>
        <v>0</v>
      </c>
      <c r="J160" s="1">
        <f ca="1">IFERROR(__xludf.DUMMYFUNCTION("""COMPUTED_VALUE"""),0)</f>
        <v>0</v>
      </c>
      <c r="K160" s="1">
        <f ca="1">IFERROR(__xludf.DUMMYFUNCTION("""COMPUTED_VALUE"""),0)</f>
        <v>0</v>
      </c>
      <c r="L160" s="1">
        <f ca="1">IFERROR(__xludf.DUMMYFUNCTION("""COMPUTED_VALUE"""),0)</f>
        <v>0</v>
      </c>
      <c r="M160" s="1">
        <f ca="1">IFERROR(__xludf.DUMMYFUNCTION("""COMPUTED_VALUE"""),0)</f>
        <v>0</v>
      </c>
      <c r="N160" s="1">
        <f ca="1">IFERROR(__xludf.DUMMYFUNCTION("""COMPUTED_VALUE"""),0)</f>
        <v>0</v>
      </c>
      <c r="O160" s="1">
        <f ca="1">IFERROR(__xludf.DUMMYFUNCTION("""COMPUTED_VALUE"""),0)</f>
        <v>0</v>
      </c>
      <c r="P160" s="1">
        <f ca="1">IFERROR(__xludf.DUMMYFUNCTION("""COMPUTED_VALUE"""),0)</f>
        <v>0</v>
      </c>
      <c r="Q160" s="1">
        <f ca="1">IFERROR(__xludf.DUMMYFUNCTION("""COMPUTED_VALUE"""),0)</f>
        <v>0</v>
      </c>
      <c r="R160" s="1">
        <f ca="1">IFERROR(__xludf.DUMMYFUNCTION("""COMPUTED_VALUE"""),0)</f>
        <v>0</v>
      </c>
      <c r="S160" s="1">
        <f ca="1">IFERROR(__xludf.DUMMYFUNCTION("""COMPUTED_VALUE"""),0)</f>
        <v>0</v>
      </c>
      <c r="T160" s="1">
        <f ca="1">IFERROR(__xludf.DUMMYFUNCTION("""COMPUTED_VALUE"""),44305.4355208333)</f>
        <v>44305.4355208333</v>
      </c>
      <c r="U160" s="1" t="str">
        <f ca="1">IFERROR(__xludf.DUMMYFUNCTION("""COMPUTED_VALUE"""),"19/04/2021")</f>
        <v>19/04/2021</v>
      </c>
    </row>
    <row r="161" spans="1:21" ht="13" x14ac:dyDescent="0.15">
      <c r="A161" s="1" t="str">
        <f t="shared" ca="1" si="0"/>
        <v>PerambalurAmma Hospital Thuraimangalam</v>
      </c>
      <c r="B161" s="1">
        <f ca="1">IFERROR(__xludf.DUMMYFUNCTION("""COMPUTED_VALUE"""),160)</f>
        <v>160</v>
      </c>
      <c r="C161" s="1" t="str">
        <f ca="1">IFERROR(__xludf.DUMMYFUNCTION("""COMPUTED_VALUE"""),"Perambalur")</f>
        <v>Perambalur</v>
      </c>
      <c r="D161" s="1" t="str">
        <f ca="1">IFERROR(__xludf.DUMMYFUNCTION("""COMPUTED_VALUE"""),"Amma Hospital Thuraimangalam")</f>
        <v>Amma Hospital Thuraimangalam</v>
      </c>
      <c r="E161" s="1">
        <f ca="1">IFERROR(__xludf.DUMMYFUNCTION("""COMPUTED_VALUE"""),5)</f>
        <v>5</v>
      </c>
      <c r="F161" s="1">
        <f ca="1">IFERROR(__xludf.DUMMYFUNCTION("""COMPUTED_VALUE"""),0)</f>
        <v>0</v>
      </c>
      <c r="G161" s="1">
        <f ca="1">IFERROR(__xludf.DUMMYFUNCTION("""COMPUTED_VALUE"""),0)</f>
        <v>0</v>
      </c>
      <c r="H161" s="1">
        <f ca="1">IFERROR(__xludf.DUMMYFUNCTION("""COMPUTED_VALUE"""),0)</f>
        <v>0</v>
      </c>
      <c r="I161" s="1">
        <f ca="1">IFERROR(__xludf.DUMMYFUNCTION("""COMPUTED_VALUE"""),0)</f>
        <v>0</v>
      </c>
      <c r="J161" s="1">
        <f ca="1">IFERROR(__xludf.DUMMYFUNCTION("""COMPUTED_VALUE"""),0)</f>
        <v>0</v>
      </c>
      <c r="K161" s="1">
        <f ca="1">IFERROR(__xludf.DUMMYFUNCTION("""COMPUTED_VALUE"""),0)</f>
        <v>0</v>
      </c>
      <c r="L161" s="1">
        <f ca="1">IFERROR(__xludf.DUMMYFUNCTION("""COMPUTED_VALUE"""),0)</f>
        <v>0</v>
      </c>
      <c r="M161" s="1">
        <f ca="1">IFERROR(__xludf.DUMMYFUNCTION("""COMPUTED_VALUE"""),0)</f>
        <v>0</v>
      </c>
      <c r="N161" s="1">
        <f ca="1">IFERROR(__xludf.DUMMYFUNCTION("""COMPUTED_VALUE"""),0)</f>
        <v>0</v>
      </c>
      <c r="O161" s="1">
        <f ca="1">IFERROR(__xludf.DUMMYFUNCTION("""COMPUTED_VALUE"""),0)</f>
        <v>0</v>
      </c>
      <c r="P161" s="1">
        <f ca="1">IFERROR(__xludf.DUMMYFUNCTION("""COMPUTED_VALUE"""),0)</f>
        <v>0</v>
      </c>
      <c r="Q161" s="1">
        <f ca="1">IFERROR(__xludf.DUMMYFUNCTION("""COMPUTED_VALUE"""),0)</f>
        <v>0</v>
      </c>
      <c r="R161" s="1">
        <f ca="1">IFERROR(__xludf.DUMMYFUNCTION("""COMPUTED_VALUE"""),0)</f>
        <v>0</v>
      </c>
      <c r="S161" s="1">
        <f ca="1">IFERROR(__xludf.DUMMYFUNCTION("""COMPUTED_VALUE"""),0)</f>
        <v>0</v>
      </c>
      <c r="T161" s="1">
        <f ca="1">IFERROR(__xludf.DUMMYFUNCTION("""COMPUTED_VALUE"""),44302.524849537)</f>
        <v>44302.524849537003</v>
      </c>
      <c r="U161" s="1" t="str">
        <f ca="1">IFERROR(__xludf.DUMMYFUNCTION("""COMPUTED_VALUE"""),"Report on 16.04.2021")</f>
        <v>Report on 16.04.2021</v>
      </c>
    </row>
    <row r="162" spans="1:21" ht="13" x14ac:dyDescent="0.15">
      <c r="A162" s="1" t="str">
        <f t="shared" ca="1" si="0"/>
        <v>PerambalurAruptha Multispeciality Hospital</v>
      </c>
      <c r="B162" s="1">
        <f ca="1">IFERROR(__xludf.DUMMYFUNCTION("""COMPUTED_VALUE"""),161)</f>
        <v>161</v>
      </c>
      <c r="C162" s="1" t="str">
        <f ca="1">IFERROR(__xludf.DUMMYFUNCTION("""COMPUTED_VALUE"""),"Perambalur")</f>
        <v>Perambalur</v>
      </c>
      <c r="D162" s="1" t="str">
        <f ca="1">IFERROR(__xludf.DUMMYFUNCTION("""COMPUTED_VALUE"""),"Aruptha Multispeciality Hospital")</f>
        <v>Aruptha Multispeciality Hospital</v>
      </c>
      <c r="E162" s="1">
        <f ca="1">IFERROR(__xludf.DUMMYFUNCTION("""COMPUTED_VALUE"""),7)</f>
        <v>7</v>
      </c>
      <c r="F162" s="1">
        <f ca="1">IFERROR(__xludf.DUMMYFUNCTION("""COMPUTED_VALUE"""),0)</f>
        <v>0</v>
      </c>
      <c r="G162" s="1">
        <f ca="1">IFERROR(__xludf.DUMMYFUNCTION("""COMPUTED_VALUE"""),7)</f>
        <v>7</v>
      </c>
      <c r="H162" s="1">
        <f ca="1">IFERROR(__xludf.DUMMYFUNCTION("""COMPUTED_VALUE"""),0)</f>
        <v>0</v>
      </c>
      <c r="I162" s="1">
        <f ca="1">IFERROR(__xludf.DUMMYFUNCTION("""COMPUTED_VALUE"""),0)</f>
        <v>0</v>
      </c>
      <c r="J162" s="1">
        <f ca="1">IFERROR(__xludf.DUMMYFUNCTION("""COMPUTED_VALUE"""),0)</f>
        <v>0</v>
      </c>
      <c r="K162" s="1">
        <f ca="1">IFERROR(__xludf.DUMMYFUNCTION("""COMPUTED_VALUE"""),7)</f>
        <v>7</v>
      </c>
      <c r="L162" s="1">
        <f ca="1">IFERROR(__xludf.DUMMYFUNCTION("""COMPUTED_VALUE"""),0)</f>
        <v>0</v>
      </c>
      <c r="M162" s="1">
        <f ca="1">IFERROR(__xludf.DUMMYFUNCTION("""COMPUTED_VALUE"""),0)</f>
        <v>0</v>
      </c>
      <c r="N162" s="1">
        <f ca="1">IFERROR(__xludf.DUMMYFUNCTION("""COMPUTED_VALUE"""),0)</f>
        <v>0</v>
      </c>
      <c r="O162" s="1">
        <f ca="1">IFERROR(__xludf.DUMMYFUNCTION("""COMPUTED_VALUE"""),0)</f>
        <v>0</v>
      </c>
      <c r="P162" s="1">
        <f ca="1">IFERROR(__xludf.DUMMYFUNCTION("""COMPUTED_VALUE"""),0)</f>
        <v>0</v>
      </c>
      <c r="Q162" s="1">
        <f ca="1">IFERROR(__xludf.DUMMYFUNCTION("""COMPUTED_VALUE"""),0)</f>
        <v>0</v>
      </c>
      <c r="R162" s="1">
        <f ca="1">IFERROR(__xludf.DUMMYFUNCTION("""COMPUTED_VALUE"""),0)</f>
        <v>0</v>
      </c>
      <c r="S162" s="1">
        <f ca="1">IFERROR(__xludf.DUMMYFUNCTION("""COMPUTED_VALUE"""),0)</f>
        <v>0</v>
      </c>
      <c r="T162" s="1">
        <f ca="1">IFERROR(__xludf.DUMMYFUNCTION("""COMPUTED_VALUE"""),44302.5218981481)</f>
        <v>44302.521898148101</v>
      </c>
      <c r="U162" s="1" t="str">
        <f ca="1">IFERROR(__xludf.DUMMYFUNCTION("""COMPUTED_VALUE"""),"Today Report on 16.04.2021")</f>
        <v>Today Report on 16.04.2021</v>
      </c>
    </row>
    <row r="163" spans="1:21" ht="13" x14ac:dyDescent="0.15">
      <c r="A163" s="1" t="str">
        <f t="shared" ca="1" si="0"/>
        <v>PerambalurDevi Hospital Elambalur</v>
      </c>
      <c r="B163" s="1">
        <f ca="1">IFERROR(__xludf.DUMMYFUNCTION("""COMPUTED_VALUE"""),162)</f>
        <v>162</v>
      </c>
      <c r="C163" s="1" t="str">
        <f ca="1">IFERROR(__xludf.DUMMYFUNCTION("""COMPUTED_VALUE"""),"Perambalur")</f>
        <v>Perambalur</v>
      </c>
      <c r="D163" s="1" t="str">
        <f ca="1">IFERROR(__xludf.DUMMYFUNCTION("""COMPUTED_VALUE"""),"Devi Hospital Elambalur")</f>
        <v>Devi Hospital Elambalur</v>
      </c>
      <c r="E163" s="1">
        <f ca="1">IFERROR(__xludf.DUMMYFUNCTION("""COMPUTED_VALUE"""),0)</f>
        <v>0</v>
      </c>
      <c r="F163" s="1">
        <f ca="1">IFERROR(__xludf.DUMMYFUNCTION("""COMPUTED_VALUE"""),0)</f>
        <v>0</v>
      </c>
      <c r="G163" s="1">
        <f ca="1">IFERROR(__xludf.DUMMYFUNCTION("""COMPUTED_VALUE"""),0)</f>
        <v>0</v>
      </c>
      <c r="H163" s="1">
        <f ca="1">IFERROR(__xludf.DUMMYFUNCTION("""COMPUTED_VALUE"""),0)</f>
        <v>0</v>
      </c>
      <c r="I163" s="1">
        <f ca="1">IFERROR(__xludf.DUMMYFUNCTION("""COMPUTED_VALUE"""),0)</f>
        <v>0</v>
      </c>
      <c r="J163" s="1">
        <f ca="1">IFERROR(__xludf.DUMMYFUNCTION("""COMPUTED_VALUE"""),0)</f>
        <v>0</v>
      </c>
      <c r="K163" s="1">
        <f ca="1">IFERROR(__xludf.DUMMYFUNCTION("""COMPUTED_VALUE"""),0)</f>
        <v>0</v>
      </c>
      <c r="L163" s="1">
        <f ca="1">IFERROR(__xludf.DUMMYFUNCTION("""COMPUTED_VALUE"""),0)</f>
        <v>0</v>
      </c>
      <c r="M163" s="1">
        <f ca="1">IFERROR(__xludf.DUMMYFUNCTION("""COMPUTED_VALUE"""),0)</f>
        <v>0</v>
      </c>
      <c r="N163" s="1">
        <f ca="1">IFERROR(__xludf.DUMMYFUNCTION("""COMPUTED_VALUE"""),0)</f>
        <v>0</v>
      </c>
      <c r="O163" s="1">
        <f ca="1">IFERROR(__xludf.DUMMYFUNCTION("""COMPUTED_VALUE"""),0)</f>
        <v>0</v>
      </c>
      <c r="P163" s="1">
        <f ca="1">IFERROR(__xludf.DUMMYFUNCTION("""COMPUTED_VALUE"""),0)</f>
        <v>0</v>
      </c>
      <c r="Q163" s="1">
        <f ca="1">IFERROR(__xludf.DUMMYFUNCTION("""COMPUTED_VALUE"""),0)</f>
        <v>0</v>
      </c>
      <c r="R163" s="1">
        <f ca="1">IFERROR(__xludf.DUMMYFUNCTION("""COMPUTED_VALUE"""),0)</f>
        <v>0</v>
      </c>
      <c r="S163" s="1">
        <f ca="1">IFERROR(__xludf.DUMMYFUNCTION("""COMPUTED_VALUE"""),0)</f>
        <v>0</v>
      </c>
      <c r="T163" s="1">
        <f ca="1">IFERROR(__xludf.DUMMYFUNCTION("""COMPUTED_VALUE"""),44302.5243402777)</f>
        <v>44302.524340277698</v>
      </c>
      <c r="U163" s="1" t="str">
        <f ca="1">IFERROR(__xludf.DUMMYFUNCTION("""COMPUTED_VALUE"""),"Report on 16.04.2021")</f>
        <v>Report on 16.04.2021</v>
      </c>
    </row>
    <row r="164" spans="1:21" ht="13" x14ac:dyDescent="0.15">
      <c r="A164" s="1" t="str">
        <f t="shared" ca="1" si="0"/>
        <v>PerambalurDhanalakshmisrinivasan Medical College And Hospital</v>
      </c>
      <c r="B164" s="1">
        <f ca="1">IFERROR(__xludf.DUMMYFUNCTION("""COMPUTED_VALUE"""),163)</f>
        <v>163</v>
      </c>
      <c r="C164" s="1" t="str">
        <f ca="1">IFERROR(__xludf.DUMMYFUNCTION("""COMPUTED_VALUE"""),"Perambalur")</f>
        <v>Perambalur</v>
      </c>
      <c r="D164" s="1" t="str">
        <f ca="1">IFERROR(__xludf.DUMMYFUNCTION("""COMPUTED_VALUE"""),"Dhanalakshmisrinivasan Medical College And Hospital")</f>
        <v>Dhanalakshmisrinivasan Medical College And Hospital</v>
      </c>
      <c r="E164" s="1">
        <f ca="1">IFERROR(__xludf.DUMMYFUNCTION("""COMPUTED_VALUE"""),180)</f>
        <v>180</v>
      </c>
      <c r="F164" s="1">
        <f ca="1">IFERROR(__xludf.DUMMYFUNCTION("""COMPUTED_VALUE"""),39)</f>
        <v>39</v>
      </c>
      <c r="G164" s="1">
        <f ca="1">IFERROR(__xludf.DUMMYFUNCTION("""COMPUTED_VALUE"""),141)</f>
        <v>141</v>
      </c>
      <c r="H164" s="1">
        <f ca="1">IFERROR(__xludf.DUMMYFUNCTION("""COMPUTED_VALUE"""),60)</f>
        <v>60</v>
      </c>
      <c r="I164" s="1">
        <f ca="1">IFERROR(__xludf.DUMMYFUNCTION("""COMPUTED_VALUE"""),39)</f>
        <v>39</v>
      </c>
      <c r="J164" s="1">
        <f ca="1">IFERROR(__xludf.DUMMYFUNCTION("""COMPUTED_VALUE"""),21)</f>
        <v>21</v>
      </c>
      <c r="K164" s="1">
        <f ca="1">IFERROR(__xludf.DUMMYFUNCTION("""COMPUTED_VALUE"""),120)</f>
        <v>120</v>
      </c>
      <c r="L164" s="1">
        <f ca="1">IFERROR(__xludf.DUMMYFUNCTION("""COMPUTED_VALUE"""),0)</f>
        <v>0</v>
      </c>
      <c r="M164" s="1">
        <f ca="1">IFERROR(__xludf.DUMMYFUNCTION("""COMPUTED_VALUE"""),120)</f>
        <v>120</v>
      </c>
      <c r="N164" s="1">
        <f ca="1">IFERROR(__xludf.DUMMYFUNCTION("""COMPUTED_VALUE"""),10)</f>
        <v>10</v>
      </c>
      <c r="O164" s="1">
        <f ca="1">IFERROR(__xludf.DUMMYFUNCTION("""COMPUTED_VALUE"""),0)</f>
        <v>0</v>
      </c>
      <c r="P164" s="1">
        <f ca="1">IFERROR(__xludf.DUMMYFUNCTION("""COMPUTED_VALUE"""),10)</f>
        <v>10</v>
      </c>
      <c r="Q164" s="1">
        <f ca="1">IFERROR(__xludf.DUMMYFUNCTION("""COMPUTED_VALUE"""),10)</f>
        <v>10</v>
      </c>
      <c r="R164" s="1">
        <f ca="1">IFERROR(__xludf.DUMMYFUNCTION("""COMPUTED_VALUE"""),0)</f>
        <v>0</v>
      </c>
      <c r="S164" s="1">
        <f ca="1">IFERROR(__xludf.DUMMYFUNCTION("""COMPUTED_VALUE"""),10)</f>
        <v>10</v>
      </c>
      <c r="T164" s="1">
        <f ca="1">IFERROR(__xludf.DUMMYFUNCTION("""COMPUTED_VALUE"""),44305.4692708333)</f>
        <v>44305.469270833302</v>
      </c>
      <c r="U164" s="1" t="str">
        <f ca="1">IFERROR(__xludf.DUMMYFUNCTION("""COMPUTED_VALUE"""),"Nill.")</f>
        <v>Nill.</v>
      </c>
    </row>
    <row r="165" spans="1:21" ht="13" x14ac:dyDescent="0.15">
      <c r="A165" s="1" t="str">
        <f t="shared" ca="1" si="0"/>
        <v>PerambalurDr. Venkatesan Hospital</v>
      </c>
      <c r="B165" s="1">
        <f ca="1">IFERROR(__xludf.DUMMYFUNCTION("""COMPUTED_VALUE"""),164)</f>
        <v>164</v>
      </c>
      <c r="C165" s="1" t="str">
        <f ca="1">IFERROR(__xludf.DUMMYFUNCTION("""COMPUTED_VALUE"""),"Perambalur")</f>
        <v>Perambalur</v>
      </c>
      <c r="D165" s="1" t="str">
        <f ca="1">IFERROR(__xludf.DUMMYFUNCTION("""COMPUTED_VALUE"""),"Dr. Venkatesan Hospital")</f>
        <v>Dr. Venkatesan Hospital</v>
      </c>
      <c r="E165" s="1">
        <f ca="1">IFERROR(__xludf.DUMMYFUNCTION("""COMPUTED_VALUE"""),7)</f>
        <v>7</v>
      </c>
      <c r="F165" s="1">
        <f ca="1">IFERROR(__xludf.DUMMYFUNCTION("""COMPUTED_VALUE"""),0)</f>
        <v>0</v>
      </c>
      <c r="G165" s="1">
        <f ca="1">IFERROR(__xludf.DUMMYFUNCTION("""COMPUTED_VALUE"""),0)</f>
        <v>0</v>
      </c>
      <c r="H165" s="1">
        <f ca="1">IFERROR(__xludf.DUMMYFUNCTION("""COMPUTED_VALUE"""),2)</f>
        <v>2</v>
      </c>
      <c r="I165" s="1">
        <f ca="1">IFERROR(__xludf.DUMMYFUNCTION("""COMPUTED_VALUE"""),0)</f>
        <v>0</v>
      </c>
      <c r="J165" s="1">
        <f ca="1">IFERROR(__xludf.DUMMYFUNCTION("""COMPUTED_VALUE"""),2)</f>
        <v>2</v>
      </c>
      <c r="K165" s="1">
        <f ca="1">IFERROR(__xludf.DUMMYFUNCTION("""COMPUTED_VALUE"""),2)</f>
        <v>2</v>
      </c>
      <c r="L165" s="1">
        <f ca="1">IFERROR(__xludf.DUMMYFUNCTION("""COMPUTED_VALUE"""),0)</f>
        <v>0</v>
      </c>
      <c r="M165" s="1">
        <f ca="1">IFERROR(__xludf.DUMMYFUNCTION("""COMPUTED_VALUE"""),2)</f>
        <v>2</v>
      </c>
      <c r="N165" s="1">
        <f ca="1">IFERROR(__xludf.DUMMYFUNCTION("""COMPUTED_VALUE"""),1)</f>
        <v>1</v>
      </c>
      <c r="O165" s="1">
        <f ca="1">IFERROR(__xludf.DUMMYFUNCTION("""COMPUTED_VALUE"""),0)</f>
        <v>0</v>
      </c>
      <c r="P165" s="1">
        <f ca="1">IFERROR(__xludf.DUMMYFUNCTION("""COMPUTED_VALUE"""),1)</f>
        <v>1</v>
      </c>
      <c r="Q165" s="1">
        <f ca="1">IFERROR(__xludf.DUMMYFUNCTION("""COMPUTED_VALUE"""),0)</f>
        <v>0</v>
      </c>
      <c r="R165" s="1">
        <f ca="1">IFERROR(__xludf.DUMMYFUNCTION("""COMPUTED_VALUE"""),0)</f>
        <v>0</v>
      </c>
      <c r="S165" s="1">
        <f ca="1">IFERROR(__xludf.DUMMYFUNCTION("""COMPUTED_VALUE"""),0)</f>
        <v>0</v>
      </c>
      <c r="T165" s="1">
        <f ca="1">IFERROR(__xludf.DUMMYFUNCTION("""COMPUTED_VALUE"""),44302.5222800925)</f>
        <v>44302.522280092497</v>
      </c>
      <c r="U165" s="1" t="str">
        <f ca="1">IFERROR(__xludf.DUMMYFUNCTION("""COMPUTED_VALUE"""),"Report on 16.04.2021")</f>
        <v>Report on 16.04.2021</v>
      </c>
    </row>
    <row r="166" spans="1:21" ht="13" x14ac:dyDescent="0.15">
      <c r="A166" s="1" t="str">
        <f t="shared" ca="1" si="0"/>
        <v>PerambalurLakshmi Nursing Home</v>
      </c>
      <c r="B166" s="1">
        <f ca="1">IFERROR(__xludf.DUMMYFUNCTION("""COMPUTED_VALUE"""),165)</f>
        <v>165</v>
      </c>
      <c r="C166" s="1" t="str">
        <f ca="1">IFERROR(__xludf.DUMMYFUNCTION("""COMPUTED_VALUE"""),"Perambalur")</f>
        <v>Perambalur</v>
      </c>
      <c r="D166" s="1" t="str">
        <f ca="1">IFERROR(__xludf.DUMMYFUNCTION("""COMPUTED_VALUE"""),"Lakshmi Nursing Home")</f>
        <v>Lakshmi Nursing Home</v>
      </c>
      <c r="E166" s="1">
        <f ca="1">IFERROR(__xludf.DUMMYFUNCTION("""COMPUTED_VALUE"""),10)</f>
        <v>10</v>
      </c>
      <c r="F166" s="1">
        <f ca="1">IFERROR(__xludf.DUMMYFUNCTION("""COMPUTED_VALUE"""),0)</f>
        <v>0</v>
      </c>
      <c r="G166" s="1">
        <f ca="1">IFERROR(__xludf.DUMMYFUNCTION("""COMPUTED_VALUE"""),10)</f>
        <v>10</v>
      </c>
      <c r="H166" s="1">
        <f ca="1">IFERROR(__xludf.DUMMYFUNCTION("""COMPUTED_VALUE"""),4)</f>
        <v>4</v>
      </c>
      <c r="I166" s="1">
        <f ca="1">IFERROR(__xludf.DUMMYFUNCTION("""COMPUTED_VALUE"""),0)</f>
        <v>0</v>
      </c>
      <c r="J166" s="1">
        <f ca="1">IFERROR(__xludf.DUMMYFUNCTION("""COMPUTED_VALUE"""),4)</f>
        <v>4</v>
      </c>
      <c r="K166" s="1">
        <f ca="1">IFERROR(__xludf.DUMMYFUNCTION("""COMPUTED_VALUE"""),3)</f>
        <v>3</v>
      </c>
      <c r="L166" s="1">
        <f ca="1">IFERROR(__xludf.DUMMYFUNCTION("""COMPUTED_VALUE"""),0)</f>
        <v>0</v>
      </c>
      <c r="M166" s="1">
        <f ca="1">IFERROR(__xludf.DUMMYFUNCTION("""COMPUTED_VALUE"""),3)</f>
        <v>3</v>
      </c>
      <c r="N166" s="1">
        <f ca="1">IFERROR(__xludf.DUMMYFUNCTION("""COMPUTED_VALUE"""),3)</f>
        <v>3</v>
      </c>
      <c r="O166" s="1">
        <f ca="1">IFERROR(__xludf.DUMMYFUNCTION("""COMPUTED_VALUE"""),0)</f>
        <v>0</v>
      </c>
      <c r="P166" s="1">
        <f ca="1">IFERROR(__xludf.DUMMYFUNCTION("""COMPUTED_VALUE"""),3)</f>
        <v>3</v>
      </c>
      <c r="Q166" s="1">
        <f ca="1">IFERROR(__xludf.DUMMYFUNCTION("""COMPUTED_VALUE"""),2)</f>
        <v>2</v>
      </c>
      <c r="R166" s="1">
        <f ca="1">IFERROR(__xludf.DUMMYFUNCTION("""COMPUTED_VALUE"""),0)</f>
        <v>0</v>
      </c>
      <c r="S166" s="1">
        <f ca="1">IFERROR(__xludf.DUMMYFUNCTION("""COMPUTED_VALUE"""),2)</f>
        <v>2</v>
      </c>
      <c r="T166" s="1">
        <f ca="1">IFERROR(__xludf.DUMMYFUNCTION("""COMPUTED_VALUE"""),44302.5226388888)</f>
        <v>44302.522638888797</v>
      </c>
      <c r="U166" s="1" t="str">
        <f ca="1">IFERROR(__xludf.DUMMYFUNCTION("""COMPUTED_VALUE"""),"Today report 16-04-2021")</f>
        <v>Today report 16-04-2021</v>
      </c>
    </row>
    <row r="167" spans="1:21" ht="13" x14ac:dyDescent="0.15">
      <c r="A167" s="1" t="str">
        <f t="shared" ca="1" si="0"/>
        <v>PerambalurMadhu Hospital</v>
      </c>
      <c r="B167" s="1">
        <f ca="1">IFERROR(__xludf.DUMMYFUNCTION("""COMPUTED_VALUE"""),166)</f>
        <v>166</v>
      </c>
      <c r="C167" s="1" t="str">
        <f ca="1">IFERROR(__xludf.DUMMYFUNCTION("""COMPUTED_VALUE"""),"Perambalur")</f>
        <v>Perambalur</v>
      </c>
      <c r="D167" s="1" t="str">
        <f ca="1">IFERROR(__xludf.DUMMYFUNCTION("""COMPUTED_VALUE"""),"Madhu Hospital")</f>
        <v>Madhu Hospital</v>
      </c>
      <c r="E167" s="1">
        <f ca="1">IFERROR(__xludf.DUMMYFUNCTION("""COMPUTED_VALUE"""),3)</f>
        <v>3</v>
      </c>
      <c r="F167" s="1">
        <f ca="1">IFERROR(__xludf.DUMMYFUNCTION("""COMPUTED_VALUE"""),0)</f>
        <v>0</v>
      </c>
      <c r="G167" s="1">
        <f ca="1">IFERROR(__xludf.DUMMYFUNCTION("""COMPUTED_VALUE"""),0)</f>
        <v>0</v>
      </c>
      <c r="H167" s="1">
        <f ca="1">IFERROR(__xludf.DUMMYFUNCTION("""COMPUTED_VALUE"""),0)</f>
        <v>0</v>
      </c>
      <c r="I167" s="1">
        <f ca="1">IFERROR(__xludf.DUMMYFUNCTION("""COMPUTED_VALUE"""),0)</f>
        <v>0</v>
      </c>
      <c r="J167" s="1">
        <f ca="1">IFERROR(__xludf.DUMMYFUNCTION("""COMPUTED_VALUE"""),0)</f>
        <v>0</v>
      </c>
      <c r="K167" s="1">
        <f ca="1">IFERROR(__xludf.DUMMYFUNCTION("""COMPUTED_VALUE"""),0)</f>
        <v>0</v>
      </c>
      <c r="L167" s="1">
        <f ca="1">IFERROR(__xludf.DUMMYFUNCTION("""COMPUTED_VALUE"""),0)</f>
        <v>0</v>
      </c>
      <c r="M167" s="1">
        <f ca="1">IFERROR(__xludf.DUMMYFUNCTION("""COMPUTED_VALUE"""),0)</f>
        <v>0</v>
      </c>
      <c r="N167" s="1">
        <f ca="1">IFERROR(__xludf.DUMMYFUNCTION("""COMPUTED_VALUE"""),0)</f>
        <v>0</v>
      </c>
      <c r="O167" s="1">
        <f ca="1">IFERROR(__xludf.DUMMYFUNCTION("""COMPUTED_VALUE"""),0)</f>
        <v>0</v>
      </c>
      <c r="P167" s="1">
        <f ca="1">IFERROR(__xludf.DUMMYFUNCTION("""COMPUTED_VALUE"""),0)</f>
        <v>0</v>
      </c>
      <c r="Q167" s="1">
        <f ca="1">IFERROR(__xludf.DUMMYFUNCTION("""COMPUTED_VALUE"""),0)</f>
        <v>0</v>
      </c>
      <c r="R167" s="1">
        <f ca="1">IFERROR(__xludf.DUMMYFUNCTION("""COMPUTED_VALUE"""),0)</f>
        <v>0</v>
      </c>
      <c r="S167" s="1">
        <f ca="1">IFERROR(__xludf.DUMMYFUNCTION("""COMPUTED_VALUE"""),0)</f>
        <v>0</v>
      </c>
      <c r="T167" s="1">
        <f ca="1">IFERROR(__xludf.DUMMYFUNCTION("""COMPUTED_VALUE"""),44302.5231944444)</f>
        <v>44302.523194444402</v>
      </c>
      <c r="U167" s="1" t="str">
        <f ca="1">IFERROR(__xludf.DUMMYFUNCTION("""COMPUTED_VALUE"""),"Report 16.04.2021")</f>
        <v>Report 16.04.2021</v>
      </c>
    </row>
    <row r="168" spans="1:21" ht="13" x14ac:dyDescent="0.15">
      <c r="A168" s="1" t="str">
        <f t="shared" ca="1" si="0"/>
        <v>PerambalurNiranjan Nursing Home</v>
      </c>
      <c r="B168" s="1">
        <f ca="1">IFERROR(__xludf.DUMMYFUNCTION("""COMPUTED_VALUE"""),167)</f>
        <v>167</v>
      </c>
      <c r="C168" s="1" t="str">
        <f ca="1">IFERROR(__xludf.DUMMYFUNCTION("""COMPUTED_VALUE"""),"Perambalur")</f>
        <v>Perambalur</v>
      </c>
      <c r="D168" s="1" t="str">
        <f ca="1">IFERROR(__xludf.DUMMYFUNCTION("""COMPUTED_VALUE"""),"Niranjan Nursing Home")</f>
        <v>Niranjan Nursing Home</v>
      </c>
      <c r="E168" s="1">
        <f ca="1">IFERROR(__xludf.DUMMYFUNCTION("""COMPUTED_VALUE"""),7)</f>
        <v>7</v>
      </c>
      <c r="F168" s="1">
        <f ca="1">IFERROR(__xludf.DUMMYFUNCTION("""COMPUTED_VALUE"""),0)</f>
        <v>0</v>
      </c>
      <c r="G168" s="1">
        <f ca="1">IFERROR(__xludf.DUMMYFUNCTION("""COMPUTED_VALUE"""),7)</f>
        <v>7</v>
      </c>
      <c r="H168" s="1">
        <f ca="1">IFERROR(__xludf.DUMMYFUNCTION("""COMPUTED_VALUE"""),0)</f>
        <v>0</v>
      </c>
      <c r="I168" s="1">
        <f ca="1">IFERROR(__xludf.DUMMYFUNCTION("""COMPUTED_VALUE"""),0)</f>
        <v>0</v>
      </c>
      <c r="J168" s="1">
        <f ca="1">IFERROR(__xludf.DUMMYFUNCTION("""COMPUTED_VALUE"""),0)</f>
        <v>0</v>
      </c>
      <c r="K168" s="1">
        <f ca="1">IFERROR(__xludf.DUMMYFUNCTION("""COMPUTED_VALUE"""),7)</f>
        <v>7</v>
      </c>
      <c r="L168" s="1">
        <f ca="1">IFERROR(__xludf.DUMMYFUNCTION("""COMPUTED_VALUE"""),0)</f>
        <v>0</v>
      </c>
      <c r="M168" s="1">
        <f ca="1">IFERROR(__xludf.DUMMYFUNCTION("""COMPUTED_VALUE"""),7)</f>
        <v>7</v>
      </c>
      <c r="N168" s="1">
        <f ca="1">IFERROR(__xludf.DUMMYFUNCTION("""COMPUTED_VALUE"""),0)</f>
        <v>0</v>
      </c>
      <c r="O168" s="1">
        <f ca="1">IFERROR(__xludf.DUMMYFUNCTION("""COMPUTED_VALUE"""),0)</f>
        <v>0</v>
      </c>
      <c r="P168" s="1">
        <f ca="1">IFERROR(__xludf.DUMMYFUNCTION("""COMPUTED_VALUE"""),0)</f>
        <v>0</v>
      </c>
      <c r="Q168" s="1">
        <f ca="1">IFERROR(__xludf.DUMMYFUNCTION("""COMPUTED_VALUE"""),1)</f>
        <v>1</v>
      </c>
      <c r="R168" s="1">
        <f ca="1">IFERROR(__xludf.DUMMYFUNCTION("""COMPUTED_VALUE"""),0)</f>
        <v>0</v>
      </c>
      <c r="S168" s="1">
        <f ca="1">IFERROR(__xludf.DUMMYFUNCTION("""COMPUTED_VALUE"""),1)</f>
        <v>1</v>
      </c>
      <c r="T168" s="1">
        <f ca="1">IFERROR(__xludf.DUMMYFUNCTION("""COMPUTED_VALUE"""),44303.4445717592)</f>
        <v>44303.444571759203</v>
      </c>
      <c r="U168" s="1" t="str">
        <f ca="1">IFERROR(__xludf.DUMMYFUNCTION("""COMPUTED_VALUE"""),"Report on 17.04.2021")</f>
        <v>Report on 17.04.2021</v>
      </c>
    </row>
    <row r="169" spans="1:21" ht="13" x14ac:dyDescent="0.15">
      <c r="A169" s="1" t="str">
        <f t="shared" ca="1" si="0"/>
        <v>PerambalurPedro Nursing Home</v>
      </c>
      <c r="B169" s="1">
        <f ca="1">IFERROR(__xludf.DUMMYFUNCTION("""COMPUTED_VALUE"""),168)</f>
        <v>168</v>
      </c>
      <c r="C169" s="1" t="str">
        <f ca="1">IFERROR(__xludf.DUMMYFUNCTION("""COMPUTED_VALUE"""),"Perambalur")</f>
        <v>Perambalur</v>
      </c>
      <c r="D169" s="1" t="str">
        <f ca="1">IFERROR(__xludf.DUMMYFUNCTION("""COMPUTED_VALUE"""),"Pedro Nursing Home")</f>
        <v>Pedro Nursing Home</v>
      </c>
      <c r="E169" s="1">
        <f ca="1">IFERROR(__xludf.DUMMYFUNCTION("""COMPUTED_VALUE"""),0)</f>
        <v>0</v>
      </c>
      <c r="F169" s="1">
        <f ca="1">IFERROR(__xludf.DUMMYFUNCTION("""COMPUTED_VALUE"""),0)</f>
        <v>0</v>
      </c>
      <c r="G169" s="1">
        <f ca="1">IFERROR(__xludf.DUMMYFUNCTION("""COMPUTED_VALUE"""),0)</f>
        <v>0</v>
      </c>
      <c r="H169" s="1">
        <f ca="1">IFERROR(__xludf.DUMMYFUNCTION("""COMPUTED_VALUE"""),0)</f>
        <v>0</v>
      </c>
      <c r="I169" s="1">
        <f ca="1">IFERROR(__xludf.DUMMYFUNCTION("""COMPUTED_VALUE"""),0)</f>
        <v>0</v>
      </c>
      <c r="J169" s="1">
        <f ca="1">IFERROR(__xludf.DUMMYFUNCTION("""COMPUTED_VALUE"""),0)</f>
        <v>0</v>
      </c>
      <c r="K169" s="1">
        <f ca="1">IFERROR(__xludf.DUMMYFUNCTION("""COMPUTED_VALUE"""),0)</f>
        <v>0</v>
      </c>
      <c r="L169" s="1">
        <f ca="1">IFERROR(__xludf.DUMMYFUNCTION("""COMPUTED_VALUE"""),0)</f>
        <v>0</v>
      </c>
      <c r="M169" s="1">
        <f ca="1">IFERROR(__xludf.DUMMYFUNCTION("""COMPUTED_VALUE"""),0)</f>
        <v>0</v>
      </c>
      <c r="N169" s="1">
        <f ca="1">IFERROR(__xludf.DUMMYFUNCTION("""COMPUTED_VALUE"""),0)</f>
        <v>0</v>
      </c>
      <c r="O169" s="1">
        <f ca="1">IFERROR(__xludf.DUMMYFUNCTION("""COMPUTED_VALUE"""),0)</f>
        <v>0</v>
      </c>
      <c r="P169" s="1">
        <f ca="1">IFERROR(__xludf.DUMMYFUNCTION("""COMPUTED_VALUE"""),0)</f>
        <v>0</v>
      </c>
      <c r="Q169" s="1">
        <f ca="1">IFERROR(__xludf.DUMMYFUNCTION("""COMPUTED_VALUE"""),0)</f>
        <v>0</v>
      </c>
      <c r="R169" s="1">
        <f ca="1">IFERROR(__xludf.DUMMYFUNCTION("""COMPUTED_VALUE"""),0)</f>
        <v>0</v>
      </c>
      <c r="S169" s="1">
        <f ca="1">IFERROR(__xludf.DUMMYFUNCTION("""COMPUTED_VALUE"""),0)</f>
        <v>0</v>
      </c>
      <c r="T169" s="1">
        <f ca="1">IFERROR(__xludf.DUMMYFUNCTION("""COMPUTED_VALUE"""),44302.5246064814)</f>
        <v>44302.524606481398</v>
      </c>
      <c r="U169" s="1" t="str">
        <f ca="1">IFERROR(__xludf.DUMMYFUNCTION("""COMPUTED_VALUE"""),"Report on 16.04.2021")</f>
        <v>Report on 16.04.2021</v>
      </c>
    </row>
    <row r="170" spans="1:21" ht="13" x14ac:dyDescent="0.15">
      <c r="A170" s="1" t="str">
        <f t="shared" ca="1" si="0"/>
        <v>PerambalurRamasamy Hospital</v>
      </c>
      <c r="B170" s="1">
        <f ca="1">IFERROR(__xludf.DUMMYFUNCTION("""COMPUTED_VALUE"""),169)</f>
        <v>169</v>
      </c>
      <c r="C170" s="1" t="str">
        <f ca="1">IFERROR(__xludf.DUMMYFUNCTION("""COMPUTED_VALUE"""),"Perambalur")</f>
        <v>Perambalur</v>
      </c>
      <c r="D170" s="1" t="str">
        <f ca="1">IFERROR(__xludf.DUMMYFUNCTION("""COMPUTED_VALUE"""),"Ramasamy Hospital")</f>
        <v>Ramasamy Hospital</v>
      </c>
      <c r="E170" s="1">
        <f ca="1">IFERROR(__xludf.DUMMYFUNCTION("""COMPUTED_VALUE"""),7)</f>
        <v>7</v>
      </c>
      <c r="F170" s="1">
        <f ca="1">IFERROR(__xludf.DUMMYFUNCTION("""COMPUTED_VALUE"""),0)</f>
        <v>0</v>
      </c>
      <c r="G170" s="1">
        <f ca="1">IFERROR(__xludf.DUMMYFUNCTION("""COMPUTED_VALUE"""),7)</f>
        <v>7</v>
      </c>
      <c r="H170" s="1">
        <f ca="1">IFERROR(__xludf.DUMMYFUNCTION("""COMPUTED_VALUE"""),7)</f>
        <v>7</v>
      </c>
      <c r="I170" s="1">
        <f ca="1">IFERROR(__xludf.DUMMYFUNCTION("""COMPUTED_VALUE"""),0)</f>
        <v>0</v>
      </c>
      <c r="J170" s="1">
        <f ca="1">IFERROR(__xludf.DUMMYFUNCTION("""COMPUTED_VALUE"""),0)</f>
        <v>0</v>
      </c>
      <c r="K170" s="1">
        <f ca="1">IFERROR(__xludf.DUMMYFUNCTION("""COMPUTED_VALUE"""),0)</f>
        <v>0</v>
      </c>
      <c r="L170" s="1">
        <f ca="1">IFERROR(__xludf.DUMMYFUNCTION("""COMPUTED_VALUE"""),0)</f>
        <v>0</v>
      </c>
      <c r="M170" s="1">
        <f ca="1">IFERROR(__xludf.DUMMYFUNCTION("""COMPUTED_VALUE"""),0)</f>
        <v>0</v>
      </c>
      <c r="N170" s="1">
        <f ca="1">IFERROR(__xludf.DUMMYFUNCTION("""COMPUTED_VALUE"""),0)</f>
        <v>0</v>
      </c>
      <c r="O170" s="1">
        <f ca="1">IFERROR(__xludf.DUMMYFUNCTION("""COMPUTED_VALUE"""),0)</f>
        <v>0</v>
      </c>
      <c r="P170" s="1">
        <f ca="1">IFERROR(__xludf.DUMMYFUNCTION("""COMPUTED_VALUE"""),0)</f>
        <v>0</v>
      </c>
      <c r="Q170" s="1">
        <f ca="1">IFERROR(__xludf.DUMMYFUNCTION("""COMPUTED_VALUE"""),0)</f>
        <v>0</v>
      </c>
      <c r="R170" s="1">
        <f ca="1">IFERROR(__xludf.DUMMYFUNCTION("""COMPUTED_VALUE"""),0)</f>
        <v>0</v>
      </c>
      <c r="S170" s="1">
        <f ca="1">IFERROR(__xludf.DUMMYFUNCTION("""COMPUTED_VALUE"""),0)</f>
        <v>0</v>
      </c>
      <c r="T170" s="1">
        <f ca="1">IFERROR(__xludf.DUMMYFUNCTION("""COMPUTED_VALUE"""),44302.5229282407)</f>
        <v>44302.522928240702</v>
      </c>
      <c r="U170" s="1" t="str">
        <f ca="1">IFERROR(__xludf.DUMMYFUNCTION("""COMPUTED_VALUE"""),"Report on 16.04.2021")</f>
        <v>Report on 16.04.2021</v>
      </c>
    </row>
    <row r="171" spans="1:21" ht="13" x14ac:dyDescent="0.15">
      <c r="A171" s="1" t="str">
        <f t="shared" ca="1" si="0"/>
        <v>PerambalurSiva Hospital</v>
      </c>
      <c r="B171" s="1">
        <f ca="1">IFERROR(__xludf.DUMMYFUNCTION("""COMPUTED_VALUE"""),170)</f>
        <v>170</v>
      </c>
      <c r="C171" s="1" t="str">
        <f ca="1">IFERROR(__xludf.DUMMYFUNCTION("""COMPUTED_VALUE"""),"Perambalur")</f>
        <v>Perambalur</v>
      </c>
      <c r="D171" s="1" t="str">
        <f ca="1">IFERROR(__xludf.DUMMYFUNCTION("""COMPUTED_VALUE"""),"Siva Hospital")</f>
        <v>Siva Hospital</v>
      </c>
      <c r="E171" s="1">
        <f ca="1">IFERROR(__xludf.DUMMYFUNCTION("""COMPUTED_VALUE"""),0)</f>
        <v>0</v>
      </c>
      <c r="F171" s="1">
        <f ca="1">IFERROR(__xludf.DUMMYFUNCTION("""COMPUTED_VALUE"""),0)</f>
        <v>0</v>
      </c>
      <c r="G171" s="1">
        <f ca="1">IFERROR(__xludf.DUMMYFUNCTION("""COMPUTED_VALUE"""),0)</f>
        <v>0</v>
      </c>
      <c r="H171" s="1">
        <f ca="1">IFERROR(__xludf.DUMMYFUNCTION("""COMPUTED_VALUE"""),0)</f>
        <v>0</v>
      </c>
      <c r="I171" s="1">
        <f ca="1">IFERROR(__xludf.DUMMYFUNCTION("""COMPUTED_VALUE"""),0)</f>
        <v>0</v>
      </c>
      <c r="J171" s="1">
        <f ca="1">IFERROR(__xludf.DUMMYFUNCTION("""COMPUTED_VALUE"""),0)</f>
        <v>0</v>
      </c>
      <c r="K171" s="1">
        <f ca="1">IFERROR(__xludf.DUMMYFUNCTION("""COMPUTED_VALUE"""),0)</f>
        <v>0</v>
      </c>
      <c r="L171" s="1">
        <f ca="1">IFERROR(__xludf.DUMMYFUNCTION("""COMPUTED_VALUE"""),0)</f>
        <v>0</v>
      </c>
      <c r="M171" s="1">
        <f ca="1">IFERROR(__xludf.DUMMYFUNCTION("""COMPUTED_VALUE"""),0)</f>
        <v>0</v>
      </c>
      <c r="N171" s="1">
        <f ca="1">IFERROR(__xludf.DUMMYFUNCTION("""COMPUTED_VALUE"""),0)</f>
        <v>0</v>
      </c>
      <c r="O171" s="1">
        <f ca="1">IFERROR(__xludf.DUMMYFUNCTION("""COMPUTED_VALUE"""),0)</f>
        <v>0</v>
      </c>
      <c r="P171" s="1">
        <f ca="1">IFERROR(__xludf.DUMMYFUNCTION("""COMPUTED_VALUE"""),0)</f>
        <v>0</v>
      </c>
      <c r="Q171" s="1">
        <f ca="1">IFERROR(__xludf.DUMMYFUNCTION("""COMPUTED_VALUE"""),0)</f>
        <v>0</v>
      </c>
      <c r="R171" s="1">
        <f ca="1">IFERROR(__xludf.DUMMYFUNCTION("""COMPUTED_VALUE"""),0)</f>
        <v>0</v>
      </c>
      <c r="S171" s="1">
        <f ca="1">IFERROR(__xludf.DUMMYFUNCTION("""COMPUTED_VALUE"""),0)</f>
        <v>0</v>
      </c>
      <c r="T171" s="1">
        <f ca="1">IFERROR(__xludf.DUMMYFUNCTION("""COMPUTED_VALUE"""),44305.6627199074)</f>
        <v>44305.662719907399</v>
      </c>
      <c r="U171" s="1" t="str">
        <f ca="1">IFERROR(__xludf.DUMMYFUNCTION("""COMPUTED_VALUE"""),"Today report 0 19/04/2021")</f>
        <v>Today report 0 19/04/2021</v>
      </c>
    </row>
    <row r="172" spans="1:21" ht="13" x14ac:dyDescent="0.15">
      <c r="A172" s="1" t="str">
        <f t="shared" ca="1" si="0"/>
        <v>PerambalurSPT Hospital</v>
      </c>
      <c r="B172" s="1">
        <f ca="1">IFERROR(__xludf.DUMMYFUNCTION("""COMPUTED_VALUE"""),171)</f>
        <v>171</v>
      </c>
      <c r="C172" s="1" t="str">
        <f ca="1">IFERROR(__xludf.DUMMYFUNCTION("""COMPUTED_VALUE"""),"Perambalur")</f>
        <v>Perambalur</v>
      </c>
      <c r="D172" s="1" t="str">
        <f ca="1">IFERROR(__xludf.DUMMYFUNCTION("""COMPUTED_VALUE"""),"SPT Hospital")</f>
        <v>SPT Hospital</v>
      </c>
      <c r="E172" s="1">
        <f ca="1">IFERROR(__xludf.DUMMYFUNCTION("""COMPUTED_VALUE"""),0)</f>
        <v>0</v>
      </c>
      <c r="F172" s="1">
        <f ca="1">IFERROR(__xludf.DUMMYFUNCTION("""COMPUTED_VALUE"""),0)</f>
        <v>0</v>
      </c>
      <c r="G172" s="1">
        <f ca="1">IFERROR(__xludf.DUMMYFUNCTION("""COMPUTED_VALUE"""),0)</f>
        <v>0</v>
      </c>
      <c r="H172" s="1">
        <f ca="1">IFERROR(__xludf.DUMMYFUNCTION("""COMPUTED_VALUE"""),0)</f>
        <v>0</v>
      </c>
      <c r="I172" s="1">
        <f ca="1">IFERROR(__xludf.DUMMYFUNCTION("""COMPUTED_VALUE"""),0)</f>
        <v>0</v>
      </c>
      <c r="J172" s="1">
        <f ca="1">IFERROR(__xludf.DUMMYFUNCTION("""COMPUTED_VALUE"""),0)</f>
        <v>0</v>
      </c>
      <c r="K172" s="1">
        <f ca="1">IFERROR(__xludf.DUMMYFUNCTION("""COMPUTED_VALUE"""),0)</f>
        <v>0</v>
      </c>
      <c r="L172" s="1">
        <f ca="1">IFERROR(__xludf.DUMMYFUNCTION("""COMPUTED_VALUE"""),0)</f>
        <v>0</v>
      </c>
      <c r="M172" s="1">
        <f ca="1">IFERROR(__xludf.DUMMYFUNCTION("""COMPUTED_VALUE"""),0)</f>
        <v>0</v>
      </c>
      <c r="N172" s="1">
        <f ca="1">IFERROR(__xludf.DUMMYFUNCTION("""COMPUTED_VALUE"""),0)</f>
        <v>0</v>
      </c>
      <c r="O172" s="1">
        <f ca="1">IFERROR(__xludf.DUMMYFUNCTION("""COMPUTED_VALUE"""),0)</f>
        <v>0</v>
      </c>
      <c r="P172" s="1">
        <f ca="1">IFERROR(__xludf.DUMMYFUNCTION("""COMPUTED_VALUE"""),0)</f>
        <v>0</v>
      </c>
      <c r="Q172" s="1">
        <f ca="1">IFERROR(__xludf.DUMMYFUNCTION("""COMPUTED_VALUE"""),0)</f>
        <v>0</v>
      </c>
      <c r="R172" s="1">
        <f ca="1">IFERROR(__xludf.DUMMYFUNCTION("""COMPUTED_VALUE"""),0)</f>
        <v>0</v>
      </c>
      <c r="S172" s="1">
        <f ca="1">IFERROR(__xludf.DUMMYFUNCTION("""COMPUTED_VALUE"""),0)</f>
        <v>0</v>
      </c>
      <c r="T172" s="1">
        <f ca="1">IFERROR(__xludf.DUMMYFUNCTION("""COMPUTED_VALUE"""),44305.3945717592)</f>
        <v>44305.3945717592</v>
      </c>
      <c r="U172" s="1" t="str">
        <f ca="1">IFERROR(__xludf.DUMMYFUNCTION("""COMPUTED_VALUE"""),"Report on 19.04.2021")</f>
        <v>Report on 19.04.2021</v>
      </c>
    </row>
    <row r="173" spans="1:21" ht="13" x14ac:dyDescent="0.15">
      <c r="A173" s="1" t="str">
        <f t="shared" ca="1" si="0"/>
        <v>PudukkottaiMuthu Meenakshi Hospitals</v>
      </c>
      <c r="B173" s="1">
        <f ca="1">IFERROR(__xludf.DUMMYFUNCTION("""COMPUTED_VALUE"""),172)</f>
        <v>172</v>
      </c>
      <c r="C173" s="1" t="str">
        <f ca="1">IFERROR(__xludf.DUMMYFUNCTION("""COMPUTED_VALUE"""),"Pudukkottai")</f>
        <v>Pudukkottai</v>
      </c>
      <c r="D173" s="1" t="str">
        <f ca="1">IFERROR(__xludf.DUMMYFUNCTION("""COMPUTED_VALUE"""),"Muthu Meenakshi Hospitals")</f>
        <v>Muthu Meenakshi Hospitals</v>
      </c>
      <c r="E173" s="1">
        <f ca="1">IFERROR(__xludf.DUMMYFUNCTION("""COMPUTED_VALUE"""),30)</f>
        <v>30</v>
      </c>
      <c r="F173" s="1">
        <f ca="1">IFERROR(__xludf.DUMMYFUNCTION("""COMPUTED_VALUE"""),0)</f>
        <v>0</v>
      </c>
      <c r="G173" s="1">
        <f ca="1">IFERROR(__xludf.DUMMYFUNCTION("""COMPUTED_VALUE"""),30)</f>
        <v>30</v>
      </c>
      <c r="H173" s="1">
        <f ca="1">IFERROR(__xludf.DUMMYFUNCTION("""COMPUTED_VALUE"""),20)</f>
        <v>20</v>
      </c>
      <c r="I173" s="1">
        <f ca="1">IFERROR(__xludf.DUMMYFUNCTION("""COMPUTED_VALUE"""),0)</f>
        <v>0</v>
      </c>
      <c r="J173" s="1">
        <f ca="1">IFERROR(__xludf.DUMMYFUNCTION("""COMPUTED_VALUE"""),20)</f>
        <v>20</v>
      </c>
      <c r="K173" s="1">
        <f ca="1">IFERROR(__xludf.DUMMYFUNCTION("""COMPUTED_VALUE"""),0)</f>
        <v>0</v>
      </c>
      <c r="L173" s="1">
        <f ca="1">IFERROR(__xludf.DUMMYFUNCTION("""COMPUTED_VALUE"""),0)</f>
        <v>0</v>
      </c>
      <c r="M173" s="1">
        <f ca="1">IFERROR(__xludf.DUMMYFUNCTION("""COMPUTED_VALUE"""),0)</f>
        <v>0</v>
      </c>
      <c r="N173" s="1">
        <f ca="1">IFERROR(__xludf.DUMMYFUNCTION("""COMPUTED_VALUE"""),10)</f>
        <v>10</v>
      </c>
      <c r="O173" s="1">
        <f ca="1">IFERROR(__xludf.DUMMYFUNCTION("""COMPUTED_VALUE"""),0)</f>
        <v>0</v>
      </c>
      <c r="P173" s="1">
        <f ca="1">IFERROR(__xludf.DUMMYFUNCTION("""COMPUTED_VALUE"""),10)</f>
        <v>10</v>
      </c>
      <c r="Q173" s="1">
        <f ca="1">IFERROR(__xludf.DUMMYFUNCTION("""COMPUTED_VALUE"""),3)</f>
        <v>3</v>
      </c>
      <c r="R173" s="1">
        <f ca="1">IFERROR(__xludf.DUMMYFUNCTION("""COMPUTED_VALUE"""),0)</f>
        <v>0</v>
      </c>
      <c r="S173" s="1">
        <f ca="1">IFERROR(__xludf.DUMMYFUNCTION("""COMPUTED_VALUE"""),3)</f>
        <v>3</v>
      </c>
      <c r="T173" s="1">
        <f ca="1">IFERROR(__xludf.DUMMYFUNCTION("""COMPUTED_VALUE"""),44305.4031134259)</f>
        <v>44305.403113425898</v>
      </c>
      <c r="U173" s="1" t="str">
        <f ca="1">IFERROR(__xludf.DUMMYFUNCTION("""COMPUTED_VALUE"""),"NIL")</f>
        <v>NIL</v>
      </c>
    </row>
    <row r="174" spans="1:21" ht="13" x14ac:dyDescent="0.15">
      <c r="A174" s="1" t="str">
        <f t="shared" ca="1" si="0"/>
        <v>RamanathapuramAasi Multi Speciality Hospital</v>
      </c>
      <c r="B174" s="1">
        <f ca="1">IFERROR(__xludf.DUMMYFUNCTION("""COMPUTED_VALUE"""),173)</f>
        <v>173</v>
      </c>
      <c r="C174" s="1" t="str">
        <f ca="1">IFERROR(__xludf.DUMMYFUNCTION("""COMPUTED_VALUE"""),"Ramanathapuram")</f>
        <v>Ramanathapuram</v>
      </c>
      <c r="D174" s="1" t="str">
        <f ca="1">IFERROR(__xludf.DUMMYFUNCTION("""COMPUTED_VALUE"""),"Aasi Multi Speciality Hospital")</f>
        <v>Aasi Multi Speciality Hospital</v>
      </c>
      <c r="E174" s="1">
        <f ca="1">IFERROR(__xludf.DUMMYFUNCTION("""COMPUTED_VALUE"""),40)</f>
        <v>40</v>
      </c>
      <c r="F174" s="1">
        <f ca="1">IFERROR(__xludf.DUMMYFUNCTION("""COMPUTED_VALUE"""),3)</f>
        <v>3</v>
      </c>
      <c r="G174" s="1">
        <f ca="1">IFERROR(__xludf.DUMMYFUNCTION("""COMPUTED_VALUE"""),37)</f>
        <v>37</v>
      </c>
      <c r="H174" s="1">
        <f ca="1">IFERROR(__xludf.DUMMYFUNCTION("""COMPUTED_VALUE"""),36)</f>
        <v>36</v>
      </c>
      <c r="I174" s="1">
        <f ca="1">IFERROR(__xludf.DUMMYFUNCTION("""COMPUTED_VALUE"""),3)</f>
        <v>3</v>
      </c>
      <c r="J174" s="1">
        <f ca="1">IFERROR(__xludf.DUMMYFUNCTION("""COMPUTED_VALUE"""),33)</f>
        <v>33</v>
      </c>
      <c r="K174" s="1">
        <f ca="1">IFERROR(__xludf.DUMMYFUNCTION("""COMPUTED_VALUE"""),0)</f>
        <v>0</v>
      </c>
      <c r="L174" s="1">
        <f ca="1">IFERROR(__xludf.DUMMYFUNCTION("""COMPUTED_VALUE"""),0)</f>
        <v>0</v>
      </c>
      <c r="M174" s="1">
        <f ca="1">IFERROR(__xludf.DUMMYFUNCTION("""COMPUTED_VALUE"""),0)</f>
        <v>0</v>
      </c>
      <c r="N174" s="1">
        <f ca="1">IFERROR(__xludf.DUMMYFUNCTION("""COMPUTED_VALUE"""),4)</f>
        <v>4</v>
      </c>
      <c r="O174" s="1">
        <f ca="1">IFERROR(__xludf.DUMMYFUNCTION("""COMPUTED_VALUE"""),0)</f>
        <v>0</v>
      </c>
      <c r="P174" s="1">
        <f ca="1">IFERROR(__xludf.DUMMYFUNCTION("""COMPUTED_VALUE"""),4)</f>
        <v>4</v>
      </c>
      <c r="Q174" s="1">
        <f ca="1">IFERROR(__xludf.DUMMYFUNCTION("""COMPUTED_VALUE"""),1)</f>
        <v>1</v>
      </c>
      <c r="R174" s="1">
        <f ca="1">IFERROR(__xludf.DUMMYFUNCTION("""COMPUTED_VALUE"""),0)</f>
        <v>0</v>
      </c>
      <c r="S174" s="1">
        <f ca="1">IFERROR(__xludf.DUMMYFUNCTION("""COMPUTED_VALUE"""),1)</f>
        <v>1</v>
      </c>
      <c r="T174" s="1">
        <f ca="1">IFERROR(__xludf.DUMMYFUNCTION("""COMPUTED_VALUE"""),44305.3795833333)</f>
        <v>44305.379583333299</v>
      </c>
      <c r="U174" s="1"/>
    </row>
    <row r="175" spans="1:21" ht="13" x14ac:dyDescent="0.15">
      <c r="A175" s="1" t="str">
        <f t="shared" ca="1" si="0"/>
        <v>RamanathapuramKanagamani Hospital</v>
      </c>
      <c r="B175" s="1">
        <f ca="1">IFERROR(__xludf.DUMMYFUNCTION("""COMPUTED_VALUE"""),174)</f>
        <v>174</v>
      </c>
      <c r="C175" s="1" t="str">
        <f ca="1">IFERROR(__xludf.DUMMYFUNCTION("""COMPUTED_VALUE"""),"Ramanathapuram")</f>
        <v>Ramanathapuram</v>
      </c>
      <c r="D175" s="1" t="str">
        <f ca="1">IFERROR(__xludf.DUMMYFUNCTION("""COMPUTED_VALUE"""),"Kanagamani Hospital")</f>
        <v>Kanagamani Hospital</v>
      </c>
      <c r="E175" s="1">
        <f ca="1">IFERROR(__xludf.DUMMYFUNCTION("""COMPUTED_VALUE"""),31)</f>
        <v>31</v>
      </c>
      <c r="F175" s="1">
        <f ca="1">IFERROR(__xludf.DUMMYFUNCTION("""COMPUTED_VALUE"""),0)</f>
        <v>0</v>
      </c>
      <c r="G175" s="1">
        <f ca="1">IFERROR(__xludf.DUMMYFUNCTION("""COMPUTED_VALUE"""),31)</f>
        <v>31</v>
      </c>
      <c r="H175" s="1">
        <f ca="1">IFERROR(__xludf.DUMMYFUNCTION("""COMPUTED_VALUE"""),0)</f>
        <v>0</v>
      </c>
      <c r="I175" s="1">
        <f ca="1">IFERROR(__xludf.DUMMYFUNCTION("""COMPUTED_VALUE"""),0)</f>
        <v>0</v>
      </c>
      <c r="J175" s="1">
        <f ca="1">IFERROR(__xludf.DUMMYFUNCTION("""COMPUTED_VALUE"""),0)</f>
        <v>0</v>
      </c>
      <c r="K175" s="1">
        <f ca="1">IFERROR(__xludf.DUMMYFUNCTION("""COMPUTED_VALUE"""),27)</f>
        <v>27</v>
      </c>
      <c r="L175" s="1">
        <f ca="1">IFERROR(__xludf.DUMMYFUNCTION("""COMPUTED_VALUE"""),0)</f>
        <v>0</v>
      </c>
      <c r="M175" s="1">
        <f ca="1">IFERROR(__xludf.DUMMYFUNCTION("""COMPUTED_VALUE"""),27)</f>
        <v>27</v>
      </c>
      <c r="N175" s="1">
        <f ca="1">IFERROR(__xludf.DUMMYFUNCTION("""COMPUTED_VALUE"""),4)</f>
        <v>4</v>
      </c>
      <c r="O175" s="1">
        <f ca="1">IFERROR(__xludf.DUMMYFUNCTION("""COMPUTED_VALUE"""),0)</f>
        <v>0</v>
      </c>
      <c r="P175" s="1">
        <f ca="1">IFERROR(__xludf.DUMMYFUNCTION("""COMPUTED_VALUE"""),4)</f>
        <v>4</v>
      </c>
      <c r="Q175" s="1">
        <f ca="1">IFERROR(__xludf.DUMMYFUNCTION("""COMPUTED_VALUE"""),2)</f>
        <v>2</v>
      </c>
      <c r="R175" s="1">
        <f ca="1">IFERROR(__xludf.DUMMYFUNCTION("""COMPUTED_VALUE"""),0)</f>
        <v>0</v>
      </c>
      <c r="S175" s="1">
        <f ca="1">IFERROR(__xludf.DUMMYFUNCTION("""COMPUTED_VALUE"""),2)</f>
        <v>2</v>
      </c>
      <c r="T175" s="1">
        <f ca="1">IFERROR(__xludf.DUMMYFUNCTION("""COMPUTED_VALUE"""),44305.3808449074)</f>
        <v>44305.380844907399</v>
      </c>
      <c r="U175" s="1"/>
    </row>
    <row r="176" spans="1:21" ht="13" x14ac:dyDescent="0.15">
      <c r="A176" s="1" t="str">
        <f t="shared" ca="1" si="0"/>
        <v>RamanathapuramVel Hospital Ramanathapuram</v>
      </c>
      <c r="B176" s="1">
        <f ca="1">IFERROR(__xludf.DUMMYFUNCTION("""COMPUTED_VALUE"""),175)</f>
        <v>175</v>
      </c>
      <c r="C176" s="1" t="str">
        <f ca="1">IFERROR(__xludf.DUMMYFUNCTION("""COMPUTED_VALUE"""),"Ramanathapuram")</f>
        <v>Ramanathapuram</v>
      </c>
      <c r="D176" s="1" t="str">
        <f ca="1">IFERROR(__xludf.DUMMYFUNCTION("""COMPUTED_VALUE"""),"Vel Hospital Ramanathapuram")</f>
        <v>Vel Hospital Ramanathapuram</v>
      </c>
      <c r="E176" s="1">
        <f ca="1">IFERROR(__xludf.DUMMYFUNCTION("""COMPUTED_VALUE"""),50)</f>
        <v>50</v>
      </c>
      <c r="F176" s="1">
        <f ca="1">IFERROR(__xludf.DUMMYFUNCTION("""COMPUTED_VALUE"""),0)</f>
        <v>0</v>
      </c>
      <c r="G176" s="1">
        <f ca="1">IFERROR(__xludf.DUMMYFUNCTION("""COMPUTED_VALUE"""),50)</f>
        <v>50</v>
      </c>
      <c r="H176" s="1">
        <f ca="1">IFERROR(__xludf.DUMMYFUNCTION("""COMPUTED_VALUE"""),21)</f>
        <v>21</v>
      </c>
      <c r="I176" s="1">
        <f ca="1">IFERROR(__xludf.DUMMYFUNCTION("""COMPUTED_VALUE"""),0)</f>
        <v>0</v>
      </c>
      <c r="J176" s="1">
        <f ca="1">IFERROR(__xludf.DUMMYFUNCTION("""COMPUTED_VALUE"""),21)</f>
        <v>21</v>
      </c>
      <c r="K176" s="1">
        <f ca="1">IFERROR(__xludf.DUMMYFUNCTION("""COMPUTED_VALUE"""),20)</f>
        <v>20</v>
      </c>
      <c r="L176" s="1">
        <f ca="1">IFERROR(__xludf.DUMMYFUNCTION("""COMPUTED_VALUE"""),0)</f>
        <v>0</v>
      </c>
      <c r="M176" s="1">
        <f ca="1">IFERROR(__xludf.DUMMYFUNCTION("""COMPUTED_VALUE"""),20)</f>
        <v>20</v>
      </c>
      <c r="N176" s="1">
        <f ca="1">IFERROR(__xludf.DUMMYFUNCTION("""COMPUTED_VALUE"""),9)</f>
        <v>9</v>
      </c>
      <c r="O176" s="1">
        <f ca="1">IFERROR(__xludf.DUMMYFUNCTION("""COMPUTED_VALUE"""),0)</f>
        <v>0</v>
      </c>
      <c r="P176" s="1">
        <f ca="1">IFERROR(__xludf.DUMMYFUNCTION("""COMPUTED_VALUE"""),9)</f>
        <v>9</v>
      </c>
      <c r="Q176" s="1">
        <f ca="1">IFERROR(__xludf.DUMMYFUNCTION("""COMPUTED_VALUE"""),2)</f>
        <v>2</v>
      </c>
      <c r="R176" s="1">
        <f ca="1">IFERROR(__xludf.DUMMYFUNCTION("""COMPUTED_VALUE"""),0)</f>
        <v>0</v>
      </c>
      <c r="S176" s="1">
        <f ca="1">IFERROR(__xludf.DUMMYFUNCTION("""COMPUTED_VALUE"""),2)</f>
        <v>2</v>
      </c>
      <c r="T176" s="1">
        <f ca="1">IFERROR(__xludf.DUMMYFUNCTION("""COMPUTED_VALUE"""),44305.3789004629)</f>
        <v>44305.3789004629</v>
      </c>
      <c r="U176" s="1"/>
    </row>
    <row r="177" spans="1:21" ht="13" x14ac:dyDescent="0.15">
      <c r="A177" s="1" t="str">
        <f t="shared" ca="1" si="0"/>
        <v>SalemAnnapoorna Medical College and Hospital</v>
      </c>
      <c r="B177" s="1">
        <f ca="1">IFERROR(__xludf.DUMMYFUNCTION("""COMPUTED_VALUE"""),176)</f>
        <v>176</v>
      </c>
      <c r="C177" s="1" t="str">
        <f ca="1">IFERROR(__xludf.DUMMYFUNCTION("""COMPUTED_VALUE"""),"Salem")</f>
        <v>Salem</v>
      </c>
      <c r="D177" s="1" t="str">
        <f ca="1">IFERROR(__xludf.DUMMYFUNCTION("""COMPUTED_VALUE"""),"Annapoorna Medical College and Hospital")</f>
        <v>Annapoorna Medical College and Hospital</v>
      </c>
      <c r="E177" s="1">
        <f ca="1">IFERROR(__xludf.DUMMYFUNCTION("""COMPUTED_VALUE"""),120)</f>
        <v>120</v>
      </c>
      <c r="F177" s="1">
        <f ca="1">IFERROR(__xludf.DUMMYFUNCTION("""COMPUTED_VALUE"""),1)</f>
        <v>1</v>
      </c>
      <c r="G177" s="1">
        <f ca="1">IFERROR(__xludf.DUMMYFUNCTION("""COMPUTED_VALUE"""),119)</f>
        <v>119</v>
      </c>
      <c r="H177" s="1">
        <f ca="1">IFERROR(__xludf.DUMMYFUNCTION("""COMPUTED_VALUE"""),30)</f>
        <v>30</v>
      </c>
      <c r="I177" s="1">
        <f ca="1">IFERROR(__xludf.DUMMYFUNCTION("""COMPUTED_VALUE"""),0)</f>
        <v>0</v>
      </c>
      <c r="J177" s="1">
        <f ca="1">IFERROR(__xludf.DUMMYFUNCTION("""COMPUTED_VALUE"""),30)</f>
        <v>30</v>
      </c>
      <c r="K177" s="1">
        <f ca="1">IFERROR(__xludf.DUMMYFUNCTION("""COMPUTED_VALUE"""),90)</f>
        <v>90</v>
      </c>
      <c r="L177" s="1">
        <f ca="1">IFERROR(__xludf.DUMMYFUNCTION("""COMPUTED_VALUE"""),0)</f>
        <v>0</v>
      </c>
      <c r="M177" s="1">
        <f ca="1">IFERROR(__xludf.DUMMYFUNCTION("""COMPUTED_VALUE"""),89)</f>
        <v>89</v>
      </c>
      <c r="N177" s="1">
        <f ca="1">IFERROR(__xludf.DUMMYFUNCTION("""COMPUTED_VALUE"""),5)</f>
        <v>5</v>
      </c>
      <c r="O177" s="1">
        <f ca="1">IFERROR(__xludf.DUMMYFUNCTION("""COMPUTED_VALUE"""),0)</f>
        <v>0</v>
      </c>
      <c r="P177" s="1">
        <f ca="1">IFERROR(__xludf.DUMMYFUNCTION("""COMPUTED_VALUE"""),5)</f>
        <v>5</v>
      </c>
      <c r="Q177" s="1">
        <f ca="1">IFERROR(__xludf.DUMMYFUNCTION("""COMPUTED_VALUE"""),5)</f>
        <v>5</v>
      </c>
      <c r="R177" s="1">
        <f ca="1">IFERROR(__xludf.DUMMYFUNCTION("""COMPUTED_VALUE"""),2)</f>
        <v>2</v>
      </c>
      <c r="S177" s="1">
        <f ca="1">IFERROR(__xludf.DUMMYFUNCTION("""COMPUTED_VALUE"""),3)</f>
        <v>3</v>
      </c>
      <c r="T177" s="1">
        <f ca="1">IFERROR(__xludf.DUMMYFUNCTION("""COMPUTED_VALUE"""),44305.4046064814)</f>
        <v>44305.404606481403</v>
      </c>
      <c r="U177" s="1"/>
    </row>
    <row r="178" spans="1:21" ht="13" x14ac:dyDescent="0.15">
      <c r="A178" s="1" t="str">
        <f t="shared" ca="1" si="0"/>
        <v>SalemDharan Hospital</v>
      </c>
      <c r="B178" s="1">
        <f ca="1">IFERROR(__xludf.DUMMYFUNCTION("""COMPUTED_VALUE"""),177)</f>
        <v>177</v>
      </c>
      <c r="C178" s="1" t="str">
        <f ca="1">IFERROR(__xludf.DUMMYFUNCTION("""COMPUTED_VALUE"""),"Salem")</f>
        <v>Salem</v>
      </c>
      <c r="D178" s="1" t="str">
        <f ca="1">IFERROR(__xludf.DUMMYFUNCTION("""COMPUTED_VALUE"""),"Dharan Hospital")</f>
        <v>Dharan Hospital</v>
      </c>
      <c r="E178" s="1">
        <f ca="1">IFERROR(__xludf.DUMMYFUNCTION("""COMPUTED_VALUE"""),115)</f>
        <v>115</v>
      </c>
      <c r="F178" s="1">
        <f ca="1">IFERROR(__xludf.DUMMYFUNCTION("""COMPUTED_VALUE"""),100)</f>
        <v>100</v>
      </c>
      <c r="G178" s="1">
        <f ca="1">IFERROR(__xludf.DUMMYFUNCTION("""COMPUTED_VALUE"""),15)</f>
        <v>15</v>
      </c>
      <c r="H178" s="1">
        <f ca="1">IFERROR(__xludf.DUMMYFUNCTION("""COMPUTED_VALUE"""),43)</f>
        <v>43</v>
      </c>
      <c r="I178" s="1">
        <f ca="1">IFERROR(__xludf.DUMMYFUNCTION("""COMPUTED_VALUE"""),43)</f>
        <v>43</v>
      </c>
      <c r="J178" s="1">
        <f ca="1">IFERROR(__xludf.DUMMYFUNCTION("""COMPUTED_VALUE"""),0)</f>
        <v>0</v>
      </c>
      <c r="K178" s="1">
        <f ca="1">IFERROR(__xludf.DUMMYFUNCTION("""COMPUTED_VALUE"""),64)</f>
        <v>64</v>
      </c>
      <c r="L178" s="1">
        <f ca="1">IFERROR(__xludf.DUMMYFUNCTION("""COMPUTED_VALUE"""),0)</f>
        <v>0</v>
      </c>
      <c r="M178" s="1">
        <f ca="1">IFERROR(__xludf.DUMMYFUNCTION("""COMPUTED_VALUE"""),15)</f>
        <v>15</v>
      </c>
      <c r="N178" s="1">
        <f ca="1">IFERROR(__xludf.DUMMYFUNCTION("""COMPUTED_VALUE"""),8)</f>
        <v>8</v>
      </c>
      <c r="O178" s="1">
        <f ca="1">IFERROR(__xludf.DUMMYFUNCTION("""COMPUTED_VALUE"""),8)</f>
        <v>8</v>
      </c>
      <c r="P178" s="1">
        <f ca="1">IFERROR(__xludf.DUMMYFUNCTION("""COMPUTED_VALUE"""),0)</f>
        <v>0</v>
      </c>
      <c r="Q178" s="1">
        <f ca="1">IFERROR(__xludf.DUMMYFUNCTION("""COMPUTED_VALUE"""),2)</f>
        <v>2</v>
      </c>
      <c r="R178" s="1">
        <f ca="1">IFERROR(__xludf.DUMMYFUNCTION("""COMPUTED_VALUE"""),0)</f>
        <v>0</v>
      </c>
      <c r="S178" s="1">
        <f ca="1">IFERROR(__xludf.DUMMYFUNCTION("""COMPUTED_VALUE"""),2)</f>
        <v>2</v>
      </c>
      <c r="T178" s="1">
        <f ca="1">IFERROR(__xludf.DUMMYFUNCTION("""COMPUTED_VALUE"""),44305.517974537)</f>
        <v>44305.517974536997</v>
      </c>
      <c r="U178" s="1"/>
    </row>
    <row r="179" spans="1:21" ht="13" x14ac:dyDescent="0.15">
      <c r="A179" s="1" t="str">
        <f t="shared" ca="1" si="0"/>
        <v>SalemKauvery Hospital, Salem</v>
      </c>
      <c r="B179" s="1">
        <f ca="1">IFERROR(__xludf.DUMMYFUNCTION("""COMPUTED_VALUE"""),178)</f>
        <v>178</v>
      </c>
      <c r="C179" s="1" t="str">
        <f ca="1">IFERROR(__xludf.DUMMYFUNCTION("""COMPUTED_VALUE"""),"Salem")</f>
        <v>Salem</v>
      </c>
      <c r="D179" s="1" t="str">
        <f ca="1">IFERROR(__xludf.DUMMYFUNCTION("""COMPUTED_VALUE"""),"Kauvery Hospital, Salem")</f>
        <v>Kauvery Hospital, Salem</v>
      </c>
      <c r="E179" s="1">
        <f ca="1">IFERROR(__xludf.DUMMYFUNCTION("""COMPUTED_VALUE"""),40)</f>
        <v>40</v>
      </c>
      <c r="F179" s="1">
        <f ca="1">IFERROR(__xludf.DUMMYFUNCTION("""COMPUTED_VALUE"""),40)</f>
        <v>40</v>
      </c>
      <c r="G179" s="1">
        <f ca="1">IFERROR(__xludf.DUMMYFUNCTION("""COMPUTED_VALUE"""),0)</f>
        <v>0</v>
      </c>
      <c r="H179" s="1">
        <f ca="1">IFERROR(__xludf.DUMMYFUNCTION("""COMPUTED_VALUE"""),33)</f>
        <v>33</v>
      </c>
      <c r="I179" s="1">
        <f ca="1">IFERROR(__xludf.DUMMYFUNCTION("""COMPUTED_VALUE"""),33)</f>
        <v>33</v>
      </c>
      <c r="J179" s="1">
        <f ca="1">IFERROR(__xludf.DUMMYFUNCTION("""COMPUTED_VALUE"""),0)</f>
        <v>0</v>
      </c>
      <c r="K179" s="1">
        <f ca="1">IFERROR(__xludf.DUMMYFUNCTION("""COMPUTED_VALUE"""),0)</f>
        <v>0</v>
      </c>
      <c r="L179" s="1">
        <f ca="1">IFERROR(__xludf.DUMMYFUNCTION("""COMPUTED_VALUE"""),0)</f>
        <v>0</v>
      </c>
      <c r="M179" s="1">
        <f ca="1">IFERROR(__xludf.DUMMYFUNCTION("""COMPUTED_VALUE"""),0)</f>
        <v>0</v>
      </c>
      <c r="N179" s="1">
        <f ca="1">IFERROR(__xludf.DUMMYFUNCTION("""COMPUTED_VALUE"""),7)</f>
        <v>7</v>
      </c>
      <c r="O179" s="1">
        <f ca="1">IFERROR(__xludf.DUMMYFUNCTION("""COMPUTED_VALUE"""),7)</f>
        <v>7</v>
      </c>
      <c r="P179" s="1">
        <f ca="1">IFERROR(__xludf.DUMMYFUNCTION("""COMPUTED_VALUE"""),0)</f>
        <v>0</v>
      </c>
      <c r="Q179" s="1">
        <f ca="1">IFERROR(__xludf.DUMMYFUNCTION("""COMPUTED_VALUE"""),5)</f>
        <v>5</v>
      </c>
      <c r="R179" s="1">
        <f ca="1">IFERROR(__xludf.DUMMYFUNCTION("""COMPUTED_VALUE"""),4)</f>
        <v>4</v>
      </c>
      <c r="S179" s="1">
        <f ca="1">IFERROR(__xludf.DUMMYFUNCTION("""COMPUTED_VALUE"""),1)</f>
        <v>1</v>
      </c>
      <c r="T179" s="1">
        <f ca="1">IFERROR(__xludf.DUMMYFUNCTION("""COMPUTED_VALUE"""),44305.5275925925)</f>
        <v>44305.527592592502</v>
      </c>
      <c r="U179" s="1" t="str">
        <f ca="1">IFERROR(__xludf.DUMMYFUNCTION("""COMPUTED_VALUE"""),"Nil")</f>
        <v>Nil</v>
      </c>
    </row>
    <row r="180" spans="1:21" ht="13" x14ac:dyDescent="0.15">
      <c r="A180" s="1" t="str">
        <f t="shared" ca="1" si="0"/>
        <v>SalemKurinji Hospital</v>
      </c>
      <c r="B180" s="1">
        <f ca="1">IFERROR(__xludf.DUMMYFUNCTION("""COMPUTED_VALUE"""),179)</f>
        <v>179</v>
      </c>
      <c r="C180" s="1" t="str">
        <f ca="1">IFERROR(__xludf.DUMMYFUNCTION("""COMPUTED_VALUE"""),"Salem")</f>
        <v>Salem</v>
      </c>
      <c r="D180" s="1" t="str">
        <f ca="1">IFERROR(__xludf.DUMMYFUNCTION("""COMPUTED_VALUE"""),"Kurinji Hospital")</f>
        <v>Kurinji Hospital</v>
      </c>
      <c r="E180" s="1">
        <f ca="1">IFERROR(__xludf.DUMMYFUNCTION("""COMPUTED_VALUE"""),95)</f>
        <v>95</v>
      </c>
      <c r="F180" s="1">
        <f ca="1">IFERROR(__xludf.DUMMYFUNCTION("""COMPUTED_VALUE"""),65)</f>
        <v>65</v>
      </c>
      <c r="G180" s="1">
        <f ca="1">IFERROR(__xludf.DUMMYFUNCTION("""COMPUTED_VALUE"""),30)</f>
        <v>30</v>
      </c>
      <c r="H180" s="1">
        <f ca="1">IFERROR(__xludf.DUMMYFUNCTION("""COMPUTED_VALUE"""),85)</f>
        <v>85</v>
      </c>
      <c r="I180" s="1">
        <f ca="1">IFERROR(__xludf.DUMMYFUNCTION("""COMPUTED_VALUE"""),20)</f>
        <v>20</v>
      </c>
      <c r="J180" s="1">
        <f ca="1">IFERROR(__xludf.DUMMYFUNCTION("""COMPUTED_VALUE"""),65)</f>
        <v>65</v>
      </c>
      <c r="K180" s="1">
        <f ca="1">IFERROR(__xludf.DUMMYFUNCTION("""COMPUTED_VALUE"""),20)</f>
        <v>20</v>
      </c>
      <c r="L180" s="1">
        <f ca="1">IFERROR(__xludf.DUMMYFUNCTION("""COMPUTED_VALUE"""),0)</f>
        <v>0</v>
      </c>
      <c r="M180" s="1">
        <f ca="1">IFERROR(__xludf.DUMMYFUNCTION("""COMPUTED_VALUE"""),0)</f>
        <v>0</v>
      </c>
      <c r="N180" s="1">
        <f ca="1">IFERROR(__xludf.DUMMYFUNCTION("""COMPUTED_VALUE"""),20)</f>
        <v>20</v>
      </c>
      <c r="O180" s="1">
        <f ca="1">IFERROR(__xludf.DUMMYFUNCTION("""COMPUTED_VALUE"""),1)</f>
        <v>1</v>
      </c>
      <c r="P180" s="1">
        <f ca="1">IFERROR(__xludf.DUMMYFUNCTION("""COMPUTED_VALUE"""),2)</f>
        <v>2</v>
      </c>
      <c r="Q180" s="1">
        <f ca="1">IFERROR(__xludf.DUMMYFUNCTION("""COMPUTED_VALUE"""),10)</f>
        <v>10</v>
      </c>
      <c r="R180" s="1">
        <f ca="1">IFERROR(__xludf.DUMMYFUNCTION("""COMPUTED_VALUE"""),7)</f>
        <v>7</v>
      </c>
      <c r="S180" s="1">
        <f ca="1">IFERROR(__xludf.DUMMYFUNCTION("""COMPUTED_VALUE"""),3)</f>
        <v>3</v>
      </c>
      <c r="T180" s="1">
        <f ca="1">IFERROR(__xludf.DUMMYFUNCTION("""COMPUTED_VALUE"""),44305.4519907407)</f>
        <v>44305.451990740701</v>
      </c>
      <c r="U180" s="1" t="str">
        <f ca="1">IFERROR(__xludf.DUMMYFUNCTION("""COMPUTED_VALUE"""),"Nil")</f>
        <v>Nil</v>
      </c>
    </row>
    <row r="181" spans="1:21" ht="13" x14ac:dyDescent="0.15">
      <c r="A181" s="1" t="str">
        <f t="shared" ca="1" si="0"/>
        <v>SalemManipal Hospital</v>
      </c>
      <c r="B181" s="1">
        <f ca="1">IFERROR(__xludf.DUMMYFUNCTION("""COMPUTED_VALUE"""),180)</f>
        <v>180</v>
      </c>
      <c r="C181" s="1" t="str">
        <f ca="1">IFERROR(__xludf.DUMMYFUNCTION("""COMPUTED_VALUE"""),"Salem")</f>
        <v>Salem</v>
      </c>
      <c r="D181" s="1" t="str">
        <f ca="1">IFERROR(__xludf.DUMMYFUNCTION("""COMPUTED_VALUE"""),"Manipal Hospital")</f>
        <v>Manipal Hospital</v>
      </c>
      <c r="E181" s="1">
        <f ca="1">IFERROR(__xludf.DUMMYFUNCTION("""COMPUTED_VALUE"""),31)</f>
        <v>31</v>
      </c>
      <c r="F181" s="1">
        <f ca="1">IFERROR(__xludf.DUMMYFUNCTION("""COMPUTED_VALUE"""),29)</f>
        <v>29</v>
      </c>
      <c r="G181" s="1">
        <f ca="1">IFERROR(__xludf.DUMMYFUNCTION("""COMPUTED_VALUE"""),2)</f>
        <v>2</v>
      </c>
      <c r="H181" s="1">
        <f ca="1">IFERROR(__xludf.DUMMYFUNCTION("""COMPUTED_VALUE"""),19)</f>
        <v>19</v>
      </c>
      <c r="I181" s="1">
        <f ca="1">IFERROR(__xludf.DUMMYFUNCTION("""COMPUTED_VALUE"""),18)</f>
        <v>18</v>
      </c>
      <c r="J181" s="1">
        <f ca="1">IFERROR(__xludf.DUMMYFUNCTION("""COMPUTED_VALUE"""),1)</f>
        <v>1</v>
      </c>
      <c r="K181" s="1">
        <f ca="1">IFERROR(__xludf.DUMMYFUNCTION("""COMPUTED_VALUE"""),11)</f>
        <v>11</v>
      </c>
      <c r="L181" s="1">
        <f ca="1">IFERROR(__xludf.DUMMYFUNCTION("""COMPUTED_VALUE"""),11)</f>
        <v>11</v>
      </c>
      <c r="M181" s="1">
        <f ca="1">IFERROR(__xludf.DUMMYFUNCTION("""COMPUTED_VALUE"""),0)</f>
        <v>0</v>
      </c>
      <c r="N181" s="1">
        <f ca="1">IFERROR(__xludf.DUMMYFUNCTION("""COMPUTED_VALUE"""),3)</f>
        <v>3</v>
      </c>
      <c r="O181" s="1">
        <f ca="1">IFERROR(__xludf.DUMMYFUNCTION("""COMPUTED_VALUE"""),2)</f>
        <v>2</v>
      </c>
      <c r="P181" s="1">
        <f ca="1">IFERROR(__xludf.DUMMYFUNCTION("""COMPUTED_VALUE"""),1)</f>
        <v>1</v>
      </c>
      <c r="Q181" s="1">
        <f ca="1">IFERROR(__xludf.DUMMYFUNCTION("""COMPUTED_VALUE"""),2)</f>
        <v>2</v>
      </c>
      <c r="R181" s="1">
        <f ca="1">IFERROR(__xludf.DUMMYFUNCTION("""COMPUTED_VALUE"""),0)</f>
        <v>0</v>
      </c>
      <c r="S181" s="1">
        <f ca="1">IFERROR(__xludf.DUMMYFUNCTION("""COMPUTED_VALUE"""),2)</f>
        <v>2</v>
      </c>
      <c r="T181" s="1">
        <f ca="1">IFERROR(__xludf.DUMMYFUNCTION("""COMPUTED_VALUE"""),44305.4039814814)</f>
        <v>44305.403981481402</v>
      </c>
      <c r="U181" s="1"/>
    </row>
    <row r="182" spans="1:21" ht="13" x14ac:dyDescent="0.15">
      <c r="A182" s="1" t="str">
        <f t="shared" ca="1" si="0"/>
        <v>SalemPriyam Speciality Hospitals</v>
      </c>
      <c r="B182" s="1">
        <f ca="1">IFERROR(__xludf.DUMMYFUNCTION("""COMPUTED_VALUE"""),181)</f>
        <v>181</v>
      </c>
      <c r="C182" s="1" t="str">
        <f ca="1">IFERROR(__xludf.DUMMYFUNCTION("""COMPUTED_VALUE"""),"Salem")</f>
        <v>Salem</v>
      </c>
      <c r="D182" s="1" t="str">
        <f ca="1">IFERROR(__xludf.DUMMYFUNCTION("""COMPUTED_VALUE"""),"Priyam Speciality Hospitals")</f>
        <v>Priyam Speciality Hospitals</v>
      </c>
      <c r="E182" s="1">
        <f ca="1">IFERROR(__xludf.DUMMYFUNCTION("""COMPUTED_VALUE"""),60)</f>
        <v>60</v>
      </c>
      <c r="F182" s="1">
        <f ca="1">IFERROR(__xludf.DUMMYFUNCTION("""COMPUTED_VALUE"""),32)</f>
        <v>32</v>
      </c>
      <c r="G182" s="1">
        <f ca="1">IFERROR(__xludf.DUMMYFUNCTION("""COMPUTED_VALUE"""),28)</f>
        <v>28</v>
      </c>
      <c r="H182" s="1">
        <f ca="1">IFERROR(__xludf.DUMMYFUNCTION("""COMPUTED_VALUE"""),60)</f>
        <v>60</v>
      </c>
      <c r="I182" s="1">
        <f ca="1">IFERROR(__xludf.DUMMYFUNCTION("""COMPUTED_VALUE"""),32)</f>
        <v>32</v>
      </c>
      <c r="J182" s="1">
        <f ca="1">IFERROR(__xludf.DUMMYFUNCTION("""COMPUTED_VALUE"""),28)</f>
        <v>28</v>
      </c>
      <c r="K182" s="1">
        <f ca="1">IFERROR(__xludf.DUMMYFUNCTION("""COMPUTED_VALUE"""),0)</f>
        <v>0</v>
      </c>
      <c r="L182" s="1">
        <f ca="1">IFERROR(__xludf.DUMMYFUNCTION("""COMPUTED_VALUE"""),0)</f>
        <v>0</v>
      </c>
      <c r="M182" s="1">
        <f ca="1">IFERROR(__xludf.DUMMYFUNCTION("""COMPUTED_VALUE"""),0)</f>
        <v>0</v>
      </c>
      <c r="N182" s="1">
        <f ca="1">IFERROR(__xludf.DUMMYFUNCTION("""COMPUTED_VALUE"""),20)</f>
        <v>20</v>
      </c>
      <c r="O182" s="1">
        <f ca="1">IFERROR(__xludf.DUMMYFUNCTION("""COMPUTED_VALUE"""),0)</f>
        <v>0</v>
      </c>
      <c r="P182" s="1">
        <f ca="1">IFERROR(__xludf.DUMMYFUNCTION("""COMPUTED_VALUE"""),20)</f>
        <v>20</v>
      </c>
      <c r="Q182" s="1">
        <f ca="1">IFERROR(__xludf.DUMMYFUNCTION("""COMPUTED_VALUE"""),7)</f>
        <v>7</v>
      </c>
      <c r="R182" s="1">
        <f ca="1">IFERROR(__xludf.DUMMYFUNCTION("""COMPUTED_VALUE"""),0)</f>
        <v>0</v>
      </c>
      <c r="S182" s="1">
        <f ca="1">IFERROR(__xludf.DUMMYFUNCTION("""COMPUTED_VALUE"""),7)</f>
        <v>7</v>
      </c>
      <c r="T182" s="1">
        <f ca="1">IFERROR(__xludf.DUMMYFUNCTION("""COMPUTED_VALUE"""),44305.5052546296)</f>
        <v>44305.505254629599</v>
      </c>
      <c r="U182" s="1"/>
    </row>
    <row r="183" spans="1:21" ht="13" x14ac:dyDescent="0.15">
      <c r="A183" s="1" t="str">
        <f t="shared" ca="1" si="0"/>
        <v>SalemShanmuga Hospital Cancer Institute</v>
      </c>
      <c r="B183" s="1">
        <f ca="1">IFERROR(__xludf.DUMMYFUNCTION("""COMPUTED_VALUE"""),182)</f>
        <v>182</v>
      </c>
      <c r="C183" s="1" t="str">
        <f ca="1">IFERROR(__xludf.DUMMYFUNCTION("""COMPUTED_VALUE"""),"Salem")</f>
        <v>Salem</v>
      </c>
      <c r="D183" s="1" t="str">
        <f ca="1">IFERROR(__xludf.DUMMYFUNCTION("""COMPUTED_VALUE"""),"Shanmuga Hospital Cancer Institute")</f>
        <v>Shanmuga Hospital Cancer Institute</v>
      </c>
      <c r="E183" s="1">
        <f ca="1">IFERROR(__xludf.DUMMYFUNCTION("""COMPUTED_VALUE"""),50)</f>
        <v>50</v>
      </c>
      <c r="F183" s="1">
        <f ca="1">IFERROR(__xludf.DUMMYFUNCTION("""COMPUTED_VALUE"""),31)</f>
        <v>31</v>
      </c>
      <c r="G183" s="1">
        <f ca="1">IFERROR(__xludf.DUMMYFUNCTION("""COMPUTED_VALUE"""),19)</f>
        <v>19</v>
      </c>
      <c r="H183" s="1">
        <f ca="1">IFERROR(__xludf.DUMMYFUNCTION("""COMPUTED_VALUE"""),5)</f>
        <v>5</v>
      </c>
      <c r="I183" s="1">
        <f ca="1">IFERROR(__xludf.DUMMYFUNCTION("""COMPUTED_VALUE"""),0)</f>
        <v>0</v>
      </c>
      <c r="J183" s="1">
        <f ca="1">IFERROR(__xludf.DUMMYFUNCTION("""COMPUTED_VALUE"""),17)</f>
        <v>17</v>
      </c>
      <c r="K183" s="1">
        <f ca="1">IFERROR(__xludf.DUMMYFUNCTION("""COMPUTED_VALUE"""),5)</f>
        <v>5</v>
      </c>
      <c r="L183" s="1">
        <f ca="1">IFERROR(__xludf.DUMMYFUNCTION("""COMPUTED_VALUE"""),4)</f>
        <v>4</v>
      </c>
      <c r="M183" s="1">
        <f ca="1">IFERROR(__xludf.DUMMYFUNCTION("""COMPUTED_VALUE"""),3)</f>
        <v>3</v>
      </c>
      <c r="N183" s="1">
        <f ca="1">IFERROR(__xludf.DUMMYFUNCTION("""COMPUTED_VALUE"""),10)</f>
        <v>10</v>
      </c>
      <c r="O183" s="1">
        <f ca="1">IFERROR(__xludf.DUMMYFUNCTION("""COMPUTED_VALUE"""),1)</f>
        <v>1</v>
      </c>
      <c r="P183" s="1">
        <f ca="1">IFERROR(__xludf.DUMMYFUNCTION("""COMPUTED_VALUE"""),7)</f>
        <v>7</v>
      </c>
      <c r="Q183" s="1">
        <f ca="1">IFERROR(__xludf.DUMMYFUNCTION("""COMPUTED_VALUE"""),1)</f>
        <v>1</v>
      </c>
      <c r="R183" s="1">
        <f ca="1">IFERROR(__xludf.DUMMYFUNCTION("""COMPUTED_VALUE"""),0)</f>
        <v>0</v>
      </c>
      <c r="S183" s="1">
        <f ca="1">IFERROR(__xludf.DUMMYFUNCTION("""COMPUTED_VALUE"""),1)</f>
        <v>1</v>
      </c>
      <c r="T183" s="1">
        <f ca="1">IFERROR(__xludf.DUMMYFUNCTION("""COMPUTED_VALUE"""),44305.4295949074)</f>
        <v>44305.4295949074</v>
      </c>
      <c r="U183" s="1" t="str">
        <f ca="1">IFERROR(__xludf.DUMMYFUNCTION("""COMPUTED_VALUE"""),"nil")</f>
        <v>nil</v>
      </c>
    </row>
    <row r="184" spans="1:21" ht="13" x14ac:dyDescent="0.15">
      <c r="A184" s="1" t="str">
        <f t="shared" ca="1" si="0"/>
        <v>SalemSKS Hospital</v>
      </c>
      <c r="B184" s="1">
        <f ca="1">IFERROR(__xludf.DUMMYFUNCTION("""COMPUTED_VALUE"""),183)</f>
        <v>183</v>
      </c>
      <c r="C184" s="1" t="str">
        <f ca="1">IFERROR(__xludf.DUMMYFUNCTION("""COMPUTED_VALUE"""),"Salem")</f>
        <v>Salem</v>
      </c>
      <c r="D184" s="1" t="str">
        <f ca="1">IFERROR(__xludf.DUMMYFUNCTION("""COMPUTED_VALUE"""),"SKS Hospital")</f>
        <v>SKS Hospital</v>
      </c>
      <c r="E184" s="1">
        <f ca="1">IFERROR(__xludf.DUMMYFUNCTION("""COMPUTED_VALUE"""),45)</f>
        <v>45</v>
      </c>
      <c r="F184" s="1">
        <f ca="1">IFERROR(__xludf.DUMMYFUNCTION("""COMPUTED_VALUE"""),38)</f>
        <v>38</v>
      </c>
      <c r="G184" s="1">
        <f ca="1">IFERROR(__xludf.DUMMYFUNCTION("""COMPUTED_VALUE"""),3)</f>
        <v>3</v>
      </c>
      <c r="H184" s="1">
        <f ca="1">IFERROR(__xludf.DUMMYFUNCTION("""COMPUTED_VALUE"""),32)</f>
        <v>32</v>
      </c>
      <c r="I184" s="1">
        <f ca="1">IFERROR(__xludf.DUMMYFUNCTION("""COMPUTED_VALUE"""),8)</f>
        <v>8</v>
      </c>
      <c r="J184" s="1">
        <f ca="1">IFERROR(__xludf.DUMMYFUNCTION("""COMPUTED_VALUE"""),22)</f>
        <v>22</v>
      </c>
      <c r="K184" s="1">
        <f ca="1">IFERROR(__xludf.DUMMYFUNCTION("""COMPUTED_VALUE"""),0)</f>
        <v>0</v>
      </c>
      <c r="L184" s="1">
        <f ca="1">IFERROR(__xludf.DUMMYFUNCTION("""COMPUTED_VALUE"""),0)</f>
        <v>0</v>
      </c>
      <c r="M184" s="1">
        <f ca="1">IFERROR(__xludf.DUMMYFUNCTION("""COMPUTED_VALUE"""),0)</f>
        <v>0</v>
      </c>
      <c r="N184" s="1">
        <f ca="1">IFERROR(__xludf.DUMMYFUNCTION("""COMPUTED_VALUE"""),0)</f>
        <v>0</v>
      </c>
      <c r="O184" s="1">
        <f ca="1">IFERROR(__xludf.DUMMYFUNCTION("""COMPUTED_VALUE"""),0)</f>
        <v>0</v>
      </c>
      <c r="P184" s="1">
        <f ca="1">IFERROR(__xludf.DUMMYFUNCTION("""COMPUTED_VALUE"""),0)</f>
        <v>0</v>
      </c>
      <c r="Q184" s="1">
        <f ca="1">IFERROR(__xludf.DUMMYFUNCTION("""COMPUTED_VALUE"""),0)</f>
        <v>0</v>
      </c>
      <c r="R184" s="1">
        <f ca="1">IFERROR(__xludf.DUMMYFUNCTION("""COMPUTED_VALUE"""),0)</f>
        <v>0</v>
      </c>
      <c r="S184" s="1">
        <f ca="1">IFERROR(__xludf.DUMMYFUNCTION("""COMPUTED_VALUE"""),0)</f>
        <v>0</v>
      </c>
      <c r="T184" s="1">
        <f ca="1">IFERROR(__xludf.DUMMYFUNCTION("""COMPUTED_VALUE"""),44304.4298842592)</f>
        <v>44304.429884259203</v>
      </c>
      <c r="U184" s="1"/>
    </row>
    <row r="185" spans="1:21" ht="13" x14ac:dyDescent="0.15">
      <c r="A185" s="1" t="str">
        <f t="shared" ca="1" si="0"/>
        <v>SalemSri Gokulam Hospital</v>
      </c>
      <c r="B185" s="1">
        <f ca="1">IFERROR(__xludf.DUMMYFUNCTION("""COMPUTED_VALUE"""),184)</f>
        <v>184</v>
      </c>
      <c r="C185" s="1" t="str">
        <f ca="1">IFERROR(__xludf.DUMMYFUNCTION("""COMPUTED_VALUE"""),"Salem")</f>
        <v>Salem</v>
      </c>
      <c r="D185" s="1" t="str">
        <f ca="1">IFERROR(__xludf.DUMMYFUNCTION("""COMPUTED_VALUE"""),"Sri Gokulam Hospital")</f>
        <v>Sri Gokulam Hospital</v>
      </c>
      <c r="E185" s="1">
        <f ca="1">IFERROR(__xludf.DUMMYFUNCTION("""COMPUTED_VALUE"""),90)</f>
        <v>90</v>
      </c>
      <c r="F185" s="1">
        <f ca="1">IFERROR(__xludf.DUMMYFUNCTION("""COMPUTED_VALUE"""),84)</f>
        <v>84</v>
      </c>
      <c r="G185" s="1">
        <f ca="1">IFERROR(__xludf.DUMMYFUNCTION("""COMPUTED_VALUE"""),6)</f>
        <v>6</v>
      </c>
      <c r="H185" s="1">
        <f ca="1">IFERROR(__xludf.DUMMYFUNCTION("""COMPUTED_VALUE"""),29)</f>
        <v>29</v>
      </c>
      <c r="I185" s="1">
        <f ca="1">IFERROR(__xludf.DUMMYFUNCTION("""COMPUTED_VALUE"""),27)</f>
        <v>27</v>
      </c>
      <c r="J185" s="1">
        <f ca="1">IFERROR(__xludf.DUMMYFUNCTION("""COMPUTED_VALUE"""),2)</f>
        <v>2</v>
      </c>
      <c r="K185" s="1">
        <f ca="1">IFERROR(__xludf.DUMMYFUNCTION("""COMPUTED_VALUE"""),57)</f>
        <v>57</v>
      </c>
      <c r="L185" s="1">
        <f ca="1">IFERROR(__xludf.DUMMYFUNCTION("""COMPUTED_VALUE"""),53)</f>
        <v>53</v>
      </c>
      <c r="M185" s="1">
        <f ca="1">IFERROR(__xludf.DUMMYFUNCTION("""COMPUTED_VALUE"""),4)</f>
        <v>4</v>
      </c>
      <c r="N185" s="1">
        <f ca="1">IFERROR(__xludf.DUMMYFUNCTION("""COMPUTED_VALUE"""),4)</f>
        <v>4</v>
      </c>
      <c r="O185" s="1">
        <f ca="1">IFERROR(__xludf.DUMMYFUNCTION("""COMPUTED_VALUE"""),4)</f>
        <v>4</v>
      </c>
      <c r="P185" s="1">
        <f ca="1">IFERROR(__xludf.DUMMYFUNCTION("""COMPUTED_VALUE"""),4)</f>
        <v>4</v>
      </c>
      <c r="Q185" s="1">
        <f ca="1">IFERROR(__xludf.DUMMYFUNCTION("""COMPUTED_VALUE"""),2)</f>
        <v>2</v>
      </c>
      <c r="R185" s="1">
        <f ca="1">IFERROR(__xludf.DUMMYFUNCTION("""COMPUTED_VALUE"""),0)</f>
        <v>0</v>
      </c>
      <c r="S185" s="1">
        <f ca="1">IFERROR(__xludf.DUMMYFUNCTION("""COMPUTED_VALUE"""),2)</f>
        <v>2</v>
      </c>
      <c r="T185" s="1">
        <f ca="1">IFERROR(__xludf.DUMMYFUNCTION("""COMPUTED_VALUE"""),44305.4283333333)</f>
        <v>44305.428333333301</v>
      </c>
      <c r="U185" s="1" t="str">
        <f ca="1">IFERROR(__xludf.DUMMYFUNCTION("""COMPUTED_VALUE"""),"19-04-21")</f>
        <v>19-04-21</v>
      </c>
    </row>
    <row r="186" spans="1:21" ht="13" x14ac:dyDescent="0.15">
      <c r="A186" s="1" t="str">
        <f t="shared" ca="1" si="0"/>
        <v>SalemVinayaka Mission Super Specialty Hospitals Pvt Ltd</v>
      </c>
      <c r="B186" s="1">
        <f ca="1">IFERROR(__xludf.DUMMYFUNCTION("""COMPUTED_VALUE"""),185)</f>
        <v>185</v>
      </c>
      <c r="C186" s="1" t="str">
        <f ca="1">IFERROR(__xludf.DUMMYFUNCTION("""COMPUTED_VALUE"""),"Salem")</f>
        <v>Salem</v>
      </c>
      <c r="D186" s="1" t="str">
        <f ca="1">IFERROR(__xludf.DUMMYFUNCTION("""COMPUTED_VALUE"""),"Vinayaka Mission Super Specialty Hospitals Pvt Ltd")</f>
        <v>Vinayaka Mission Super Specialty Hospitals Pvt Ltd</v>
      </c>
      <c r="E186" s="1">
        <f ca="1">IFERROR(__xludf.DUMMYFUNCTION("""COMPUTED_VALUE"""),80)</f>
        <v>80</v>
      </c>
      <c r="F186" s="1">
        <f ca="1">IFERROR(__xludf.DUMMYFUNCTION("""COMPUTED_VALUE"""),0)</f>
        <v>0</v>
      </c>
      <c r="G186" s="1">
        <f ca="1">IFERROR(__xludf.DUMMYFUNCTION("""COMPUTED_VALUE"""),80)</f>
        <v>80</v>
      </c>
      <c r="H186" s="1">
        <f ca="1">IFERROR(__xludf.DUMMYFUNCTION("""COMPUTED_VALUE"""),24)</f>
        <v>24</v>
      </c>
      <c r="I186" s="1">
        <f ca="1">IFERROR(__xludf.DUMMYFUNCTION("""COMPUTED_VALUE"""),0)</f>
        <v>0</v>
      </c>
      <c r="J186" s="1">
        <f ca="1">IFERROR(__xludf.DUMMYFUNCTION("""COMPUTED_VALUE"""),0)</f>
        <v>0</v>
      </c>
      <c r="K186" s="1">
        <f ca="1">IFERROR(__xludf.DUMMYFUNCTION("""COMPUTED_VALUE"""),47)</f>
        <v>47</v>
      </c>
      <c r="L186" s="1">
        <f ca="1">IFERROR(__xludf.DUMMYFUNCTION("""COMPUTED_VALUE"""),0)</f>
        <v>0</v>
      </c>
      <c r="M186" s="1">
        <f ca="1">IFERROR(__xludf.DUMMYFUNCTION("""COMPUTED_VALUE"""),19)</f>
        <v>19</v>
      </c>
      <c r="N186" s="1">
        <f ca="1">IFERROR(__xludf.DUMMYFUNCTION("""COMPUTED_VALUE"""),9)</f>
        <v>9</v>
      </c>
      <c r="O186" s="1">
        <f ca="1">IFERROR(__xludf.DUMMYFUNCTION("""COMPUTED_VALUE"""),0)</f>
        <v>0</v>
      </c>
      <c r="P186" s="1">
        <f ca="1">IFERROR(__xludf.DUMMYFUNCTION("""COMPUTED_VALUE"""),0)</f>
        <v>0</v>
      </c>
      <c r="Q186" s="1">
        <f ca="1">IFERROR(__xludf.DUMMYFUNCTION("""COMPUTED_VALUE"""),2)</f>
        <v>2</v>
      </c>
      <c r="R186" s="1">
        <f ca="1">IFERROR(__xludf.DUMMYFUNCTION("""COMPUTED_VALUE"""),0)</f>
        <v>0</v>
      </c>
      <c r="S186" s="1">
        <f ca="1">IFERROR(__xludf.DUMMYFUNCTION("""COMPUTED_VALUE"""),2)</f>
        <v>2</v>
      </c>
      <c r="T186" s="1">
        <f ca="1">IFERROR(__xludf.DUMMYFUNCTION("""COMPUTED_VALUE"""),44305.5108564814)</f>
        <v>44305.5108564814</v>
      </c>
      <c r="U186" s="1"/>
    </row>
    <row r="187" spans="1:21" ht="13" x14ac:dyDescent="0.15">
      <c r="A187" s="1" t="str">
        <f t="shared" ca="1" si="0"/>
        <v>SalemVinyaga Mission Kirubanandha Variyar Medical College Hospital</v>
      </c>
      <c r="B187" s="1">
        <f ca="1">IFERROR(__xludf.DUMMYFUNCTION("""COMPUTED_VALUE"""),186)</f>
        <v>186</v>
      </c>
      <c r="C187" s="1" t="str">
        <f ca="1">IFERROR(__xludf.DUMMYFUNCTION("""COMPUTED_VALUE"""),"Salem")</f>
        <v>Salem</v>
      </c>
      <c r="D187" s="1" t="str">
        <f ca="1">IFERROR(__xludf.DUMMYFUNCTION("""COMPUTED_VALUE"""),"Vinyaga Mission Kirubanandha Variyar Medical College Hospital")</f>
        <v>Vinyaga Mission Kirubanandha Variyar Medical College Hospital</v>
      </c>
      <c r="E187" s="1">
        <f ca="1">IFERROR(__xludf.DUMMYFUNCTION("""COMPUTED_VALUE"""),145)</f>
        <v>145</v>
      </c>
      <c r="F187" s="1">
        <f ca="1">IFERROR(__xludf.DUMMYFUNCTION("""COMPUTED_VALUE"""),17)</f>
        <v>17</v>
      </c>
      <c r="G187" s="1">
        <f ca="1">IFERROR(__xludf.DUMMYFUNCTION("""COMPUTED_VALUE"""),128)</f>
        <v>128</v>
      </c>
      <c r="H187" s="1">
        <f ca="1">IFERROR(__xludf.DUMMYFUNCTION("""COMPUTED_VALUE"""),45)</f>
        <v>45</v>
      </c>
      <c r="I187" s="1">
        <f ca="1">IFERROR(__xludf.DUMMYFUNCTION("""COMPUTED_VALUE"""),0)</f>
        <v>0</v>
      </c>
      <c r="J187" s="1">
        <f ca="1">IFERROR(__xludf.DUMMYFUNCTION("""COMPUTED_VALUE"""),45)</f>
        <v>45</v>
      </c>
      <c r="K187" s="1">
        <f ca="1">IFERROR(__xludf.DUMMYFUNCTION("""COMPUTED_VALUE"""),100)</f>
        <v>100</v>
      </c>
      <c r="L187" s="1">
        <f ca="1">IFERROR(__xludf.DUMMYFUNCTION("""COMPUTED_VALUE"""),9)</f>
        <v>9</v>
      </c>
      <c r="M187" s="1">
        <f ca="1">IFERROR(__xludf.DUMMYFUNCTION("""COMPUTED_VALUE"""),91)</f>
        <v>91</v>
      </c>
      <c r="N187" s="1">
        <f ca="1">IFERROR(__xludf.DUMMYFUNCTION("""COMPUTED_VALUE"""),15)</f>
        <v>15</v>
      </c>
      <c r="O187" s="1">
        <f ca="1">IFERROR(__xludf.DUMMYFUNCTION("""COMPUTED_VALUE"""),0)</f>
        <v>0</v>
      </c>
      <c r="P187" s="1">
        <f ca="1">IFERROR(__xludf.DUMMYFUNCTION("""COMPUTED_VALUE"""),15)</f>
        <v>15</v>
      </c>
      <c r="Q187" s="1">
        <f ca="1">IFERROR(__xludf.DUMMYFUNCTION("""COMPUTED_VALUE"""),5)</f>
        <v>5</v>
      </c>
      <c r="R187" s="1">
        <f ca="1">IFERROR(__xludf.DUMMYFUNCTION("""COMPUTED_VALUE"""),0)</f>
        <v>0</v>
      </c>
      <c r="S187" s="1">
        <f ca="1">IFERROR(__xludf.DUMMYFUNCTION("""COMPUTED_VALUE"""),5)</f>
        <v>5</v>
      </c>
      <c r="T187" s="1">
        <f ca="1">IFERROR(__xludf.DUMMYFUNCTION("""COMPUTED_VALUE"""),44305.4960763888)</f>
        <v>44305.496076388801</v>
      </c>
      <c r="U187" s="1"/>
    </row>
    <row r="188" spans="1:21" ht="13" x14ac:dyDescent="0.15">
      <c r="A188" s="1" t="str">
        <f t="shared" ca="1" si="0"/>
        <v>SivagangaiKauvery Hospital Karaikudi</v>
      </c>
      <c r="B188" s="1">
        <f ca="1">IFERROR(__xludf.DUMMYFUNCTION("""COMPUTED_VALUE"""),187)</f>
        <v>187</v>
      </c>
      <c r="C188" s="1" t="str">
        <f ca="1">IFERROR(__xludf.DUMMYFUNCTION("""COMPUTED_VALUE"""),"Sivagangai")</f>
        <v>Sivagangai</v>
      </c>
      <c r="D188" s="1" t="str">
        <f ca="1">IFERROR(__xludf.DUMMYFUNCTION("""COMPUTED_VALUE"""),"Kauvery Hospital Karaikudi")</f>
        <v>Kauvery Hospital Karaikudi</v>
      </c>
      <c r="E188" s="1">
        <f ca="1">IFERROR(__xludf.DUMMYFUNCTION("""COMPUTED_VALUE"""),40)</f>
        <v>40</v>
      </c>
      <c r="F188" s="1">
        <f ca="1">IFERROR(__xludf.DUMMYFUNCTION("""COMPUTED_VALUE"""),10)</f>
        <v>10</v>
      </c>
      <c r="G188" s="1">
        <f ca="1">IFERROR(__xludf.DUMMYFUNCTION("""COMPUTED_VALUE"""),30)</f>
        <v>30</v>
      </c>
      <c r="H188" s="1">
        <f ca="1">IFERROR(__xludf.DUMMYFUNCTION("""COMPUTED_VALUE"""),35)</f>
        <v>35</v>
      </c>
      <c r="I188" s="1">
        <f ca="1">IFERROR(__xludf.DUMMYFUNCTION("""COMPUTED_VALUE"""),3)</f>
        <v>3</v>
      </c>
      <c r="J188" s="1">
        <f ca="1">IFERROR(__xludf.DUMMYFUNCTION("""COMPUTED_VALUE"""),32)</f>
        <v>32</v>
      </c>
      <c r="K188" s="1">
        <f ca="1">IFERROR(__xludf.DUMMYFUNCTION("""COMPUTED_VALUE"""),0)</f>
        <v>0</v>
      </c>
      <c r="L188" s="1">
        <f ca="1">IFERROR(__xludf.DUMMYFUNCTION("""COMPUTED_VALUE"""),0)</f>
        <v>0</v>
      </c>
      <c r="M188" s="1">
        <f ca="1">IFERROR(__xludf.DUMMYFUNCTION("""COMPUTED_VALUE"""),0)</f>
        <v>0</v>
      </c>
      <c r="N188" s="1">
        <f ca="1">IFERROR(__xludf.DUMMYFUNCTION("""COMPUTED_VALUE"""),5)</f>
        <v>5</v>
      </c>
      <c r="O188" s="1">
        <f ca="1">IFERROR(__xludf.DUMMYFUNCTION("""COMPUTED_VALUE"""),0)</f>
        <v>0</v>
      </c>
      <c r="P188" s="1">
        <f ca="1">IFERROR(__xludf.DUMMYFUNCTION("""COMPUTED_VALUE"""),5)</f>
        <v>5</v>
      </c>
      <c r="Q188" s="1">
        <f ca="1">IFERROR(__xludf.DUMMYFUNCTION("""COMPUTED_VALUE"""),4)</f>
        <v>4</v>
      </c>
      <c r="R188" s="1">
        <f ca="1">IFERROR(__xludf.DUMMYFUNCTION("""COMPUTED_VALUE"""),0)</f>
        <v>0</v>
      </c>
      <c r="S188" s="1">
        <f ca="1">IFERROR(__xludf.DUMMYFUNCTION("""COMPUTED_VALUE"""),4)</f>
        <v>4</v>
      </c>
      <c r="T188" s="1">
        <f ca="1">IFERROR(__xludf.DUMMYFUNCTION("""COMPUTED_VALUE"""),44305.4036111111)</f>
        <v>44305.403611111098</v>
      </c>
      <c r="U188" s="1" t="str">
        <f ca="1">IFERROR(__xludf.DUMMYFUNCTION("""COMPUTED_VALUE"""),"19/04/2021 Positive - 8 Suspected-2 Total=10")</f>
        <v>19/04/2021 Positive - 8 Suspected-2 Total=10</v>
      </c>
    </row>
    <row r="189" spans="1:21" ht="13" x14ac:dyDescent="0.15">
      <c r="A189" s="1" t="str">
        <f t="shared" ca="1" si="0"/>
        <v>ThanjavurKG Multi Speciality Hospital</v>
      </c>
      <c r="B189" s="1">
        <f ca="1">IFERROR(__xludf.DUMMYFUNCTION("""COMPUTED_VALUE"""),188)</f>
        <v>188</v>
      </c>
      <c r="C189" s="1" t="str">
        <f ca="1">IFERROR(__xludf.DUMMYFUNCTION("""COMPUTED_VALUE"""),"Thanjavur")</f>
        <v>Thanjavur</v>
      </c>
      <c r="D189" s="1" t="str">
        <f ca="1">IFERROR(__xludf.DUMMYFUNCTION("""COMPUTED_VALUE"""),"KG Multi Speciality Hospital")</f>
        <v>KG Multi Speciality Hospital</v>
      </c>
      <c r="E189" s="1">
        <f ca="1">IFERROR(__xludf.DUMMYFUNCTION("""COMPUTED_VALUE"""),48)</f>
        <v>48</v>
      </c>
      <c r="F189" s="1">
        <f ca="1">IFERROR(__xludf.DUMMYFUNCTION("""COMPUTED_VALUE"""),30)</f>
        <v>30</v>
      </c>
      <c r="G189" s="1">
        <f ca="1">IFERROR(__xludf.DUMMYFUNCTION("""COMPUTED_VALUE"""),18)</f>
        <v>18</v>
      </c>
      <c r="H189" s="1">
        <f ca="1">IFERROR(__xludf.DUMMYFUNCTION("""COMPUTED_VALUE"""),48)</f>
        <v>48</v>
      </c>
      <c r="I189" s="1">
        <f ca="1">IFERROR(__xludf.DUMMYFUNCTION("""COMPUTED_VALUE"""),6)</f>
        <v>6</v>
      </c>
      <c r="J189" s="1">
        <f ca="1">IFERROR(__xludf.DUMMYFUNCTION("""COMPUTED_VALUE"""),42)</f>
        <v>42</v>
      </c>
      <c r="K189" s="1">
        <f ca="1">IFERROR(__xludf.DUMMYFUNCTION("""COMPUTED_VALUE"""),48)</f>
        <v>48</v>
      </c>
      <c r="L189" s="1">
        <f ca="1">IFERROR(__xludf.DUMMYFUNCTION("""COMPUTED_VALUE"""),8)</f>
        <v>8</v>
      </c>
      <c r="M189" s="1">
        <f ca="1">IFERROR(__xludf.DUMMYFUNCTION("""COMPUTED_VALUE"""),40)</f>
        <v>40</v>
      </c>
      <c r="N189" s="1">
        <f ca="1">IFERROR(__xludf.DUMMYFUNCTION("""COMPUTED_VALUE"""),20)</f>
        <v>20</v>
      </c>
      <c r="O189" s="1">
        <f ca="1">IFERROR(__xludf.DUMMYFUNCTION("""COMPUTED_VALUE"""),15)</f>
        <v>15</v>
      </c>
      <c r="P189" s="1">
        <f ca="1">IFERROR(__xludf.DUMMYFUNCTION("""COMPUTED_VALUE"""),6)</f>
        <v>6</v>
      </c>
      <c r="Q189" s="1">
        <f ca="1">IFERROR(__xludf.DUMMYFUNCTION("""COMPUTED_VALUE"""),12)</f>
        <v>12</v>
      </c>
      <c r="R189" s="1">
        <f ca="1">IFERROR(__xludf.DUMMYFUNCTION("""COMPUTED_VALUE"""),1)</f>
        <v>1</v>
      </c>
      <c r="S189" s="1">
        <f ca="1">IFERROR(__xludf.DUMMYFUNCTION("""COMPUTED_VALUE"""),11)</f>
        <v>11</v>
      </c>
      <c r="T189" s="1">
        <f ca="1">IFERROR(__xludf.DUMMYFUNCTION("""COMPUTED_VALUE"""),44305.3545833333)</f>
        <v>44305.354583333297</v>
      </c>
      <c r="U189" s="1" t="str">
        <f ca="1">IFERROR(__xludf.DUMMYFUNCTION("""COMPUTED_VALUE"""),"COVID-19 POSITIVE:15/SUSPECTED:15 TOTAL OCCUPIED BEDs :30 VACANT :18")</f>
        <v>COVID-19 POSITIVE:15/SUSPECTED:15 TOTAL OCCUPIED BEDs :30 VACANT :18</v>
      </c>
    </row>
    <row r="190" spans="1:21" ht="13" x14ac:dyDescent="0.15">
      <c r="A190" s="1" t="str">
        <f t="shared" ca="1" si="0"/>
        <v>ThanjavurMeenakshi Multispeciality Hospital</v>
      </c>
      <c r="B190" s="1">
        <f ca="1">IFERROR(__xludf.DUMMYFUNCTION("""COMPUTED_VALUE"""),189)</f>
        <v>189</v>
      </c>
      <c r="C190" s="1" t="str">
        <f ca="1">IFERROR(__xludf.DUMMYFUNCTION("""COMPUTED_VALUE"""),"Thanjavur")</f>
        <v>Thanjavur</v>
      </c>
      <c r="D190" s="1" t="str">
        <f ca="1">IFERROR(__xludf.DUMMYFUNCTION("""COMPUTED_VALUE"""),"Meenakshi Multispeciality Hospital")</f>
        <v>Meenakshi Multispeciality Hospital</v>
      </c>
      <c r="E190" s="1">
        <f ca="1">IFERROR(__xludf.DUMMYFUNCTION("""COMPUTED_VALUE"""),105)</f>
        <v>105</v>
      </c>
      <c r="F190" s="1">
        <f ca="1">IFERROR(__xludf.DUMMYFUNCTION("""COMPUTED_VALUE"""),103)</f>
        <v>103</v>
      </c>
      <c r="G190" s="1">
        <f ca="1">IFERROR(__xludf.DUMMYFUNCTION("""COMPUTED_VALUE"""),2)</f>
        <v>2</v>
      </c>
      <c r="H190" s="1">
        <f ca="1">IFERROR(__xludf.DUMMYFUNCTION("""COMPUTED_VALUE"""),20)</f>
        <v>20</v>
      </c>
      <c r="I190" s="1">
        <f ca="1">IFERROR(__xludf.DUMMYFUNCTION("""COMPUTED_VALUE"""),18)</f>
        <v>18</v>
      </c>
      <c r="J190" s="1">
        <f ca="1">IFERROR(__xludf.DUMMYFUNCTION("""COMPUTED_VALUE"""),2)</f>
        <v>2</v>
      </c>
      <c r="K190" s="1">
        <f ca="1">IFERROR(__xludf.DUMMYFUNCTION("""COMPUTED_VALUE"""),55)</f>
        <v>55</v>
      </c>
      <c r="L190" s="1">
        <f ca="1">IFERROR(__xludf.DUMMYFUNCTION("""COMPUTED_VALUE"""),55)</f>
        <v>55</v>
      </c>
      <c r="M190" s="1">
        <f ca="1">IFERROR(__xludf.DUMMYFUNCTION("""COMPUTED_VALUE"""),0)</f>
        <v>0</v>
      </c>
      <c r="N190" s="1">
        <f ca="1">IFERROR(__xludf.DUMMYFUNCTION("""COMPUTED_VALUE"""),30)</f>
        <v>30</v>
      </c>
      <c r="O190" s="1">
        <f ca="1">IFERROR(__xludf.DUMMYFUNCTION("""COMPUTED_VALUE"""),30)</f>
        <v>30</v>
      </c>
      <c r="P190" s="1">
        <f ca="1">IFERROR(__xludf.DUMMYFUNCTION("""COMPUTED_VALUE"""),0)</f>
        <v>0</v>
      </c>
      <c r="Q190" s="1">
        <f ca="1">IFERROR(__xludf.DUMMYFUNCTION("""COMPUTED_VALUE"""),2)</f>
        <v>2</v>
      </c>
      <c r="R190" s="1">
        <f ca="1">IFERROR(__xludf.DUMMYFUNCTION("""COMPUTED_VALUE"""),0)</f>
        <v>0</v>
      </c>
      <c r="S190" s="1">
        <f ca="1">IFERROR(__xludf.DUMMYFUNCTION("""COMPUTED_VALUE"""),2)</f>
        <v>2</v>
      </c>
      <c r="T190" s="1">
        <f ca="1">IFERROR(__xludf.DUMMYFUNCTION("""COMPUTED_VALUE"""),44305.4588888888)</f>
        <v>44305.458888888803</v>
      </c>
      <c r="U190" s="1" t="str">
        <f ca="1">IFERROR(__xludf.DUMMYFUNCTION("""COMPUTED_VALUE"""),"Positive-83, SARI-20")</f>
        <v>Positive-83, SARI-20</v>
      </c>
    </row>
    <row r="191" spans="1:21" ht="13" x14ac:dyDescent="0.15">
      <c r="A191" s="1" t="str">
        <f t="shared" ca="1" si="0"/>
        <v>TiruvallurAakash Hospital</v>
      </c>
      <c r="B191" s="1">
        <f ca="1">IFERROR(__xludf.DUMMYFUNCTION("""COMPUTED_VALUE"""),190)</f>
        <v>190</v>
      </c>
      <c r="C191" s="1" t="str">
        <f ca="1">IFERROR(__xludf.DUMMYFUNCTION("""COMPUTED_VALUE"""),"Tiruvallur")</f>
        <v>Tiruvallur</v>
      </c>
      <c r="D191" s="1" t="str">
        <f ca="1">IFERROR(__xludf.DUMMYFUNCTION("""COMPUTED_VALUE"""),"Aakash Hospital")</f>
        <v>Aakash Hospital</v>
      </c>
      <c r="E191" s="1">
        <f ca="1">IFERROR(__xludf.DUMMYFUNCTION("""COMPUTED_VALUE"""),55)</f>
        <v>55</v>
      </c>
      <c r="F191" s="1">
        <f ca="1">IFERROR(__xludf.DUMMYFUNCTION("""COMPUTED_VALUE"""),53)</f>
        <v>53</v>
      </c>
      <c r="G191" s="1">
        <f ca="1">IFERROR(__xludf.DUMMYFUNCTION("""COMPUTED_VALUE"""),2)</f>
        <v>2</v>
      </c>
      <c r="H191" s="1">
        <f ca="1">IFERROR(__xludf.DUMMYFUNCTION("""COMPUTED_VALUE"""),55)</f>
        <v>55</v>
      </c>
      <c r="I191" s="1">
        <f ca="1">IFERROR(__xludf.DUMMYFUNCTION("""COMPUTED_VALUE"""),53)</f>
        <v>53</v>
      </c>
      <c r="J191" s="1">
        <f ca="1">IFERROR(__xludf.DUMMYFUNCTION("""COMPUTED_VALUE"""),2)</f>
        <v>2</v>
      </c>
      <c r="K191" s="1">
        <f ca="1">IFERROR(__xludf.DUMMYFUNCTION("""COMPUTED_VALUE"""),0)</f>
        <v>0</v>
      </c>
      <c r="L191" s="1">
        <f ca="1">IFERROR(__xludf.DUMMYFUNCTION("""COMPUTED_VALUE"""),0)</f>
        <v>0</v>
      </c>
      <c r="M191" s="1">
        <f ca="1">IFERROR(__xludf.DUMMYFUNCTION("""COMPUTED_VALUE"""),0)</f>
        <v>0</v>
      </c>
      <c r="N191" s="1">
        <f ca="1">IFERROR(__xludf.DUMMYFUNCTION("""COMPUTED_VALUE"""),6)</f>
        <v>6</v>
      </c>
      <c r="O191" s="1">
        <f ca="1">IFERROR(__xludf.DUMMYFUNCTION("""COMPUTED_VALUE"""),6)</f>
        <v>6</v>
      </c>
      <c r="P191" s="1">
        <f ca="1">IFERROR(__xludf.DUMMYFUNCTION("""COMPUTED_VALUE"""),0)</f>
        <v>0</v>
      </c>
      <c r="Q191" s="1">
        <f ca="1">IFERROR(__xludf.DUMMYFUNCTION("""COMPUTED_VALUE"""),3)</f>
        <v>3</v>
      </c>
      <c r="R191" s="1">
        <f ca="1">IFERROR(__xludf.DUMMYFUNCTION("""COMPUTED_VALUE"""),0)</f>
        <v>0</v>
      </c>
      <c r="S191" s="1">
        <f ca="1">IFERROR(__xludf.DUMMYFUNCTION("""COMPUTED_VALUE"""),6)</f>
        <v>6</v>
      </c>
      <c r="T191" s="1">
        <f ca="1">IFERROR(__xludf.DUMMYFUNCTION("""COMPUTED_VALUE"""),44305.7178703703)</f>
        <v>44305.717870370303</v>
      </c>
      <c r="U191" s="1" t="str">
        <f ca="1">IFERROR(__xludf.DUMMYFUNCTION("""COMPUTED_VALUE"""),"19-04-2021")</f>
        <v>19-04-2021</v>
      </c>
    </row>
    <row r="192" spans="1:21" ht="13" x14ac:dyDescent="0.15">
      <c r="A192" s="1" t="str">
        <f t="shared" ca="1" si="0"/>
        <v>TiruvallurACS Medical College And Hospital</v>
      </c>
      <c r="B192" s="1">
        <f ca="1">IFERROR(__xludf.DUMMYFUNCTION("""COMPUTED_VALUE"""),191)</f>
        <v>191</v>
      </c>
      <c r="C192" s="1" t="str">
        <f ca="1">IFERROR(__xludf.DUMMYFUNCTION("""COMPUTED_VALUE"""),"Tiruvallur")</f>
        <v>Tiruvallur</v>
      </c>
      <c r="D192" s="1" t="str">
        <f ca="1">IFERROR(__xludf.DUMMYFUNCTION("""COMPUTED_VALUE"""),"ACS Medical College And Hospital")</f>
        <v>ACS Medical College And Hospital</v>
      </c>
      <c r="E192" s="1">
        <f ca="1">IFERROR(__xludf.DUMMYFUNCTION("""COMPUTED_VALUE"""),50)</f>
        <v>50</v>
      </c>
      <c r="F192" s="1">
        <f ca="1">IFERROR(__xludf.DUMMYFUNCTION("""COMPUTED_VALUE"""),0)</f>
        <v>0</v>
      </c>
      <c r="G192" s="1">
        <f ca="1">IFERROR(__xludf.DUMMYFUNCTION("""COMPUTED_VALUE"""),50)</f>
        <v>50</v>
      </c>
      <c r="H192" s="1">
        <f ca="1">IFERROR(__xludf.DUMMYFUNCTION("""COMPUTED_VALUE"""),10)</f>
        <v>10</v>
      </c>
      <c r="I192" s="1">
        <f ca="1">IFERROR(__xludf.DUMMYFUNCTION("""COMPUTED_VALUE"""),0)</f>
        <v>0</v>
      </c>
      <c r="J192" s="1">
        <f ca="1">IFERROR(__xludf.DUMMYFUNCTION("""COMPUTED_VALUE"""),10)</f>
        <v>10</v>
      </c>
      <c r="K192" s="1">
        <f ca="1">IFERROR(__xludf.DUMMYFUNCTION("""COMPUTED_VALUE"""),40)</f>
        <v>40</v>
      </c>
      <c r="L192" s="1">
        <f ca="1">IFERROR(__xludf.DUMMYFUNCTION("""COMPUTED_VALUE"""),0)</f>
        <v>0</v>
      </c>
      <c r="M192" s="1">
        <f ca="1">IFERROR(__xludf.DUMMYFUNCTION("""COMPUTED_VALUE"""),40)</f>
        <v>40</v>
      </c>
      <c r="N192" s="1">
        <f ca="1">IFERROR(__xludf.DUMMYFUNCTION("""COMPUTED_VALUE"""),0)</f>
        <v>0</v>
      </c>
      <c r="O192" s="1">
        <f ca="1">IFERROR(__xludf.DUMMYFUNCTION("""COMPUTED_VALUE"""),0)</f>
        <v>0</v>
      </c>
      <c r="P192" s="1">
        <f ca="1">IFERROR(__xludf.DUMMYFUNCTION("""COMPUTED_VALUE"""),0)</f>
        <v>0</v>
      </c>
      <c r="Q192" s="1">
        <f ca="1">IFERROR(__xludf.DUMMYFUNCTION("""COMPUTED_VALUE"""),0)</f>
        <v>0</v>
      </c>
      <c r="R192" s="1">
        <f ca="1">IFERROR(__xludf.DUMMYFUNCTION("""COMPUTED_VALUE"""),0)</f>
        <v>0</v>
      </c>
      <c r="S192" s="1">
        <f ca="1">IFERROR(__xludf.DUMMYFUNCTION("""COMPUTED_VALUE"""),0)</f>
        <v>0</v>
      </c>
      <c r="T192" s="1">
        <f ca="1">IFERROR(__xludf.DUMMYFUNCTION("""COMPUTED_VALUE"""),44305.3005787037)</f>
        <v>44305.300578703696</v>
      </c>
      <c r="U192" s="1"/>
    </row>
    <row r="193" spans="1:21" ht="13" x14ac:dyDescent="0.15">
      <c r="A193" s="1" t="str">
        <f t="shared" ca="1" si="0"/>
        <v>TiruvallurPeacock Hospitals Private Limited</v>
      </c>
      <c r="B193" s="1">
        <f ca="1">IFERROR(__xludf.DUMMYFUNCTION("""COMPUTED_VALUE"""),192)</f>
        <v>192</v>
      </c>
      <c r="C193" s="1" t="str">
        <f ca="1">IFERROR(__xludf.DUMMYFUNCTION("""COMPUTED_VALUE"""),"Tiruvallur")</f>
        <v>Tiruvallur</v>
      </c>
      <c r="D193" s="1" t="str">
        <f ca="1">IFERROR(__xludf.DUMMYFUNCTION("""COMPUTED_VALUE"""),"Peacock Hospitals Private Limited")</f>
        <v>Peacock Hospitals Private Limited</v>
      </c>
      <c r="E193" s="1">
        <f ca="1">IFERROR(__xludf.DUMMYFUNCTION("""COMPUTED_VALUE"""),27)</f>
        <v>27</v>
      </c>
      <c r="F193" s="1">
        <f ca="1">IFERROR(__xludf.DUMMYFUNCTION("""COMPUTED_VALUE"""),24)</f>
        <v>24</v>
      </c>
      <c r="G193" s="1">
        <f ca="1">IFERROR(__xludf.DUMMYFUNCTION("""COMPUTED_VALUE"""),1)</f>
        <v>1</v>
      </c>
      <c r="H193" s="1">
        <f ca="1">IFERROR(__xludf.DUMMYFUNCTION("""COMPUTED_VALUE"""),19)</f>
        <v>19</v>
      </c>
      <c r="I193" s="1">
        <f ca="1">IFERROR(__xludf.DUMMYFUNCTION("""COMPUTED_VALUE"""),19)</f>
        <v>19</v>
      </c>
      <c r="J193" s="1">
        <f ca="1">IFERROR(__xludf.DUMMYFUNCTION("""COMPUTED_VALUE"""),0)</f>
        <v>0</v>
      </c>
      <c r="K193" s="1">
        <f ca="1">IFERROR(__xludf.DUMMYFUNCTION("""COMPUTED_VALUE"""),2)</f>
        <v>2</v>
      </c>
      <c r="L193" s="1">
        <f ca="1">IFERROR(__xludf.DUMMYFUNCTION("""COMPUTED_VALUE"""),0)</f>
        <v>0</v>
      </c>
      <c r="M193" s="1">
        <f ca="1">IFERROR(__xludf.DUMMYFUNCTION("""COMPUTED_VALUE"""),2)</f>
        <v>2</v>
      </c>
      <c r="N193" s="1">
        <f ca="1">IFERROR(__xludf.DUMMYFUNCTION("""COMPUTED_VALUE"""),6)</f>
        <v>6</v>
      </c>
      <c r="O193" s="1">
        <f ca="1">IFERROR(__xludf.DUMMYFUNCTION("""COMPUTED_VALUE"""),5)</f>
        <v>5</v>
      </c>
      <c r="P193" s="1">
        <f ca="1">IFERROR(__xludf.DUMMYFUNCTION("""COMPUTED_VALUE"""),1)</f>
        <v>1</v>
      </c>
      <c r="Q193" s="1">
        <f ca="1">IFERROR(__xludf.DUMMYFUNCTION("""COMPUTED_VALUE"""),1)</f>
        <v>1</v>
      </c>
      <c r="R193" s="1">
        <f ca="1">IFERROR(__xludf.DUMMYFUNCTION("""COMPUTED_VALUE"""),0)</f>
        <v>0</v>
      </c>
      <c r="S193" s="1">
        <f ca="1">IFERROR(__xludf.DUMMYFUNCTION("""COMPUTED_VALUE"""),1)</f>
        <v>1</v>
      </c>
      <c r="T193" s="1">
        <f ca="1">IFERROR(__xludf.DUMMYFUNCTION("""COMPUTED_VALUE"""),44305.3964351851)</f>
        <v>44305.396435185103</v>
      </c>
      <c r="U193" s="1" t="str">
        <f ca="1">IFERROR(__xludf.DUMMYFUNCTION("""COMPUTED_VALUE"""),"update 19/04/2021")</f>
        <v>update 19/04/2021</v>
      </c>
    </row>
    <row r="194" spans="1:21" ht="13" x14ac:dyDescent="0.15">
      <c r="A194" s="1" t="str">
        <f t="shared" ca="1" si="0"/>
        <v>TiruvallurRaj Nursing Home Mogappair East</v>
      </c>
      <c r="B194" s="1">
        <f ca="1">IFERROR(__xludf.DUMMYFUNCTION("""COMPUTED_VALUE"""),193)</f>
        <v>193</v>
      </c>
      <c r="C194" s="1" t="str">
        <f ca="1">IFERROR(__xludf.DUMMYFUNCTION("""COMPUTED_VALUE"""),"Tiruvallur")</f>
        <v>Tiruvallur</v>
      </c>
      <c r="D194" s="1" t="str">
        <f ca="1">IFERROR(__xludf.DUMMYFUNCTION("""COMPUTED_VALUE"""),"Raj Nursing Home Mogappair East")</f>
        <v>Raj Nursing Home Mogappair East</v>
      </c>
      <c r="E194" s="1">
        <f ca="1">IFERROR(__xludf.DUMMYFUNCTION("""COMPUTED_VALUE"""),24)</f>
        <v>24</v>
      </c>
      <c r="F194" s="1">
        <f ca="1">IFERROR(__xludf.DUMMYFUNCTION("""COMPUTED_VALUE"""),23)</f>
        <v>23</v>
      </c>
      <c r="G194" s="1">
        <f ca="1">IFERROR(__xludf.DUMMYFUNCTION("""COMPUTED_VALUE"""),1)</f>
        <v>1</v>
      </c>
      <c r="H194" s="1">
        <f ca="1">IFERROR(__xludf.DUMMYFUNCTION("""COMPUTED_VALUE"""),17)</f>
        <v>17</v>
      </c>
      <c r="I194" s="1">
        <f ca="1">IFERROR(__xludf.DUMMYFUNCTION("""COMPUTED_VALUE"""),16)</f>
        <v>16</v>
      </c>
      <c r="J194" s="1">
        <f ca="1">IFERROR(__xludf.DUMMYFUNCTION("""COMPUTED_VALUE"""),1)</f>
        <v>1</v>
      </c>
      <c r="K194" s="1">
        <f ca="1">IFERROR(__xludf.DUMMYFUNCTION("""COMPUTED_VALUE"""),0)</f>
        <v>0</v>
      </c>
      <c r="L194" s="1">
        <f ca="1">IFERROR(__xludf.DUMMYFUNCTION("""COMPUTED_VALUE"""),0)</f>
        <v>0</v>
      </c>
      <c r="M194" s="1">
        <f ca="1">IFERROR(__xludf.DUMMYFUNCTION("""COMPUTED_VALUE"""),0)</f>
        <v>0</v>
      </c>
      <c r="N194" s="1">
        <f ca="1">IFERROR(__xludf.DUMMYFUNCTION("""COMPUTED_VALUE"""),7)</f>
        <v>7</v>
      </c>
      <c r="O194" s="1">
        <f ca="1">IFERROR(__xludf.DUMMYFUNCTION("""COMPUTED_VALUE"""),7)</f>
        <v>7</v>
      </c>
      <c r="P194" s="1">
        <f ca="1">IFERROR(__xludf.DUMMYFUNCTION("""COMPUTED_VALUE"""),0)</f>
        <v>0</v>
      </c>
      <c r="Q194" s="1">
        <f ca="1">IFERROR(__xludf.DUMMYFUNCTION("""COMPUTED_VALUE"""),2)</f>
        <v>2</v>
      </c>
      <c r="R194" s="1">
        <f ca="1">IFERROR(__xludf.DUMMYFUNCTION("""COMPUTED_VALUE"""),2)</f>
        <v>2</v>
      </c>
      <c r="S194" s="1">
        <f ca="1">IFERROR(__xludf.DUMMYFUNCTION("""COMPUTED_VALUE"""),0)</f>
        <v>0</v>
      </c>
      <c r="T194" s="1">
        <f ca="1">IFERROR(__xludf.DUMMYFUNCTION("""COMPUTED_VALUE"""),44305.4618287037)</f>
        <v>44305.461828703701</v>
      </c>
      <c r="U194" s="1" t="str">
        <f ca="1">IFERROR(__xludf.DUMMYFUNCTION("""COMPUTED_VALUE"""),"19/ 04/ 2021 8 AM")</f>
        <v>19/ 04/ 2021 8 AM</v>
      </c>
    </row>
    <row r="195" spans="1:21" ht="13" x14ac:dyDescent="0.15">
      <c r="A195" s="1" t="str">
        <f t="shared" ca="1" si="0"/>
        <v>TiruvallurRavina Health Care Pvt Ltd</v>
      </c>
      <c r="B195" s="1">
        <f ca="1">IFERROR(__xludf.DUMMYFUNCTION("""COMPUTED_VALUE"""),194)</f>
        <v>194</v>
      </c>
      <c r="C195" s="1" t="str">
        <f ca="1">IFERROR(__xludf.DUMMYFUNCTION("""COMPUTED_VALUE"""),"Tiruvallur")</f>
        <v>Tiruvallur</v>
      </c>
      <c r="D195" s="1" t="str">
        <f ca="1">IFERROR(__xludf.DUMMYFUNCTION("""COMPUTED_VALUE"""),"Ravina Health Care Pvt Ltd")</f>
        <v>Ravina Health Care Pvt Ltd</v>
      </c>
      <c r="E195" s="1">
        <f ca="1">IFERROR(__xludf.DUMMYFUNCTION("""COMPUTED_VALUE"""),24)</f>
        <v>24</v>
      </c>
      <c r="F195" s="1">
        <f ca="1">IFERROR(__xludf.DUMMYFUNCTION("""COMPUTED_VALUE"""),24)</f>
        <v>24</v>
      </c>
      <c r="G195" s="1">
        <f ca="1">IFERROR(__xludf.DUMMYFUNCTION("""COMPUTED_VALUE"""),0)</f>
        <v>0</v>
      </c>
      <c r="H195" s="1">
        <f ca="1">IFERROR(__xludf.DUMMYFUNCTION("""COMPUTED_VALUE"""),21)</f>
        <v>21</v>
      </c>
      <c r="I195" s="1">
        <f ca="1">IFERROR(__xludf.DUMMYFUNCTION("""COMPUTED_VALUE"""),20)</f>
        <v>20</v>
      </c>
      <c r="J195" s="1">
        <f ca="1">IFERROR(__xludf.DUMMYFUNCTION("""COMPUTED_VALUE"""),1)</f>
        <v>1</v>
      </c>
      <c r="K195" s="1">
        <f ca="1">IFERROR(__xludf.DUMMYFUNCTION("""COMPUTED_VALUE"""),21)</f>
        <v>21</v>
      </c>
      <c r="L195" s="1">
        <f ca="1">IFERROR(__xludf.DUMMYFUNCTION("""COMPUTED_VALUE"""),0)</f>
        <v>0</v>
      </c>
      <c r="M195" s="1">
        <f ca="1">IFERROR(__xludf.DUMMYFUNCTION("""COMPUTED_VALUE"""),0)</f>
        <v>0</v>
      </c>
      <c r="N195" s="1">
        <f ca="1">IFERROR(__xludf.DUMMYFUNCTION("""COMPUTED_VALUE"""),3)</f>
        <v>3</v>
      </c>
      <c r="O195" s="1">
        <f ca="1">IFERROR(__xludf.DUMMYFUNCTION("""COMPUTED_VALUE"""),0)</f>
        <v>0</v>
      </c>
      <c r="P195" s="1">
        <f ca="1">IFERROR(__xludf.DUMMYFUNCTION("""COMPUTED_VALUE"""),3)</f>
        <v>3</v>
      </c>
      <c r="Q195" s="1">
        <f ca="1">IFERROR(__xludf.DUMMYFUNCTION("""COMPUTED_VALUE"""),1)</f>
        <v>1</v>
      </c>
      <c r="R195" s="1">
        <f ca="1">IFERROR(__xludf.DUMMYFUNCTION("""COMPUTED_VALUE"""),0)</f>
        <v>0</v>
      </c>
      <c r="S195" s="1">
        <f ca="1">IFERROR(__xludf.DUMMYFUNCTION("""COMPUTED_VALUE"""),0)</f>
        <v>0</v>
      </c>
      <c r="T195" s="1">
        <f ca="1">IFERROR(__xludf.DUMMYFUNCTION("""COMPUTED_VALUE"""),44305.5499652777)</f>
        <v>44305.5499652777</v>
      </c>
      <c r="U195" s="1" t="str">
        <f ca="1">IFERROR(__xludf.DUMMYFUNCTION("""COMPUTED_VALUE"""),"Updated")</f>
        <v>Updated</v>
      </c>
    </row>
    <row r="196" spans="1:21" ht="13" x14ac:dyDescent="0.15">
      <c r="A196" s="1" t="str">
        <f t="shared" ca="1" si="0"/>
        <v>TiruvallurSri Ivan Stedeford Hospital</v>
      </c>
      <c r="B196" s="1">
        <f ca="1">IFERROR(__xludf.DUMMYFUNCTION("""COMPUTED_VALUE"""),195)</f>
        <v>195</v>
      </c>
      <c r="C196" s="1" t="str">
        <f ca="1">IFERROR(__xludf.DUMMYFUNCTION("""COMPUTED_VALUE"""),"Tiruvallur")</f>
        <v>Tiruvallur</v>
      </c>
      <c r="D196" s="1" t="str">
        <f ca="1">IFERROR(__xludf.DUMMYFUNCTION("""COMPUTED_VALUE"""),"Sri Ivan Stedeford Hospital")</f>
        <v>Sri Ivan Stedeford Hospital</v>
      </c>
      <c r="E196" s="1">
        <f ca="1">IFERROR(__xludf.DUMMYFUNCTION("""COMPUTED_VALUE"""),0)</f>
        <v>0</v>
      </c>
      <c r="F196" s="1">
        <f ca="1">IFERROR(__xludf.DUMMYFUNCTION("""COMPUTED_VALUE"""),0)</f>
        <v>0</v>
      </c>
      <c r="G196" s="1">
        <f ca="1">IFERROR(__xludf.DUMMYFUNCTION("""COMPUTED_VALUE"""),0)</f>
        <v>0</v>
      </c>
      <c r="H196" s="1">
        <f ca="1">IFERROR(__xludf.DUMMYFUNCTION("""COMPUTED_VALUE"""),0)</f>
        <v>0</v>
      </c>
      <c r="I196" s="1">
        <f ca="1">IFERROR(__xludf.DUMMYFUNCTION("""COMPUTED_VALUE"""),0)</f>
        <v>0</v>
      </c>
      <c r="J196" s="1">
        <f ca="1">IFERROR(__xludf.DUMMYFUNCTION("""COMPUTED_VALUE"""),0)</f>
        <v>0</v>
      </c>
      <c r="K196" s="1">
        <f ca="1">IFERROR(__xludf.DUMMYFUNCTION("""COMPUTED_VALUE"""),0)</f>
        <v>0</v>
      </c>
      <c r="L196" s="1">
        <f ca="1">IFERROR(__xludf.DUMMYFUNCTION("""COMPUTED_VALUE"""),0)</f>
        <v>0</v>
      </c>
      <c r="M196" s="1">
        <f ca="1">IFERROR(__xludf.DUMMYFUNCTION("""COMPUTED_VALUE"""),0)</f>
        <v>0</v>
      </c>
      <c r="N196" s="1">
        <f ca="1">IFERROR(__xludf.DUMMYFUNCTION("""COMPUTED_VALUE"""),0)</f>
        <v>0</v>
      </c>
      <c r="O196" s="1">
        <f ca="1">IFERROR(__xludf.DUMMYFUNCTION("""COMPUTED_VALUE"""),0)</f>
        <v>0</v>
      </c>
      <c r="P196" s="1">
        <f ca="1">IFERROR(__xludf.DUMMYFUNCTION("""COMPUTED_VALUE"""),0)</f>
        <v>0</v>
      </c>
      <c r="Q196" s="1">
        <f ca="1">IFERROR(__xludf.DUMMYFUNCTION("""COMPUTED_VALUE"""),0)</f>
        <v>0</v>
      </c>
      <c r="R196" s="1">
        <f ca="1">IFERROR(__xludf.DUMMYFUNCTION("""COMPUTED_VALUE"""),0)</f>
        <v>0</v>
      </c>
      <c r="S196" s="1">
        <f ca="1">IFERROR(__xludf.DUMMYFUNCTION("""COMPUTED_VALUE"""),0)</f>
        <v>0</v>
      </c>
      <c r="T196" s="1">
        <f ca="1">IFERROR(__xludf.DUMMYFUNCTION("""COMPUTED_VALUE"""),44305.3569675925)</f>
        <v>44305.356967592503</v>
      </c>
      <c r="U196" s="1" t="str">
        <f ca="1">IFERROR(__xludf.DUMMYFUNCTION("""COMPUTED_VALUE"""),"19.04.2021")</f>
        <v>19.04.2021</v>
      </c>
    </row>
    <row r="197" spans="1:21" ht="13" x14ac:dyDescent="0.15">
      <c r="A197" s="1" t="str">
        <f t="shared" ca="1" si="0"/>
        <v>TiruvallurSugam Hospital</v>
      </c>
      <c r="B197" s="1">
        <f ca="1">IFERROR(__xludf.DUMMYFUNCTION("""COMPUTED_VALUE"""),196)</f>
        <v>196</v>
      </c>
      <c r="C197" s="1" t="str">
        <f ca="1">IFERROR(__xludf.DUMMYFUNCTION("""COMPUTED_VALUE"""),"Tiruvallur")</f>
        <v>Tiruvallur</v>
      </c>
      <c r="D197" s="1" t="str">
        <f ca="1">IFERROR(__xludf.DUMMYFUNCTION("""COMPUTED_VALUE"""),"Sugam Hospital")</f>
        <v>Sugam Hospital</v>
      </c>
      <c r="E197" s="1">
        <f ca="1">IFERROR(__xludf.DUMMYFUNCTION("""COMPUTED_VALUE"""),23)</f>
        <v>23</v>
      </c>
      <c r="F197" s="1">
        <f ca="1">IFERROR(__xludf.DUMMYFUNCTION("""COMPUTED_VALUE"""),23)</f>
        <v>23</v>
      </c>
      <c r="G197" s="1">
        <f ca="1">IFERROR(__xludf.DUMMYFUNCTION("""COMPUTED_VALUE"""),0)</f>
        <v>0</v>
      </c>
      <c r="H197" s="1">
        <f ca="1">IFERROR(__xludf.DUMMYFUNCTION("""COMPUTED_VALUE"""),23)</f>
        <v>23</v>
      </c>
      <c r="I197" s="1">
        <f ca="1">IFERROR(__xludf.DUMMYFUNCTION("""COMPUTED_VALUE"""),23)</f>
        <v>23</v>
      </c>
      <c r="J197" s="1">
        <f ca="1">IFERROR(__xludf.DUMMYFUNCTION("""COMPUTED_VALUE"""),0)</f>
        <v>0</v>
      </c>
      <c r="K197" s="1">
        <f ca="1">IFERROR(__xludf.DUMMYFUNCTION("""COMPUTED_VALUE"""),0)</f>
        <v>0</v>
      </c>
      <c r="L197" s="1">
        <f ca="1">IFERROR(__xludf.DUMMYFUNCTION("""COMPUTED_VALUE"""),0)</f>
        <v>0</v>
      </c>
      <c r="M197" s="1">
        <f ca="1">IFERROR(__xludf.DUMMYFUNCTION("""COMPUTED_VALUE"""),0)</f>
        <v>0</v>
      </c>
      <c r="N197" s="1">
        <f ca="1">IFERROR(__xludf.DUMMYFUNCTION("""COMPUTED_VALUE"""),2)</f>
        <v>2</v>
      </c>
      <c r="O197" s="1">
        <f ca="1">IFERROR(__xludf.DUMMYFUNCTION("""COMPUTED_VALUE"""),0)</f>
        <v>0</v>
      </c>
      <c r="P197" s="1">
        <f ca="1">IFERROR(__xludf.DUMMYFUNCTION("""COMPUTED_VALUE"""),2)</f>
        <v>2</v>
      </c>
      <c r="Q197" s="1">
        <f ca="1">IFERROR(__xludf.DUMMYFUNCTION("""COMPUTED_VALUE"""),2)</f>
        <v>2</v>
      </c>
      <c r="R197" s="1">
        <f ca="1">IFERROR(__xludf.DUMMYFUNCTION("""COMPUTED_VALUE"""),0)</f>
        <v>0</v>
      </c>
      <c r="S197" s="1">
        <f ca="1">IFERROR(__xludf.DUMMYFUNCTION("""COMPUTED_VALUE"""),0)</f>
        <v>0</v>
      </c>
      <c r="T197" s="1">
        <f ca="1">IFERROR(__xludf.DUMMYFUNCTION("""COMPUTED_VALUE"""),44305.7243402777)</f>
        <v>44305.724340277702</v>
      </c>
      <c r="U197" s="1" t="str">
        <f ca="1">IFERROR(__xludf.DUMMYFUNCTION("""COMPUTED_VALUE"""),"updated 18.04.2021")</f>
        <v>updated 18.04.2021</v>
      </c>
    </row>
    <row r="198" spans="1:21" ht="13" x14ac:dyDescent="0.15">
      <c r="A198" s="1" t="str">
        <f t="shared" ca="1" si="0"/>
        <v>TiruvannamalaiRamana Maharishi Hospital</v>
      </c>
      <c r="B198" s="1">
        <f ca="1">IFERROR(__xludf.DUMMYFUNCTION("""COMPUTED_VALUE"""),197)</f>
        <v>197</v>
      </c>
      <c r="C198" s="1" t="str">
        <f ca="1">IFERROR(__xludf.DUMMYFUNCTION("""COMPUTED_VALUE"""),"Tiruvannamalai")</f>
        <v>Tiruvannamalai</v>
      </c>
      <c r="D198" s="1" t="str">
        <f ca="1">IFERROR(__xludf.DUMMYFUNCTION("""COMPUTED_VALUE"""),"Ramana Maharishi Hospital")</f>
        <v>Ramana Maharishi Hospital</v>
      </c>
      <c r="E198" s="1">
        <f ca="1">IFERROR(__xludf.DUMMYFUNCTION("""COMPUTED_VALUE"""),75)</f>
        <v>75</v>
      </c>
      <c r="F198" s="1">
        <f ca="1">IFERROR(__xludf.DUMMYFUNCTION("""COMPUTED_VALUE"""),40)</f>
        <v>40</v>
      </c>
      <c r="G198" s="1">
        <f ca="1">IFERROR(__xludf.DUMMYFUNCTION("""COMPUTED_VALUE"""),35)</f>
        <v>35</v>
      </c>
      <c r="H198" s="1">
        <f ca="1">IFERROR(__xludf.DUMMYFUNCTION("""COMPUTED_VALUE"""),20)</f>
        <v>20</v>
      </c>
      <c r="I198" s="1">
        <f ca="1">IFERROR(__xludf.DUMMYFUNCTION("""COMPUTED_VALUE"""),0)</f>
        <v>0</v>
      </c>
      <c r="J198" s="1">
        <f ca="1">IFERROR(__xludf.DUMMYFUNCTION("""COMPUTED_VALUE"""),20)</f>
        <v>20</v>
      </c>
      <c r="K198" s="1">
        <f ca="1">IFERROR(__xludf.DUMMYFUNCTION("""COMPUTED_VALUE"""),55)</f>
        <v>55</v>
      </c>
      <c r="L198" s="1">
        <f ca="1">IFERROR(__xludf.DUMMYFUNCTION("""COMPUTED_VALUE"""),40)</f>
        <v>40</v>
      </c>
      <c r="M198" s="1">
        <f ca="1">IFERROR(__xludf.DUMMYFUNCTION("""COMPUTED_VALUE"""),15)</f>
        <v>15</v>
      </c>
      <c r="N198" s="1">
        <f ca="1">IFERROR(__xludf.DUMMYFUNCTION("""COMPUTED_VALUE"""),20)</f>
        <v>20</v>
      </c>
      <c r="O198" s="1">
        <f ca="1">IFERROR(__xludf.DUMMYFUNCTION("""COMPUTED_VALUE"""),0)</f>
        <v>0</v>
      </c>
      <c r="P198" s="1">
        <f ca="1">IFERROR(__xludf.DUMMYFUNCTION("""COMPUTED_VALUE"""),20)</f>
        <v>20</v>
      </c>
      <c r="Q198" s="1">
        <f ca="1">IFERROR(__xludf.DUMMYFUNCTION("""COMPUTED_VALUE"""),2)</f>
        <v>2</v>
      </c>
      <c r="R198" s="1">
        <f ca="1">IFERROR(__xludf.DUMMYFUNCTION("""COMPUTED_VALUE"""),0)</f>
        <v>0</v>
      </c>
      <c r="S198" s="1">
        <f ca="1">IFERROR(__xludf.DUMMYFUNCTION("""COMPUTED_VALUE"""),2)</f>
        <v>2</v>
      </c>
      <c r="T198" s="1">
        <f ca="1">IFERROR(__xludf.DUMMYFUNCTION("""COMPUTED_VALUE"""),44305.3742129629)</f>
        <v>44305.374212962903</v>
      </c>
      <c r="U198" s="1"/>
    </row>
    <row r="199" spans="1:21" ht="13" x14ac:dyDescent="0.15">
      <c r="A199" s="1" t="str">
        <f t="shared" ca="1" si="0"/>
        <v>ThoothukudiSacred Heart Hospital</v>
      </c>
      <c r="B199" s="1">
        <f ca="1">IFERROR(__xludf.DUMMYFUNCTION("""COMPUTED_VALUE"""),198)</f>
        <v>198</v>
      </c>
      <c r="C199" s="1" t="str">
        <f ca="1">IFERROR(__xludf.DUMMYFUNCTION("""COMPUTED_VALUE"""),"Thoothukudi")</f>
        <v>Thoothukudi</v>
      </c>
      <c r="D199" s="1" t="str">
        <f ca="1">IFERROR(__xludf.DUMMYFUNCTION("""COMPUTED_VALUE"""),"Sacred Heart Hospital")</f>
        <v>Sacred Heart Hospital</v>
      </c>
      <c r="E199" s="1">
        <f ca="1">IFERROR(__xludf.DUMMYFUNCTION("""COMPUTED_VALUE"""),35)</f>
        <v>35</v>
      </c>
      <c r="F199" s="1">
        <f ca="1">IFERROR(__xludf.DUMMYFUNCTION("""COMPUTED_VALUE"""),9)</f>
        <v>9</v>
      </c>
      <c r="G199" s="1">
        <f ca="1">IFERROR(__xludf.DUMMYFUNCTION("""COMPUTED_VALUE"""),26)</f>
        <v>26</v>
      </c>
      <c r="H199" s="1">
        <f ca="1">IFERROR(__xludf.DUMMYFUNCTION("""COMPUTED_VALUE"""),28)</f>
        <v>28</v>
      </c>
      <c r="I199" s="1">
        <f ca="1">IFERROR(__xludf.DUMMYFUNCTION("""COMPUTED_VALUE"""),4)</f>
        <v>4</v>
      </c>
      <c r="J199" s="1">
        <f ca="1">IFERROR(__xludf.DUMMYFUNCTION("""COMPUTED_VALUE"""),24)</f>
        <v>24</v>
      </c>
      <c r="K199" s="1">
        <f ca="1">IFERROR(__xludf.DUMMYFUNCTION("""COMPUTED_VALUE"""),5)</f>
        <v>5</v>
      </c>
      <c r="L199" s="1">
        <f ca="1">IFERROR(__xludf.DUMMYFUNCTION("""COMPUTED_VALUE"""),5)</f>
        <v>5</v>
      </c>
      <c r="M199" s="1">
        <f ca="1">IFERROR(__xludf.DUMMYFUNCTION("""COMPUTED_VALUE"""),0)</f>
        <v>0</v>
      </c>
      <c r="N199" s="1">
        <f ca="1">IFERROR(__xludf.DUMMYFUNCTION("""COMPUTED_VALUE"""),2)</f>
        <v>2</v>
      </c>
      <c r="O199" s="1">
        <f ca="1">IFERROR(__xludf.DUMMYFUNCTION("""COMPUTED_VALUE"""),0)</f>
        <v>0</v>
      </c>
      <c r="P199" s="1">
        <f ca="1">IFERROR(__xludf.DUMMYFUNCTION("""COMPUTED_VALUE"""),2)</f>
        <v>2</v>
      </c>
      <c r="Q199" s="1">
        <f ca="1">IFERROR(__xludf.DUMMYFUNCTION("""COMPUTED_VALUE"""),1)</f>
        <v>1</v>
      </c>
      <c r="R199" s="1">
        <f ca="1">IFERROR(__xludf.DUMMYFUNCTION("""COMPUTED_VALUE"""),0)</f>
        <v>0</v>
      </c>
      <c r="S199" s="1">
        <f ca="1">IFERROR(__xludf.DUMMYFUNCTION("""COMPUTED_VALUE"""),1)</f>
        <v>1</v>
      </c>
      <c r="T199" s="1">
        <f ca="1">IFERROR(__xludf.DUMMYFUNCTION("""COMPUTED_VALUE"""),44305.3654166666)</f>
        <v>44305.365416666602</v>
      </c>
      <c r="U199" s="1" t="str">
        <f ca="1">IFERROR(__xludf.DUMMYFUNCTION("""COMPUTED_VALUE"""),"19.04.2021")</f>
        <v>19.04.2021</v>
      </c>
    </row>
    <row r="200" spans="1:21" ht="13" x14ac:dyDescent="0.15">
      <c r="A200" s="1" t="str">
        <f t="shared" ca="1" si="0"/>
        <v>ThoothukudiSri Hospital</v>
      </c>
      <c r="B200" s="1">
        <f ca="1">IFERROR(__xludf.DUMMYFUNCTION("""COMPUTED_VALUE"""),199)</f>
        <v>199</v>
      </c>
      <c r="C200" s="1" t="str">
        <f ca="1">IFERROR(__xludf.DUMMYFUNCTION("""COMPUTED_VALUE"""),"Thoothukudi")</f>
        <v>Thoothukudi</v>
      </c>
      <c r="D200" s="1" t="str">
        <f ca="1">IFERROR(__xludf.DUMMYFUNCTION("""COMPUTED_VALUE"""),"Sri Hospital")</f>
        <v>Sri Hospital</v>
      </c>
      <c r="E200" s="1">
        <f ca="1">IFERROR(__xludf.DUMMYFUNCTION("""COMPUTED_VALUE"""),25)</f>
        <v>25</v>
      </c>
      <c r="F200" s="1">
        <f ca="1">IFERROR(__xludf.DUMMYFUNCTION("""COMPUTED_VALUE"""),14)</f>
        <v>14</v>
      </c>
      <c r="G200" s="1">
        <f ca="1">IFERROR(__xludf.DUMMYFUNCTION("""COMPUTED_VALUE"""),11)</f>
        <v>11</v>
      </c>
      <c r="H200" s="1">
        <f ca="1">IFERROR(__xludf.DUMMYFUNCTION("""COMPUTED_VALUE"""),21)</f>
        <v>21</v>
      </c>
      <c r="I200" s="1">
        <f ca="1">IFERROR(__xludf.DUMMYFUNCTION("""COMPUTED_VALUE"""),14)</f>
        <v>14</v>
      </c>
      <c r="J200" s="1">
        <f ca="1">IFERROR(__xludf.DUMMYFUNCTION("""COMPUTED_VALUE"""),7)</f>
        <v>7</v>
      </c>
      <c r="K200" s="1">
        <f ca="1">IFERROR(__xludf.DUMMYFUNCTION("""COMPUTED_VALUE"""),0)</f>
        <v>0</v>
      </c>
      <c r="L200" s="1">
        <f ca="1">IFERROR(__xludf.DUMMYFUNCTION("""COMPUTED_VALUE"""),0)</f>
        <v>0</v>
      </c>
      <c r="M200" s="1">
        <f ca="1">IFERROR(__xludf.DUMMYFUNCTION("""COMPUTED_VALUE"""),0)</f>
        <v>0</v>
      </c>
      <c r="N200" s="1">
        <f ca="1">IFERROR(__xludf.DUMMYFUNCTION("""COMPUTED_VALUE"""),4)</f>
        <v>4</v>
      </c>
      <c r="O200" s="1">
        <f ca="1">IFERROR(__xludf.DUMMYFUNCTION("""COMPUTED_VALUE"""),2)</f>
        <v>2</v>
      </c>
      <c r="P200" s="1">
        <f ca="1">IFERROR(__xludf.DUMMYFUNCTION("""COMPUTED_VALUE"""),2)</f>
        <v>2</v>
      </c>
      <c r="Q200" s="1">
        <f ca="1">IFERROR(__xludf.DUMMYFUNCTION("""COMPUTED_VALUE"""),1)</f>
        <v>1</v>
      </c>
      <c r="R200" s="1">
        <f ca="1">IFERROR(__xludf.DUMMYFUNCTION("""COMPUTED_VALUE"""),0)</f>
        <v>0</v>
      </c>
      <c r="S200" s="1">
        <f ca="1">IFERROR(__xludf.DUMMYFUNCTION("""COMPUTED_VALUE"""),1)</f>
        <v>1</v>
      </c>
      <c r="T200" s="1">
        <f ca="1">IFERROR(__xludf.DUMMYFUNCTION("""COMPUTED_VALUE"""),44305.3972453703)</f>
        <v>44305.397245370303</v>
      </c>
      <c r="U200" s="1" t="str">
        <f ca="1">IFERROR(__xludf.DUMMYFUNCTION("""COMPUTED_VALUE"""),"SRI HOSPITALS.")</f>
        <v>SRI HOSPITALS.</v>
      </c>
    </row>
    <row r="201" spans="1:21" ht="13" x14ac:dyDescent="0.15">
      <c r="A201" s="1" t="str">
        <f t="shared" ca="1" si="0"/>
        <v>TirunelveliAnnai Velankanni Multi Speciality Hospital, Palayamkottai</v>
      </c>
      <c r="B201" s="1">
        <f ca="1">IFERROR(__xludf.DUMMYFUNCTION("""COMPUTED_VALUE"""),200)</f>
        <v>200</v>
      </c>
      <c r="C201" s="1" t="str">
        <f ca="1">IFERROR(__xludf.DUMMYFUNCTION("""COMPUTED_VALUE"""),"Tirunelveli")</f>
        <v>Tirunelveli</v>
      </c>
      <c r="D201" s="1" t="str">
        <f ca="1">IFERROR(__xludf.DUMMYFUNCTION("""COMPUTED_VALUE"""),"Annai Velankanni Multi Speciality Hospital, Palayamkottai")</f>
        <v>Annai Velankanni Multi Speciality Hospital, Palayamkottai</v>
      </c>
      <c r="E201" s="1">
        <f ca="1">IFERROR(__xludf.DUMMYFUNCTION("""COMPUTED_VALUE"""),26)</f>
        <v>26</v>
      </c>
      <c r="F201" s="1">
        <f ca="1">IFERROR(__xludf.DUMMYFUNCTION("""COMPUTED_VALUE"""),26)</f>
        <v>26</v>
      </c>
      <c r="G201" s="1">
        <f ca="1">IFERROR(__xludf.DUMMYFUNCTION("""COMPUTED_VALUE"""),0)</f>
        <v>0</v>
      </c>
      <c r="H201" s="1">
        <f ca="1">IFERROR(__xludf.DUMMYFUNCTION("""COMPUTED_VALUE"""),15)</f>
        <v>15</v>
      </c>
      <c r="I201" s="1">
        <f ca="1">IFERROR(__xludf.DUMMYFUNCTION("""COMPUTED_VALUE"""),15)</f>
        <v>15</v>
      </c>
      <c r="J201" s="1">
        <f ca="1">IFERROR(__xludf.DUMMYFUNCTION("""COMPUTED_VALUE"""),0)</f>
        <v>0</v>
      </c>
      <c r="K201" s="1">
        <f ca="1">IFERROR(__xludf.DUMMYFUNCTION("""COMPUTED_VALUE"""),12)</f>
        <v>12</v>
      </c>
      <c r="L201" s="1">
        <f ca="1">IFERROR(__xludf.DUMMYFUNCTION("""COMPUTED_VALUE"""),12)</f>
        <v>12</v>
      </c>
      <c r="M201" s="1">
        <f ca="1">IFERROR(__xludf.DUMMYFUNCTION("""COMPUTED_VALUE"""),0)</f>
        <v>0</v>
      </c>
      <c r="N201" s="1">
        <f ca="1">IFERROR(__xludf.DUMMYFUNCTION("""COMPUTED_VALUE"""),3)</f>
        <v>3</v>
      </c>
      <c r="O201" s="1">
        <f ca="1">IFERROR(__xludf.DUMMYFUNCTION("""COMPUTED_VALUE"""),3)</f>
        <v>3</v>
      </c>
      <c r="P201" s="1">
        <f ca="1">IFERROR(__xludf.DUMMYFUNCTION("""COMPUTED_VALUE"""),0)</f>
        <v>0</v>
      </c>
      <c r="Q201" s="1">
        <f ca="1">IFERROR(__xludf.DUMMYFUNCTION("""COMPUTED_VALUE"""),2)</f>
        <v>2</v>
      </c>
      <c r="R201" s="1">
        <f ca="1">IFERROR(__xludf.DUMMYFUNCTION("""COMPUTED_VALUE"""),0)</f>
        <v>0</v>
      </c>
      <c r="S201" s="1">
        <f ca="1">IFERROR(__xludf.DUMMYFUNCTION("""COMPUTED_VALUE"""),2)</f>
        <v>2</v>
      </c>
      <c r="T201" s="1">
        <f ca="1">IFERROR(__xludf.DUMMYFUNCTION("""COMPUTED_VALUE"""),44305.3564351851)</f>
        <v>44305.356435185102</v>
      </c>
      <c r="U201" s="1" t="str">
        <f ca="1">IFERROR(__xludf.DUMMYFUNCTION("""COMPUTED_VALUE"""),"Positive - 26, Suspected - 4 19-4-2021")</f>
        <v>Positive - 26, Suspected - 4 19-4-2021</v>
      </c>
    </row>
    <row r="202" spans="1:21" ht="13" x14ac:dyDescent="0.15">
      <c r="A202" s="1" t="str">
        <f t="shared" ca="1" si="0"/>
        <v>TirunelveliPonra Multispeciality Hospital</v>
      </c>
      <c r="B202" s="1">
        <f ca="1">IFERROR(__xludf.DUMMYFUNCTION("""COMPUTED_VALUE"""),201)</f>
        <v>201</v>
      </c>
      <c r="C202" s="1" t="str">
        <f ca="1">IFERROR(__xludf.DUMMYFUNCTION("""COMPUTED_VALUE"""),"Tirunelveli")</f>
        <v>Tirunelveli</v>
      </c>
      <c r="D202" s="1" t="str">
        <f ca="1">IFERROR(__xludf.DUMMYFUNCTION("""COMPUTED_VALUE"""),"Ponra Multispeciality Hospital")</f>
        <v>Ponra Multispeciality Hospital</v>
      </c>
      <c r="E202" s="1">
        <f ca="1">IFERROR(__xludf.DUMMYFUNCTION("""COMPUTED_VALUE"""),30)</f>
        <v>30</v>
      </c>
      <c r="F202" s="1">
        <f ca="1">IFERROR(__xludf.DUMMYFUNCTION("""COMPUTED_VALUE"""),11)</f>
        <v>11</v>
      </c>
      <c r="G202" s="1">
        <f ca="1">IFERROR(__xludf.DUMMYFUNCTION("""COMPUTED_VALUE"""),19)</f>
        <v>19</v>
      </c>
      <c r="H202" s="1">
        <f ca="1">IFERROR(__xludf.DUMMYFUNCTION("""COMPUTED_VALUE"""),30)</f>
        <v>30</v>
      </c>
      <c r="I202" s="1">
        <f ca="1">IFERROR(__xludf.DUMMYFUNCTION("""COMPUTED_VALUE"""),11)</f>
        <v>11</v>
      </c>
      <c r="J202" s="1">
        <f ca="1">IFERROR(__xludf.DUMMYFUNCTION("""COMPUTED_VALUE"""),19)</f>
        <v>19</v>
      </c>
      <c r="K202" s="1">
        <f ca="1">IFERROR(__xludf.DUMMYFUNCTION("""COMPUTED_VALUE"""),30)</f>
        <v>30</v>
      </c>
      <c r="L202" s="1">
        <f ca="1">IFERROR(__xludf.DUMMYFUNCTION("""COMPUTED_VALUE"""),0)</f>
        <v>0</v>
      </c>
      <c r="M202" s="1">
        <f ca="1">IFERROR(__xludf.DUMMYFUNCTION("""COMPUTED_VALUE"""),0)</f>
        <v>0</v>
      </c>
      <c r="N202" s="1">
        <f ca="1">IFERROR(__xludf.DUMMYFUNCTION("""COMPUTED_VALUE"""),0)</f>
        <v>0</v>
      </c>
      <c r="O202" s="1">
        <f ca="1">IFERROR(__xludf.DUMMYFUNCTION("""COMPUTED_VALUE"""),0)</f>
        <v>0</v>
      </c>
      <c r="P202" s="1">
        <f ca="1">IFERROR(__xludf.DUMMYFUNCTION("""COMPUTED_VALUE"""),0)</f>
        <v>0</v>
      </c>
      <c r="Q202" s="1">
        <f ca="1">IFERROR(__xludf.DUMMYFUNCTION("""COMPUTED_VALUE"""),0)</f>
        <v>0</v>
      </c>
      <c r="R202" s="1">
        <f ca="1">IFERROR(__xludf.DUMMYFUNCTION("""COMPUTED_VALUE"""),0)</f>
        <v>0</v>
      </c>
      <c r="S202" s="1">
        <f ca="1">IFERROR(__xludf.DUMMYFUNCTION("""COMPUTED_VALUE"""),0)</f>
        <v>0</v>
      </c>
      <c r="T202" s="1">
        <f ca="1">IFERROR(__xludf.DUMMYFUNCTION("""COMPUTED_VALUE"""),44305.4051504629)</f>
        <v>44305.405150462902</v>
      </c>
      <c r="U202" s="1"/>
    </row>
    <row r="203" spans="1:21" ht="13" x14ac:dyDescent="0.15">
      <c r="A203" s="1" t="str">
        <f t="shared" ca="1" si="0"/>
        <v>TirunelveliRosemary mission hospital and research centre</v>
      </c>
      <c r="B203" s="1">
        <f ca="1">IFERROR(__xludf.DUMMYFUNCTION("""COMPUTED_VALUE"""),202)</f>
        <v>202</v>
      </c>
      <c r="C203" s="1" t="str">
        <f ca="1">IFERROR(__xludf.DUMMYFUNCTION("""COMPUTED_VALUE"""),"Tirunelveli")</f>
        <v>Tirunelveli</v>
      </c>
      <c r="D203" s="1" t="str">
        <f ca="1">IFERROR(__xludf.DUMMYFUNCTION("""COMPUTED_VALUE"""),"Rosemary mission hospital and research centre")</f>
        <v>Rosemary mission hospital and research centre</v>
      </c>
      <c r="E203" s="1">
        <f ca="1">IFERROR(__xludf.DUMMYFUNCTION("""COMPUTED_VALUE"""),30)</f>
        <v>30</v>
      </c>
      <c r="F203" s="1">
        <f ca="1">IFERROR(__xludf.DUMMYFUNCTION("""COMPUTED_VALUE"""),30)</f>
        <v>30</v>
      </c>
      <c r="G203" s="1">
        <f ca="1">IFERROR(__xludf.DUMMYFUNCTION("""COMPUTED_VALUE"""),0)</f>
        <v>0</v>
      </c>
      <c r="H203" s="1">
        <f ca="1">IFERROR(__xludf.DUMMYFUNCTION("""COMPUTED_VALUE"""),15)</f>
        <v>15</v>
      </c>
      <c r="I203" s="1">
        <f ca="1">IFERROR(__xludf.DUMMYFUNCTION("""COMPUTED_VALUE"""),15)</f>
        <v>15</v>
      </c>
      <c r="J203" s="1">
        <f ca="1">IFERROR(__xludf.DUMMYFUNCTION("""COMPUTED_VALUE"""),0)</f>
        <v>0</v>
      </c>
      <c r="K203" s="1">
        <f ca="1">IFERROR(__xludf.DUMMYFUNCTION("""COMPUTED_VALUE"""),15)</f>
        <v>15</v>
      </c>
      <c r="L203" s="1">
        <f ca="1">IFERROR(__xludf.DUMMYFUNCTION("""COMPUTED_VALUE"""),15)</f>
        <v>15</v>
      </c>
      <c r="M203" s="1">
        <f ca="1">IFERROR(__xludf.DUMMYFUNCTION("""COMPUTED_VALUE"""),0)</f>
        <v>0</v>
      </c>
      <c r="N203" s="1">
        <f ca="1">IFERROR(__xludf.DUMMYFUNCTION("""COMPUTED_VALUE"""),0)</f>
        <v>0</v>
      </c>
      <c r="O203" s="1">
        <f ca="1">IFERROR(__xludf.DUMMYFUNCTION("""COMPUTED_VALUE"""),0)</f>
        <v>0</v>
      </c>
      <c r="P203" s="1">
        <f ca="1">IFERROR(__xludf.DUMMYFUNCTION("""COMPUTED_VALUE"""),0)</f>
        <v>0</v>
      </c>
      <c r="Q203" s="1">
        <f ca="1">IFERROR(__xludf.DUMMYFUNCTION("""COMPUTED_VALUE"""),0)</f>
        <v>0</v>
      </c>
      <c r="R203" s="1">
        <f ca="1">IFERROR(__xludf.DUMMYFUNCTION("""COMPUTED_VALUE"""),0)</f>
        <v>0</v>
      </c>
      <c r="S203" s="1">
        <f ca="1">IFERROR(__xludf.DUMMYFUNCTION("""COMPUTED_VALUE"""),0)</f>
        <v>0</v>
      </c>
      <c r="T203" s="1">
        <f ca="1">IFERROR(__xludf.DUMMYFUNCTION("""COMPUTED_VALUE"""),44305.2662268518)</f>
        <v>44305.266226851803</v>
      </c>
      <c r="U203" s="1"/>
    </row>
    <row r="204" spans="1:21" ht="13" x14ac:dyDescent="0.15">
      <c r="A204" s="1" t="str">
        <f t="shared" ca="1" si="0"/>
        <v>DindigulShifa Hospital</v>
      </c>
      <c r="B204" s="1">
        <f ca="1">IFERROR(__xludf.DUMMYFUNCTION("""COMPUTED_VALUE"""),203)</f>
        <v>203</v>
      </c>
      <c r="C204" s="1" t="str">
        <f ca="1">IFERROR(__xludf.DUMMYFUNCTION("""COMPUTED_VALUE"""),"Dindigul")</f>
        <v>Dindigul</v>
      </c>
      <c r="D204" s="1" t="str">
        <f ca="1">IFERROR(__xludf.DUMMYFUNCTION("""COMPUTED_VALUE"""),"Shifa Hospital")</f>
        <v>Shifa Hospital</v>
      </c>
      <c r="E204" s="1">
        <f ca="1">IFERROR(__xludf.DUMMYFUNCTION("""COMPUTED_VALUE"""),10)</f>
        <v>10</v>
      </c>
      <c r="F204" s="1">
        <f ca="1">IFERROR(__xludf.DUMMYFUNCTION("""COMPUTED_VALUE"""),4)</f>
        <v>4</v>
      </c>
      <c r="G204" s="1">
        <f ca="1">IFERROR(__xludf.DUMMYFUNCTION("""COMPUTED_VALUE"""),6)</f>
        <v>6</v>
      </c>
      <c r="H204" s="1">
        <f ca="1">IFERROR(__xludf.DUMMYFUNCTION("""COMPUTED_VALUE"""),4)</f>
        <v>4</v>
      </c>
      <c r="I204" s="1">
        <f ca="1">IFERROR(__xludf.DUMMYFUNCTION("""COMPUTED_VALUE"""),0)</f>
        <v>0</v>
      </c>
      <c r="J204" s="1">
        <f ca="1">IFERROR(__xludf.DUMMYFUNCTION("""COMPUTED_VALUE"""),4)</f>
        <v>4</v>
      </c>
      <c r="K204" s="1">
        <f ca="1">IFERROR(__xludf.DUMMYFUNCTION("""COMPUTED_VALUE"""),0)</f>
        <v>0</v>
      </c>
      <c r="L204" s="1">
        <f ca="1">IFERROR(__xludf.DUMMYFUNCTION("""COMPUTED_VALUE"""),0)</f>
        <v>0</v>
      </c>
      <c r="M204" s="1">
        <f ca="1">IFERROR(__xludf.DUMMYFUNCTION("""COMPUTED_VALUE"""),0)</f>
        <v>0</v>
      </c>
      <c r="N204" s="1">
        <f ca="1">IFERROR(__xludf.DUMMYFUNCTION("""COMPUTED_VALUE"""),6)</f>
        <v>6</v>
      </c>
      <c r="O204" s="1">
        <f ca="1">IFERROR(__xludf.DUMMYFUNCTION("""COMPUTED_VALUE"""),0)</f>
        <v>0</v>
      </c>
      <c r="P204" s="1">
        <f ca="1">IFERROR(__xludf.DUMMYFUNCTION("""COMPUTED_VALUE"""),6)</f>
        <v>6</v>
      </c>
      <c r="Q204" s="1">
        <f ca="1">IFERROR(__xludf.DUMMYFUNCTION("""COMPUTED_VALUE"""),0)</f>
        <v>0</v>
      </c>
      <c r="R204" s="1">
        <f ca="1">IFERROR(__xludf.DUMMYFUNCTION("""COMPUTED_VALUE"""),0)</f>
        <v>0</v>
      </c>
      <c r="S204" s="1">
        <f ca="1">IFERROR(__xludf.DUMMYFUNCTION("""COMPUTED_VALUE"""),0)</f>
        <v>0</v>
      </c>
      <c r="T204" s="1">
        <f ca="1">IFERROR(__xludf.DUMMYFUNCTION("""COMPUTED_VALUE"""),44305.3296180555)</f>
        <v>44305.329618055497</v>
      </c>
      <c r="U204" s="1" t="str">
        <f ca="1">IFERROR(__xludf.DUMMYFUNCTION("""COMPUTED_VALUE"""),"19.04.2021")</f>
        <v>19.04.2021</v>
      </c>
    </row>
    <row r="205" spans="1:21" ht="13" x14ac:dyDescent="0.15">
      <c r="A205" s="1" t="str">
        <f t="shared" ca="1" si="0"/>
        <v>TiruppurRevathi Medical Centre</v>
      </c>
      <c r="B205" s="1">
        <f ca="1">IFERROR(__xludf.DUMMYFUNCTION("""COMPUTED_VALUE"""),204)</f>
        <v>204</v>
      </c>
      <c r="C205" s="1" t="str">
        <f ca="1">IFERROR(__xludf.DUMMYFUNCTION("""COMPUTED_VALUE"""),"Tiruppur")</f>
        <v>Tiruppur</v>
      </c>
      <c r="D205" s="1" t="str">
        <f ca="1">IFERROR(__xludf.DUMMYFUNCTION("""COMPUTED_VALUE"""),"Revathi Medical Centre")</f>
        <v>Revathi Medical Centre</v>
      </c>
      <c r="E205" s="1">
        <f ca="1">IFERROR(__xludf.DUMMYFUNCTION("""COMPUTED_VALUE"""),47)</f>
        <v>47</v>
      </c>
      <c r="F205" s="1">
        <f ca="1">IFERROR(__xludf.DUMMYFUNCTION("""COMPUTED_VALUE"""),40)</f>
        <v>40</v>
      </c>
      <c r="G205" s="1">
        <f ca="1">IFERROR(__xludf.DUMMYFUNCTION("""COMPUTED_VALUE"""),7)</f>
        <v>7</v>
      </c>
      <c r="H205" s="1">
        <f ca="1">IFERROR(__xludf.DUMMYFUNCTION("""COMPUTED_VALUE"""),10)</f>
        <v>10</v>
      </c>
      <c r="I205" s="1">
        <f ca="1">IFERROR(__xludf.DUMMYFUNCTION("""COMPUTED_VALUE"""),10)</f>
        <v>10</v>
      </c>
      <c r="J205" s="1">
        <f ca="1">IFERROR(__xludf.DUMMYFUNCTION("""COMPUTED_VALUE"""),0)</f>
        <v>0</v>
      </c>
      <c r="K205" s="1">
        <f ca="1">IFERROR(__xludf.DUMMYFUNCTION("""COMPUTED_VALUE"""),37)</f>
        <v>37</v>
      </c>
      <c r="L205" s="1">
        <f ca="1">IFERROR(__xludf.DUMMYFUNCTION("""COMPUTED_VALUE"""),40)</f>
        <v>40</v>
      </c>
      <c r="M205" s="1">
        <f ca="1">IFERROR(__xludf.DUMMYFUNCTION("""COMPUTED_VALUE"""),0)</f>
        <v>0</v>
      </c>
      <c r="N205" s="1">
        <f ca="1">IFERROR(__xludf.DUMMYFUNCTION("""COMPUTED_VALUE"""),10)</f>
        <v>10</v>
      </c>
      <c r="O205" s="1">
        <f ca="1">IFERROR(__xludf.DUMMYFUNCTION("""COMPUTED_VALUE"""),8)</f>
        <v>8</v>
      </c>
      <c r="P205" s="1">
        <f ca="1">IFERROR(__xludf.DUMMYFUNCTION("""COMPUTED_VALUE"""),2)</f>
        <v>2</v>
      </c>
      <c r="Q205" s="1">
        <f ca="1">IFERROR(__xludf.DUMMYFUNCTION("""COMPUTED_VALUE"""),10)</f>
        <v>10</v>
      </c>
      <c r="R205" s="1">
        <f ca="1">IFERROR(__xludf.DUMMYFUNCTION("""COMPUTED_VALUE"""),4)</f>
        <v>4</v>
      </c>
      <c r="S205" s="1">
        <f ca="1">IFERROR(__xludf.DUMMYFUNCTION("""COMPUTED_VALUE"""),6)</f>
        <v>6</v>
      </c>
      <c r="T205" s="1">
        <f ca="1">IFERROR(__xludf.DUMMYFUNCTION("""COMPUTED_VALUE"""),44305.6758564814)</f>
        <v>44305.675856481401</v>
      </c>
      <c r="U205" s="1" t="str">
        <f ca="1">IFERROR(__xludf.DUMMYFUNCTION("""COMPUTED_VALUE"""),"NILL")</f>
        <v>NILL</v>
      </c>
    </row>
    <row r="206" spans="1:21" ht="13" x14ac:dyDescent="0.15">
      <c r="A206" s="1" t="str">
        <f t="shared" ca="1" si="0"/>
        <v>ThiruvarurNavajeevan Hospital</v>
      </c>
      <c r="B206" s="1">
        <f ca="1">IFERROR(__xludf.DUMMYFUNCTION("""COMPUTED_VALUE"""),205)</f>
        <v>205</v>
      </c>
      <c r="C206" s="1" t="str">
        <f ca="1">IFERROR(__xludf.DUMMYFUNCTION("""COMPUTED_VALUE"""),"Thiruvarur")</f>
        <v>Thiruvarur</v>
      </c>
      <c r="D206" s="1" t="str">
        <f ca="1">IFERROR(__xludf.DUMMYFUNCTION("""COMPUTED_VALUE"""),"Navajeevan Hospital")</f>
        <v>Navajeevan Hospital</v>
      </c>
      <c r="E206" s="1">
        <f ca="1">IFERROR(__xludf.DUMMYFUNCTION("""COMPUTED_VALUE"""),30)</f>
        <v>30</v>
      </c>
      <c r="F206" s="1">
        <f ca="1">IFERROR(__xludf.DUMMYFUNCTION("""COMPUTED_VALUE"""),0)</f>
        <v>0</v>
      </c>
      <c r="G206" s="1">
        <f ca="1">IFERROR(__xludf.DUMMYFUNCTION("""COMPUTED_VALUE"""),30)</f>
        <v>30</v>
      </c>
      <c r="H206" s="1">
        <f ca="1">IFERROR(__xludf.DUMMYFUNCTION("""COMPUTED_VALUE"""),30)</f>
        <v>30</v>
      </c>
      <c r="I206" s="1">
        <f ca="1">IFERROR(__xludf.DUMMYFUNCTION("""COMPUTED_VALUE"""),0)</f>
        <v>0</v>
      </c>
      <c r="J206" s="1">
        <f ca="1">IFERROR(__xludf.DUMMYFUNCTION("""COMPUTED_VALUE"""),30)</f>
        <v>30</v>
      </c>
      <c r="K206" s="1">
        <f ca="1">IFERROR(__xludf.DUMMYFUNCTION("""COMPUTED_VALUE"""),0)</f>
        <v>0</v>
      </c>
      <c r="L206" s="1">
        <f ca="1">IFERROR(__xludf.DUMMYFUNCTION("""COMPUTED_VALUE"""),0)</f>
        <v>0</v>
      </c>
      <c r="M206" s="1">
        <f ca="1">IFERROR(__xludf.DUMMYFUNCTION("""COMPUTED_VALUE"""),0)</f>
        <v>0</v>
      </c>
      <c r="N206" s="1">
        <f ca="1">IFERROR(__xludf.DUMMYFUNCTION("""COMPUTED_VALUE"""),5)</f>
        <v>5</v>
      </c>
      <c r="O206" s="1">
        <f ca="1">IFERROR(__xludf.DUMMYFUNCTION("""COMPUTED_VALUE"""),0)</f>
        <v>0</v>
      </c>
      <c r="P206" s="1">
        <f ca="1">IFERROR(__xludf.DUMMYFUNCTION("""COMPUTED_VALUE"""),5)</f>
        <v>5</v>
      </c>
      <c r="Q206" s="1">
        <f ca="1">IFERROR(__xludf.DUMMYFUNCTION("""COMPUTED_VALUE"""),1)</f>
        <v>1</v>
      </c>
      <c r="R206" s="1">
        <f ca="1">IFERROR(__xludf.DUMMYFUNCTION("""COMPUTED_VALUE"""),0)</f>
        <v>0</v>
      </c>
      <c r="S206" s="1">
        <f ca="1">IFERROR(__xludf.DUMMYFUNCTION("""COMPUTED_VALUE"""),1)</f>
        <v>1</v>
      </c>
      <c r="T206" s="1">
        <f ca="1">IFERROR(__xludf.DUMMYFUNCTION("""COMPUTED_VALUE"""),44305.3666319444)</f>
        <v>44305.366631944402</v>
      </c>
      <c r="U206" s="1" t="str">
        <f ca="1">IFERROR(__xludf.DUMMYFUNCTION("""COMPUTED_VALUE"""),"Updated on 19.04.2021")</f>
        <v>Updated on 19.04.2021</v>
      </c>
    </row>
    <row r="207" spans="1:21" ht="13" x14ac:dyDescent="0.15">
      <c r="A207" s="1" t="str">
        <f t="shared" ca="1" si="0"/>
        <v>ThiruvarurThiruvarur Medical Centre</v>
      </c>
      <c r="B207" s="1">
        <f ca="1">IFERROR(__xludf.DUMMYFUNCTION("""COMPUTED_VALUE"""),206)</f>
        <v>206</v>
      </c>
      <c r="C207" s="1" t="str">
        <f ca="1">IFERROR(__xludf.DUMMYFUNCTION("""COMPUTED_VALUE"""),"Thiruvarur")</f>
        <v>Thiruvarur</v>
      </c>
      <c r="D207" s="1" t="str">
        <f ca="1">IFERROR(__xludf.DUMMYFUNCTION("""COMPUTED_VALUE"""),"Thiruvarur Medical Centre")</f>
        <v>Thiruvarur Medical Centre</v>
      </c>
      <c r="E207" s="1">
        <f ca="1">IFERROR(__xludf.DUMMYFUNCTION("""COMPUTED_VALUE"""),30)</f>
        <v>30</v>
      </c>
      <c r="F207" s="1">
        <f ca="1">IFERROR(__xludf.DUMMYFUNCTION("""COMPUTED_VALUE"""),20)</f>
        <v>20</v>
      </c>
      <c r="G207" s="1">
        <f ca="1">IFERROR(__xludf.DUMMYFUNCTION("""COMPUTED_VALUE"""),10)</f>
        <v>10</v>
      </c>
      <c r="H207" s="1">
        <f ca="1">IFERROR(__xludf.DUMMYFUNCTION("""COMPUTED_VALUE"""),30)</f>
        <v>30</v>
      </c>
      <c r="I207" s="1">
        <f ca="1">IFERROR(__xludf.DUMMYFUNCTION("""COMPUTED_VALUE"""),20)</f>
        <v>20</v>
      </c>
      <c r="J207" s="1">
        <f ca="1">IFERROR(__xludf.DUMMYFUNCTION("""COMPUTED_VALUE"""),10)</f>
        <v>10</v>
      </c>
      <c r="K207" s="1">
        <f ca="1">IFERROR(__xludf.DUMMYFUNCTION("""COMPUTED_VALUE"""),0)</f>
        <v>0</v>
      </c>
      <c r="L207" s="1">
        <f ca="1">IFERROR(__xludf.DUMMYFUNCTION("""COMPUTED_VALUE"""),0)</f>
        <v>0</v>
      </c>
      <c r="M207" s="1">
        <f ca="1">IFERROR(__xludf.DUMMYFUNCTION("""COMPUTED_VALUE"""),0)</f>
        <v>0</v>
      </c>
      <c r="N207" s="1">
        <f ca="1">IFERROR(__xludf.DUMMYFUNCTION("""COMPUTED_VALUE"""),0)</f>
        <v>0</v>
      </c>
      <c r="O207" s="1">
        <f ca="1">IFERROR(__xludf.DUMMYFUNCTION("""COMPUTED_VALUE"""),0)</f>
        <v>0</v>
      </c>
      <c r="P207" s="1">
        <f ca="1">IFERROR(__xludf.DUMMYFUNCTION("""COMPUTED_VALUE"""),0)</f>
        <v>0</v>
      </c>
      <c r="Q207" s="1">
        <f ca="1">IFERROR(__xludf.DUMMYFUNCTION("""COMPUTED_VALUE"""),1)</f>
        <v>1</v>
      </c>
      <c r="R207" s="1">
        <f ca="1">IFERROR(__xludf.DUMMYFUNCTION("""COMPUTED_VALUE"""),0)</f>
        <v>0</v>
      </c>
      <c r="S207" s="1">
        <f ca="1">IFERROR(__xludf.DUMMYFUNCTION("""COMPUTED_VALUE"""),1)</f>
        <v>1</v>
      </c>
      <c r="T207" s="1">
        <f ca="1">IFERROR(__xludf.DUMMYFUNCTION("""COMPUTED_VALUE"""),44305.2998379629)</f>
        <v>44305.299837962899</v>
      </c>
      <c r="U207" s="1" t="str">
        <f ca="1">IFERROR(__xludf.DUMMYFUNCTION("""COMPUTED_VALUE"""),"Updated")</f>
        <v>Updated</v>
      </c>
    </row>
    <row r="208" spans="1:21" ht="13" x14ac:dyDescent="0.15">
      <c r="A208" s="1" t="str">
        <f t="shared" ca="1" si="0"/>
        <v>ThiruchirappalliNeuro One Hospital, Karur Bye Pass Road</v>
      </c>
      <c r="B208" s="1">
        <f ca="1">IFERROR(__xludf.DUMMYFUNCTION("""COMPUTED_VALUE"""),207)</f>
        <v>207</v>
      </c>
      <c r="C208" s="1" t="str">
        <f ca="1">IFERROR(__xludf.DUMMYFUNCTION("""COMPUTED_VALUE"""),"Thiruchirappalli")</f>
        <v>Thiruchirappalli</v>
      </c>
      <c r="D208" s="1" t="str">
        <f ca="1">IFERROR(__xludf.DUMMYFUNCTION("""COMPUTED_VALUE"""),"Neuro One Hospital, Karur Bye Pass Road")</f>
        <v>Neuro One Hospital, Karur Bye Pass Road</v>
      </c>
      <c r="E208" s="1">
        <f ca="1">IFERROR(__xludf.DUMMYFUNCTION("""COMPUTED_VALUE"""),25)</f>
        <v>25</v>
      </c>
      <c r="F208" s="1">
        <f ca="1">IFERROR(__xludf.DUMMYFUNCTION("""COMPUTED_VALUE"""),15)</f>
        <v>15</v>
      </c>
      <c r="G208" s="1">
        <f ca="1">IFERROR(__xludf.DUMMYFUNCTION("""COMPUTED_VALUE"""),10)</f>
        <v>10</v>
      </c>
      <c r="H208" s="1">
        <f ca="1">IFERROR(__xludf.DUMMYFUNCTION("""COMPUTED_VALUE"""),11)</f>
        <v>11</v>
      </c>
      <c r="I208" s="1">
        <f ca="1">IFERROR(__xludf.DUMMYFUNCTION("""COMPUTED_VALUE"""),9)</f>
        <v>9</v>
      </c>
      <c r="J208" s="1">
        <f ca="1">IFERROR(__xludf.DUMMYFUNCTION("""COMPUTED_VALUE"""),0)</f>
        <v>0</v>
      </c>
      <c r="K208" s="1">
        <f ca="1">IFERROR(__xludf.DUMMYFUNCTION("""COMPUTED_VALUE"""),8)</f>
        <v>8</v>
      </c>
      <c r="L208" s="1">
        <f ca="1">IFERROR(__xludf.DUMMYFUNCTION("""COMPUTED_VALUE"""),4)</f>
        <v>4</v>
      </c>
      <c r="M208" s="1">
        <f ca="1">IFERROR(__xludf.DUMMYFUNCTION("""COMPUTED_VALUE"""),6)</f>
        <v>6</v>
      </c>
      <c r="N208" s="1">
        <f ca="1">IFERROR(__xludf.DUMMYFUNCTION("""COMPUTED_VALUE"""),6)</f>
        <v>6</v>
      </c>
      <c r="O208" s="1">
        <f ca="1">IFERROR(__xludf.DUMMYFUNCTION("""COMPUTED_VALUE"""),2)</f>
        <v>2</v>
      </c>
      <c r="P208" s="1">
        <f ca="1">IFERROR(__xludf.DUMMYFUNCTION("""COMPUTED_VALUE"""),4)</f>
        <v>4</v>
      </c>
      <c r="Q208" s="1">
        <f ca="1">IFERROR(__xludf.DUMMYFUNCTION("""COMPUTED_VALUE"""),6)</f>
        <v>6</v>
      </c>
      <c r="R208" s="1">
        <f ca="1">IFERROR(__xludf.DUMMYFUNCTION("""COMPUTED_VALUE"""),1)</f>
        <v>1</v>
      </c>
      <c r="S208" s="1">
        <f ca="1">IFERROR(__xludf.DUMMYFUNCTION("""COMPUTED_VALUE"""),5)</f>
        <v>5</v>
      </c>
      <c r="T208" s="1">
        <f ca="1">IFERROR(__xludf.DUMMYFUNCTION("""COMPUTED_VALUE"""),44305.4646875)</f>
        <v>44305.464687500003</v>
      </c>
      <c r="U208" s="1" t="str">
        <f ca="1">IFERROR(__xludf.DUMMYFUNCTION("""COMPUTED_VALUE"""),"1 VENTILATOR 1 HIF 9 O2 SUPPORT 4 NON-02 SUPPORT")</f>
        <v>1 VENTILATOR 1 HIF 9 O2 SUPPORT 4 NON-02 SUPPORT</v>
      </c>
    </row>
    <row r="209" spans="1:21" ht="13" x14ac:dyDescent="0.15">
      <c r="A209" s="1" t="str">
        <f t="shared" ca="1" si="0"/>
        <v>ThiruchirappalliApollo Speciality Hospital</v>
      </c>
      <c r="B209" s="1">
        <f ca="1">IFERROR(__xludf.DUMMYFUNCTION("""COMPUTED_VALUE"""),208)</f>
        <v>208</v>
      </c>
      <c r="C209" s="1" t="str">
        <f ca="1">IFERROR(__xludf.DUMMYFUNCTION("""COMPUTED_VALUE"""),"Thiruchirappalli")</f>
        <v>Thiruchirappalli</v>
      </c>
      <c r="D209" s="1" t="str">
        <f ca="1">IFERROR(__xludf.DUMMYFUNCTION("""COMPUTED_VALUE"""),"Apollo Speciality Hospital")</f>
        <v>Apollo Speciality Hospital</v>
      </c>
      <c r="E209" s="1">
        <f ca="1">IFERROR(__xludf.DUMMYFUNCTION("""COMPUTED_VALUE"""),40)</f>
        <v>40</v>
      </c>
      <c r="F209" s="1">
        <f ca="1">IFERROR(__xludf.DUMMYFUNCTION("""COMPUTED_VALUE"""),10)</f>
        <v>10</v>
      </c>
      <c r="G209" s="1">
        <f ca="1">IFERROR(__xludf.DUMMYFUNCTION("""COMPUTED_VALUE"""),30)</f>
        <v>30</v>
      </c>
      <c r="H209" s="1">
        <f ca="1">IFERROR(__xludf.DUMMYFUNCTION("""COMPUTED_VALUE"""),10)</f>
        <v>10</v>
      </c>
      <c r="I209" s="1">
        <f ca="1">IFERROR(__xludf.DUMMYFUNCTION("""COMPUTED_VALUE"""),2)</f>
        <v>2</v>
      </c>
      <c r="J209" s="1">
        <f ca="1">IFERROR(__xludf.DUMMYFUNCTION("""COMPUTED_VALUE"""),8)</f>
        <v>8</v>
      </c>
      <c r="K209" s="1">
        <f ca="1">IFERROR(__xludf.DUMMYFUNCTION("""COMPUTED_VALUE"""),20)</f>
        <v>20</v>
      </c>
      <c r="L209" s="1">
        <f ca="1">IFERROR(__xludf.DUMMYFUNCTION("""COMPUTED_VALUE"""),8)</f>
        <v>8</v>
      </c>
      <c r="M209" s="1">
        <f ca="1">IFERROR(__xludf.DUMMYFUNCTION("""COMPUTED_VALUE"""),12)</f>
        <v>12</v>
      </c>
      <c r="N209" s="1">
        <f ca="1">IFERROR(__xludf.DUMMYFUNCTION("""COMPUTED_VALUE"""),20)</f>
        <v>20</v>
      </c>
      <c r="O209" s="1">
        <f ca="1">IFERROR(__xludf.DUMMYFUNCTION("""COMPUTED_VALUE"""),0)</f>
        <v>0</v>
      </c>
      <c r="P209" s="1">
        <f ca="1">IFERROR(__xludf.DUMMYFUNCTION("""COMPUTED_VALUE"""),20)</f>
        <v>20</v>
      </c>
      <c r="Q209" s="1">
        <f ca="1">IFERROR(__xludf.DUMMYFUNCTION("""COMPUTED_VALUE"""),2)</f>
        <v>2</v>
      </c>
      <c r="R209" s="1">
        <f ca="1">IFERROR(__xludf.DUMMYFUNCTION("""COMPUTED_VALUE"""),0)</f>
        <v>0</v>
      </c>
      <c r="S209" s="1">
        <f ca="1">IFERROR(__xludf.DUMMYFUNCTION("""COMPUTED_VALUE"""),2)</f>
        <v>2</v>
      </c>
      <c r="T209" s="1">
        <f ca="1">IFERROR(__xludf.DUMMYFUNCTION("""COMPUTED_VALUE"""),44305.3844097222)</f>
        <v>44305.384409722203</v>
      </c>
      <c r="U209" s="1" t="str">
        <f ca="1">IFERROR(__xludf.DUMMYFUNCTION("""COMPUTED_VALUE"""),"Nil")</f>
        <v>Nil</v>
      </c>
    </row>
    <row r="210" spans="1:21" ht="13" x14ac:dyDescent="0.15">
      <c r="A210" s="1" t="str">
        <f t="shared" ca="1" si="0"/>
        <v>ThiruchirappalliG V N Hospital Pvt Ltd</v>
      </c>
      <c r="B210" s="1">
        <f ca="1">IFERROR(__xludf.DUMMYFUNCTION("""COMPUTED_VALUE"""),209)</f>
        <v>209</v>
      </c>
      <c r="C210" s="1" t="str">
        <f ca="1">IFERROR(__xludf.DUMMYFUNCTION("""COMPUTED_VALUE"""),"Thiruchirappalli")</f>
        <v>Thiruchirappalli</v>
      </c>
      <c r="D210" s="1" t="str">
        <f ca="1">IFERROR(__xludf.DUMMYFUNCTION("""COMPUTED_VALUE"""),"G V N Hospital Pvt Ltd")</f>
        <v>G V N Hospital Pvt Ltd</v>
      </c>
      <c r="E210" s="1">
        <f ca="1">IFERROR(__xludf.DUMMYFUNCTION("""COMPUTED_VALUE"""),26)</f>
        <v>26</v>
      </c>
      <c r="F210" s="1">
        <f ca="1">IFERROR(__xludf.DUMMYFUNCTION("""COMPUTED_VALUE"""),0)</f>
        <v>0</v>
      </c>
      <c r="G210" s="1">
        <f ca="1">IFERROR(__xludf.DUMMYFUNCTION("""COMPUTED_VALUE"""),26)</f>
        <v>26</v>
      </c>
      <c r="H210" s="1">
        <f ca="1">IFERROR(__xludf.DUMMYFUNCTION("""COMPUTED_VALUE"""),2)</f>
        <v>2</v>
      </c>
      <c r="I210" s="1">
        <f ca="1">IFERROR(__xludf.DUMMYFUNCTION("""COMPUTED_VALUE"""),0)</f>
        <v>0</v>
      </c>
      <c r="J210" s="1">
        <f ca="1">IFERROR(__xludf.DUMMYFUNCTION("""COMPUTED_VALUE"""),2)</f>
        <v>2</v>
      </c>
      <c r="K210" s="1">
        <f ca="1">IFERROR(__xludf.DUMMYFUNCTION("""COMPUTED_VALUE"""),22)</f>
        <v>22</v>
      </c>
      <c r="L210" s="1">
        <f ca="1">IFERROR(__xludf.DUMMYFUNCTION("""COMPUTED_VALUE"""),0)</f>
        <v>0</v>
      </c>
      <c r="M210" s="1">
        <f ca="1">IFERROR(__xludf.DUMMYFUNCTION("""COMPUTED_VALUE"""),22)</f>
        <v>22</v>
      </c>
      <c r="N210" s="1">
        <f ca="1">IFERROR(__xludf.DUMMYFUNCTION("""COMPUTED_VALUE"""),2)</f>
        <v>2</v>
      </c>
      <c r="O210" s="1">
        <f ca="1">IFERROR(__xludf.DUMMYFUNCTION("""COMPUTED_VALUE"""),0)</f>
        <v>0</v>
      </c>
      <c r="P210" s="1">
        <f ca="1">IFERROR(__xludf.DUMMYFUNCTION("""COMPUTED_VALUE"""),2)</f>
        <v>2</v>
      </c>
      <c r="Q210" s="1">
        <f ca="1">IFERROR(__xludf.DUMMYFUNCTION("""COMPUTED_VALUE"""),2)</f>
        <v>2</v>
      </c>
      <c r="R210" s="1">
        <f ca="1">IFERROR(__xludf.DUMMYFUNCTION("""COMPUTED_VALUE"""),0)</f>
        <v>0</v>
      </c>
      <c r="S210" s="1">
        <f ca="1">IFERROR(__xludf.DUMMYFUNCTION("""COMPUTED_VALUE"""),2)</f>
        <v>2</v>
      </c>
      <c r="T210" s="1">
        <f ca="1">IFERROR(__xludf.DUMMYFUNCTION("""COMPUTED_VALUE"""),44305.3821296296)</f>
        <v>44305.382129629601</v>
      </c>
      <c r="U210" s="1" t="str">
        <f ca="1">IFERROR(__xludf.DUMMYFUNCTION("""COMPUTED_VALUE"""),"Nil")</f>
        <v>Nil</v>
      </c>
    </row>
    <row r="211" spans="1:21" ht="13" x14ac:dyDescent="0.15">
      <c r="A211" s="1" t="str">
        <f t="shared" ca="1" si="0"/>
        <v>ThiruchirappalliKavery Medical Centre And Hospital, Trichy</v>
      </c>
      <c r="B211" s="1">
        <f ca="1">IFERROR(__xludf.DUMMYFUNCTION("""COMPUTED_VALUE"""),210)</f>
        <v>210</v>
      </c>
      <c r="C211" s="1" t="str">
        <f ca="1">IFERROR(__xludf.DUMMYFUNCTION("""COMPUTED_VALUE"""),"Thiruchirappalli")</f>
        <v>Thiruchirappalli</v>
      </c>
      <c r="D211" s="1" t="str">
        <f ca="1">IFERROR(__xludf.DUMMYFUNCTION("""COMPUTED_VALUE"""),"Kavery Medical Centre And Hospital, Trichy")</f>
        <v>Kavery Medical Centre And Hospital, Trichy</v>
      </c>
      <c r="E211" s="1">
        <f ca="1">IFERROR(__xludf.DUMMYFUNCTION("""COMPUTED_VALUE"""),67)</f>
        <v>67</v>
      </c>
      <c r="F211" s="1">
        <f ca="1">IFERROR(__xludf.DUMMYFUNCTION("""COMPUTED_VALUE"""),67)</f>
        <v>67</v>
      </c>
      <c r="G211" s="1">
        <f ca="1">IFERROR(__xludf.DUMMYFUNCTION("""COMPUTED_VALUE"""),0)</f>
        <v>0</v>
      </c>
      <c r="H211" s="1">
        <f ca="1">IFERROR(__xludf.DUMMYFUNCTION("""COMPUTED_VALUE"""),21)</f>
        <v>21</v>
      </c>
      <c r="I211" s="1">
        <f ca="1">IFERROR(__xludf.DUMMYFUNCTION("""COMPUTED_VALUE"""),21)</f>
        <v>21</v>
      </c>
      <c r="J211" s="1">
        <f ca="1">IFERROR(__xludf.DUMMYFUNCTION("""COMPUTED_VALUE"""),0)</f>
        <v>0</v>
      </c>
      <c r="K211" s="1">
        <f ca="1">IFERROR(__xludf.DUMMYFUNCTION("""COMPUTED_VALUE"""),30)</f>
        <v>30</v>
      </c>
      <c r="L211" s="1">
        <f ca="1">IFERROR(__xludf.DUMMYFUNCTION("""COMPUTED_VALUE"""),30)</f>
        <v>30</v>
      </c>
      <c r="M211" s="1">
        <f ca="1">IFERROR(__xludf.DUMMYFUNCTION("""COMPUTED_VALUE"""),0)</f>
        <v>0</v>
      </c>
      <c r="N211" s="1">
        <f ca="1">IFERROR(__xludf.DUMMYFUNCTION("""COMPUTED_VALUE"""),16)</f>
        <v>16</v>
      </c>
      <c r="O211" s="1">
        <f ca="1">IFERROR(__xludf.DUMMYFUNCTION("""COMPUTED_VALUE"""),16)</f>
        <v>16</v>
      </c>
      <c r="P211" s="1">
        <f ca="1">IFERROR(__xludf.DUMMYFUNCTION("""COMPUTED_VALUE"""),0)</f>
        <v>0</v>
      </c>
      <c r="Q211" s="1">
        <f ca="1">IFERROR(__xludf.DUMMYFUNCTION("""COMPUTED_VALUE"""),10)</f>
        <v>10</v>
      </c>
      <c r="R211" s="1">
        <f ca="1">IFERROR(__xludf.DUMMYFUNCTION("""COMPUTED_VALUE"""),0)</f>
        <v>0</v>
      </c>
      <c r="S211" s="1">
        <f ca="1">IFERROR(__xludf.DUMMYFUNCTION("""COMPUTED_VALUE"""),10)</f>
        <v>10</v>
      </c>
      <c r="T211" s="1">
        <f ca="1">IFERROR(__xludf.DUMMYFUNCTION("""COMPUTED_VALUE"""),44305.36375)</f>
        <v>44305.363749999997</v>
      </c>
      <c r="U211" s="1" t="str">
        <f ca="1">IFERROR(__xludf.DUMMYFUNCTION("""COMPUTED_VALUE"""),"Nil")</f>
        <v>Nil</v>
      </c>
    </row>
    <row r="212" spans="1:21" ht="13" x14ac:dyDescent="0.15">
      <c r="A212" s="1" t="str">
        <f t="shared" ca="1" si="0"/>
        <v>ThiruchirappalliMaruti Hospital</v>
      </c>
      <c r="B212" s="1">
        <f ca="1">IFERROR(__xludf.DUMMYFUNCTION("""COMPUTED_VALUE"""),211)</f>
        <v>211</v>
      </c>
      <c r="C212" s="1" t="str">
        <f ca="1">IFERROR(__xludf.DUMMYFUNCTION("""COMPUTED_VALUE"""),"Thiruchirappalli")</f>
        <v>Thiruchirappalli</v>
      </c>
      <c r="D212" s="1" t="str">
        <f ca="1">IFERROR(__xludf.DUMMYFUNCTION("""COMPUTED_VALUE"""),"Maruti Hospital")</f>
        <v>Maruti Hospital</v>
      </c>
      <c r="E212" s="1">
        <f ca="1">IFERROR(__xludf.DUMMYFUNCTION("""COMPUTED_VALUE"""),50)</f>
        <v>50</v>
      </c>
      <c r="F212" s="1">
        <f ca="1">IFERROR(__xludf.DUMMYFUNCTION("""COMPUTED_VALUE"""),34)</f>
        <v>34</v>
      </c>
      <c r="G212" s="1">
        <f ca="1">IFERROR(__xludf.DUMMYFUNCTION("""COMPUTED_VALUE"""),16)</f>
        <v>16</v>
      </c>
      <c r="H212" s="1">
        <f ca="1">IFERROR(__xludf.DUMMYFUNCTION("""COMPUTED_VALUE"""),30)</f>
        <v>30</v>
      </c>
      <c r="I212" s="1">
        <f ca="1">IFERROR(__xludf.DUMMYFUNCTION("""COMPUTED_VALUE"""),23)</f>
        <v>23</v>
      </c>
      <c r="J212" s="1">
        <f ca="1">IFERROR(__xludf.DUMMYFUNCTION("""COMPUTED_VALUE"""),7)</f>
        <v>7</v>
      </c>
      <c r="K212" s="1">
        <f ca="1">IFERROR(__xludf.DUMMYFUNCTION("""COMPUTED_VALUE"""),10)</f>
        <v>10</v>
      </c>
      <c r="L212" s="1">
        <f ca="1">IFERROR(__xludf.DUMMYFUNCTION("""COMPUTED_VALUE"""),5)</f>
        <v>5</v>
      </c>
      <c r="M212" s="1">
        <f ca="1">IFERROR(__xludf.DUMMYFUNCTION("""COMPUTED_VALUE"""),5)</f>
        <v>5</v>
      </c>
      <c r="N212" s="1">
        <f ca="1">IFERROR(__xludf.DUMMYFUNCTION("""COMPUTED_VALUE"""),10)</f>
        <v>10</v>
      </c>
      <c r="O212" s="1">
        <f ca="1">IFERROR(__xludf.DUMMYFUNCTION("""COMPUTED_VALUE"""),7)</f>
        <v>7</v>
      </c>
      <c r="P212" s="1">
        <f ca="1">IFERROR(__xludf.DUMMYFUNCTION("""COMPUTED_VALUE"""),3)</f>
        <v>3</v>
      </c>
      <c r="Q212" s="1">
        <f ca="1">IFERROR(__xludf.DUMMYFUNCTION("""COMPUTED_VALUE"""),4)</f>
        <v>4</v>
      </c>
      <c r="R212" s="1">
        <f ca="1">IFERROR(__xludf.DUMMYFUNCTION("""COMPUTED_VALUE"""),2)</f>
        <v>2</v>
      </c>
      <c r="S212" s="1">
        <f ca="1">IFERROR(__xludf.DUMMYFUNCTION("""COMPUTED_VALUE"""),2)</f>
        <v>2</v>
      </c>
      <c r="T212" s="1">
        <f ca="1">IFERROR(__xludf.DUMMYFUNCTION("""COMPUTED_VALUE"""),44305.3803125)</f>
        <v>44305.380312499998</v>
      </c>
      <c r="U212" s="1"/>
    </row>
    <row r="213" spans="1:21" ht="13" x14ac:dyDescent="0.15">
      <c r="A213" s="1" t="str">
        <f t="shared" ca="1" si="0"/>
        <v>ThiruchirappalliSinduja Hospital</v>
      </c>
      <c r="B213" s="1">
        <f ca="1">IFERROR(__xludf.DUMMYFUNCTION("""COMPUTED_VALUE"""),212)</f>
        <v>212</v>
      </c>
      <c r="C213" s="1" t="str">
        <f ca="1">IFERROR(__xludf.DUMMYFUNCTION("""COMPUTED_VALUE"""),"Thiruchirappalli")</f>
        <v>Thiruchirappalli</v>
      </c>
      <c r="D213" s="1" t="str">
        <f ca="1">IFERROR(__xludf.DUMMYFUNCTION("""COMPUTED_VALUE"""),"Sinduja Hospital")</f>
        <v>Sinduja Hospital</v>
      </c>
      <c r="E213" s="1">
        <f ca="1">IFERROR(__xludf.DUMMYFUNCTION("""COMPUTED_VALUE"""),50)</f>
        <v>50</v>
      </c>
      <c r="F213" s="1">
        <f ca="1">IFERROR(__xludf.DUMMYFUNCTION("""COMPUTED_VALUE"""),49)</f>
        <v>49</v>
      </c>
      <c r="G213" s="1">
        <f ca="1">IFERROR(__xludf.DUMMYFUNCTION("""COMPUTED_VALUE"""),1)</f>
        <v>1</v>
      </c>
      <c r="H213" s="1">
        <f ca="1">IFERROR(__xludf.DUMMYFUNCTION("""COMPUTED_VALUE"""),26)</f>
        <v>26</v>
      </c>
      <c r="I213" s="1">
        <f ca="1">IFERROR(__xludf.DUMMYFUNCTION("""COMPUTED_VALUE"""),26)</f>
        <v>26</v>
      </c>
      <c r="J213" s="1">
        <f ca="1">IFERROR(__xludf.DUMMYFUNCTION("""COMPUTED_VALUE"""),0)</f>
        <v>0</v>
      </c>
      <c r="K213" s="1">
        <f ca="1">IFERROR(__xludf.DUMMYFUNCTION("""COMPUTED_VALUE"""),17)</f>
        <v>17</v>
      </c>
      <c r="L213" s="1">
        <f ca="1">IFERROR(__xludf.DUMMYFUNCTION("""COMPUTED_VALUE"""),17)</f>
        <v>17</v>
      </c>
      <c r="M213" s="1">
        <f ca="1">IFERROR(__xludf.DUMMYFUNCTION("""COMPUTED_VALUE"""),0)</f>
        <v>0</v>
      </c>
      <c r="N213" s="1">
        <f ca="1">IFERROR(__xludf.DUMMYFUNCTION("""COMPUTED_VALUE"""),7)</f>
        <v>7</v>
      </c>
      <c r="O213" s="1">
        <f ca="1">IFERROR(__xludf.DUMMYFUNCTION("""COMPUTED_VALUE"""),6)</f>
        <v>6</v>
      </c>
      <c r="P213" s="1">
        <f ca="1">IFERROR(__xludf.DUMMYFUNCTION("""COMPUTED_VALUE"""),1)</f>
        <v>1</v>
      </c>
      <c r="Q213" s="1">
        <f ca="1">IFERROR(__xludf.DUMMYFUNCTION("""COMPUTED_VALUE"""),7)</f>
        <v>7</v>
      </c>
      <c r="R213" s="1">
        <f ca="1">IFERROR(__xludf.DUMMYFUNCTION("""COMPUTED_VALUE"""),0)</f>
        <v>0</v>
      </c>
      <c r="S213" s="1">
        <f ca="1">IFERROR(__xludf.DUMMYFUNCTION("""COMPUTED_VALUE"""),7)</f>
        <v>7</v>
      </c>
      <c r="T213" s="1">
        <f ca="1">IFERROR(__xludf.DUMMYFUNCTION("""COMPUTED_VALUE"""),44305.3272106481)</f>
        <v>44305.327210648102</v>
      </c>
      <c r="U213" s="1" t="str">
        <f ca="1">IFERROR(__xludf.DUMMYFUNCTION("""COMPUTED_VALUE"""),"Nil")</f>
        <v>Nil</v>
      </c>
    </row>
    <row r="214" spans="1:21" ht="13" x14ac:dyDescent="0.15">
      <c r="A214" s="1" t="str">
        <f t="shared" ca="1" si="0"/>
        <v>ThiruchirappalliSRM Medical College Hospital And Research Centre, Trichy</v>
      </c>
      <c r="B214" s="1">
        <f ca="1">IFERROR(__xludf.DUMMYFUNCTION("""COMPUTED_VALUE"""),213)</f>
        <v>213</v>
      </c>
      <c r="C214" s="1" t="str">
        <f ca="1">IFERROR(__xludf.DUMMYFUNCTION("""COMPUTED_VALUE"""),"Thiruchirappalli")</f>
        <v>Thiruchirappalli</v>
      </c>
      <c r="D214" s="1" t="str">
        <f ca="1">IFERROR(__xludf.DUMMYFUNCTION("""COMPUTED_VALUE"""),"SRM Medical College Hospital And Research Centre, Trichy")</f>
        <v>SRM Medical College Hospital And Research Centre, Trichy</v>
      </c>
      <c r="E214" s="1">
        <f ca="1">IFERROR(__xludf.DUMMYFUNCTION("""COMPUTED_VALUE"""),200)</f>
        <v>200</v>
      </c>
      <c r="F214" s="1">
        <f ca="1">IFERROR(__xludf.DUMMYFUNCTION("""COMPUTED_VALUE"""),100)</f>
        <v>100</v>
      </c>
      <c r="G214" s="1">
        <f ca="1">IFERROR(__xludf.DUMMYFUNCTION("""COMPUTED_VALUE"""),100)</f>
        <v>100</v>
      </c>
      <c r="H214" s="1">
        <f ca="1">IFERROR(__xludf.DUMMYFUNCTION("""COMPUTED_VALUE"""),90)</f>
        <v>90</v>
      </c>
      <c r="I214" s="1">
        <f ca="1">IFERROR(__xludf.DUMMYFUNCTION("""COMPUTED_VALUE"""),18)</f>
        <v>18</v>
      </c>
      <c r="J214" s="1">
        <f ca="1">IFERROR(__xludf.DUMMYFUNCTION("""COMPUTED_VALUE"""),72)</f>
        <v>72</v>
      </c>
      <c r="K214" s="1">
        <f ca="1">IFERROR(__xludf.DUMMYFUNCTION("""COMPUTED_VALUE"""),90)</f>
        <v>90</v>
      </c>
      <c r="L214" s="1">
        <f ca="1">IFERROR(__xludf.DUMMYFUNCTION("""COMPUTED_VALUE"""),79)</f>
        <v>79</v>
      </c>
      <c r="M214" s="1">
        <f ca="1">IFERROR(__xludf.DUMMYFUNCTION("""COMPUTED_VALUE"""),11)</f>
        <v>11</v>
      </c>
      <c r="N214" s="1">
        <f ca="1">IFERROR(__xludf.DUMMYFUNCTION("""COMPUTED_VALUE"""),20)</f>
        <v>20</v>
      </c>
      <c r="O214" s="1">
        <f ca="1">IFERROR(__xludf.DUMMYFUNCTION("""COMPUTED_VALUE"""),3)</f>
        <v>3</v>
      </c>
      <c r="P214" s="1">
        <f ca="1">IFERROR(__xludf.DUMMYFUNCTION("""COMPUTED_VALUE"""),17)</f>
        <v>17</v>
      </c>
      <c r="Q214" s="1">
        <f ca="1">IFERROR(__xludf.DUMMYFUNCTION("""COMPUTED_VALUE"""),0)</f>
        <v>0</v>
      </c>
      <c r="R214" s="1">
        <f ca="1">IFERROR(__xludf.DUMMYFUNCTION("""COMPUTED_VALUE"""),0)</f>
        <v>0</v>
      </c>
      <c r="S214" s="1">
        <f ca="1">IFERROR(__xludf.DUMMYFUNCTION("""COMPUTED_VALUE"""),0)</f>
        <v>0</v>
      </c>
      <c r="T214" s="1">
        <f ca="1">IFERROR(__xludf.DUMMYFUNCTION("""COMPUTED_VALUE"""),44305.4122453703)</f>
        <v>44305.412245370302</v>
      </c>
      <c r="U214" s="1" t="str">
        <f ca="1">IFERROR(__xludf.DUMMYFUNCTION("""COMPUTED_VALUE"""),"Nil")</f>
        <v>Nil</v>
      </c>
    </row>
    <row r="215" spans="1:21" ht="13" x14ac:dyDescent="0.15">
      <c r="A215" s="1" t="str">
        <f t="shared" ca="1" si="0"/>
        <v>ThiruchirappalliDr.G.Viswanathan Hospital Mambalasalai</v>
      </c>
      <c r="B215" s="1">
        <f ca="1">IFERROR(__xludf.DUMMYFUNCTION("""COMPUTED_VALUE"""),214)</f>
        <v>214</v>
      </c>
      <c r="C215" s="1" t="str">
        <f ca="1">IFERROR(__xludf.DUMMYFUNCTION("""COMPUTED_VALUE"""),"Thiruchirappalli")</f>
        <v>Thiruchirappalli</v>
      </c>
      <c r="D215" s="1" t="str">
        <f ca="1">IFERROR(__xludf.DUMMYFUNCTION("""COMPUTED_VALUE"""),"Dr.G.Viswanathan Hospital Mambalasalai")</f>
        <v>Dr.G.Viswanathan Hospital Mambalasalai</v>
      </c>
      <c r="E215" s="1">
        <f ca="1">IFERROR(__xludf.DUMMYFUNCTION("""COMPUTED_VALUE"""),20)</f>
        <v>20</v>
      </c>
      <c r="F215" s="1">
        <f ca="1">IFERROR(__xludf.DUMMYFUNCTION("""COMPUTED_VALUE"""),20)</f>
        <v>20</v>
      </c>
      <c r="G215" s="1">
        <f ca="1">IFERROR(__xludf.DUMMYFUNCTION("""COMPUTED_VALUE"""),0)</f>
        <v>0</v>
      </c>
      <c r="H215" s="1">
        <f ca="1">IFERROR(__xludf.DUMMYFUNCTION("""COMPUTED_VALUE"""),15)</f>
        <v>15</v>
      </c>
      <c r="I215" s="1">
        <f ca="1">IFERROR(__xludf.DUMMYFUNCTION("""COMPUTED_VALUE"""),15)</f>
        <v>15</v>
      </c>
      <c r="J215" s="1">
        <f ca="1">IFERROR(__xludf.DUMMYFUNCTION("""COMPUTED_VALUE"""),0)</f>
        <v>0</v>
      </c>
      <c r="K215" s="1">
        <f ca="1">IFERROR(__xludf.DUMMYFUNCTION("""COMPUTED_VALUE"""),0)</f>
        <v>0</v>
      </c>
      <c r="L215" s="1">
        <f ca="1">IFERROR(__xludf.DUMMYFUNCTION("""COMPUTED_VALUE"""),0)</f>
        <v>0</v>
      </c>
      <c r="M215" s="1">
        <f ca="1">IFERROR(__xludf.DUMMYFUNCTION("""COMPUTED_VALUE"""),0)</f>
        <v>0</v>
      </c>
      <c r="N215" s="1">
        <f ca="1">IFERROR(__xludf.DUMMYFUNCTION("""COMPUTED_VALUE"""),5)</f>
        <v>5</v>
      </c>
      <c r="O215" s="1">
        <f ca="1">IFERROR(__xludf.DUMMYFUNCTION("""COMPUTED_VALUE"""),5)</f>
        <v>5</v>
      </c>
      <c r="P215" s="1">
        <f ca="1">IFERROR(__xludf.DUMMYFUNCTION("""COMPUTED_VALUE"""),0)</f>
        <v>0</v>
      </c>
      <c r="Q215" s="1">
        <f ca="1">IFERROR(__xludf.DUMMYFUNCTION("""COMPUTED_VALUE"""),4)</f>
        <v>4</v>
      </c>
      <c r="R215" s="1">
        <f ca="1">IFERROR(__xludf.DUMMYFUNCTION("""COMPUTED_VALUE"""),0)</f>
        <v>0</v>
      </c>
      <c r="S215" s="1">
        <f ca="1">IFERROR(__xludf.DUMMYFUNCTION("""COMPUTED_VALUE"""),4)</f>
        <v>4</v>
      </c>
      <c r="T215" s="1">
        <f ca="1">IFERROR(__xludf.DUMMYFUNCTION("""COMPUTED_VALUE"""),44305.4830787037)</f>
        <v>44305.483078703699</v>
      </c>
      <c r="U215" s="1" t="str">
        <f ca="1">IFERROR(__xludf.DUMMYFUNCTION("""COMPUTED_VALUE"""),"Nil")</f>
        <v>Nil</v>
      </c>
    </row>
    <row r="216" spans="1:21" ht="13" x14ac:dyDescent="0.15">
      <c r="A216" s="1" t="str">
        <f t="shared" ca="1" si="0"/>
        <v>ThiruchirappalliPankajam Sitaram Nursing Home (A Unit Of GVN Hospital)</v>
      </c>
      <c r="B216" s="1">
        <f ca="1">IFERROR(__xludf.DUMMYFUNCTION("""COMPUTED_VALUE"""),215)</f>
        <v>215</v>
      </c>
      <c r="C216" s="1" t="str">
        <f ca="1">IFERROR(__xludf.DUMMYFUNCTION("""COMPUTED_VALUE"""),"Thiruchirappalli")</f>
        <v>Thiruchirappalli</v>
      </c>
      <c r="D216" s="1" t="str">
        <f ca="1">IFERROR(__xludf.DUMMYFUNCTION("""COMPUTED_VALUE"""),"Pankajam Sitaram Nursing Home (A Unit Of GVN Hospital)")</f>
        <v>Pankajam Sitaram Nursing Home (A Unit Of GVN Hospital)</v>
      </c>
      <c r="E216" s="1">
        <f ca="1">IFERROR(__xludf.DUMMYFUNCTION("""COMPUTED_VALUE"""),33)</f>
        <v>33</v>
      </c>
      <c r="F216" s="1">
        <f ca="1">IFERROR(__xludf.DUMMYFUNCTION("""COMPUTED_VALUE"""),18)</f>
        <v>18</v>
      </c>
      <c r="G216" s="1">
        <f ca="1">IFERROR(__xludf.DUMMYFUNCTION("""COMPUTED_VALUE"""),15)</f>
        <v>15</v>
      </c>
      <c r="H216" s="1">
        <f ca="1">IFERROR(__xludf.DUMMYFUNCTION("""COMPUTED_VALUE"""),15)</f>
        <v>15</v>
      </c>
      <c r="I216" s="1">
        <f ca="1">IFERROR(__xludf.DUMMYFUNCTION("""COMPUTED_VALUE"""),11)</f>
        <v>11</v>
      </c>
      <c r="J216" s="1">
        <f ca="1">IFERROR(__xludf.DUMMYFUNCTION("""COMPUTED_VALUE"""),4)</f>
        <v>4</v>
      </c>
      <c r="K216" s="1">
        <f ca="1">IFERROR(__xludf.DUMMYFUNCTION("""COMPUTED_VALUE"""),18)</f>
        <v>18</v>
      </c>
      <c r="L216" s="1">
        <f ca="1">IFERROR(__xludf.DUMMYFUNCTION("""COMPUTED_VALUE"""),7)</f>
        <v>7</v>
      </c>
      <c r="M216" s="1">
        <f ca="1">IFERROR(__xludf.DUMMYFUNCTION("""COMPUTED_VALUE"""),11)</f>
        <v>11</v>
      </c>
      <c r="N216" s="1">
        <f ca="1">IFERROR(__xludf.DUMMYFUNCTION("""COMPUTED_VALUE"""),8)</f>
        <v>8</v>
      </c>
      <c r="O216" s="1">
        <f ca="1">IFERROR(__xludf.DUMMYFUNCTION("""COMPUTED_VALUE"""),6)</f>
        <v>6</v>
      </c>
      <c r="P216" s="1">
        <f ca="1">IFERROR(__xludf.DUMMYFUNCTION("""COMPUTED_VALUE"""),2)</f>
        <v>2</v>
      </c>
      <c r="Q216" s="1">
        <f ca="1">IFERROR(__xludf.DUMMYFUNCTION("""COMPUTED_VALUE"""),2)</f>
        <v>2</v>
      </c>
      <c r="R216" s="1">
        <f ca="1">IFERROR(__xludf.DUMMYFUNCTION("""COMPUTED_VALUE"""),0)</f>
        <v>0</v>
      </c>
      <c r="S216" s="1">
        <f ca="1">IFERROR(__xludf.DUMMYFUNCTION("""COMPUTED_VALUE"""),2)</f>
        <v>2</v>
      </c>
      <c r="T216" s="1">
        <f ca="1">IFERROR(__xludf.DUMMYFUNCTION("""COMPUTED_VALUE"""),44305.405625)</f>
        <v>44305.405624999999</v>
      </c>
      <c r="U216" s="1" t="str">
        <f ca="1">IFERROR(__xludf.DUMMYFUNCTION("""COMPUTED_VALUE"""),"Nil")</f>
        <v>Nil</v>
      </c>
    </row>
    <row r="217" spans="1:21" ht="13" x14ac:dyDescent="0.15">
      <c r="A217" s="1" t="str">
        <f t="shared" ca="1" si="0"/>
        <v>ThiruchirappalliSundaram Hospital, Pudhur</v>
      </c>
      <c r="B217" s="1">
        <f ca="1">IFERROR(__xludf.DUMMYFUNCTION("""COMPUTED_VALUE"""),216)</f>
        <v>216</v>
      </c>
      <c r="C217" s="1" t="str">
        <f ca="1">IFERROR(__xludf.DUMMYFUNCTION("""COMPUTED_VALUE"""),"Thiruchirappalli")</f>
        <v>Thiruchirappalli</v>
      </c>
      <c r="D217" s="1" t="str">
        <f ca="1">IFERROR(__xludf.DUMMYFUNCTION("""COMPUTED_VALUE"""),"Sundaram Hospital, Pudhur")</f>
        <v>Sundaram Hospital, Pudhur</v>
      </c>
      <c r="E217" s="1">
        <f ca="1">IFERROR(__xludf.DUMMYFUNCTION("""COMPUTED_VALUE"""),45)</f>
        <v>45</v>
      </c>
      <c r="F217" s="1">
        <f ca="1">IFERROR(__xludf.DUMMYFUNCTION("""COMPUTED_VALUE"""),40)</f>
        <v>40</v>
      </c>
      <c r="G217" s="1">
        <f ca="1">IFERROR(__xludf.DUMMYFUNCTION("""COMPUTED_VALUE"""),5)</f>
        <v>5</v>
      </c>
      <c r="H217" s="1">
        <f ca="1">IFERROR(__xludf.DUMMYFUNCTION("""COMPUTED_VALUE"""),28)</f>
        <v>28</v>
      </c>
      <c r="I217" s="1">
        <f ca="1">IFERROR(__xludf.DUMMYFUNCTION("""COMPUTED_VALUE"""),26)</f>
        <v>26</v>
      </c>
      <c r="J217" s="1">
        <f ca="1">IFERROR(__xludf.DUMMYFUNCTION("""COMPUTED_VALUE"""),2)</f>
        <v>2</v>
      </c>
      <c r="K217" s="1">
        <f ca="1">IFERROR(__xludf.DUMMYFUNCTION("""COMPUTED_VALUE"""),9)</f>
        <v>9</v>
      </c>
      <c r="L217" s="1">
        <f ca="1">IFERROR(__xludf.DUMMYFUNCTION("""COMPUTED_VALUE"""),9)</f>
        <v>9</v>
      </c>
      <c r="M217" s="1">
        <f ca="1">IFERROR(__xludf.DUMMYFUNCTION("""COMPUTED_VALUE"""),0)</f>
        <v>0</v>
      </c>
      <c r="N217" s="1">
        <f ca="1">IFERROR(__xludf.DUMMYFUNCTION("""COMPUTED_VALUE"""),8)</f>
        <v>8</v>
      </c>
      <c r="O217" s="1">
        <f ca="1">IFERROR(__xludf.DUMMYFUNCTION("""COMPUTED_VALUE"""),5)</f>
        <v>5</v>
      </c>
      <c r="P217" s="1">
        <f ca="1">IFERROR(__xludf.DUMMYFUNCTION("""COMPUTED_VALUE"""),3)</f>
        <v>3</v>
      </c>
      <c r="Q217" s="1">
        <f ca="1">IFERROR(__xludf.DUMMYFUNCTION("""COMPUTED_VALUE"""),2)</f>
        <v>2</v>
      </c>
      <c r="R217" s="1">
        <f ca="1">IFERROR(__xludf.DUMMYFUNCTION("""COMPUTED_VALUE"""),0)</f>
        <v>0</v>
      </c>
      <c r="S217" s="1">
        <f ca="1">IFERROR(__xludf.DUMMYFUNCTION("""COMPUTED_VALUE"""),2)</f>
        <v>2</v>
      </c>
      <c r="T217" s="1">
        <f ca="1">IFERROR(__xludf.DUMMYFUNCTION("""COMPUTED_VALUE"""),44305.3525347222)</f>
        <v>44305.352534722202</v>
      </c>
      <c r="U217" s="1" t="str">
        <f ca="1">IFERROR(__xludf.DUMMYFUNCTION("""COMPUTED_VALUE"""),"Nil")</f>
        <v>Nil</v>
      </c>
    </row>
    <row r="218" spans="1:21" ht="13" x14ac:dyDescent="0.15">
      <c r="A218" s="1" t="str">
        <f t="shared" ca="1" si="0"/>
        <v>ThoothukudiKamala Speciality Hospitals Pvt Ltd, Kovilpatti</v>
      </c>
      <c r="B218" s="1">
        <f ca="1">IFERROR(__xludf.DUMMYFUNCTION("""COMPUTED_VALUE"""),217)</f>
        <v>217</v>
      </c>
      <c r="C218" s="1" t="str">
        <f ca="1">IFERROR(__xludf.DUMMYFUNCTION("""COMPUTED_VALUE"""),"Thoothukudi")</f>
        <v>Thoothukudi</v>
      </c>
      <c r="D218" s="1" t="str">
        <f ca="1">IFERROR(__xludf.DUMMYFUNCTION("""COMPUTED_VALUE"""),"Kamala Speciality Hospitals Pvt Ltd, Kovilpatti")</f>
        <v>Kamala Speciality Hospitals Pvt Ltd, Kovilpatti</v>
      </c>
      <c r="E218" s="1">
        <f ca="1">IFERROR(__xludf.DUMMYFUNCTION("""COMPUTED_VALUE"""),21)</f>
        <v>21</v>
      </c>
      <c r="F218" s="1">
        <f ca="1">IFERROR(__xludf.DUMMYFUNCTION("""COMPUTED_VALUE"""),21)</f>
        <v>21</v>
      </c>
      <c r="G218" s="1">
        <f ca="1">IFERROR(__xludf.DUMMYFUNCTION("""COMPUTED_VALUE"""),0)</f>
        <v>0</v>
      </c>
      <c r="H218" s="1">
        <f ca="1">IFERROR(__xludf.DUMMYFUNCTION("""COMPUTED_VALUE"""),14)</f>
        <v>14</v>
      </c>
      <c r="I218" s="1">
        <f ca="1">IFERROR(__xludf.DUMMYFUNCTION("""COMPUTED_VALUE"""),14)</f>
        <v>14</v>
      </c>
      <c r="J218" s="1">
        <f ca="1">IFERROR(__xludf.DUMMYFUNCTION("""COMPUTED_VALUE"""),0)</f>
        <v>0</v>
      </c>
      <c r="K218" s="1">
        <f ca="1">IFERROR(__xludf.DUMMYFUNCTION("""COMPUTED_VALUE"""),4)</f>
        <v>4</v>
      </c>
      <c r="L218" s="1">
        <f ca="1">IFERROR(__xludf.DUMMYFUNCTION("""COMPUTED_VALUE"""),4)</f>
        <v>4</v>
      </c>
      <c r="M218" s="1">
        <f ca="1">IFERROR(__xludf.DUMMYFUNCTION("""COMPUTED_VALUE"""),0)</f>
        <v>0</v>
      </c>
      <c r="N218" s="1">
        <f ca="1">IFERROR(__xludf.DUMMYFUNCTION("""COMPUTED_VALUE"""),3)</f>
        <v>3</v>
      </c>
      <c r="O218" s="1">
        <f ca="1">IFERROR(__xludf.DUMMYFUNCTION("""COMPUTED_VALUE"""),3)</f>
        <v>3</v>
      </c>
      <c r="P218" s="1">
        <f ca="1">IFERROR(__xludf.DUMMYFUNCTION("""COMPUTED_VALUE"""),0)</f>
        <v>0</v>
      </c>
      <c r="Q218" s="1">
        <f ca="1">IFERROR(__xludf.DUMMYFUNCTION("""COMPUTED_VALUE"""),1)</f>
        <v>1</v>
      </c>
      <c r="R218" s="1">
        <f ca="1">IFERROR(__xludf.DUMMYFUNCTION("""COMPUTED_VALUE"""),0)</f>
        <v>0</v>
      </c>
      <c r="S218" s="1">
        <f ca="1">IFERROR(__xludf.DUMMYFUNCTION("""COMPUTED_VALUE"""),1)</f>
        <v>1</v>
      </c>
      <c r="T218" s="1">
        <f ca="1">IFERROR(__xludf.DUMMYFUNCTION("""COMPUTED_VALUE"""),44305.5771412037)</f>
        <v>44305.577141203699</v>
      </c>
      <c r="U218" s="1" t="str">
        <f ca="1">IFERROR(__xludf.DUMMYFUNCTION("""COMPUTED_VALUE"""),".")</f>
        <v>.</v>
      </c>
    </row>
    <row r="219" spans="1:21" ht="13" x14ac:dyDescent="0.15">
      <c r="A219" s="1" t="str">
        <f t="shared" ca="1" si="0"/>
        <v>VelloreApollo KH Hospital Ranipet</v>
      </c>
      <c r="B219" s="1">
        <f ca="1">IFERROR(__xludf.DUMMYFUNCTION("""COMPUTED_VALUE"""),218)</f>
        <v>218</v>
      </c>
      <c r="C219" s="1" t="str">
        <f ca="1">IFERROR(__xludf.DUMMYFUNCTION("""COMPUTED_VALUE"""),"Vellore")</f>
        <v>Vellore</v>
      </c>
      <c r="D219" s="1" t="str">
        <f ca="1">IFERROR(__xludf.DUMMYFUNCTION("""COMPUTED_VALUE"""),"Apollo KH Hospital Ranipet")</f>
        <v>Apollo KH Hospital Ranipet</v>
      </c>
      <c r="E219" s="1">
        <f ca="1">IFERROR(__xludf.DUMMYFUNCTION("""COMPUTED_VALUE"""),18)</f>
        <v>18</v>
      </c>
      <c r="F219" s="1">
        <f ca="1">IFERROR(__xludf.DUMMYFUNCTION("""COMPUTED_VALUE"""),18)</f>
        <v>18</v>
      </c>
      <c r="G219" s="1">
        <f ca="1">IFERROR(__xludf.DUMMYFUNCTION("""COMPUTED_VALUE"""),0)</f>
        <v>0</v>
      </c>
      <c r="H219" s="1">
        <f ca="1">IFERROR(__xludf.DUMMYFUNCTION("""COMPUTED_VALUE"""),10)</f>
        <v>10</v>
      </c>
      <c r="I219" s="1">
        <f ca="1">IFERROR(__xludf.DUMMYFUNCTION("""COMPUTED_VALUE"""),10)</f>
        <v>10</v>
      </c>
      <c r="J219" s="1">
        <f ca="1">IFERROR(__xludf.DUMMYFUNCTION("""COMPUTED_VALUE"""),0)</f>
        <v>0</v>
      </c>
      <c r="K219" s="1">
        <f ca="1">IFERROR(__xludf.DUMMYFUNCTION("""COMPUTED_VALUE"""),8)</f>
        <v>8</v>
      </c>
      <c r="L219" s="1">
        <f ca="1">IFERROR(__xludf.DUMMYFUNCTION("""COMPUTED_VALUE"""),0)</f>
        <v>0</v>
      </c>
      <c r="M219" s="1">
        <f ca="1">IFERROR(__xludf.DUMMYFUNCTION("""COMPUTED_VALUE"""),0)</f>
        <v>0</v>
      </c>
      <c r="N219" s="1">
        <f ca="1">IFERROR(__xludf.DUMMYFUNCTION("""COMPUTED_VALUE"""),0)</f>
        <v>0</v>
      </c>
      <c r="O219" s="1">
        <f ca="1">IFERROR(__xludf.DUMMYFUNCTION("""COMPUTED_VALUE"""),0)</f>
        <v>0</v>
      </c>
      <c r="P219" s="1">
        <f ca="1">IFERROR(__xludf.DUMMYFUNCTION("""COMPUTED_VALUE"""),0)</f>
        <v>0</v>
      </c>
      <c r="Q219" s="1">
        <f ca="1">IFERROR(__xludf.DUMMYFUNCTION("""COMPUTED_VALUE"""),0)</f>
        <v>0</v>
      </c>
      <c r="R219" s="1">
        <f ca="1">IFERROR(__xludf.DUMMYFUNCTION("""COMPUTED_VALUE"""),0)</f>
        <v>0</v>
      </c>
      <c r="S219" s="1">
        <f ca="1">IFERROR(__xludf.DUMMYFUNCTION("""COMPUTED_VALUE"""),0)</f>
        <v>0</v>
      </c>
      <c r="T219" s="1">
        <f ca="1">IFERROR(__xludf.DUMMYFUNCTION("""COMPUTED_VALUE"""),44305.5021759259)</f>
        <v>44305.502175925903</v>
      </c>
      <c r="U219" s="1"/>
    </row>
    <row r="220" spans="1:21" ht="13" x14ac:dyDescent="0.15">
      <c r="A220" s="1" t="str">
        <f t="shared" ca="1" si="0"/>
        <v>VelloreChristian Medical College</v>
      </c>
      <c r="B220" s="1">
        <f ca="1">IFERROR(__xludf.DUMMYFUNCTION("""COMPUTED_VALUE"""),219)</f>
        <v>219</v>
      </c>
      <c r="C220" s="1" t="str">
        <f ca="1">IFERROR(__xludf.DUMMYFUNCTION("""COMPUTED_VALUE"""),"Vellore")</f>
        <v>Vellore</v>
      </c>
      <c r="D220" s="1" t="str">
        <f ca="1">IFERROR(__xludf.DUMMYFUNCTION("""COMPUTED_VALUE"""),"Christian Medical College")</f>
        <v>Christian Medical College</v>
      </c>
      <c r="E220" s="1">
        <f ca="1">IFERROR(__xludf.DUMMYFUNCTION("""COMPUTED_VALUE"""),252)</f>
        <v>252</v>
      </c>
      <c r="F220" s="1">
        <f ca="1">IFERROR(__xludf.DUMMYFUNCTION("""COMPUTED_VALUE"""),247)</f>
        <v>247</v>
      </c>
      <c r="G220" s="1">
        <f ca="1">IFERROR(__xludf.DUMMYFUNCTION("""COMPUTED_VALUE"""),5)</f>
        <v>5</v>
      </c>
      <c r="H220" s="1">
        <f ca="1">IFERROR(__xludf.DUMMYFUNCTION("""COMPUTED_VALUE"""),217)</f>
        <v>217</v>
      </c>
      <c r="I220" s="1">
        <f ca="1">IFERROR(__xludf.DUMMYFUNCTION("""COMPUTED_VALUE"""),54)</f>
        <v>54</v>
      </c>
      <c r="J220" s="1">
        <f ca="1">IFERROR(__xludf.DUMMYFUNCTION("""COMPUTED_VALUE"""),43)</f>
        <v>43</v>
      </c>
      <c r="K220" s="1">
        <f ca="1">IFERROR(__xludf.DUMMYFUNCTION("""COMPUTED_VALUE"""),0)</f>
        <v>0</v>
      </c>
      <c r="L220" s="1">
        <f ca="1">IFERROR(__xludf.DUMMYFUNCTION("""COMPUTED_VALUE"""),0)</f>
        <v>0</v>
      </c>
      <c r="M220" s="1">
        <f ca="1">IFERROR(__xludf.DUMMYFUNCTION("""COMPUTED_VALUE"""),0)</f>
        <v>0</v>
      </c>
      <c r="N220" s="1">
        <f ca="1">IFERROR(__xludf.DUMMYFUNCTION("""COMPUTED_VALUE"""),20)</f>
        <v>20</v>
      </c>
      <c r="O220" s="1">
        <f ca="1">IFERROR(__xludf.DUMMYFUNCTION("""COMPUTED_VALUE"""),20)</f>
        <v>20</v>
      </c>
      <c r="P220" s="1">
        <f ca="1">IFERROR(__xludf.DUMMYFUNCTION("""COMPUTED_VALUE"""),0)</f>
        <v>0</v>
      </c>
      <c r="Q220" s="1">
        <f ca="1">IFERROR(__xludf.DUMMYFUNCTION("""COMPUTED_VALUE"""),12)</f>
        <v>12</v>
      </c>
      <c r="R220" s="1">
        <f ca="1">IFERROR(__xludf.DUMMYFUNCTION("""COMPUTED_VALUE"""),12)</f>
        <v>12</v>
      </c>
      <c r="S220" s="1">
        <f ca="1">IFERROR(__xludf.DUMMYFUNCTION("""COMPUTED_VALUE"""),0)</f>
        <v>0</v>
      </c>
      <c r="T220" s="1">
        <f ca="1">IFERROR(__xludf.DUMMYFUNCTION("""COMPUTED_VALUE"""),44305.6492939814)</f>
        <v>44305.649293981398</v>
      </c>
      <c r="U220" s="1"/>
    </row>
    <row r="221" spans="1:21" ht="13" x14ac:dyDescent="0.15">
      <c r="A221" s="1" t="str">
        <f t="shared" ca="1" si="0"/>
        <v>VelloreChristian Medical College Kannigipuram campus</v>
      </c>
      <c r="B221" s="1">
        <f ca="1">IFERROR(__xludf.DUMMYFUNCTION("""COMPUTED_VALUE"""),220)</f>
        <v>220</v>
      </c>
      <c r="C221" s="1" t="str">
        <f ca="1">IFERROR(__xludf.DUMMYFUNCTION("""COMPUTED_VALUE"""),"Vellore")</f>
        <v>Vellore</v>
      </c>
      <c r="D221" s="1" t="str">
        <f ca="1">IFERROR(__xludf.DUMMYFUNCTION("""COMPUTED_VALUE"""),"Christian Medical College Kannigipuram campus")</f>
        <v>Christian Medical College Kannigipuram campus</v>
      </c>
      <c r="E221" s="1">
        <f ca="1">IFERROR(__xludf.DUMMYFUNCTION("""COMPUTED_VALUE"""),56)</f>
        <v>56</v>
      </c>
      <c r="F221" s="1">
        <f ca="1">IFERROR(__xludf.DUMMYFUNCTION("""COMPUTED_VALUE"""),5)</f>
        <v>5</v>
      </c>
      <c r="G221" s="1">
        <f ca="1">IFERROR(__xludf.DUMMYFUNCTION("""COMPUTED_VALUE"""),51)</f>
        <v>51</v>
      </c>
      <c r="H221" s="1">
        <f ca="1">IFERROR(__xludf.DUMMYFUNCTION("""COMPUTED_VALUE"""),56)</f>
        <v>56</v>
      </c>
      <c r="I221" s="1">
        <f ca="1">IFERROR(__xludf.DUMMYFUNCTION("""COMPUTED_VALUE"""),5)</f>
        <v>5</v>
      </c>
      <c r="J221" s="1">
        <f ca="1">IFERROR(__xludf.DUMMYFUNCTION("""COMPUTED_VALUE"""),51)</f>
        <v>51</v>
      </c>
      <c r="K221" s="1">
        <f ca="1">IFERROR(__xludf.DUMMYFUNCTION("""COMPUTED_VALUE"""),0)</f>
        <v>0</v>
      </c>
      <c r="L221" s="1">
        <f ca="1">IFERROR(__xludf.DUMMYFUNCTION("""COMPUTED_VALUE"""),0)</f>
        <v>0</v>
      </c>
      <c r="M221" s="1">
        <f ca="1">IFERROR(__xludf.DUMMYFUNCTION("""COMPUTED_VALUE"""),0)</f>
        <v>0</v>
      </c>
      <c r="N221" s="1">
        <f ca="1">IFERROR(__xludf.DUMMYFUNCTION("""COMPUTED_VALUE"""),0)</f>
        <v>0</v>
      </c>
      <c r="O221" s="1">
        <f ca="1">IFERROR(__xludf.DUMMYFUNCTION("""COMPUTED_VALUE"""),0)</f>
        <v>0</v>
      </c>
      <c r="P221" s="1">
        <f ca="1">IFERROR(__xludf.DUMMYFUNCTION("""COMPUTED_VALUE"""),0)</f>
        <v>0</v>
      </c>
      <c r="Q221" s="1">
        <f ca="1">IFERROR(__xludf.DUMMYFUNCTION("""COMPUTED_VALUE"""),0)</f>
        <v>0</v>
      </c>
      <c r="R221" s="1">
        <f ca="1">IFERROR(__xludf.DUMMYFUNCTION("""COMPUTED_VALUE"""),0)</f>
        <v>0</v>
      </c>
      <c r="S221" s="1">
        <f ca="1">IFERROR(__xludf.DUMMYFUNCTION("""COMPUTED_VALUE"""),0)</f>
        <v>0</v>
      </c>
      <c r="T221" s="1">
        <f ca="1">IFERROR(__xludf.DUMMYFUNCTION("""COMPUTED_VALUE"""),44138.315949074)</f>
        <v>44138.315949074</v>
      </c>
      <c r="U221" s="1"/>
    </row>
    <row r="222" spans="1:21" ht="13" x14ac:dyDescent="0.15">
      <c r="A222" s="1" t="str">
        <f t="shared" ca="1" si="0"/>
        <v>VelloreSri Narayani Hospital and Research Centre</v>
      </c>
      <c r="B222" s="1">
        <f ca="1">IFERROR(__xludf.DUMMYFUNCTION("""COMPUTED_VALUE"""),221)</f>
        <v>221</v>
      </c>
      <c r="C222" s="1" t="str">
        <f ca="1">IFERROR(__xludf.DUMMYFUNCTION("""COMPUTED_VALUE"""),"Vellore")</f>
        <v>Vellore</v>
      </c>
      <c r="D222" s="1" t="str">
        <f ca="1">IFERROR(__xludf.DUMMYFUNCTION("""COMPUTED_VALUE"""),"Sri Narayani Hospital and Research Centre")</f>
        <v>Sri Narayani Hospital and Research Centre</v>
      </c>
      <c r="E222" s="1">
        <f ca="1">IFERROR(__xludf.DUMMYFUNCTION("""COMPUTED_VALUE"""),63)</f>
        <v>63</v>
      </c>
      <c r="F222" s="1">
        <f ca="1">IFERROR(__xludf.DUMMYFUNCTION("""COMPUTED_VALUE"""),63)</f>
        <v>63</v>
      </c>
      <c r="G222" s="1">
        <f ca="1">IFERROR(__xludf.DUMMYFUNCTION("""COMPUTED_VALUE"""),0)</f>
        <v>0</v>
      </c>
      <c r="H222" s="1">
        <f ca="1">IFERROR(__xludf.DUMMYFUNCTION("""COMPUTED_VALUE"""),63)</f>
        <v>63</v>
      </c>
      <c r="I222" s="1">
        <f ca="1">IFERROR(__xludf.DUMMYFUNCTION("""COMPUTED_VALUE"""),63)</f>
        <v>63</v>
      </c>
      <c r="J222" s="1">
        <f ca="1">IFERROR(__xludf.DUMMYFUNCTION("""COMPUTED_VALUE"""),0)</f>
        <v>0</v>
      </c>
      <c r="K222" s="1">
        <f ca="1">IFERROR(__xludf.DUMMYFUNCTION("""COMPUTED_VALUE"""),0)</f>
        <v>0</v>
      </c>
      <c r="L222" s="1">
        <f ca="1">IFERROR(__xludf.DUMMYFUNCTION("""COMPUTED_VALUE"""),0)</f>
        <v>0</v>
      </c>
      <c r="M222" s="1">
        <f ca="1">IFERROR(__xludf.DUMMYFUNCTION("""COMPUTED_VALUE"""),0)</f>
        <v>0</v>
      </c>
      <c r="N222" s="1">
        <f ca="1">IFERROR(__xludf.DUMMYFUNCTION("""COMPUTED_VALUE"""),1)</f>
        <v>1</v>
      </c>
      <c r="O222" s="1">
        <f ca="1">IFERROR(__xludf.DUMMYFUNCTION("""COMPUTED_VALUE"""),0)</f>
        <v>0</v>
      </c>
      <c r="P222" s="1">
        <f ca="1">IFERROR(__xludf.DUMMYFUNCTION("""COMPUTED_VALUE"""),1)</f>
        <v>1</v>
      </c>
      <c r="Q222" s="1">
        <f ca="1">IFERROR(__xludf.DUMMYFUNCTION("""COMPUTED_VALUE"""),24)</f>
        <v>24</v>
      </c>
      <c r="R222" s="1">
        <f ca="1">IFERROR(__xludf.DUMMYFUNCTION("""COMPUTED_VALUE"""),0)</f>
        <v>0</v>
      </c>
      <c r="S222" s="1">
        <f ca="1">IFERROR(__xludf.DUMMYFUNCTION("""COMPUTED_VALUE"""),24)</f>
        <v>24</v>
      </c>
      <c r="T222" s="1">
        <f ca="1">IFERROR(__xludf.DUMMYFUNCTION("""COMPUTED_VALUE"""),44305.4031944444)</f>
        <v>44305.4031944444</v>
      </c>
      <c r="U222" s="1" t="str">
        <f ca="1">IFERROR(__xludf.DUMMYFUNCTION("""COMPUTED_VALUE"""),"Report date 19.04.2021")</f>
        <v>Report date 19.04.2021</v>
      </c>
    </row>
    <row r="223" spans="1:21" ht="13" x14ac:dyDescent="0.15">
      <c r="A223" s="1" t="str">
        <f t="shared" ca="1" si="0"/>
        <v>VirudhunagarMeenakshi Memorial Hospital</v>
      </c>
      <c r="B223" s="1">
        <f ca="1">IFERROR(__xludf.DUMMYFUNCTION("""COMPUTED_VALUE"""),222)</f>
        <v>222</v>
      </c>
      <c r="C223" s="1" t="str">
        <f ca="1">IFERROR(__xludf.DUMMYFUNCTION("""COMPUTED_VALUE"""),"Virudhunagar")</f>
        <v>Virudhunagar</v>
      </c>
      <c r="D223" s="1" t="str">
        <f ca="1">IFERROR(__xludf.DUMMYFUNCTION("""COMPUTED_VALUE"""),"Meenakshi Memorial Hospital")</f>
        <v>Meenakshi Memorial Hospital</v>
      </c>
      <c r="E223" s="1">
        <f ca="1">IFERROR(__xludf.DUMMYFUNCTION("""COMPUTED_VALUE"""),20)</f>
        <v>20</v>
      </c>
      <c r="F223" s="1">
        <f ca="1">IFERROR(__xludf.DUMMYFUNCTION("""COMPUTED_VALUE"""),5)</f>
        <v>5</v>
      </c>
      <c r="G223" s="1">
        <f ca="1">IFERROR(__xludf.DUMMYFUNCTION("""COMPUTED_VALUE"""),15)</f>
        <v>15</v>
      </c>
      <c r="H223" s="1">
        <f ca="1">IFERROR(__xludf.DUMMYFUNCTION("""COMPUTED_VALUE"""),10)</f>
        <v>10</v>
      </c>
      <c r="I223" s="1">
        <f ca="1">IFERROR(__xludf.DUMMYFUNCTION("""COMPUTED_VALUE"""),3)</f>
        <v>3</v>
      </c>
      <c r="J223" s="1">
        <f ca="1">IFERROR(__xludf.DUMMYFUNCTION("""COMPUTED_VALUE"""),7)</f>
        <v>7</v>
      </c>
      <c r="K223" s="1">
        <f ca="1">IFERROR(__xludf.DUMMYFUNCTION("""COMPUTED_VALUE"""),5)</f>
        <v>5</v>
      </c>
      <c r="L223" s="1">
        <f ca="1">IFERROR(__xludf.DUMMYFUNCTION("""COMPUTED_VALUE"""),0)</f>
        <v>0</v>
      </c>
      <c r="M223" s="1">
        <f ca="1">IFERROR(__xludf.DUMMYFUNCTION("""COMPUTED_VALUE"""),5)</f>
        <v>5</v>
      </c>
      <c r="N223" s="1">
        <f ca="1">IFERROR(__xludf.DUMMYFUNCTION("""COMPUTED_VALUE"""),5)</f>
        <v>5</v>
      </c>
      <c r="O223" s="1">
        <f ca="1">IFERROR(__xludf.DUMMYFUNCTION("""COMPUTED_VALUE"""),2)</f>
        <v>2</v>
      </c>
      <c r="P223" s="1">
        <f ca="1">IFERROR(__xludf.DUMMYFUNCTION("""COMPUTED_VALUE"""),3)</f>
        <v>3</v>
      </c>
      <c r="Q223" s="1">
        <f ca="1">IFERROR(__xludf.DUMMYFUNCTION("""COMPUTED_VALUE"""),2)</f>
        <v>2</v>
      </c>
      <c r="R223" s="1">
        <f ca="1">IFERROR(__xludf.DUMMYFUNCTION("""COMPUTED_VALUE"""),0)</f>
        <v>0</v>
      </c>
      <c r="S223" s="1">
        <f ca="1">IFERROR(__xludf.DUMMYFUNCTION("""COMPUTED_VALUE"""),2)</f>
        <v>2</v>
      </c>
      <c r="T223" s="1">
        <f ca="1">IFERROR(__xludf.DUMMYFUNCTION("""COMPUTED_VALUE"""),44305.3320601851)</f>
        <v>44305.332060185101</v>
      </c>
      <c r="U223" s="1" t="str">
        <f ca="1">IFERROR(__xludf.DUMMYFUNCTION("""COMPUTED_VALUE"""),"5- patient Admitted only")</f>
        <v>5- patient Admitted only</v>
      </c>
    </row>
    <row r="224" spans="1:21" ht="13" x14ac:dyDescent="0.15">
      <c r="A224" s="1" t="str">
        <f t="shared" ca="1" si="0"/>
        <v>VirudhunagarSri Krishna Hospital</v>
      </c>
      <c r="B224" s="1">
        <f ca="1">IFERROR(__xludf.DUMMYFUNCTION("""COMPUTED_VALUE"""),223)</f>
        <v>223</v>
      </c>
      <c r="C224" s="1" t="str">
        <f ca="1">IFERROR(__xludf.DUMMYFUNCTION("""COMPUTED_VALUE"""),"Virudhunagar")</f>
        <v>Virudhunagar</v>
      </c>
      <c r="D224" s="1" t="str">
        <f ca="1">IFERROR(__xludf.DUMMYFUNCTION("""COMPUTED_VALUE"""),"Sri Krishna Hospital")</f>
        <v>Sri Krishna Hospital</v>
      </c>
      <c r="E224" s="1">
        <f ca="1">IFERROR(__xludf.DUMMYFUNCTION("""COMPUTED_VALUE"""),20)</f>
        <v>20</v>
      </c>
      <c r="F224" s="1">
        <f ca="1">IFERROR(__xludf.DUMMYFUNCTION("""COMPUTED_VALUE"""),4)</f>
        <v>4</v>
      </c>
      <c r="G224" s="1">
        <f ca="1">IFERROR(__xludf.DUMMYFUNCTION("""COMPUTED_VALUE"""),16)</f>
        <v>16</v>
      </c>
      <c r="H224" s="1">
        <f ca="1">IFERROR(__xludf.DUMMYFUNCTION("""COMPUTED_VALUE"""),20)</f>
        <v>20</v>
      </c>
      <c r="I224" s="1">
        <f ca="1">IFERROR(__xludf.DUMMYFUNCTION("""COMPUTED_VALUE"""),4)</f>
        <v>4</v>
      </c>
      <c r="J224" s="1">
        <f ca="1">IFERROR(__xludf.DUMMYFUNCTION("""COMPUTED_VALUE"""),16)</f>
        <v>16</v>
      </c>
      <c r="K224" s="1">
        <f ca="1">IFERROR(__xludf.DUMMYFUNCTION("""COMPUTED_VALUE"""),0)</f>
        <v>0</v>
      </c>
      <c r="L224" s="1">
        <f ca="1">IFERROR(__xludf.DUMMYFUNCTION("""COMPUTED_VALUE"""),0)</f>
        <v>0</v>
      </c>
      <c r="M224" s="1">
        <f ca="1">IFERROR(__xludf.DUMMYFUNCTION("""COMPUTED_VALUE"""),0)</f>
        <v>0</v>
      </c>
      <c r="N224" s="1">
        <f ca="1">IFERROR(__xludf.DUMMYFUNCTION("""COMPUTED_VALUE"""),2)</f>
        <v>2</v>
      </c>
      <c r="O224" s="1">
        <f ca="1">IFERROR(__xludf.DUMMYFUNCTION("""COMPUTED_VALUE"""),0)</f>
        <v>0</v>
      </c>
      <c r="P224" s="1">
        <f ca="1">IFERROR(__xludf.DUMMYFUNCTION("""COMPUTED_VALUE"""),2)</f>
        <v>2</v>
      </c>
      <c r="Q224" s="1">
        <f ca="1">IFERROR(__xludf.DUMMYFUNCTION("""COMPUTED_VALUE"""),2)</f>
        <v>2</v>
      </c>
      <c r="R224" s="1">
        <f ca="1">IFERROR(__xludf.DUMMYFUNCTION("""COMPUTED_VALUE"""),0)</f>
        <v>0</v>
      </c>
      <c r="S224" s="1">
        <f ca="1">IFERROR(__xludf.DUMMYFUNCTION("""COMPUTED_VALUE"""),2)</f>
        <v>2</v>
      </c>
      <c r="T224" s="1">
        <f ca="1">IFERROR(__xludf.DUMMYFUNCTION("""COMPUTED_VALUE"""),44305.3008333333)</f>
        <v>44305.300833333298</v>
      </c>
      <c r="U224" s="1" t="str">
        <f ca="1">IFERROR(__xludf.DUMMYFUNCTION("""COMPUTED_VALUE"""),"Nil")</f>
        <v>Nil</v>
      </c>
    </row>
    <row r="225" spans="1:21" ht="13" x14ac:dyDescent="0.15">
      <c r="A225" s="1" t="str">
        <f t="shared" ca="1" si="0"/>
        <v>ChengalpattuSai Fertility Centre &amp; Hospital, Vedhachalam Nagar</v>
      </c>
      <c r="B225" s="1">
        <f ca="1">IFERROR(__xludf.DUMMYFUNCTION("""COMPUTED_VALUE"""),224)</f>
        <v>224</v>
      </c>
      <c r="C225" s="1" t="str">
        <f ca="1">IFERROR(__xludf.DUMMYFUNCTION("""COMPUTED_VALUE"""),"Chengalpattu")</f>
        <v>Chengalpattu</v>
      </c>
      <c r="D225" s="1" t="str">
        <f ca="1">IFERROR(__xludf.DUMMYFUNCTION("""COMPUTED_VALUE"""),"Sai Fertility Centre &amp; Hospital, Vedhachalam Nagar")</f>
        <v>Sai Fertility Centre &amp; Hospital, Vedhachalam Nagar</v>
      </c>
      <c r="E225" s="1">
        <f ca="1">IFERROR(__xludf.DUMMYFUNCTION("""COMPUTED_VALUE"""),8)</f>
        <v>8</v>
      </c>
      <c r="F225" s="1">
        <f ca="1">IFERROR(__xludf.DUMMYFUNCTION("""COMPUTED_VALUE"""),0)</f>
        <v>0</v>
      </c>
      <c r="G225" s="1">
        <f ca="1">IFERROR(__xludf.DUMMYFUNCTION("""COMPUTED_VALUE"""),8)</f>
        <v>8</v>
      </c>
      <c r="H225" s="1">
        <f ca="1">IFERROR(__xludf.DUMMYFUNCTION("""COMPUTED_VALUE"""),4)</f>
        <v>4</v>
      </c>
      <c r="I225" s="1">
        <f ca="1">IFERROR(__xludf.DUMMYFUNCTION("""COMPUTED_VALUE"""),0)</f>
        <v>0</v>
      </c>
      <c r="J225" s="1">
        <f ca="1">IFERROR(__xludf.DUMMYFUNCTION("""COMPUTED_VALUE"""),4)</f>
        <v>4</v>
      </c>
      <c r="K225" s="1">
        <f ca="1">IFERROR(__xludf.DUMMYFUNCTION("""COMPUTED_VALUE"""),3)</f>
        <v>3</v>
      </c>
      <c r="L225" s="1">
        <f ca="1">IFERROR(__xludf.DUMMYFUNCTION("""COMPUTED_VALUE"""),0)</f>
        <v>0</v>
      </c>
      <c r="M225" s="1">
        <f ca="1">IFERROR(__xludf.DUMMYFUNCTION("""COMPUTED_VALUE"""),3)</f>
        <v>3</v>
      </c>
      <c r="N225" s="1">
        <f ca="1">IFERROR(__xludf.DUMMYFUNCTION("""COMPUTED_VALUE"""),1)</f>
        <v>1</v>
      </c>
      <c r="O225" s="1">
        <f ca="1">IFERROR(__xludf.DUMMYFUNCTION("""COMPUTED_VALUE"""),0)</f>
        <v>0</v>
      </c>
      <c r="P225" s="1">
        <f ca="1">IFERROR(__xludf.DUMMYFUNCTION("""COMPUTED_VALUE"""),1)</f>
        <v>1</v>
      </c>
      <c r="Q225" s="1">
        <f ca="1">IFERROR(__xludf.DUMMYFUNCTION("""COMPUTED_VALUE"""),1)</f>
        <v>1</v>
      </c>
      <c r="R225" s="1">
        <f ca="1">IFERROR(__xludf.DUMMYFUNCTION("""COMPUTED_VALUE"""),0)</f>
        <v>0</v>
      </c>
      <c r="S225" s="1">
        <f ca="1">IFERROR(__xludf.DUMMYFUNCTION("""COMPUTED_VALUE"""),1)</f>
        <v>1</v>
      </c>
      <c r="T225" s="1">
        <f ca="1">IFERROR(__xludf.DUMMYFUNCTION("""COMPUTED_VALUE"""),44305.3042129629)</f>
        <v>44305.304212962903</v>
      </c>
      <c r="U225" s="1" t="str">
        <f ca="1">IFERROR(__xludf.DUMMYFUNCTION("""COMPUTED_VALUE"""),"19.04.2021")</f>
        <v>19.04.2021</v>
      </c>
    </row>
    <row r="226" spans="1:21" ht="13" x14ac:dyDescent="0.15">
      <c r="A226" s="1" t="str">
        <f t="shared" ca="1" si="0"/>
        <v>DindigulCity Hospital Gandhi Nagar</v>
      </c>
      <c r="B226" s="1">
        <f ca="1">IFERROR(__xludf.DUMMYFUNCTION("""COMPUTED_VALUE"""),225)</f>
        <v>225</v>
      </c>
      <c r="C226" s="1" t="str">
        <f ca="1">IFERROR(__xludf.DUMMYFUNCTION("""COMPUTED_VALUE"""),"Dindigul")</f>
        <v>Dindigul</v>
      </c>
      <c r="D226" s="1" t="str">
        <f ca="1">IFERROR(__xludf.DUMMYFUNCTION("""COMPUTED_VALUE"""),"City Hospital Gandhi Nagar")</f>
        <v>City Hospital Gandhi Nagar</v>
      </c>
      <c r="E226" s="1">
        <f ca="1">IFERROR(__xludf.DUMMYFUNCTION("""COMPUTED_VALUE"""),20)</f>
        <v>20</v>
      </c>
      <c r="F226" s="1">
        <f ca="1">IFERROR(__xludf.DUMMYFUNCTION("""COMPUTED_VALUE"""),0)</f>
        <v>0</v>
      </c>
      <c r="G226" s="1">
        <f ca="1">IFERROR(__xludf.DUMMYFUNCTION("""COMPUTED_VALUE"""),20)</f>
        <v>20</v>
      </c>
      <c r="H226" s="1">
        <f ca="1">IFERROR(__xludf.DUMMYFUNCTION("""COMPUTED_VALUE"""),20)</f>
        <v>20</v>
      </c>
      <c r="I226" s="1">
        <f ca="1">IFERROR(__xludf.DUMMYFUNCTION("""COMPUTED_VALUE"""),0)</f>
        <v>0</v>
      </c>
      <c r="J226" s="1">
        <f ca="1">IFERROR(__xludf.DUMMYFUNCTION("""COMPUTED_VALUE"""),15)</f>
        <v>15</v>
      </c>
      <c r="K226" s="1">
        <f ca="1">IFERROR(__xludf.DUMMYFUNCTION("""COMPUTED_VALUE"""),0)</f>
        <v>0</v>
      </c>
      <c r="L226" s="1">
        <f ca="1">IFERROR(__xludf.DUMMYFUNCTION("""COMPUTED_VALUE"""),0)</f>
        <v>0</v>
      </c>
      <c r="M226" s="1">
        <f ca="1">IFERROR(__xludf.DUMMYFUNCTION("""COMPUTED_VALUE"""),0)</f>
        <v>0</v>
      </c>
      <c r="N226" s="1">
        <f ca="1">IFERROR(__xludf.DUMMYFUNCTION("""COMPUTED_VALUE"""),2)</f>
        <v>2</v>
      </c>
      <c r="O226" s="1">
        <f ca="1">IFERROR(__xludf.DUMMYFUNCTION("""COMPUTED_VALUE"""),0)</f>
        <v>0</v>
      </c>
      <c r="P226" s="1">
        <f ca="1">IFERROR(__xludf.DUMMYFUNCTION("""COMPUTED_VALUE"""),1)</f>
        <v>1</v>
      </c>
      <c r="Q226" s="1">
        <f ca="1">IFERROR(__xludf.DUMMYFUNCTION("""COMPUTED_VALUE"""),1)</f>
        <v>1</v>
      </c>
      <c r="R226" s="1">
        <f ca="1">IFERROR(__xludf.DUMMYFUNCTION("""COMPUTED_VALUE"""),0)</f>
        <v>0</v>
      </c>
      <c r="S226" s="1">
        <f ca="1">IFERROR(__xludf.DUMMYFUNCTION("""COMPUTED_VALUE"""),1)</f>
        <v>1</v>
      </c>
      <c r="T226" s="1">
        <f ca="1">IFERROR(__xludf.DUMMYFUNCTION("""COMPUTED_VALUE"""),44305.3045601851)</f>
        <v>44305.304560185097</v>
      </c>
      <c r="U226" s="1" t="str">
        <f ca="1">IFERROR(__xludf.DUMMYFUNCTION("""COMPUTED_VALUE"""),"19/04/2021.")</f>
        <v>19/04/2021.</v>
      </c>
    </row>
    <row r="227" spans="1:21" ht="13" x14ac:dyDescent="0.15">
      <c r="A227" s="1" t="str">
        <f t="shared" ca="1" si="0"/>
        <v>DindigulRaja Rajeswari Hospital, Spence Nagar</v>
      </c>
      <c r="B227" s="1">
        <f ca="1">IFERROR(__xludf.DUMMYFUNCTION("""COMPUTED_VALUE"""),226)</f>
        <v>226</v>
      </c>
      <c r="C227" s="1" t="str">
        <f ca="1">IFERROR(__xludf.DUMMYFUNCTION("""COMPUTED_VALUE"""),"Dindigul")</f>
        <v>Dindigul</v>
      </c>
      <c r="D227" s="1" t="str">
        <f ca="1">IFERROR(__xludf.DUMMYFUNCTION("""COMPUTED_VALUE"""),"Raja Rajeswari Hospital, Spence Nagar")</f>
        <v>Raja Rajeswari Hospital, Spence Nagar</v>
      </c>
      <c r="E227" s="1">
        <f ca="1">IFERROR(__xludf.DUMMYFUNCTION("""COMPUTED_VALUE"""),16)</f>
        <v>16</v>
      </c>
      <c r="F227" s="1">
        <f ca="1">IFERROR(__xludf.DUMMYFUNCTION("""COMPUTED_VALUE"""),12)</f>
        <v>12</v>
      </c>
      <c r="G227" s="1">
        <f ca="1">IFERROR(__xludf.DUMMYFUNCTION("""COMPUTED_VALUE"""),4)</f>
        <v>4</v>
      </c>
      <c r="H227" s="1">
        <f ca="1">IFERROR(__xludf.DUMMYFUNCTION("""COMPUTED_VALUE"""),16)</f>
        <v>16</v>
      </c>
      <c r="I227" s="1">
        <f ca="1">IFERROR(__xludf.DUMMYFUNCTION("""COMPUTED_VALUE"""),12)</f>
        <v>12</v>
      </c>
      <c r="J227" s="1">
        <f ca="1">IFERROR(__xludf.DUMMYFUNCTION("""COMPUTED_VALUE"""),4)</f>
        <v>4</v>
      </c>
      <c r="K227" s="1">
        <f ca="1">IFERROR(__xludf.DUMMYFUNCTION("""COMPUTED_VALUE"""),3)</f>
        <v>3</v>
      </c>
      <c r="L227" s="1">
        <f ca="1">IFERROR(__xludf.DUMMYFUNCTION("""COMPUTED_VALUE"""),0)</f>
        <v>0</v>
      </c>
      <c r="M227" s="1">
        <f ca="1">IFERROR(__xludf.DUMMYFUNCTION("""COMPUTED_VALUE"""),0)</f>
        <v>0</v>
      </c>
      <c r="N227" s="1">
        <f ca="1">IFERROR(__xludf.DUMMYFUNCTION("""COMPUTED_VALUE"""),0)</f>
        <v>0</v>
      </c>
      <c r="O227" s="1">
        <f ca="1">IFERROR(__xludf.DUMMYFUNCTION("""COMPUTED_VALUE"""),0)</f>
        <v>0</v>
      </c>
      <c r="P227" s="1">
        <f ca="1">IFERROR(__xludf.DUMMYFUNCTION("""COMPUTED_VALUE"""),0)</f>
        <v>0</v>
      </c>
      <c r="Q227" s="1">
        <f ca="1">IFERROR(__xludf.DUMMYFUNCTION("""COMPUTED_VALUE"""),1)</f>
        <v>1</v>
      </c>
      <c r="R227" s="1">
        <f ca="1">IFERROR(__xludf.DUMMYFUNCTION("""COMPUTED_VALUE"""),0)</f>
        <v>0</v>
      </c>
      <c r="S227" s="1">
        <f ca="1">IFERROR(__xludf.DUMMYFUNCTION("""COMPUTED_VALUE"""),1)</f>
        <v>1</v>
      </c>
      <c r="T227" s="1">
        <f ca="1">IFERROR(__xludf.DUMMYFUNCTION("""COMPUTED_VALUE"""),44305.2453935185)</f>
        <v>44305.245393518497</v>
      </c>
      <c r="U227" s="1" t="str">
        <f ca="1">IFERROR(__xludf.DUMMYFUNCTION("""COMPUTED_VALUE"""),"19/04/2021")</f>
        <v>19/04/2021</v>
      </c>
    </row>
    <row r="228" spans="1:21" ht="13" x14ac:dyDescent="0.15">
      <c r="A228" s="1" t="str">
        <f t="shared" ca="1" si="0"/>
        <v>MaduraiSanthya Speciality Hospital, Arappalaiyam Main Road</v>
      </c>
      <c r="B228" s="1">
        <f ca="1">IFERROR(__xludf.DUMMYFUNCTION("""COMPUTED_VALUE"""),227)</f>
        <v>227</v>
      </c>
      <c r="C228" s="1" t="str">
        <f ca="1">IFERROR(__xludf.DUMMYFUNCTION("""COMPUTED_VALUE"""),"Madurai")</f>
        <v>Madurai</v>
      </c>
      <c r="D228" s="1" t="str">
        <f ca="1">IFERROR(__xludf.DUMMYFUNCTION("""COMPUTED_VALUE"""),"Santhya Speciality Hospital, Arappalaiyam Main Road")</f>
        <v>Santhya Speciality Hospital, Arappalaiyam Main Road</v>
      </c>
      <c r="E228" s="1">
        <f ca="1">IFERROR(__xludf.DUMMYFUNCTION("""COMPUTED_VALUE"""),25)</f>
        <v>25</v>
      </c>
      <c r="F228" s="1">
        <f ca="1">IFERROR(__xludf.DUMMYFUNCTION("""COMPUTED_VALUE"""),4)</f>
        <v>4</v>
      </c>
      <c r="G228" s="1">
        <f ca="1">IFERROR(__xludf.DUMMYFUNCTION("""COMPUTED_VALUE"""),22)</f>
        <v>22</v>
      </c>
      <c r="H228" s="1">
        <f ca="1">IFERROR(__xludf.DUMMYFUNCTION("""COMPUTED_VALUE"""),14)</f>
        <v>14</v>
      </c>
      <c r="I228" s="1">
        <f ca="1">IFERROR(__xludf.DUMMYFUNCTION("""COMPUTED_VALUE"""),4)</f>
        <v>4</v>
      </c>
      <c r="J228" s="1">
        <f ca="1">IFERROR(__xludf.DUMMYFUNCTION("""COMPUTED_VALUE"""),11)</f>
        <v>11</v>
      </c>
      <c r="K228" s="1">
        <f ca="1">IFERROR(__xludf.DUMMYFUNCTION("""COMPUTED_VALUE"""),5)</f>
        <v>5</v>
      </c>
      <c r="L228" s="1">
        <f ca="1">IFERROR(__xludf.DUMMYFUNCTION("""COMPUTED_VALUE"""),0)</f>
        <v>0</v>
      </c>
      <c r="M228" s="1">
        <f ca="1">IFERROR(__xludf.DUMMYFUNCTION("""COMPUTED_VALUE"""),5)</f>
        <v>5</v>
      </c>
      <c r="N228" s="1">
        <f ca="1">IFERROR(__xludf.DUMMYFUNCTION("""COMPUTED_VALUE"""),6)</f>
        <v>6</v>
      </c>
      <c r="O228" s="1">
        <f ca="1">IFERROR(__xludf.DUMMYFUNCTION("""COMPUTED_VALUE"""),0)</f>
        <v>0</v>
      </c>
      <c r="P228" s="1">
        <f ca="1">IFERROR(__xludf.DUMMYFUNCTION("""COMPUTED_VALUE"""),6)</f>
        <v>6</v>
      </c>
      <c r="Q228" s="1">
        <f ca="1">IFERROR(__xludf.DUMMYFUNCTION("""COMPUTED_VALUE"""),2)</f>
        <v>2</v>
      </c>
      <c r="R228" s="1">
        <f ca="1">IFERROR(__xludf.DUMMYFUNCTION("""COMPUTED_VALUE"""),0)</f>
        <v>0</v>
      </c>
      <c r="S228" s="1">
        <f ca="1">IFERROR(__xludf.DUMMYFUNCTION("""COMPUTED_VALUE"""),2)</f>
        <v>2</v>
      </c>
      <c r="T228" s="1">
        <f ca="1">IFERROR(__xludf.DUMMYFUNCTION("""COMPUTED_VALUE"""),44305.4066550925)</f>
        <v>44305.406655092498</v>
      </c>
      <c r="U228" s="1" t="str">
        <f ca="1">IFERROR(__xludf.DUMMYFUNCTION("""COMPUTED_VALUE"""),"Updated 19-04-2021")</f>
        <v>Updated 19-04-2021</v>
      </c>
    </row>
    <row r="229" spans="1:21" ht="13" x14ac:dyDescent="0.15">
      <c r="A229" s="1" t="str">
        <f t="shared" ca="1" si="0"/>
        <v>RamanathapuramArogya Hospital, Kenikarai</v>
      </c>
      <c r="B229" s="1">
        <f ca="1">IFERROR(__xludf.DUMMYFUNCTION("""COMPUTED_VALUE"""),228)</f>
        <v>228</v>
      </c>
      <c r="C229" s="1" t="str">
        <f ca="1">IFERROR(__xludf.DUMMYFUNCTION("""COMPUTED_VALUE"""),"Ramanathapuram")</f>
        <v>Ramanathapuram</v>
      </c>
      <c r="D229" s="1" t="str">
        <f ca="1">IFERROR(__xludf.DUMMYFUNCTION("""COMPUTED_VALUE"""),"Arogya Hospital, Kenikarai")</f>
        <v>Arogya Hospital, Kenikarai</v>
      </c>
      <c r="E229" s="1">
        <f ca="1">IFERROR(__xludf.DUMMYFUNCTION("""COMPUTED_VALUE"""),20)</f>
        <v>20</v>
      </c>
      <c r="F229" s="1">
        <f ca="1">IFERROR(__xludf.DUMMYFUNCTION("""COMPUTED_VALUE"""),0)</f>
        <v>0</v>
      </c>
      <c r="G229" s="1">
        <f ca="1">IFERROR(__xludf.DUMMYFUNCTION("""COMPUTED_VALUE"""),20)</f>
        <v>20</v>
      </c>
      <c r="H229" s="1">
        <f ca="1">IFERROR(__xludf.DUMMYFUNCTION("""COMPUTED_VALUE"""),15)</f>
        <v>15</v>
      </c>
      <c r="I229" s="1">
        <f ca="1">IFERROR(__xludf.DUMMYFUNCTION("""COMPUTED_VALUE"""),0)</f>
        <v>0</v>
      </c>
      <c r="J229" s="1">
        <f ca="1">IFERROR(__xludf.DUMMYFUNCTION("""COMPUTED_VALUE"""),15)</f>
        <v>15</v>
      </c>
      <c r="K229" s="1">
        <f ca="1">IFERROR(__xludf.DUMMYFUNCTION("""COMPUTED_VALUE"""),0)</f>
        <v>0</v>
      </c>
      <c r="L229" s="1">
        <f ca="1">IFERROR(__xludf.DUMMYFUNCTION("""COMPUTED_VALUE"""),0)</f>
        <v>0</v>
      </c>
      <c r="M229" s="1">
        <f ca="1">IFERROR(__xludf.DUMMYFUNCTION("""COMPUTED_VALUE"""),0)</f>
        <v>0</v>
      </c>
      <c r="N229" s="1">
        <f ca="1">IFERROR(__xludf.DUMMYFUNCTION("""COMPUTED_VALUE"""),5)</f>
        <v>5</v>
      </c>
      <c r="O229" s="1">
        <f ca="1">IFERROR(__xludf.DUMMYFUNCTION("""COMPUTED_VALUE"""),0)</f>
        <v>0</v>
      </c>
      <c r="P229" s="1">
        <f ca="1">IFERROR(__xludf.DUMMYFUNCTION("""COMPUTED_VALUE"""),5)</f>
        <v>5</v>
      </c>
      <c r="Q229" s="1">
        <f ca="1">IFERROR(__xludf.DUMMYFUNCTION("""COMPUTED_VALUE"""),1)</f>
        <v>1</v>
      </c>
      <c r="R229" s="1">
        <f ca="1">IFERROR(__xludf.DUMMYFUNCTION("""COMPUTED_VALUE"""),0)</f>
        <v>0</v>
      </c>
      <c r="S229" s="1">
        <f ca="1">IFERROR(__xludf.DUMMYFUNCTION("""COMPUTED_VALUE"""),1)</f>
        <v>1</v>
      </c>
      <c r="T229" s="1">
        <f ca="1">IFERROR(__xludf.DUMMYFUNCTION("""COMPUTED_VALUE"""),44305.3792939814)</f>
        <v>44305.379293981401</v>
      </c>
      <c r="U229" s="1"/>
    </row>
    <row r="230" spans="1:21" ht="13" x14ac:dyDescent="0.15">
      <c r="A230" s="1" t="str">
        <f t="shared" ca="1" si="0"/>
        <v>SalemSaravana Hospital Ponnamapet</v>
      </c>
      <c r="B230" s="1">
        <f ca="1">IFERROR(__xludf.DUMMYFUNCTION("""COMPUTED_VALUE"""),229)</f>
        <v>229</v>
      </c>
      <c r="C230" s="1" t="str">
        <f ca="1">IFERROR(__xludf.DUMMYFUNCTION("""COMPUTED_VALUE"""),"Salem")</f>
        <v>Salem</v>
      </c>
      <c r="D230" s="1" t="str">
        <f ca="1">IFERROR(__xludf.DUMMYFUNCTION("""COMPUTED_VALUE"""),"Saravana Hospital Ponnamapet")</f>
        <v>Saravana Hospital Ponnamapet</v>
      </c>
      <c r="E230" s="1">
        <f ca="1">IFERROR(__xludf.DUMMYFUNCTION("""COMPUTED_VALUE"""),40)</f>
        <v>40</v>
      </c>
      <c r="F230" s="1">
        <f ca="1">IFERROR(__xludf.DUMMYFUNCTION("""COMPUTED_VALUE"""),30)</f>
        <v>30</v>
      </c>
      <c r="G230" s="1">
        <f ca="1">IFERROR(__xludf.DUMMYFUNCTION("""COMPUTED_VALUE"""),10)</f>
        <v>10</v>
      </c>
      <c r="H230" s="1">
        <f ca="1">IFERROR(__xludf.DUMMYFUNCTION("""COMPUTED_VALUE"""),34)</f>
        <v>34</v>
      </c>
      <c r="I230" s="1">
        <f ca="1">IFERROR(__xludf.DUMMYFUNCTION("""COMPUTED_VALUE"""),30)</f>
        <v>30</v>
      </c>
      <c r="J230" s="1">
        <f ca="1">IFERROR(__xludf.DUMMYFUNCTION("""COMPUTED_VALUE"""),4)</f>
        <v>4</v>
      </c>
      <c r="K230" s="1">
        <f ca="1">IFERROR(__xludf.DUMMYFUNCTION("""COMPUTED_VALUE"""),0)</f>
        <v>0</v>
      </c>
      <c r="L230" s="1">
        <f ca="1">IFERROR(__xludf.DUMMYFUNCTION("""COMPUTED_VALUE"""),0)</f>
        <v>0</v>
      </c>
      <c r="M230" s="1">
        <f ca="1">IFERROR(__xludf.DUMMYFUNCTION("""COMPUTED_VALUE"""),0)</f>
        <v>0</v>
      </c>
      <c r="N230" s="1">
        <f ca="1">IFERROR(__xludf.DUMMYFUNCTION("""COMPUTED_VALUE"""),6)</f>
        <v>6</v>
      </c>
      <c r="O230" s="1">
        <f ca="1">IFERROR(__xludf.DUMMYFUNCTION("""COMPUTED_VALUE"""),0)</f>
        <v>0</v>
      </c>
      <c r="P230" s="1">
        <f ca="1">IFERROR(__xludf.DUMMYFUNCTION("""COMPUTED_VALUE"""),6)</f>
        <v>6</v>
      </c>
      <c r="Q230" s="1">
        <f ca="1">IFERROR(__xludf.DUMMYFUNCTION("""COMPUTED_VALUE"""),3)</f>
        <v>3</v>
      </c>
      <c r="R230" s="1">
        <f ca="1">IFERROR(__xludf.DUMMYFUNCTION("""COMPUTED_VALUE"""),0)</f>
        <v>0</v>
      </c>
      <c r="S230" s="1">
        <f ca="1">IFERROR(__xludf.DUMMYFUNCTION("""COMPUTED_VALUE"""),3)</f>
        <v>3</v>
      </c>
      <c r="T230" s="1">
        <f ca="1">IFERROR(__xludf.DUMMYFUNCTION("""COMPUTED_VALUE"""),44305.552662037)</f>
        <v>44305.552662037</v>
      </c>
      <c r="U230" s="1" t="str">
        <f ca="1">IFERROR(__xludf.DUMMYFUNCTION("""COMPUTED_VALUE"""),"19.04.2021")</f>
        <v>19.04.2021</v>
      </c>
    </row>
    <row r="231" spans="1:21" ht="13" x14ac:dyDescent="0.15">
      <c r="A231" s="1" t="str">
        <f t="shared" ca="1" si="0"/>
        <v>ThiruchirappalliSri Venkateswara Hospital T.V Koil</v>
      </c>
      <c r="B231" s="1">
        <f ca="1">IFERROR(__xludf.DUMMYFUNCTION("""COMPUTED_VALUE"""),230)</f>
        <v>230</v>
      </c>
      <c r="C231" s="1" t="str">
        <f ca="1">IFERROR(__xludf.DUMMYFUNCTION("""COMPUTED_VALUE"""),"Thiruchirappalli")</f>
        <v>Thiruchirappalli</v>
      </c>
      <c r="D231" s="1" t="str">
        <f ca="1">IFERROR(__xludf.DUMMYFUNCTION("""COMPUTED_VALUE"""),"Sri Venkateswara Hospital T.V Koil")</f>
        <v>Sri Venkateswara Hospital T.V Koil</v>
      </c>
      <c r="E231" s="1">
        <f ca="1">IFERROR(__xludf.DUMMYFUNCTION("""COMPUTED_VALUE"""),14)</f>
        <v>14</v>
      </c>
      <c r="F231" s="1">
        <f ca="1">IFERROR(__xludf.DUMMYFUNCTION("""COMPUTED_VALUE"""),11)</f>
        <v>11</v>
      </c>
      <c r="G231" s="1">
        <f ca="1">IFERROR(__xludf.DUMMYFUNCTION("""COMPUTED_VALUE"""),3)</f>
        <v>3</v>
      </c>
      <c r="H231" s="1">
        <f ca="1">IFERROR(__xludf.DUMMYFUNCTION("""COMPUTED_VALUE"""),14)</f>
        <v>14</v>
      </c>
      <c r="I231" s="1">
        <f ca="1">IFERROR(__xludf.DUMMYFUNCTION("""COMPUTED_VALUE"""),11)</f>
        <v>11</v>
      </c>
      <c r="J231" s="1">
        <f ca="1">IFERROR(__xludf.DUMMYFUNCTION("""COMPUTED_VALUE"""),3)</f>
        <v>3</v>
      </c>
      <c r="K231" s="1">
        <f ca="1">IFERROR(__xludf.DUMMYFUNCTION("""COMPUTED_VALUE"""),14)</f>
        <v>14</v>
      </c>
      <c r="L231" s="1">
        <f ca="1">IFERROR(__xludf.DUMMYFUNCTION("""COMPUTED_VALUE"""),0)</f>
        <v>0</v>
      </c>
      <c r="M231" s="1">
        <f ca="1">IFERROR(__xludf.DUMMYFUNCTION("""COMPUTED_VALUE"""),0)</f>
        <v>0</v>
      </c>
      <c r="N231" s="1">
        <f ca="1">IFERROR(__xludf.DUMMYFUNCTION("""COMPUTED_VALUE"""),0)</f>
        <v>0</v>
      </c>
      <c r="O231" s="1">
        <f ca="1">IFERROR(__xludf.DUMMYFUNCTION("""COMPUTED_VALUE"""),0)</f>
        <v>0</v>
      </c>
      <c r="P231" s="1">
        <f ca="1">IFERROR(__xludf.DUMMYFUNCTION("""COMPUTED_VALUE"""),0)</f>
        <v>0</v>
      </c>
      <c r="Q231" s="1">
        <f ca="1">IFERROR(__xludf.DUMMYFUNCTION("""COMPUTED_VALUE"""),0)</f>
        <v>0</v>
      </c>
      <c r="R231" s="1">
        <f ca="1">IFERROR(__xludf.DUMMYFUNCTION("""COMPUTED_VALUE"""),0)</f>
        <v>0</v>
      </c>
      <c r="S231" s="1">
        <f ca="1">IFERROR(__xludf.DUMMYFUNCTION("""COMPUTED_VALUE"""),0)</f>
        <v>0</v>
      </c>
      <c r="T231" s="1">
        <f ca="1">IFERROR(__xludf.DUMMYFUNCTION("""COMPUTED_VALUE"""),44305.668287037)</f>
        <v>44305.668287036999</v>
      </c>
      <c r="U231" s="1" t="str">
        <f ca="1">IFERROR(__xludf.DUMMYFUNCTION("""COMPUTED_VALUE"""),"Nil")</f>
        <v>Nil</v>
      </c>
    </row>
    <row r="232" spans="1:21" ht="13" x14ac:dyDescent="0.15">
      <c r="A232" s="1" t="str">
        <f t="shared" ca="1" si="0"/>
        <v>MaduraiAristo Speciality Hospital Ponmeni</v>
      </c>
      <c r="B232" s="1">
        <f ca="1">IFERROR(__xludf.DUMMYFUNCTION("""COMPUTED_VALUE"""),231)</f>
        <v>231</v>
      </c>
      <c r="C232" s="1" t="str">
        <f ca="1">IFERROR(__xludf.DUMMYFUNCTION("""COMPUTED_VALUE"""),"Madurai")</f>
        <v>Madurai</v>
      </c>
      <c r="D232" s="1" t="str">
        <f ca="1">IFERROR(__xludf.DUMMYFUNCTION("""COMPUTED_VALUE"""),"Aristo Speciality Hospital Ponmeni")</f>
        <v>Aristo Speciality Hospital Ponmeni</v>
      </c>
      <c r="E232" s="1">
        <f ca="1">IFERROR(__xludf.DUMMYFUNCTION("""COMPUTED_VALUE"""),12)</f>
        <v>12</v>
      </c>
      <c r="F232" s="1">
        <f ca="1">IFERROR(__xludf.DUMMYFUNCTION("""COMPUTED_VALUE"""),12)</f>
        <v>12</v>
      </c>
      <c r="G232" s="1">
        <f ca="1">IFERROR(__xludf.DUMMYFUNCTION("""COMPUTED_VALUE"""),0)</f>
        <v>0</v>
      </c>
      <c r="H232" s="1">
        <f ca="1">IFERROR(__xludf.DUMMYFUNCTION("""COMPUTED_VALUE"""),8)</f>
        <v>8</v>
      </c>
      <c r="I232" s="1">
        <f ca="1">IFERROR(__xludf.DUMMYFUNCTION("""COMPUTED_VALUE"""),8)</f>
        <v>8</v>
      </c>
      <c r="J232" s="1">
        <f ca="1">IFERROR(__xludf.DUMMYFUNCTION("""COMPUTED_VALUE"""),0)</f>
        <v>0</v>
      </c>
      <c r="K232" s="1">
        <f ca="1">IFERROR(__xludf.DUMMYFUNCTION("""COMPUTED_VALUE"""),4)</f>
        <v>4</v>
      </c>
      <c r="L232" s="1">
        <f ca="1">IFERROR(__xludf.DUMMYFUNCTION("""COMPUTED_VALUE"""),4)</f>
        <v>4</v>
      </c>
      <c r="M232" s="1">
        <f ca="1">IFERROR(__xludf.DUMMYFUNCTION("""COMPUTED_VALUE"""),0)</f>
        <v>0</v>
      </c>
      <c r="N232" s="1">
        <f ca="1">IFERROR(__xludf.DUMMYFUNCTION("""COMPUTED_VALUE"""),0)</f>
        <v>0</v>
      </c>
      <c r="O232" s="1">
        <f ca="1">IFERROR(__xludf.DUMMYFUNCTION("""COMPUTED_VALUE"""),0)</f>
        <v>0</v>
      </c>
      <c r="P232" s="1">
        <f ca="1">IFERROR(__xludf.DUMMYFUNCTION("""COMPUTED_VALUE"""),0)</f>
        <v>0</v>
      </c>
      <c r="Q232" s="1">
        <f ca="1">IFERROR(__xludf.DUMMYFUNCTION("""COMPUTED_VALUE"""),0)</f>
        <v>0</v>
      </c>
      <c r="R232" s="1">
        <f ca="1">IFERROR(__xludf.DUMMYFUNCTION("""COMPUTED_VALUE"""),0)</f>
        <v>0</v>
      </c>
      <c r="S232" s="1">
        <f ca="1">IFERROR(__xludf.DUMMYFUNCTION("""COMPUTED_VALUE"""),0)</f>
        <v>0</v>
      </c>
      <c r="T232" s="1">
        <f ca="1">IFERROR(__xludf.DUMMYFUNCTION("""COMPUTED_VALUE"""),44305.4325)</f>
        <v>44305.432500000003</v>
      </c>
      <c r="U232" s="1" t="str">
        <f ca="1">IFERROR(__xludf.DUMMYFUNCTION("""COMPUTED_VALUE"""),"Updated......")</f>
        <v>Updated......</v>
      </c>
    </row>
    <row r="233" spans="1:21" ht="13" x14ac:dyDescent="0.15">
      <c r="A233" s="1" t="str">
        <f t="shared" ca="1" si="0"/>
        <v>MaduraiAsirvatham Speciality Hospital, Gandhi Nagar</v>
      </c>
      <c r="B233" s="1">
        <f ca="1">IFERROR(__xludf.DUMMYFUNCTION("""COMPUTED_VALUE"""),232)</f>
        <v>232</v>
      </c>
      <c r="C233" s="1" t="str">
        <f ca="1">IFERROR(__xludf.DUMMYFUNCTION("""COMPUTED_VALUE"""),"Madurai")</f>
        <v>Madurai</v>
      </c>
      <c r="D233" s="1" t="str">
        <f ca="1">IFERROR(__xludf.DUMMYFUNCTION("""COMPUTED_VALUE"""),"Asirvatham Speciality Hospital, Gandhi Nagar")</f>
        <v>Asirvatham Speciality Hospital, Gandhi Nagar</v>
      </c>
      <c r="E233" s="1">
        <f ca="1">IFERROR(__xludf.DUMMYFUNCTION("""COMPUTED_VALUE"""),20)</f>
        <v>20</v>
      </c>
      <c r="F233" s="1">
        <f ca="1">IFERROR(__xludf.DUMMYFUNCTION("""COMPUTED_VALUE"""),0)</f>
        <v>0</v>
      </c>
      <c r="G233" s="1">
        <f ca="1">IFERROR(__xludf.DUMMYFUNCTION("""COMPUTED_VALUE"""),20)</f>
        <v>20</v>
      </c>
      <c r="H233" s="1">
        <f ca="1">IFERROR(__xludf.DUMMYFUNCTION("""COMPUTED_VALUE"""),3)</f>
        <v>3</v>
      </c>
      <c r="I233" s="1">
        <f ca="1">IFERROR(__xludf.DUMMYFUNCTION("""COMPUTED_VALUE"""),0)</f>
        <v>0</v>
      </c>
      <c r="J233" s="1">
        <f ca="1">IFERROR(__xludf.DUMMYFUNCTION("""COMPUTED_VALUE"""),3)</f>
        <v>3</v>
      </c>
      <c r="K233" s="1">
        <f ca="1">IFERROR(__xludf.DUMMYFUNCTION("""COMPUTED_VALUE"""),15)</f>
        <v>15</v>
      </c>
      <c r="L233" s="1">
        <f ca="1">IFERROR(__xludf.DUMMYFUNCTION("""COMPUTED_VALUE"""),0)</f>
        <v>0</v>
      </c>
      <c r="M233" s="1">
        <f ca="1">IFERROR(__xludf.DUMMYFUNCTION("""COMPUTED_VALUE"""),15)</f>
        <v>15</v>
      </c>
      <c r="N233" s="1">
        <f ca="1">IFERROR(__xludf.DUMMYFUNCTION("""COMPUTED_VALUE"""),2)</f>
        <v>2</v>
      </c>
      <c r="O233" s="1">
        <f ca="1">IFERROR(__xludf.DUMMYFUNCTION("""COMPUTED_VALUE"""),0)</f>
        <v>0</v>
      </c>
      <c r="P233" s="1">
        <f ca="1">IFERROR(__xludf.DUMMYFUNCTION("""COMPUTED_VALUE"""),2)</f>
        <v>2</v>
      </c>
      <c r="Q233" s="1">
        <f ca="1">IFERROR(__xludf.DUMMYFUNCTION("""COMPUTED_VALUE"""),2)</f>
        <v>2</v>
      </c>
      <c r="R233" s="1">
        <f ca="1">IFERROR(__xludf.DUMMYFUNCTION("""COMPUTED_VALUE"""),0)</f>
        <v>0</v>
      </c>
      <c r="S233" s="1">
        <f ca="1">IFERROR(__xludf.DUMMYFUNCTION("""COMPUTED_VALUE"""),2)</f>
        <v>2</v>
      </c>
      <c r="T233" s="1">
        <f ca="1">IFERROR(__xludf.DUMMYFUNCTION("""COMPUTED_VALUE"""),44305.3722569444)</f>
        <v>44305.3722569444</v>
      </c>
      <c r="U233" s="1" t="str">
        <f ca="1">IFERROR(__xludf.DUMMYFUNCTION("""COMPUTED_VALUE"""),"Nil - 19.04.2021.")</f>
        <v>Nil - 19.04.2021.</v>
      </c>
    </row>
    <row r="234" spans="1:21" ht="13" x14ac:dyDescent="0.15">
      <c r="A234" s="1" t="str">
        <f t="shared" ca="1" si="0"/>
        <v>MaduraiBala Hospital Usilampatti</v>
      </c>
      <c r="B234" s="1">
        <f ca="1">IFERROR(__xludf.DUMMYFUNCTION("""COMPUTED_VALUE"""),233)</f>
        <v>233</v>
      </c>
      <c r="C234" s="1" t="str">
        <f ca="1">IFERROR(__xludf.DUMMYFUNCTION("""COMPUTED_VALUE"""),"Madurai")</f>
        <v>Madurai</v>
      </c>
      <c r="D234" s="1" t="str">
        <f ca="1">IFERROR(__xludf.DUMMYFUNCTION("""COMPUTED_VALUE"""),"Bala Hospital Usilampatti")</f>
        <v>Bala Hospital Usilampatti</v>
      </c>
      <c r="E234" s="1">
        <f ca="1">IFERROR(__xludf.DUMMYFUNCTION("""COMPUTED_VALUE"""),20)</f>
        <v>20</v>
      </c>
      <c r="F234" s="1">
        <f ca="1">IFERROR(__xludf.DUMMYFUNCTION("""COMPUTED_VALUE"""),5)</f>
        <v>5</v>
      </c>
      <c r="G234" s="1">
        <f ca="1">IFERROR(__xludf.DUMMYFUNCTION("""COMPUTED_VALUE"""),15)</f>
        <v>15</v>
      </c>
      <c r="H234" s="1">
        <f ca="1">IFERROR(__xludf.DUMMYFUNCTION("""COMPUTED_VALUE"""),10)</f>
        <v>10</v>
      </c>
      <c r="I234" s="1">
        <f ca="1">IFERROR(__xludf.DUMMYFUNCTION("""COMPUTED_VALUE"""),4)</f>
        <v>4</v>
      </c>
      <c r="J234" s="1">
        <f ca="1">IFERROR(__xludf.DUMMYFUNCTION("""COMPUTED_VALUE"""),6)</f>
        <v>6</v>
      </c>
      <c r="K234" s="1">
        <f ca="1">IFERROR(__xludf.DUMMYFUNCTION("""COMPUTED_VALUE"""),0)</f>
        <v>0</v>
      </c>
      <c r="L234" s="1">
        <f ca="1">IFERROR(__xludf.DUMMYFUNCTION("""COMPUTED_VALUE"""),20)</f>
        <v>20</v>
      </c>
      <c r="M234" s="1">
        <f ca="1">IFERROR(__xludf.DUMMYFUNCTION("""COMPUTED_VALUE"""),20)</f>
        <v>20</v>
      </c>
      <c r="N234" s="1">
        <f ca="1">IFERROR(__xludf.DUMMYFUNCTION("""COMPUTED_VALUE"""),10)</f>
        <v>10</v>
      </c>
      <c r="O234" s="1">
        <f ca="1">IFERROR(__xludf.DUMMYFUNCTION("""COMPUTED_VALUE"""),1)</f>
        <v>1</v>
      </c>
      <c r="P234" s="1">
        <f ca="1">IFERROR(__xludf.DUMMYFUNCTION("""COMPUTED_VALUE"""),9)</f>
        <v>9</v>
      </c>
      <c r="Q234" s="1">
        <f ca="1">IFERROR(__xludf.DUMMYFUNCTION("""COMPUTED_VALUE"""),2)</f>
        <v>2</v>
      </c>
      <c r="R234" s="1">
        <f ca="1">IFERROR(__xludf.DUMMYFUNCTION("""COMPUTED_VALUE"""),0)</f>
        <v>0</v>
      </c>
      <c r="S234" s="1">
        <f ca="1">IFERROR(__xludf.DUMMYFUNCTION("""COMPUTED_VALUE"""),2)</f>
        <v>2</v>
      </c>
      <c r="T234" s="1">
        <f ca="1">IFERROR(__xludf.DUMMYFUNCTION("""COMPUTED_VALUE"""),44305.3663541666)</f>
        <v>44305.366354166603</v>
      </c>
      <c r="U234" s="1">
        <f ca="1">IFERROR(__xludf.DUMMYFUNCTION("""COMPUTED_VALUE"""),5)</f>
        <v>5</v>
      </c>
    </row>
    <row r="235" spans="1:21" ht="13" x14ac:dyDescent="0.15">
      <c r="A235" s="1" t="str">
        <f t="shared" ca="1" si="0"/>
        <v>MaduraiKJS Speciality Hospital,K.Pudur</v>
      </c>
      <c r="B235" s="1">
        <f ca="1">IFERROR(__xludf.DUMMYFUNCTION("""COMPUTED_VALUE"""),234)</f>
        <v>234</v>
      </c>
      <c r="C235" s="1" t="str">
        <f ca="1">IFERROR(__xludf.DUMMYFUNCTION("""COMPUTED_VALUE"""),"Madurai")</f>
        <v>Madurai</v>
      </c>
      <c r="D235" s="1" t="str">
        <f ca="1">IFERROR(__xludf.DUMMYFUNCTION("""COMPUTED_VALUE"""),"KJS Speciality Hospital,K.Pudur")</f>
        <v>KJS Speciality Hospital,K.Pudur</v>
      </c>
      <c r="E235" s="1">
        <f ca="1">IFERROR(__xludf.DUMMYFUNCTION("""COMPUTED_VALUE"""),10)</f>
        <v>10</v>
      </c>
      <c r="F235" s="1">
        <f ca="1">IFERROR(__xludf.DUMMYFUNCTION("""COMPUTED_VALUE"""),9)</f>
        <v>9</v>
      </c>
      <c r="G235" s="1">
        <f ca="1">IFERROR(__xludf.DUMMYFUNCTION("""COMPUTED_VALUE"""),1)</f>
        <v>1</v>
      </c>
      <c r="H235" s="1">
        <f ca="1">IFERROR(__xludf.DUMMYFUNCTION("""COMPUTED_VALUE"""),4)</f>
        <v>4</v>
      </c>
      <c r="I235" s="1">
        <f ca="1">IFERROR(__xludf.DUMMYFUNCTION("""COMPUTED_VALUE"""),4)</f>
        <v>4</v>
      </c>
      <c r="J235" s="1">
        <f ca="1">IFERROR(__xludf.DUMMYFUNCTION("""COMPUTED_VALUE"""),0)</f>
        <v>0</v>
      </c>
      <c r="K235" s="1">
        <f ca="1">IFERROR(__xludf.DUMMYFUNCTION("""COMPUTED_VALUE"""),0)</f>
        <v>0</v>
      </c>
      <c r="L235" s="1">
        <f ca="1">IFERROR(__xludf.DUMMYFUNCTION("""COMPUTED_VALUE"""),0)</f>
        <v>0</v>
      </c>
      <c r="M235" s="1">
        <f ca="1">IFERROR(__xludf.DUMMYFUNCTION("""COMPUTED_VALUE"""),0)</f>
        <v>0</v>
      </c>
      <c r="N235" s="1">
        <f ca="1">IFERROR(__xludf.DUMMYFUNCTION("""COMPUTED_VALUE"""),6)</f>
        <v>6</v>
      </c>
      <c r="O235" s="1">
        <f ca="1">IFERROR(__xludf.DUMMYFUNCTION("""COMPUTED_VALUE"""),5)</f>
        <v>5</v>
      </c>
      <c r="P235" s="1">
        <f ca="1">IFERROR(__xludf.DUMMYFUNCTION("""COMPUTED_VALUE"""),1)</f>
        <v>1</v>
      </c>
      <c r="Q235" s="1">
        <f ca="1">IFERROR(__xludf.DUMMYFUNCTION("""COMPUTED_VALUE"""),1)</f>
        <v>1</v>
      </c>
      <c r="R235" s="1">
        <f ca="1">IFERROR(__xludf.DUMMYFUNCTION("""COMPUTED_VALUE"""),0)</f>
        <v>0</v>
      </c>
      <c r="S235" s="1">
        <f ca="1">IFERROR(__xludf.DUMMYFUNCTION("""COMPUTED_VALUE"""),1)</f>
        <v>1</v>
      </c>
      <c r="T235" s="1">
        <f ca="1">IFERROR(__xludf.DUMMYFUNCTION("""COMPUTED_VALUE"""),44305.3421412037)</f>
        <v>44305.342141203699</v>
      </c>
      <c r="U235" s="1" t="str">
        <f ca="1">IFERROR(__xludf.DUMMYFUNCTION("""COMPUTED_VALUE"""),"updated 19.04.2021")</f>
        <v>updated 19.04.2021</v>
      </c>
    </row>
    <row r="236" spans="1:21" ht="13" x14ac:dyDescent="0.15">
      <c r="A236" s="1" t="str">
        <f t="shared" ca="1" si="0"/>
        <v>MaduraiNithilaa Nursing Home Palanganatham</v>
      </c>
      <c r="B236" s="1">
        <f ca="1">IFERROR(__xludf.DUMMYFUNCTION("""COMPUTED_VALUE"""),235)</f>
        <v>235</v>
      </c>
      <c r="C236" s="1" t="str">
        <f ca="1">IFERROR(__xludf.DUMMYFUNCTION("""COMPUTED_VALUE"""),"Madurai")</f>
        <v>Madurai</v>
      </c>
      <c r="D236" s="1" t="str">
        <f ca="1">IFERROR(__xludf.DUMMYFUNCTION("""COMPUTED_VALUE"""),"Nithilaa Nursing Home Palanganatham")</f>
        <v>Nithilaa Nursing Home Palanganatham</v>
      </c>
      <c r="E236" s="1">
        <f ca="1">IFERROR(__xludf.DUMMYFUNCTION("""COMPUTED_VALUE"""),10)</f>
        <v>10</v>
      </c>
      <c r="F236" s="1">
        <f ca="1">IFERROR(__xludf.DUMMYFUNCTION("""COMPUTED_VALUE"""),11)</f>
        <v>11</v>
      </c>
      <c r="G236" s="1">
        <f ca="1">IFERROR(__xludf.DUMMYFUNCTION("""COMPUTED_VALUE"""),0)</f>
        <v>0</v>
      </c>
      <c r="H236" s="1">
        <f ca="1">IFERROR(__xludf.DUMMYFUNCTION("""COMPUTED_VALUE"""),10)</f>
        <v>10</v>
      </c>
      <c r="I236" s="1">
        <f ca="1">IFERROR(__xludf.DUMMYFUNCTION("""COMPUTED_VALUE"""),3)</f>
        <v>3</v>
      </c>
      <c r="J236" s="1">
        <f ca="1">IFERROR(__xludf.DUMMYFUNCTION("""COMPUTED_VALUE"""),0)</f>
        <v>0</v>
      </c>
      <c r="K236" s="1">
        <f ca="1">IFERROR(__xludf.DUMMYFUNCTION("""COMPUTED_VALUE"""),10)</f>
        <v>10</v>
      </c>
      <c r="L236" s="1">
        <f ca="1">IFERROR(__xludf.DUMMYFUNCTION("""COMPUTED_VALUE"""),8)</f>
        <v>8</v>
      </c>
      <c r="M236" s="1">
        <f ca="1">IFERROR(__xludf.DUMMYFUNCTION("""COMPUTED_VALUE"""),0)</f>
        <v>0</v>
      </c>
      <c r="N236" s="1">
        <f ca="1">IFERROR(__xludf.DUMMYFUNCTION("""COMPUTED_VALUE"""),0)</f>
        <v>0</v>
      </c>
      <c r="O236" s="1">
        <f ca="1">IFERROR(__xludf.DUMMYFUNCTION("""COMPUTED_VALUE"""),0)</f>
        <v>0</v>
      </c>
      <c r="P236" s="1">
        <f ca="1">IFERROR(__xludf.DUMMYFUNCTION("""COMPUTED_VALUE"""),0)</f>
        <v>0</v>
      </c>
      <c r="Q236" s="1">
        <f ca="1">IFERROR(__xludf.DUMMYFUNCTION("""COMPUTED_VALUE"""),2)</f>
        <v>2</v>
      </c>
      <c r="R236" s="1">
        <f ca="1">IFERROR(__xludf.DUMMYFUNCTION("""COMPUTED_VALUE"""),0)</f>
        <v>0</v>
      </c>
      <c r="S236" s="1">
        <f ca="1">IFERROR(__xludf.DUMMYFUNCTION("""COMPUTED_VALUE"""),2)</f>
        <v>2</v>
      </c>
      <c r="T236" s="1">
        <f ca="1">IFERROR(__xludf.DUMMYFUNCTION("""COMPUTED_VALUE"""),44305.2922337962)</f>
        <v>44305.292233796201</v>
      </c>
      <c r="U236" s="1" t="str">
        <f ca="1">IFERROR(__xludf.DUMMYFUNCTION("""COMPUTED_VALUE"""),"Covid - 19 patients today updated 19.04.2021. Thanking You !")</f>
        <v>Covid - 19 patients today updated 19.04.2021. Thanking You !</v>
      </c>
    </row>
    <row r="237" spans="1:21" ht="13" x14ac:dyDescent="0.15">
      <c r="A237" s="1" t="str">
        <f t="shared" ca="1" si="0"/>
        <v>MaduraiNTC Hospitals Vaithiyanathapuram</v>
      </c>
      <c r="B237" s="1">
        <f ca="1">IFERROR(__xludf.DUMMYFUNCTION("""COMPUTED_VALUE"""),236)</f>
        <v>236</v>
      </c>
      <c r="C237" s="1" t="str">
        <f ca="1">IFERROR(__xludf.DUMMYFUNCTION("""COMPUTED_VALUE"""),"Madurai")</f>
        <v>Madurai</v>
      </c>
      <c r="D237" s="1" t="str">
        <f ca="1">IFERROR(__xludf.DUMMYFUNCTION("""COMPUTED_VALUE"""),"NTC Hospitals Vaithiyanathapuram")</f>
        <v>NTC Hospitals Vaithiyanathapuram</v>
      </c>
      <c r="E237" s="1">
        <f ca="1">IFERROR(__xludf.DUMMYFUNCTION("""COMPUTED_VALUE"""),25)</f>
        <v>25</v>
      </c>
      <c r="F237" s="1">
        <f ca="1">IFERROR(__xludf.DUMMYFUNCTION("""COMPUTED_VALUE"""),15)</f>
        <v>15</v>
      </c>
      <c r="G237" s="1">
        <f ca="1">IFERROR(__xludf.DUMMYFUNCTION("""COMPUTED_VALUE"""),10)</f>
        <v>10</v>
      </c>
      <c r="H237" s="1">
        <f ca="1">IFERROR(__xludf.DUMMYFUNCTION("""COMPUTED_VALUE"""),25)</f>
        <v>25</v>
      </c>
      <c r="I237" s="1">
        <f ca="1">IFERROR(__xludf.DUMMYFUNCTION("""COMPUTED_VALUE"""),15)</f>
        <v>15</v>
      </c>
      <c r="J237" s="1">
        <f ca="1">IFERROR(__xludf.DUMMYFUNCTION("""COMPUTED_VALUE"""),10)</f>
        <v>10</v>
      </c>
      <c r="K237" s="1">
        <f ca="1">IFERROR(__xludf.DUMMYFUNCTION("""COMPUTED_VALUE"""),0)</f>
        <v>0</v>
      </c>
      <c r="L237" s="1">
        <f ca="1">IFERROR(__xludf.DUMMYFUNCTION("""COMPUTED_VALUE"""),0)</f>
        <v>0</v>
      </c>
      <c r="M237" s="1">
        <f ca="1">IFERROR(__xludf.DUMMYFUNCTION("""COMPUTED_VALUE"""),0)</f>
        <v>0</v>
      </c>
      <c r="N237" s="1">
        <f ca="1">IFERROR(__xludf.DUMMYFUNCTION("""COMPUTED_VALUE"""),20)</f>
        <v>20</v>
      </c>
      <c r="O237" s="1">
        <f ca="1">IFERROR(__xludf.DUMMYFUNCTION("""COMPUTED_VALUE"""),10)</f>
        <v>10</v>
      </c>
      <c r="P237" s="1">
        <f ca="1">IFERROR(__xludf.DUMMYFUNCTION("""COMPUTED_VALUE"""),10)</f>
        <v>10</v>
      </c>
      <c r="Q237" s="1">
        <f ca="1">IFERROR(__xludf.DUMMYFUNCTION("""COMPUTED_VALUE"""),2)</f>
        <v>2</v>
      </c>
      <c r="R237" s="1">
        <f ca="1">IFERROR(__xludf.DUMMYFUNCTION("""COMPUTED_VALUE"""),1)</f>
        <v>1</v>
      </c>
      <c r="S237" s="1">
        <f ca="1">IFERROR(__xludf.DUMMYFUNCTION("""COMPUTED_VALUE"""),1)</f>
        <v>1</v>
      </c>
      <c r="T237" s="1">
        <f ca="1">IFERROR(__xludf.DUMMYFUNCTION("""COMPUTED_VALUE"""),44305.5875462962)</f>
        <v>44305.587546296199</v>
      </c>
      <c r="U237" s="1" t="str">
        <f ca="1">IFERROR(__xludf.DUMMYFUNCTION("""COMPUTED_VALUE"""),"NTC HOSPITALS MADURAI 19-04-2021 2 PM")</f>
        <v>NTC HOSPITALS MADURAI 19-04-2021 2 PM</v>
      </c>
    </row>
    <row r="238" spans="1:21" ht="13" x14ac:dyDescent="0.15">
      <c r="A238" s="1" t="str">
        <f t="shared" ca="1" si="0"/>
        <v>MaduraiRaks Hospital Anna Nagar</v>
      </c>
      <c r="B238" s="1">
        <f ca="1">IFERROR(__xludf.DUMMYFUNCTION("""COMPUTED_VALUE"""),237)</f>
        <v>237</v>
      </c>
      <c r="C238" s="1" t="str">
        <f ca="1">IFERROR(__xludf.DUMMYFUNCTION("""COMPUTED_VALUE"""),"Madurai")</f>
        <v>Madurai</v>
      </c>
      <c r="D238" s="1" t="str">
        <f ca="1">IFERROR(__xludf.DUMMYFUNCTION("""COMPUTED_VALUE"""),"Raks Hospital Anna Nagar")</f>
        <v>Raks Hospital Anna Nagar</v>
      </c>
      <c r="E238" s="1">
        <f ca="1">IFERROR(__xludf.DUMMYFUNCTION("""COMPUTED_VALUE"""),19)</f>
        <v>19</v>
      </c>
      <c r="F238" s="1">
        <f ca="1">IFERROR(__xludf.DUMMYFUNCTION("""COMPUTED_VALUE"""),18)</f>
        <v>18</v>
      </c>
      <c r="G238" s="1">
        <f ca="1">IFERROR(__xludf.DUMMYFUNCTION("""COMPUTED_VALUE"""),1)</f>
        <v>1</v>
      </c>
      <c r="H238" s="1">
        <f ca="1">IFERROR(__xludf.DUMMYFUNCTION("""COMPUTED_VALUE"""),15)</f>
        <v>15</v>
      </c>
      <c r="I238" s="1">
        <f ca="1">IFERROR(__xludf.DUMMYFUNCTION("""COMPUTED_VALUE"""),15)</f>
        <v>15</v>
      </c>
      <c r="J238" s="1">
        <f ca="1">IFERROR(__xludf.DUMMYFUNCTION("""COMPUTED_VALUE"""),0)</f>
        <v>0</v>
      </c>
      <c r="K238" s="1">
        <f ca="1">IFERROR(__xludf.DUMMYFUNCTION("""COMPUTED_VALUE"""),0)</f>
        <v>0</v>
      </c>
      <c r="L238" s="1">
        <f ca="1">IFERROR(__xludf.DUMMYFUNCTION("""COMPUTED_VALUE"""),0)</f>
        <v>0</v>
      </c>
      <c r="M238" s="1">
        <f ca="1">IFERROR(__xludf.DUMMYFUNCTION("""COMPUTED_VALUE"""),0)</f>
        <v>0</v>
      </c>
      <c r="N238" s="1">
        <f ca="1">IFERROR(__xludf.DUMMYFUNCTION("""COMPUTED_VALUE"""),4)</f>
        <v>4</v>
      </c>
      <c r="O238" s="1">
        <f ca="1">IFERROR(__xludf.DUMMYFUNCTION("""COMPUTED_VALUE"""),4)</f>
        <v>4</v>
      </c>
      <c r="P238" s="1">
        <f ca="1">IFERROR(__xludf.DUMMYFUNCTION("""COMPUTED_VALUE"""),0)</f>
        <v>0</v>
      </c>
      <c r="Q238" s="1">
        <f ca="1">IFERROR(__xludf.DUMMYFUNCTION("""COMPUTED_VALUE"""),5)</f>
        <v>5</v>
      </c>
      <c r="R238" s="1">
        <f ca="1">IFERROR(__xludf.DUMMYFUNCTION("""COMPUTED_VALUE"""),0)</f>
        <v>0</v>
      </c>
      <c r="S238" s="1">
        <f ca="1">IFERROR(__xludf.DUMMYFUNCTION("""COMPUTED_VALUE"""),5)</f>
        <v>5</v>
      </c>
      <c r="T238" s="1">
        <f ca="1">IFERROR(__xludf.DUMMYFUNCTION("""COMPUTED_VALUE"""),44305.4343171296)</f>
        <v>44305.434317129599</v>
      </c>
      <c r="U238" s="1" t="str">
        <f ca="1">IFERROR(__xludf.DUMMYFUNCTION("""COMPUTED_VALUE"""),"as on 19.04.2021")</f>
        <v>as on 19.04.2021</v>
      </c>
    </row>
    <row r="239" spans="1:21" ht="13" x14ac:dyDescent="0.15">
      <c r="A239" s="1" t="str">
        <f t="shared" ca="1" si="0"/>
        <v>ChennaiPon Malligai Hospital Adambakkam</v>
      </c>
      <c r="B239" s="1">
        <f ca="1">IFERROR(__xludf.DUMMYFUNCTION("""COMPUTED_VALUE"""),238)</f>
        <v>238</v>
      </c>
      <c r="C239" s="1" t="str">
        <f ca="1">IFERROR(__xludf.DUMMYFUNCTION("""COMPUTED_VALUE"""),"Chennai")</f>
        <v>Chennai</v>
      </c>
      <c r="D239" s="1" t="str">
        <f ca="1">IFERROR(__xludf.DUMMYFUNCTION("""COMPUTED_VALUE"""),"Pon Malligai Hospital Adambakkam")</f>
        <v>Pon Malligai Hospital Adambakkam</v>
      </c>
      <c r="E239" s="1">
        <f ca="1">IFERROR(__xludf.DUMMYFUNCTION("""COMPUTED_VALUE"""),40)</f>
        <v>40</v>
      </c>
      <c r="F239" s="1">
        <f ca="1">IFERROR(__xludf.DUMMYFUNCTION("""COMPUTED_VALUE"""),28)</f>
        <v>28</v>
      </c>
      <c r="G239" s="1">
        <f ca="1">IFERROR(__xludf.DUMMYFUNCTION("""COMPUTED_VALUE"""),12)</f>
        <v>12</v>
      </c>
      <c r="H239" s="1">
        <f ca="1">IFERROR(__xludf.DUMMYFUNCTION("""COMPUTED_VALUE"""),37)</f>
        <v>37</v>
      </c>
      <c r="I239" s="1">
        <f ca="1">IFERROR(__xludf.DUMMYFUNCTION("""COMPUTED_VALUE"""),28)</f>
        <v>28</v>
      </c>
      <c r="J239" s="1">
        <f ca="1">IFERROR(__xludf.DUMMYFUNCTION("""COMPUTED_VALUE"""),9)</f>
        <v>9</v>
      </c>
      <c r="K239" s="1">
        <f ca="1">IFERROR(__xludf.DUMMYFUNCTION("""COMPUTED_VALUE"""),2)</f>
        <v>2</v>
      </c>
      <c r="L239" s="1">
        <f ca="1">IFERROR(__xludf.DUMMYFUNCTION("""COMPUTED_VALUE"""),2)</f>
        <v>2</v>
      </c>
      <c r="M239" s="1">
        <f ca="1">IFERROR(__xludf.DUMMYFUNCTION("""COMPUTED_VALUE"""),0)</f>
        <v>0</v>
      </c>
      <c r="N239" s="1">
        <f ca="1">IFERROR(__xludf.DUMMYFUNCTION("""COMPUTED_VALUE"""),5)</f>
        <v>5</v>
      </c>
      <c r="O239" s="1">
        <f ca="1">IFERROR(__xludf.DUMMYFUNCTION("""COMPUTED_VALUE"""),5)</f>
        <v>5</v>
      </c>
      <c r="P239" s="1">
        <f ca="1">IFERROR(__xludf.DUMMYFUNCTION("""COMPUTED_VALUE"""),0)</f>
        <v>0</v>
      </c>
      <c r="Q239" s="1">
        <f ca="1">IFERROR(__xludf.DUMMYFUNCTION("""COMPUTED_VALUE"""),2)</f>
        <v>2</v>
      </c>
      <c r="R239" s="1">
        <f ca="1">IFERROR(__xludf.DUMMYFUNCTION("""COMPUTED_VALUE"""),2)</f>
        <v>2</v>
      </c>
      <c r="S239" s="1">
        <f ca="1">IFERROR(__xludf.DUMMYFUNCTION("""COMPUTED_VALUE"""),0)</f>
        <v>0</v>
      </c>
      <c r="T239" s="1">
        <f ca="1">IFERROR(__xludf.DUMMYFUNCTION("""COMPUTED_VALUE"""),44305.3945138888)</f>
        <v>44305.394513888801</v>
      </c>
      <c r="U239" s="1" t="str">
        <f ca="1">IFERROR(__xludf.DUMMYFUNCTION("""COMPUTED_VALUE"""),"Date 19/04/2021")</f>
        <v>Date 19/04/2021</v>
      </c>
    </row>
    <row r="240" spans="1:21" ht="13" x14ac:dyDescent="0.15">
      <c r="A240" s="1" t="str">
        <f t="shared" ca="1" si="0"/>
        <v>ChennaiIswarya Fertility Centre Kilpauk</v>
      </c>
      <c r="B240" s="1">
        <f ca="1">IFERROR(__xludf.DUMMYFUNCTION("""COMPUTED_VALUE"""),239)</f>
        <v>239</v>
      </c>
      <c r="C240" s="1" t="str">
        <f ca="1">IFERROR(__xludf.DUMMYFUNCTION("""COMPUTED_VALUE"""),"Chennai")</f>
        <v>Chennai</v>
      </c>
      <c r="D240" s="1" t="str">
        <f ca="1">IFERROR(__xludf.DUMMYFUNCTION("""COMPUTED_VALUE"""),"Iswarya Fertility Centre Kilpauk")</f>
        <v>Iswarya Fertility Centre Kilpauk</v>
      </c>
      <c r="E240" s="1">
        <f ca="1">IFERROR(__xludf.DUMMYFUNCTION("""COMPUTED_VALUE"""),2)</f>
        <v>2</v>
      </c>
      <c r="F240" s="1">
        <f ca="1">IFERROR(__xludf.DUMMYFUNCTION("""COMPUTED_VALUE"""),0)</f>
        <v>0</v>
      </c>
      <c r="G240" s="1">
        <f ca="1">IFERROR(__xludf.DUMMYFUNCTION("""COMPUTED_VALUE"""),2)</f>
        <v>2</v>
      </c>
      <c r="H240" s="1">
        <f ca="1">IFERROR(__xludf.DUMMYFUNCTION("""COMPUTED_VALUE"""),2)</f>
        <v>2</v>
      </c>
      <c r="I240" s="1">
        <f ca="1">IFERROR(__xludf.DUMMYFUNCTION("""COMPUTED_VALUE"""),0)</f>
        <v>0</v>
      </c>
      <c r="J240" s="1">
        <f ca="1">IFERROR(__xludf.DUMMYFUNCTION("""COMPUTED_VALUE"""),2)</f>
        <v>2</v>
      </c>
      <c r="K240" s="1">
        <f ca="1">IFERROR(__xludf.DUMMYFUNCTION("""COMPUTED_VALUE"""),2)</f>
        <v>2</v>
      </c>
      <c r="L240" s="1">
        <f ca="1">IFERROR(__xludf.DUMMYFUNCTION("""COMPUTED_VALUE"""),0)</f>
        <v>0</v>
      </c>
      <c r="M240" s="1">
        <f ca="1">IFERROR(__xludf.DUMMYFUNCTION("""COMPUTED_VALUE"""),2)</f>
        <v>2</v>
      </c>
      <c r="N240" s="1">
        <f ca="1">IFERROR(__xludf.DUMMYFUNCTION("""COMPUTED_VALUE"""),2)</f>
        <v>2</v>
      </c>
      <c r="O240" s="1">
        <f ca="1">IFERROR(__xludf.DUMMYFUNCTION("""COMPUTED_VALUE"""),0)</f>
        <v>0</v>
      </c>
      <c r="P240" s="1">
        <f ca="1">IFERROR(__xludf.DUMMYFUNCTION("""COMPUTED_VALUE"""),2)</f>
        <v>2</v>
      </c>
      <c r="Q240" s="1">
        <f ca="1">IFERROR(__xludf.DUMMYFUNCTION("""COMPUTED_VALUE"""),1)</f>
        <v>1</v>
      </c>
      <c r="R240" s="1">
        <f ca="1">IFERROR(__xludf.DUMMYFUNCTION("""COMPUTED_VALUE"""),0)</f>
        <v>0</v>
      </c>
      <c r="S240" s="1">
        <f ca="1">IFERROR(__xludf.DUMMYFUNCTION("""COMPUTED_VALUE"""),1)</f>
        <v>1</v>
      </c>
      <c r="T240" s="1">
        <f ca="1">IFERROR(__xludf.DUMMYFUNCTION("""COMPUTED_VALUE"""),44305.3996412037)</f>
        <v>44305.399641203701</v>
      </c>
      <c r="U240" s="1" t="str">
        <f ca="1">IFERROR(__xludf.DUMMYFUNCTION("""COMPUTED_VALUE"""),"Updated 25 19/04/2021")</f>
        <v>Updated 25 19/04/2021</v>
      </c>
    </row>
    <row r="241" spans="1:21" ht="13" x14ac:dyDescent="0.15">
      <c r="A241" s="1" t="str">
        <f t="shared" ca="1" si="0"/>
        <v>ChennaiIswarya Fertility Centre Adyar</v>
      </c>
      <c r="B241" s="1">
        <f ca="1">IFERROR(__xludf.DUMMYFUNCTION("""COMPUTED_VALUE"""),240)</f>
        <v>240</v>
      </c>
      <c r="C241" s="1" t="str">
        <f ca="1">IFERROR(__xludf.DUMMYFUNCTION("""COMPUTED_VALUE"""),"Chennai")</f>
        <v>Chennai</v>
      </c>
      <c r="D241" s="1" t="str">
        <f ca="1">IFERROR(__xludf.DUMMYFUNCTION("""COMPUTED_VALUE"""),"Iswarya Fertility Centre Adyar")</f>
        <v>Iswarya Fertility Centre Adyar</v>
      </c>
      <c r="E241" s="1">
        <f ca="1">IFERROR(__xludf.DUMMYFUNCTION("""COMPUTED_VALUE"""),10)</f>
        <v>10</v>
      </c>
      <c r="F241" s="1">
        <f ca="1">IFERROR(__xludf.DUMMYFUNCTION("""COMPUTED_VALUE"""),0)</f>
        <v>0</v>
      </c>
      <c r="G241" s="1">
        <f ca="1">IFERROR(__xludf.DUMMYFUNCTION("""COMPUTED_VALUE"""),10)</f>
        <v>10</v>
      </c>
      <c r="H241" s="1">
        <f ca="1">IFERROR(__xludf.DUMMYFUNCTION("""COMPUTED_VALUE"""),3)</f>
        <v>3</v>
      </c>
      <c r="I241" s="1">
        <f ca="1">IFERROR(__xludf.DUMMYFUNCTION("""COMPUTED_VALUE"""),0)</f>
        <v>0</v>
      </c>
      <c r="J241" s="1">
        <f ca="1">IFERROR(__xludf.DUMMYFUNCTION("""COMPUTED_VALUE"""),3)</f>
        <v>3</v>
      </c>
      <c r="K241" s="1">
        <f ca="1">IFERROR(__xludf.DUMMYFUNCTION("""COMPUTED_VALUE"""),5)</f>
        <v>5</v>
      </c>
      <c r="L241" s="1">
        <f ca="1">IFERROR(__xludf.DUMMYFUNCTION("""COMPUTED_VALUE"""),0)</f>
        <v>0</v>
      </c>
      <c r="M241" s="1">
        <f ca="1">IFERROR(__xludf.DUMMYFUNCTION("""COMPUTED_VALUE"""),5)</f>
        <v>5</v>
      </c>
      <c r="N241" s="1">
        <f ca="1">IFERROR(__xludf.DUMMYFUNCTION("""COMPUTED_VALUE"""),2)</f>
        <v>2</v>
      </c>
      <c r="O241" s="1">
        <f ca="1">IFERROR(__xludf.DUMMYFUNCTION("""COMPUTED_VALUE"""),0)</f>
        <v>0</v>
      </c>
      <c r="P241" s="1">
        <f ca="1">IFERROR(__xludf.DUMMYFUNCTION("""COMPUTED_VALUE"""),2)</f>
        <v>2</v>
      </c>
      <c r="Q241" s="1">
        <f ca="1">IFERROR(__xludf.DUMMYFUNCTION("""COMPUTED_VALUE"""),1)</f>
        <v>1</v>
      </c>
      <c r="R241" s="1">
        <f ca="1">IFERROR(__xludf.DUMMYFUNCTION("""COMPUTED_VALUE"""),0)</f>
        <v>0</v>
      </c>
      <c r="S241" s="1">
        <f ca="1">IFERROR(__xludf.DUMMYFUNCTION("""COMPUTED_VALUE"""),1)</f>
        <v>1</v>
      </c>
      <c r="T241" s="1">
        <f ca="1">IFERROR(__xludf.DUMMYFUNCTION("""COMPUTED_VALUE"""),44305.3602893518)</f>
        <v>44305.360289351796</v>
      </c>
      <c r="U241" s="1" t="str">
        <f ca="1">IFERROR(__xludf.DUMMYFUNCTION("""COMPUTED_VALUE"""),"19/04/2021")</f>
        <v>19/04/2021</v>
      </c>
    </row>
    <row r="242" spans="1:21" ht="13" x14ac:dyDescent="0.15">
      <c r="A242" s="1" t="str">
        <f t="shared" ca="1" si="0"/>
        <v>ChennaiIswarya Fertility Centre Ambattur</v>
      </c>
      <c r="B242" s="1">
        <f ca="1">IFERROR(__xludf.DUMMYFUNCTION("""COMPUTED_VALUE"""),241)</f>
        <v>241</v>
      </c>
      <c r="C242" s="1" t="str">
        <f ca="1">IFERROR(__xludf.DUMMYFUNCTION("""COMPUTED_VALUE"""),"Chennai")</f>
        <v>Chennai</v>
      </c>
      <c r="D242" s="1" t="str">
        <f ca="1">IFERROR(__xludf.DUMMYFUNCTION("""COMPUTED_VALUE"""),"Iswarya Fertility Centre Ambattur")</f>
        <v>Iswarya Fertility Centre Ambattur</v>
      </c>
      <c r="E242" s="1">
        <f ca="1">IFERROR(__xludf.DUMMYFUNCTION("""COMPUTED_VALUE"""),5)</f>
        <v>5</v>
      </c>
      <c r="F242" s="1">
        <f ca="1">IFERROR(__xludf.DUMMYFUNCTION("""COMPUTED_VALUE"""),0)</f>
        <v>0</v>
      </c>
      <c r="G242" s="1">
        <f ca="1">IFERROR(__xludf.DUMMYFUNCTION("""COMPUTED_VALUE"""),5)</f>
        <v>5</v>
      </c>
      <c r="H242" s="1">
        <f ca="1">IFERROR(__xludf.DUMMYFUNCTION("""COMPUTED_VALUE"""),2)</f>
        <v>2</v>
      </c>
      <c r="I242" s="1">
        <f ca="1">IFERROR(__xludf.DUMMYFUNCTION("""COMPUTED_VALUE"""),0)</f>
        <v>0</v>
      </c>
      <c r="J242" s="1">
        <f ca="1">IFERROR(__xludf.DUMMYFUNCTION("""COMPUTED_VALUE"""),2)</f>
        <v>2</v>
      </c>
      <c r="K242" s="1">
        <f ca="1">IFERROR(__xludf.DUMMYFUNCTION("""COMPUTED_VALUE"""),2)</f>
        <v>2</v>
      </c>
      <c r="L242" s="1">
        <f ca="1">IFERROR(__xludf.DUMMYFUNCTION("""COMPUTED_VALUE"""),0)</f>
        <v>0</v>
      </c>
      <c r="M242" s="1">
        <f ca="1">IFERROR(__xludf.DUMMYFUNCTION("""COMPUTED_VALUE"""),2)</f>
        <v>2</v>
      </c>
      <c r="N242" s="1">
        <f ca="1">IFERROR(__xludf.DUMMYFUNCTION("""COMPUTED_VALUE"""),2)</f>
        <v>2</v>
      </c>
      <c r="O242" s="1">
        <f ca="1">IFERROR(__xludf.DUMMYFUNCTION("""COMPUTED_VALUE"""),0)</f>
        <v>0</v>
      </c>
      <c r="P242" s="1">
        <f ca="1">IFERROR(__xludf.DUMMYFUNCTION("""COMPUTED_VALUE"""),2)</f>
        <v>2</v>
      </c>
      <c r="Q242" s="1">
        <f ca="1">IFERROR(__xludf.DUMMYFUNCTION("""COMPUTED_VALUE"""),2)</f>
        <v>2</v>
      </c>
      <c r="R242" s="1">
        <f ca="1">IFERROR(__xludf.DUMMYFUNCTION("""COMPUTED_VALUE"""),0)</f>
        <v>0</v>
      </c>
      <c r="S242" s="1">
        <f ca="1">IFERROR(__xludf.DUMMYFUNCTION("""COMPUTED_VALUE"""),2)</f>
        <v>2</v>
      </c>
      <c r="T242" s="1">
        <f ca="1">IFERROR(__xludf.DUMMYFUNCTION("""COMPUTED_VALUE"""),44305.3604976851)</f>
        <v>44305.360497685098</v>
      </c>
      <c r="U242" s="1" t="str">
        <f ca="1">IFERROR(__xludf.DUMMYFUNCTION("""COMPUTED_VALUE"""),"19/04/2021")</f>
        <v>19/04/2021</v>
      </c>
    </row>
    <row r="243" spans="1:21" ht="13" x14ac:dyDescent="0.15">
      <c r="A243" s="1" t="str">
        <f t="shared" ca="1" si="0"/>
        <v>ChengalpattuParvathy Hospital Chrompet,</v>
      </c>
      <c r="B243" s="1">
        <f ca="1">IFERROR(__xludf.DUMMYFUNCTION("""COMPUTED_VALUE"""),242)</f>
        <v>242</v>
      </c>
      <c r="C243" s="1" t="str">
        <f ca="1">IFERROR(__xludf.DUMMYFUNCTION("""COMPUTED_VALUE"""),"Chengalpattu")</f>
        <v>Chengalpattu</v>
      </c>
      <c r="D243" s="1" t="str">
        <f ca="1">IFERROR(__xludf.DUMMYFUNCTION("""COMPUTED_VALUE"""),"Parvathy Hospital Chrompet,")</f>
        <v>Parvathy Hospital Chrompet,</v>
      </c>
      <c r="E243" s="1">
        <f ca="1">IFERROR(__xludf.DUMMYFUNCTION("""COMPUTED_VALUE"""),27)</f>
        <v>27</v>
      </c>
      <c r="F243" s="1">
        <f ca="1">IFERROR(__xludf.DUMMYFUNCTION("""COMPUTED_VALUE"""),27)</f>
        <v>27</v>
      </c>
      <c r="G243" s="1">
        <f ca="1">IFERROR(__xludf.DUMMYFUNCTION("""COMPUTED_VALUE"""),0)</f>
        <v>0</v>
      </c>
      <c r="H243" s="1">
        <f ca="1">IFERROR(__xludf.DUMMYFUNCTION("""COMPUTED_VALUE"""),9)</f>
        <v>9</v>
      </c>
      <c r="I243" s="1">
        <f ca="1">IFERROR(__xludf.DUMMYFUNCTION("""COMPUTED_VALUE"""),9)</f>
        <v>9</v>
      </c>
      <c r="J243" s="1">
        <f ca="1">IFERROR(__xludf.DUMMYFUNCTION("""COMPUTED_VALUE"""),0)</f>
        <v>0</v>
      </c>
      <c r="K243" s="1">
        <f ca="1">IFERROR(__xludf.DUMMYFUNCTION("""COMPUTED_VALUE"""),0)</f>
        <v>0</v>
      </c>
      <c r="L243" s="1">
        <f ca="1">IFERROR(__xludf.DUMMYFUNCTION("""COMPUTED_VALUE"""),0)</f>
        <v>0</v>
      </c>
      <c r="M243" s="1">
        <f ca="1">IFERROR(__xludf.DUMMYFUNCTION("""COMPUTED_VALUE"""),0)</f>
        <v>0</v>
      </c>
      <c r="N243" s="1">
        <f ca="1">IFERROR(__xludf.DUMMYFUNCTION("""COMPUTED_VALUE"""),18)</f>
        <v>18</v>
      </c>
      <c r="O243" s="1">
        <f ca="1">IFERROR(__xludf.DUMMYFUNCTION("""COMPUTED_VALUE"""),18)</f>
        <v>18</v>
      </c>
      <c r="P243" s="1">
        <f ca="1">IFERROR(__xludf.DUMMYFUNCTION("""COMPUTED_VALUE"""),0)</f>
        <v>0</v>
      </c>
      <c r="Q243" s="1">
        <f ca="1">IFERROR(__xludf.DUMMYFUNCTION("""COMPUTED_VALUE"""),3)</f>
        <v>3</v>
      </c>
      <c r="R243" s="1">
        <f ca="1">IFERROR(__xludf.DUMMYFUNCTION("""COMPUTED_VALUE"""),0)</f>
        <v>0</v>
      </c>
      <c r="S243" s="1">
        <f ca="1">IFERROR(__xludf.DUMMYFUNCTION("""COMPUTED_VALUE"""),0)</f>
        <v>0</v>
      </c>
      <c r="T243" s="1">
        <f ca="1">IFERROR(__xludf.DUMMYFUNCTION("""COMPUTED_VALUE"""),44305.2721180555)</f>
        <v>44305.272118055502</v>
      </c>
      <c r="U243" s="1" t="str">
        <f ca="1">IFERROR(__xludf.DUMMYFUNCTION("""COMPUTED_VALUE"""),"19.04.2021")</f>
        <v>19.04.2021</v>
      </c>
    </row>
    <row r="244" spans="1:21" ht="13" x14ac:dyDescent="0.15">
      <c r="A244" s="1" t="str">
        <f t="shared" ca="1" si="0"/>
        <v>ChennaiShaarave Multi Speciality Hospital, Sowcorpet</v>
      </c>
      <c r="B244" s="1">
        <f ca="1">IFERROR(__xludf.DUMMYFUNCTION("""COMPUTED_VALUE"""),243)</f>
        <v>243</v>
      </c>
      <c r="C244" s="1" t="str">
        <f ca="1">IFERROR(__xludf.DUMMYFUNCTION("""COMPUTED_VALUE"""),"Chennai")</f>
        <v>Chennai</v>
      </c>
      <c r="D244" s="1" t="str">
        <f ca="1">IFERROR(__xludf.DUMMYFUNCTION("""COMPUTED_VALUE"""),"Shaarave Multi Speciality Hospital, Sowcorpet")</f>
        <v>Shaarave Multi Speciality Hospital, Sowcorpet</v>
      </c>
      <c r="E244" s="1">
        <f ca="1">IFERROR(__xludf.DUMMYFUNCTION("""COMPUTED_VALUE"""),6)</f>
        <v>6</v>
      </c>
      <c r="F244" s="1">
        <f ca="1">IFERROR(__xludf.DUMMYFUNCTION("""COMPUTED_VALUE"""),3)</f>
        <v>3</v>
      </c>
      <c r="G244" s="1">
        <f ca="1">IFERROR(__xludf.DUMMYFUNCTION("""COMPUTED_VALUE"""),3)</f>
        <v>3</v>
      </c>
      <c r="H244" s="1">
        <f ca="1">IFERROR(__xludf.DUMMYFUNCTION("""COMPUTED_VALUE"""),2)</f>
        <v>2</v>
      </c>
      <c r="I244" s="1">
        <f ca="1">IFERROR(__xludf.DUMMYFUNCTION("""COMPUTED_VALUE"""),2)</f>
        <v>2</v>
      </c>
      <c r="J244" s="1">
        <f ca="1">IFERROR(__xludf.DUMMYFUNCTION("""COMPUTED_VALUE"""),0)</f>
        <v>0</v>
      </c>
      <c r="K244" s="1">
        <f ca="1">IFERROR(__xludf.DUMMYFUNCTION("""COMPUTED_VALUE"""),0)</f>
        <v>0</v>
      </c>
      <c r="L244" s="1">
        <f ca="1">IFERROR(__xludf.DUMMYFUNCTION("""COMPUTED_VALUE"""),0)</f>
        <v>0</v>
      </c>
      <c r="M244" s="1">
        <f ca="1">IFERROR(__xludf.DUMMYFUNCTION("""COMPUTED_VALUE"""),0)</f>
        <v>0</v>
      </c>
      <c r="N244" s="1">
        <f ca="1">IFERROR(__xludf.DUMMYFUNCTION("""COMPUTED_VALUE"""),3)</f>
        <v>3</v>
      </c>
      <c r="O244" s="1">
        <f ca="1">IFERROR(__xludf.DUMMYFUNCTION("""COMPUTED_VALUE"""),0)</f>
        <v>0</v>
      </c>
      <c r="P244" s="1">
        <f ca="1">IFERROR(__xludf.DUMMYFUNCTION("""COMPUTED_VALUE"""),3)</f>
        <v>3</v>
      </c>
      <c r="Q244" s="1">
        <f ca="1">IFERROR(__xludf.DUMMYFUNCTION("""COMPUTED_VALUE"""),2)</f>
        <v>2</v>
      </c>
      <c r="R244" s="1">
        <f ca="1">IFERROR(__xludf.DUMMYFUNCTION("""COMPUTED_VALUE"""),0)</f>
        <v>0</v>
      </c>
      <c r="S244" s="1">
        <f ca="1">IFERROR(__xludf.DUMMYFUNCTION("""COMPUTED_VALUE"""),2)</f>
        <v>2</v>
      </c>
      <c r="T244" s="1">
        <f ca="1">IFERROR(__xludf.DUMMYFUNCTION("""COMPUTED_VALUE"""),44305.3223263888)</f>
        <v>44305.322326388799</v>
      </c>
      <c r="U244" s="1" t="str">
        <f ca="1">IFERROR(__xludf.DUMMYFUNCTION("""COMPUTED_VALUE"""),"19.04.2021")</f>
        <v>19.04.2021</v>
      </c>
    </row>
    <row r="245" spans="1:21" ht="13" x14ac:dyDescent="0.15">
      <c r="A245" s="1" t="str">
        <f t="shared" ca="1" si="0"/>
        <v>ChennaiShanmugam Multi Speciality Hospital Royapuram</v>
      </c>
      <c r="B245" s="1">
        <f ca="1">IFERROR(__xludf.DUMMYFUNCTION("""COMPUTED_VALUE"""),244)</f>
        <v>244</v>
      </c>
      <c r="C245" s="1" t="str">
        <f ca="1">IFERROR(__xludf.DUMMYFUNCTION("""COMPUTED_VALUE"""),"Chennai")</f>
        <v>Chennai</v>
      </c>
      <c r="D245" s="1" t="str">
        <f ca="1">IFERROR(__xludf.DUMMYFUNCTION("""COMPUTED_VALUE"""),"Shanmugam Multi Speciality Hospital Royapuram")</f>
        <v>Shanmugam Multi Speciality Hospital Royapuram</v>
      </c>
      <c r="E245" s="1">
        <f ca="1">IFERROR(__xludf.DUMMYFUNCTION("""COMPUTED_VALUE"""),10)</f>
        <v>10</v>
      </c>
      <c r="F245" s="1">
        <f ca="1">IFERROR(__xludf.DUMMYFUNCTION("""COMPUTED_VALUE"""),10)</f>
        <v>10</v>
      </c>
      <c r="G245" s="1">
        <f ca="1">IFERROR(__xludf.DUMMYFUNCTION("""COMPUTED_VALUE"""),0)</f>
        <v>0</v>
      </c>
      <c r="H245" s="1">
        <f ca="1">IFERROR(__xludf.DUMMYFUNCTION("""COMPUTED_VALUE"""),9)</f>
        <v>9</v>
      </c>
      <c r="I245" s="1">
        <f ca="1">IFERROR(__xludf.DUMMYFUNCTION("""COMPUTED_VALUE"""),9)</f>
        <v>9</v>
      </c>
      <c r="J245" s="1">
        <f ca="1">IFERROR(__xludf.DUMMYFUNCTION("""COMPUTED_VALUE"""),0)</f>
        <v>0</v>
      </c>
      <c r="K245" s="1">
        <f ca="1">IFERROR(__xludf.DUMMYFUNCTION("""COMPUTED_VALUE"""),1)</f>
        <v>1</v>
      </c>
      <c r="L245" s="1">
        <f ca="1">IFERROR(__xludf.DUMMYFUNCTION("""COMPUTED_VALUE"""),0)</f>
        <v>0</v>
      </c>
      <c r="M245" s="1">
        <f ca="1">IFERROR(__xludf.DUMMYFUNCTION("""COMPUTED_VALUE"""),0)</f>
        <v>0</v>
      </c>
      <c r="N245" s="1">
        <f ca="1">IFERROR(__xludf.DUMMYFUNCTION("""COMPUTED_VALUE"""),3)</f>
        <v>3</v>
      </c>
      <c r="O245" s="1">
        <f ca="1">IFERROR(__xludf.DUMMYFUNCTION("""COMPUTED_VALUE"""),0)</f>
        <v>0</v>
      </c>
      <c r="P245" s="1">
        <f ca="1">IFERROR(__xludf.DUMMYFUNCTION("""COMPUTED_VALUE"""),0)</f>
        <v>0</v>
      </c>
      <c r="Q245" s="1">
        <f ca="1">IFERROR(__xludf.DUMMYFUNCTION("""COMPUTED_VALUE"""),1)</f>
        <v>1</v>
      </c>
      <c r="R245" s="1">
        <f ca="1">IFERROR(__xludf.DUMMYFUNCTION("""COMPUTED_VALUE"""),1)</f>
        <v>1</v>
      </c>
      <c r="S245" s="1">
        <f ca="1">IFERROR(__xludf.DUMMYFUNCTION("""COMPUTED_VALUE"""),0)</f>
        <v>0</v>
      </c>
      <c r="T245" s="1">
        <f ca="1">IFERROR(__xludf.DUMMYFUNCTION("""COMPUTED_VALUE"""),44298.3141319444)</f>
        <v>44298.314131944397</v>
      </c>
      <c r="U245" s="1" t="str">
        <f ca="1">IFERROR(__xludf.DUMMYFUNCTION("""COMPUTED_VALUE"""),"12.04.2021")</f>
        <v>12.04.2021</v>
      </c>
    </row>
    <row r="246" spans="1:21" ht="13" x14ac:dyDescent="0.15">
      <c r="A246" s="1" t="str">
        <f t="shared" ca="1" si="0"/>
        <v>CoimbatoreAtlas Pain Care Sowripalayam</v>
      </c>
      <c r="B246" s="1">
        <f ca="1">IFERROR(__xludf.DUMMYFUNCTION("""COMPUTED_VALUE"""),245)</f>
        <v>245</v>
      </c>
      <c r="C246" s="1" t="str">
        <f ca="1">IFERROR(__xludf.DUMMYFUNCTION("""COMPUTED_VALUE"""),"Coimbatore")</f>
        <v>Coimbatore</v>
      </c>
      <c r="D246" s="1" t="str">
        <f ca="1">IFERROR(__xludf.DUMMYFUNCTION("""COMPUTED_VALUE"""),"Atlas Pain Care Sowripalayam")</f>
        <v>Atlas Pain Care Sowripalayam</v>
      </c>
      <c r="E246" s="1">
        <f ca="1">IFERROR(__xludf.DUMMYFUNCTION("""COMPUTED_VALUE"""),40)</f>
        <v>40</v>
      </c>
      <c r="F246" s="1">
        <f ca="1">IFERROR(__xludf.DUMMYFUNCTION("""COMPUTED_VALUE"""),0)</f>
        <v>0</v>
      </c>
      <c r="G246" s="1">
        <f ca="1">IFERROR(__xludf.DUMMYFUNCTION("""COMPUTED_VALUE"""),40)</f>
        <v>40</v>
      </c>
      <c r="H246" s="1">
        <f ca="1">IFERROR(__xludf.DUMMYFUNCTION("""COMPUTED_VALUE"""),0)</f>
        <v>0</v>
      </c>
      <c r="I246" s="1">
        <f ca="1">IFERROR(__xludf.DUMMYFUNCTION("""COMPUTED_VALUE"""),0)</f>
        <v>0</v>
      </c>
      <c r="J246" s="1">
        <f ca="1">IFERROR(__xludf.DUMMYFUNCTION("""COMPUTED_VALUE"""),0)</f>
        <v>0</v>
      </c>
      <c r="K246" s="1">
        <f ca="1">IFERROR(__xludf.DUMMYFUNCTION("""COMPUTED_VALUE"""),40)</f>
        <v>40</v>
      </c>
      <c r="L246" s="1">
        <f ca="1">IFERROR(__xludf.DUMMYFUNCTION("""COMPUTED_VALUE"""),0)</f>
        <v>0</v>
      </c>
      <c r="M246" s="1">
        <f ca="1">IFERROR(__xludf.DUMMYFUNCTION("""COMPUTED_VALUE"""),40)</f>
        <v>40</v>
      </c>
      <c r="N246" s="1">
        <f ca="1">IFERROR(__xludf.DUMMYFUNCTION("""COMPUTED_VALUE"""),0)</f>
        <v>0</v>
      </c>
      <c r="O246" s="1">
        <f ca="1">IFERROR(__xludf.DUMMYFUNCTION("""COMPUTED_VALUE"""),0)</f>
        <v>0</v>
      </c>
      <c r="P246" s="1">
        <f ca="1">IFERROR(__xludf.DUMMYFUNCTION("""COMPUTED_VALUE"""),0)</f>
        <v>0</v>
      </c>
      <c r="Q246" s="1">
        <f ca="1">IFERROR(__xludf.DUMMYFUNCTION("""COMPUTED_VALUE"""),0)</f>
        <v>0</v>
      </c>
      <c r="R246" s="1">
        <f ca="1">IFERROR(__xludf.DUMMYFUNCTION("""COMPUTED_VALUE"""),0)</f>
        <v>0</v>
      </c>
      <c r="S246" s="1">
        <f ca="1">IFERROR(__xludf.DUMMYFUNCTION("""COMPUTED_VALUE"""),0)</f>
        <v>0</v>
      </c>
      <c r="T246" s="1">
        <f ca="1">IFERROR(__xludf.DUMMYFUNCTION("""COMPUTED_VALUE"""),44305.4562731481)</f>
        <v>44305.456273148098</v>
      </c>
      <c r="U246" s="1" t="str">
        <f ca="1">IFERROR(__xludf.DUMMYFUNCTION("""COMPUTED_VALUE"""),"19.4.2021")</f>
        <v>19.4.2021</v>
      </c>
    </row>
    <row r="247" spans="1:21" ht="13" x14ac:dyDescent="0.15">
      <c r="A247" s="1" t="str">
        <f t="shared" ca="1" si="0"/>
        <v>DindigulJCB Hospitals Palani Road,</v>
      </c>
      <c r="B247" s="1">
        <f ca="1">IFERROR(__xludf.DUMMYFUNCTION("""COMPUTED_VALUE"""),246)</f>
        <v>246</v>
      </c>
      <c r="C247" s="1" t="str">
        <f ca="1">IFERROR(__xludf.DUMMYFUNCTION("""COMPUTED_VALUE"""),"Dindigul")</f>
        <v>Dindigul</v>
      </c>
      <c r="D247" s="1" t="str">
        <f ca="1">IFERROR(__xludf.DUMMYFUNCTION("""COMPUTED_VALUE"""),"JCB Hospitals Palani Road,")</f>
        <v>JCB Hospitals Palani Road,</v>
      </c>
      <c r="E247" s="1">
        <f ca="1">IFERROR(__xludf.DUMMYFUNCTION("""COMPUTED_VALUE"""),22)</f>
        <v>22</v>
      </c>
      <c r="F247" s="1">
        <f ca="1">IFERROR(__xludf.DUMMYFUNCTION("""COMPUTED_VALUE"""),8)</f>
        <v>8</v>
      </c>
      <c r="G247" s="1">
        <f ca="1">IFERROR(__xludf.DUMMYFUNCTION("""COMPUTED_VALUE"""),14)</f>
        <v>14</v>
      </c>
      <c r="H247" s="1">
        <f ca="1">IFERROR(__xludf.DUMMYFUNCTION("""COMPUTED_VALUE"""),22)</f>
        <v>22</v>
      </c>
      <c r="I247" s="1">
        <f ca="1">IFERROR(__xludf.DUMMYFUNCTION("""COMPUTED_VALUE"""),8)</f>
        <v>8</v>
      </c>
      <c r="J247" s="1">
        <f ca="1">IFERROR(__xludf.DUMMYFUNCTION("""COMPUTED_VALUE"""),14)</f>
        <v>14</v>
      </c>
      <c r="K247" s="1">
        <f ca="1">IFERROR(__xludf.DUMMYFUNCTION("""COMPUTED_VALUE"""),0)</f>
        <v>0</v>
      </c>
      <c r="L247" s="1">
        <f ca="1">IFERROR(__xludf.DUMMYFUNCTION("""COMPUTED_VALUE"""),0)</f>
        <v>0</v>
      </c>
      <c r="M247" s="1">
        <f ca="1">IFERROR(__xludf.DUMMYFUNCTION("""COMPUTED_VALUE"""),0)</f>
        <v>0</v>
      </c>
      <c r="N247" s="1">
        <f ca="1">IFERROR(__xludf.DUMMYFUNCTION("""COMPUTED_VALUE"""),2)</f>
        <v>2</v>
      </c>
      <c r="O247" s="1">
        <f ca="1">IFERROR(__xludf.DUMMYFUNCTION("""COMPUTED_VALUE"""),0)</f>
        <v>0</v>
      </c>
      <c r="P247" s="1">
        <f ca="1">IFERROR(__xludf.DUMMYFUNCTION("""COMPUTED_VALUE"""),2)</f>
        <v>2</v>
      </c>
      <c r="Q247" s="1">
        <f ca="1">IFERROR(__xludf.DUMMYFUNCTION("""COMPUTED_VALUE"""),2)</f>
        <v>2</v>
      </c>
      <c r="R247" s="1">
        <f ca="1">IFERROR(__xludf.DUMMYFUNCTION("""COMPUTED_VALUE"""),0)</f>
        <v>0</v>
      </c>
      <c r="S247" s="1">
        <f ca="1">IFERROR(__xludf.DUMMYFUNCTION("""COMPUTED_VALUE"""),2)</f>
        <v>2</v>
      </c>
      <c r="T247" s="1">
        <f ca="1">IFERROR(__xludf.DUMMYFUNCTION("""COMPUTED_VALUE"""),44305.3086574074)</f>
        <v>44305.308657407397</v>
      </c>
      <c r="U247" s="1" t="str">
        <f ca="1">IFERROR(__xludf.DUMMYFUNCTION("""COMPUTED_VALUE"""),"19.04.2021")</f>
        <v>19.04.2021</v>
      </c>
    </row>
    <row r="248" spans="1:21" ht="13" x14ac:dyDescent="0.15">
      <c r="A248" s="1" t="str">
        <f t="shared" ca="1" si="0"/>
        <v>DindigulShree SathyaSubha Hospital, New Agaraharam</v>
      </c>
      <c r="B248" s="1">
        <f ca="1">IFERROR(__xludf.DUMMYFUNCTION("""COMPUTED_VALUE"""),247)</f>
        <v>247</v>
      </c>
      <c r="C248" s="1" t="str">
        <f ca="1">IFERROR(__xludf.DUMMYFUNCTION("""COMPUTED_VALUE"""),"Dindigul")</f>
        <v>Dindigul</v>
      </c>
      <c r="D248" s="1" t="str">
        <f ca="1">IFERROR(__xludf.DUMMYFUNCTION("""COMPUTED_VALUE"""),"Shree SathyaSubha Hospital, New Agaraharam")</f>
        <v>Shree SathyaSubha Hospital, New Agaraharam</v>
      </c>
      <c r="E248" s="1">
        <f ca="1">IFERROR(__xludf.DUMMYFUNCTION("""COMPUTED_VALUE"""),22)</f>
        <v>22</v>
      </c>
      <c r="F248" s="1">
        <f ca="1">IFERROR(__xludf.DUMMYFUNCTION("""COMPUTED_VALUE"""),21)</f>
        <v>21</v>
      </c>
      <c r="G248" s="1">
        <f ca="1">IFERROR(__xludf.DUMMYFUNCTION("""COMPUTED_VALUE"""),1)</f>
        <v>1</v>
      </c>
      <c r="H248" s="1">
        <f ca="1">IFERROR(__xludf.DUMMYFUNCTION("""COMPUTED_VALUE"""),22)</f>
        <v>22</v>
      </c>
      <c r="I248" s="1">
        <f ca="1">IFERROR(__xludf.DUMMYFUNCTION("""COMPUTED_VALUE"""),21)</f>
        <v>21</v>
      </c>
      <c r="J248" s="1">
        <f ca="1">IFERROR(__xludf.DUMMYFUNCTION("""COMPUTED_VALUE"""),1)</f>
        <v>1</v>
      </c>
      <c r="K248" s="1">
        <f ca="1">IFERROR(__xludf.DUMMYFUNCTION("""COMPUTED_VALUE"""),0)</f>
        <v>0</v>
      </c>
      <c r="L248" s="1">
        <f ca="1">IFERROR(__xludf.DUMMYFUNCTION("""COMPUTED_VALUE"""),0)</f>
        <v>0</v>
      </c>
      <c r="M248" s="1">
        <f ca="1">IFERROR(__xludf.DUMMYFUNCTION("""COMPUTED_VALUE"""),0)</f>
        <v>0</v>
      </c>
      <c r="N248" s="1">
        <f ca="1">IFERROR(__xludf.DUMMYFUNCTION("""COMPUTED_VALUE"""),3)</f>
        <v>3</v>
      </c>
      <c r="O248" s="1">
        <f ca="1">IFERROR(__xludf.DUMMYFUNCTION("""COMPUTED_VALUE"""),0)</f>
        <v>0</v>
      </c>
      <c r="P248" s="1">
        <f ca="1">IFERROR(__xludf.DUMMYFUNCTION("""COMPUTED_VALUE"""),3)</f>
        <v>3</v>
      </c>
      <c r="Q248" s="1">
        <f ca="1">IFERROR(__xludf.DUMMYFUNCTION("""COMPUTED_VALUE"""),3)</f>
        <v>3</v>
      </c>
      <c r="R248" s="1">
        <f ca="1">IFERROR(__xludf.DUMMYFUNCTION("""COMPUTED_VALUE"""),0)</f>
        <v>0</v>
      </c>
      <c r="S248" s="1">
        <f ca="1">IFERROR(__xludf.DUMMYFUNCTION("""COMPUTED_VALUE"""),3)</f>
        <v>3</v>
      </c>
      <c r="T248" s="1">
        <f ca="1">IFERROR(__xludf.DUMMYFUNCTION("""COMPUTED_VALUE"""),44305.3084722222)</f>
        <v>44305.308472222197</v>
      </c>
      <c r="U248" s="1" t="str">
        <f ca="1">IFERROR(__xludf.DUMMYFUNCTION("""COMPUTED_VALUE"""),"19/04/2021")</f>
        <v>19/04/2021</v>
      </c>
    </row>
    <row r="249" spans="1:21" ht="13" x14ac:dyDescent="0.15">
      <c r="A249" s="1" t="str">
        <f t="shared" ca="1" si="0"/>
        <v>DindigulVan Allen Hospital, Kodaikanal</v>
      </c>
      <c r="B249" s="1">
        <f ca="1">IFERROR(__xludf.DUMMYFUNCTION("""COMPUTED_VALUE"""),248)</f>
        <v>248</v>
      </c>
      <c r="C249" s="1" t="str">
        <f ca="1">IFERROR(__xludf.DUMMYFUNCTION("""COMPUTED_VALUE"""),"Dindigul")</f>
        <v>Dindigul</v>
      </c>
      <c r="D249" s="1" t="str">
        <f ca="1">IFERROR(__xludf.DUMMYFUNCTION("""COMPUTED_VALUE"""),"Van Allen Hospital, Kodaikanal")</f>
        <v>Van Allen Hospital, Kodaikanal</v>
      </c>
      <c r="E249" s="1">
        <f ca="1">IFERROR(__xludf.DUMMYFUNCTION("""COMPUTED_VALUE"""),8)</f>
        <v>8</v>
      </c>
      <c r="F249" s="1">
        <f ca="1">IFERROR(__xludf.DUMMYFUNCTION("""COMPUTED_VALUE"""),4)</f>
        <v>4</v>
      </c>
      <c r="G249" s="1">
        <f ca="1">IFERROR(__xludf.DUMMYFUNCTION("""COMPUTED_VALUE"""),4)</f>
        <v>4</v>
      </c>
      <c r="H249" s="1">
        <f ca="1">IFERROR(__xludf.DUMMYFUNCTION("""COMPUTED_VALUE"""),7)</f>
        <v>7</v>
      </c>
      <c r="I249" s="1">
        <f ca="1">IFERROR(__xludf.DUMMYFUNCTION("""COMPUTED_VALUE"""),3)</f>
        <v>3</v>
      </c>
      <c r="J249" s="1">
        <f ca="1">IFERROR(__xludf.DUMMYFUNCTION("""COMPUTED_VALUE"""),3)</f>
        <v>3</v>
      </c>
      <c r="K249" s="1">
        <f ca="1">IFERROR(__xludf.DUMMYFUNCTION("""COMPUTED_VALUE"""),3)</f>
        <v>3</v>
      </c>
      <c r="L249" s="1">
        <f ca="1">IFERROR(__xludf.DUMMYFUNCTION("""COMPUTED_VALUE"""),1)</f>
        <v>1</v>
      </c>
      <c r="M249" s="1">
        <f ca="1">IFERROR(__xludf.DUMMYFUNCTION("""COMPUTED_VALUE"""),0)</f>
        <v>0</v>
      </c>
      <c r="N249" s="1">
        <f ca="1">IFERROR(__xludf.DUMMYFUNCTION("""COMPUTED_VALUE"""),1)</f>
        <v>1</v>
      </c>
      <c r="O249" s="1">
        <f ca="1">IFERROR(__xludf.DUMMYFUNCTION("""COMPUTED_VALUE"""),0)</f>
        <v>0</v>
      </c>
      <c r="P249" s="1">
        <f ca="1">IFERROR(__xludf.DUMMYFUNCTION("""COMPUTED_VALUE"""),1)</f>
        <v>1</v>
      </c>
      <c r="Q249" s="1">
        <f ca="1">IFERROR(__xludf.DUMMYFUNCTION("""COMPUTED_VALUE"""),1)</f>
        <v>1</v>
      </c>
      <c r="R249" s="1">
        <f ca="1">IFERROR(__xludf.DUMMYFUNCTION("""COMPUTED_VALUE"""),0)</f>
        <v>0</v>
      </c>
      <c r="S249" s="1">
        <f ca="1">IFERROR(__xludf.DUMMYFUNCTION("""COMPUTED_VALUE"""),1)</f>
        <v>1</v>
      </c>
      <c r="T249" s="1">
        <f ca="1">IFERROR(__xludf.DUMMYFUNCTION("""COMPUTED_VALUE"""),44305.3621296296)</f>
        <v>44305.362129629597</v>
      </c>
      <c r="U249" s="1" t="str">
        <f ca="1">IFERROR(__xludf.DUMMYFUNCTION("""COMPUTED_VALUE"""),"19/04/2021")</f>
        <v>19/04/2021</v>
      </c>
    </row>
    <row r="250" spans="1:21" ht="13" x14ac:dyDescent="0.15">
      <c r="A250" s="1" t="str">
        <f t="shared" ca="1" si="0"/>
        <v>KanyakumariSwamiyarmadam Rathna Memorial Hospital</v>
      </c>
      <c r="B250" s="1">
        <f ca="1">IFERROR(__xludf.DUMMYFUNCTION("""COMPUTED_VALUE"""),249)</f>
        <v>249</v>
      </c>
      <c r="C250" s="1" t="str">
        <f ca="1">IFERROR(__xludf.DUMMYFUNCTION("""COMPUTED_VALUE"""),"Kanyakumari")</f>
        <v>Kanyakumari</v>
      </c>
      <c r="D250" s="1" t="str">
        <f ca="1">IFERROR(__xludf.DUMMYFUNCTION("""COMPUTED_VALUE"""),"Swamiyarmadam Rathna Memorial Hospital")</f>
        <v>Swamiyarmadam Rathna Memorial Hospital</v>
      </c>
      <c r="E250" s="1">
        <f ca="1">IFERROR(__xludf.DUMMYFUNCTION("""COMPUTED_VALUE"""),40)</f>
        <v>40</v>
      </c>
      <c r="F250" s="1">
        <f ca="1">IFERROR(__xludf.DUMMYFUNCTION("""COMPUTED_VALUE"""),0)</f>
        <v>0</v>
      </c>
      <c r="G250" s="1">
        <f ca="1">IFERROR(__xludf.DUMMYFUNCTION("""COMPUTED_VALUE"""),40)</f>
        <v>40</v>
      </c>
      <c r="H250" s="1">
        <f ca="1">IFERROR(__xludf.DUMMYFUNCTION("""COMPUTED_VALUE"""),17)</f>
        <v>17</v>
      </c>
      <c r="I250" s="1">
        <f ca="1">IFERROR(__xludf.DUMMYFUNCTION("""COMPUTED_VALUE"""),0)</f>
        <v>0</v>
      </c>
      <c r="J250" s="1">
        <f ca="1">IFERROR(__xludf.DUMMYFUNCTION("""COMPUTED_VALUE"""),17)</f>
        <v>17</v>
      </c>
      <c r="K250" s="1">
        <f ca="1">IFERROR(__xludf.DUMMYFUNCTION("""COMPUTED_VALUE"""),16)</f>
        <v>16</v>
      </c>
      <c r="L250" s="1">
        <f ca="1">IFERROR(__xludf.DUMMYFUNCTION("""COMPUTED_VALUE"""),0)</f>
        <v>0</v>
      </c>
      <c r="M250" s="1">
        <f ca="1">IFERROR(__xludf.DUMMYFUNCTION("""COMPUTED_VALUE"""),16)</f>
        <v>16</v>
      </c>
      <c r="N250" s="1">
        <f ca="1">IFERROR(__xludf.DUMMYFUNCTION("""COMPUTED_VALUE"""),7)</f>
        <v>7</v>
      </c>
      <c r="O250" s="1">
        <f ca="1">IFERROR(__xludf.DUMMYFUNCTION("""COMPUTED_VALUE"""),0)</f>
        <v>0</v>
      </c>
      <c r="P250" s="1">
        <f ca="1">IFERROR(__xludf.DUMMYFUNCTION("""COMPUTED_VALUE"""),7)</f>
        <v>7</v>
      </c>
      <c r="Q250" s="1">
        <f ca="1">IFERROR(__xludf.DUMMYFUNCTION("""COMPUTED_VALUE"""),1)</f>
        <v>1</v>
      </c>
      <c r="R250" s="1">
        <f ca="1">IFERROR(__xludf.DUMMYFUNCTION("""COMPUTED_VALUE"""),0)</f>
        <v>0</v>
      </c>
      <c r="S250" s="1">
        <f ca="1">IFERROR(__xludf.DUMMYFUNCTION("""COMPUTED_VALUE"""),1)</f>
        <v>1</v>
      </c>
      <c r="T250" s="1">
        <f ca="1">IFERROR(__xludf.DUMMYFUNCTION("""COMPUTED_VALUE"""),44305.3167939814)</f>
        <v>44305.316793981401</v>
      </c>
      <c r="U250" s="1" t="str">
        <f ca="1">IFERROR(__xludf.DUMMYFUNCTION("""COMPUTED_VALUE"""),".")</f>
        <v>.</v>
      </c>
    </row>
    <row r="251" spans="1:21" ht="13" x14ac:dyDescent="0.15">
      <c r="A251" s="1" t="str">
        <f t="shared" ca="1" si="0"/>
        <v>KrishnagiriVijay Sai Health Care Pvt Ltd</v>
      </c>
      <c r="B251" s="1">
        <f ca="1">IFERROR(__xludf.DUMMYFUNCTION("""COMPUTED_VALUE"""),250)</f>
        <v>250</v>
      </c>
      <c r="C251" s="1" t="str">
        <f ca="1">IFERROR(__xludf.DUMMYFUNCTION("""COMPUTED_VALUE"""),"Krishnagiri")</f>
        <v>Krishnagiri</v>
      </c>
      <c r="D251" s="1" t="str">
        <f ca="1">IFERROR(__xludf.DUMMYFUNCTION("""COMPUTED_VALUE"""),"Vijay Sai Health Care Pvt Ltd")</f>
        <v>Vijay Sai Health Care Pvt Ltd</v>
      </c>
      <c r="E251" s="1">
        <f ca="1">IFERROR(__xludf.DUMMYFUNCTION("""COMPUTED_VALUE"""),30)</f>
        <v>30</v>
      </c>
      <c r="F251" s="1">
        <f ca="1">IFERROR(__xludf.DUMMYFUNCTION("""COMPUTED_VALUE"""),25)</f>
        <v>25</v>
      </c>
      <c r="G251" s="1">
        <f ca="1">IFERROR(__xludf.DUMMYFUNCTION("""COMPUTED_VALUE"""),5)</f>
        <v>5</v>
      </c>
      <c r="H251" s="1">
        <f ca="1">IFERROR(__xludf.DUMMYFUNCTION("""COMPUTED_VALUE"""),30)</f>
        <v>30</v>
      </c>
      <c r="I251" s="1">
        <f ca="1">IFERROR(__xludf.DUMMYFUNCTION("""COMPUTED_VALUE"""),25)</f>
        <v>25</v>
      </c>
      <c r="J251" s="1">
        <f ca="1">IFERROR(__xludf.DUMMYFUNCTION("""COMPUTED_VALUE"""),5)</f>
        <v>5</v>
      </c>
      <c r="K251" s="1">
        <f ca="1">IFERROR(__xludf.DUMMYFUNCTION("""COMPUTED_VALUE"""),0)</f>
        <v>0</v>
      </c>
      <c r="L251" s="1">
        <f ca="1">IFERROR(__xludf.DUMMYFUNCTION("""COMPUTED_VALUE"""),0)</f>
        <v>0</v>
      </c>
      <c r="M251" s="1">
        <f ca="1">IFERROR(__xludf.DUMMYFUNCTION("""COMPUTED_VALUE"""),0)</f>
        <v>0</v>
      </c>
      <c r="N251" s="1">
        <f ca="1">IFERROR(__xludf.DUMMYFUNCTION("""COMPUTED_VALUE"""),0)</f>
        <v>0</v>
      </c>
      <c r="O251" s="1">
        <f ca="1">IFERROR(__xludf.DUMMYFUNCTION("""COMPUTED_VALUE"""),0)</f>
        <v>0</v>
      </c>
      <c r="P251" s="1">
        <f ca="1">IFERROR(__xludf.DUMMYFUNCTION("""COMPUTED_VALUE"""),0)</f>
        <v>0</v>
      </c>
      <c r="Q251" s="1">
        <f ca="1">IFERROR(__xludf.DUMMYFUNCTION("""COMPUTED_VALUE"""),0)</f>
        <v>0</v>
      </c>
      <c r="R251" s="1">
        <f ca="1">IFERROR(__xludf.DUMMYFUNCTION("""COMPUTED_VALUE"""),0)</f>
        <v>0</v>
      </c>
      <c r="S251" s="1">
        <f ca="1">IFERROR(__xludf.DUMMYFUNCTION("""COMPUTED_VALUE"""),0)</f>
        <v>0</v>
      </c>
      <c r="T251" s="1">
        <f ca="1">IFERROR(__xludf.DUMMYFUNCTION("""COMPUTED_VALUE"""),44305.4176504629)</f>
        <v>44305.417650462899</v>
      </c>
      <c r="U251" s="1" t="str">
        <f ca="1">IFERROR(__xludf.DUMMYFUNCTION("""COMPUTED_VALUE"""),".")</f>
        <v>.</v>
      </c>
    </row>
    <row r="252" spans="1:21" ht="13" x14ac:dyDescent="0.15">
      <c r="A252" s="1" t="str">
        <f t="shared" ca="1" si="0"/>
        <v>MaduraiRio Hospital Vandiyur</v>
      </c>
      <c r="B252" s="1">
        <f ca="1">IFERROR(__xludf.DUMMYFUNCTION("""COMPUTED_VALUE"""),251)</f>
        <v>251</v>
      </c>
      <c r="C252" s="1" t="str">
        <f ca="1">IFERROR(__xludf.DUMMYFUNCTION("""COMPUTED_VALUE"""),"Madurai")</f>
        <v>Madurai</v>
      </c>
      <c r="D252" s="1" t="str">
        <f ca="1">IFERROR(__xludf.DUMMYFUNCTION("""COMPUTED_VALUE"""),"Rio Hospital Vandiyur")</f>
        <v>Rio Hospital Vandiyur</v>
      </c>
      <c r="E252" s="1">
        <f ca="1">IFERROR(__xludf.DUMMYFUNCTION("""COMPUTED_VALUE"""),16)</f>
        <v>16</v>
      </c>
      <c r="F252" s="1">
        <f ca="1">IFERROR(__xludf.DUMMYFUNCTION("""COMPUTED_VALUE"""),3)</f>
        <v>3</v>
      </c>
      <c r="G252" s="1">
        <f ca="1">IFERROR(__xludf.DUMMYFUNCTION("""COMPUTED_VALUE"""),13)</f>
        <v>13</v>
      </c>
      <c r="H252" s="1">
        <f ca="1">IFERROR(__xludf.DUMMYFUNCTION("""COMPUTED_VALUE"""),4)</f>
        <v>4</v>
      </c>
      <c r="I252" s="1">
        <f ca="1">IFERROR(__xludf.DUMMYFUNCTION("""COMPUTED_VALUE"""),0)</f>
        <v>0</v>
      </c>
      <c r="J252" s="1">
        <f ca="1">IFERROR(__xludf.DUMMYFUNCTION("""COMPUTED_VALUE"""),4)</f>
        <v>4</v>
      </c>
      <c r="K252" s="1">
        <f ca="1">IFERROR(__xludf.DUMMYFUNCTION("""COMPUTED_VALUE"""),8)</f>
        <v>8</v>
      </c>
      <c r="L252" s="1">
        <f ca="1">IFERROR(__xludf.DUMMYFUNCTION("""COMPUTED_VALUE"""),3)</f>
        <v>3</v>
      </c>
      <c r="M252" s="1">
        <f ca="1">IFERROR(__xludf.DUMMYFUNCTION("""COMPUTED_VALUE"""),5)</f>
        <v>5</v>
      </c>
      <c r="N252" s="1">
        <f ca="1">IFERROR(__xludf.DUMMYFUNCTION("""COMPUTED_VALUE"""),4)</f>
        <v>4</v>
      </c>
      <c r="O252" s="1">
        <f ca="1">IFERROR(__xludf.DUMMYFUNCTION("""COMPUTED_VALUE"""),0)</f>
        <v>0</v>
      </c>
      <c r="P252" s="1">
        <f ca="1">IFERROR(__xludf.DUMMYFUNCTION("""COMPUTED_VALUE"""),4)</f>
        <v>4</v>
      </c>
      <c r="Q252" s="1">
        <f ca="1">IFERROR(__xludf.DUMMYFUNCTION("""COMPUTED_VALUE"""),4)</f>
        <v>4</v>
      </c>
      <c r="R252" s="1">
        <f ca="1">IFERROR(__xludf.DUMMYFUNCTION("""COMPUTED_VALUE"""),0)</f>
        <v>0</v>
      </c>
      <c r="S252" s="1">
        <f ca="1">IFERROR(__xludf.DUMMYFUNCTION("""COMPUTED_VALUE"""),4)</f>
        <v>4</v>
      </c>
      <c r="T252" s="1">
        <f ca="1">IFERROR(__xludf.DUMMYFUNCTION("""COMPUTED_VALUE"""),44305.4817708333)</f>
        <v>44305.481770833299</v>
      </c>
      <c r="U252" s="1" t="str">
        <f ca="1">IFERROR(__xludf.DUMMYFUNCTION("""COMPUTED_VALUE"""),"updated 19/04/2021")</f>
        <v>updated 19/04/2021</v>
      </c>
    </row>
    <row r="253" spans="1:21" ht="13" x14ac:dyDescent="0.15">
      <c r="A253" s="1" t="str">
        <f t="shared" ca="1" si="0"/>
        <v>SalemUniversal Cancer Hospital, Kondalampatty</v>
      </c>
      <c r="B253" s="1">
        <f ca="1">IFERROR(__xludf.DUMMYFUNCTION("""COMPUTED_VALUE"""),252)</f>
        <v>252</v>
      </c>
      <c r="C253" s="1" t="str">
        <f ca="1">IFERROR(__xludf.DUMMYFUNCTION("""COMPUTED_VALUE"""),"Salem")</f>
        <v>Salem</v>
      </c>
      <c r="D253" s="1" t="str">
        <f ca="1">IFERROR(__xludf.DUMMYFUNCTION("""COMPUTED_VALUE"""),"Universal Cancer Hospital, Kondalampatty")</f>
        <v>Universal Cancer Hospital, Kondalampatty</v>
      </c>
      <c r="E253" s="1">
        <f ca="1">IFERROR(__xludf.DUMMYFUNCTION("""COMPUTED_VALUE"""),37)</f>
        <v>37</v>
      </c>
      <c r="F253" s="1">
        <f ca="1">IFERROR(__xludf.DUMMYFUNCTION("""COMPUTED_VALUE"""),10)</f>
        <v>10</v>
      </c>
      <c r="G253" s="1">
        <f ca="1">IFERROR(__xludf.DUMMYFUNCTION("""COMPUTED_VALUE"""),27)</f>
        <v>27</v>
      </c>
      <c r="H253" s="1">
        <f ca="1">IFERROR(__xludf.DUMMYFUNCTION("""COMPUTED_VALUE"""),15)</f>
        <v>15</v>
      </c>
      <c r="I253" s="1">
        <f ca="1">IFERROR(__xludf.DUMMYFUNCTION("""COMPUTED_VALUE"""),6)</f>
        <v>6</v>
      </c>
      <c r="J253" s="1">
        <f ca="1">IFERROR(__xludf.DUMMYFUNCTION("""COMPUTED_VALUE"""),9)</f>
        <v>9</v>
      </c>
      <c r="K253" s="1">
        <f ca="1">IFERROR(__xludf.DUMMYFUNCTION("""COMPUTED_VALUE"""),20)</f>
        <v>20</v>
      </c>
      <c r="L253" s="1">
        <f ca="1">IFERROR(__xludf.DUMMYFUNCTION("""COMPUTED_VALUE"""),0)</f>
        <v>0</v>
      </c>
      <c r="M253" s="1">
        <f ca="1">IFERROR(__xludf.DUMMYFUNCTION("""COMPUTED_VALUE"""),20)</f>
        <v>20</v>
      </c>
      <c r="N253" s="1">
        <f ca="1">IFERROR(__xludf.DUMMYFUNCTION("""COMPUTED_VALUE"""),2)</f>
        <v>2</v>
      </c>
      <c r="O253" s="1">
        <f ca="1">IFERROR(__xludf.DUMMYFUNCTION("""COMPUTED_VALUE"""),0)</f>
        <v>0</v>
      </c>
      <c r="P253" s="1">
        <f ca="1">IFERROR(__xludf.DUMMYFUNCTION("""COMPUTED_VALUE"""),2)</f>
        <v>2</v>
      </c>
      <c r="Q253" s="1">
        <f ca="1">IFERROR(__xludf.DUMMYFUNCTION("""COMPUTED_VALUE"""),2)</f>
        <v>2</v>
      </c>
      <c r="R253" s="1">
        <f ca="1">IFERROR(__xludf.DUMMYFUNCTION("""COMPUTED_VALUE"""),0)</f>
        <v>0</v>
      </c>
      <c r="S253" s="1">
        <f ca="1">IFERROR(__xludf.DUMMYFUNCTION("""COMPUTED_VALUE"""),2)</f>
        <v>2</v>
      </c>
      <c r="T253" s="1">
        <f ca="1">IFERROR(__xludf.DUMMYFUNCTION("""COMPUTED_VALUE"""),44305.4190509259)</f>
        <v>44305.419050925899</v>
      </c>
      <c r="U253" s="1"/>
    </row>
    <row r="254" spans="1:21" ht="13" x14ac:dyDescent="0.15">
      <c r="A254" s="1" t="str">
        <f t="shared" ca="1" si="0"/>
        <v>SivagangaiDevaki Multi Speciality Hospital</v>
      </c>
      <c r="B254" s="1">
        <f ca="1">IFERROR(__xludf.DUMMYFUNCTION("""COMPUTED_VALUE"""),253)</f>
        <v>253</v>
      </c>
      <c r="C254" s="1" t="str">
        <f ca="1">IFERROR(__xludf.DUMMYFUNCTION("""COMPUTED_VALUE"""),"Sivagangai")</f>
        <v>Sivagangai</v>
      </c>
      <c r="D254" s="1" t="str">
        <f ca="1">IFERROR(__xludf.DUMMYFUNCTION("""COMPUTED_VALUE"""),"Devaki Multi Speciality Hospital")</f>
        <v>Devaki Multi Speciality Hospital</v>
      </c>
      <c r="E254" s="1">
        <f ca="1">IFERROR(__xludf.DUMMYFUNCTION("""COMPUTED_VALUE"""),18)</f>
        <v>18</v>
      </c>
      <c r="F254" s="1">
        <f ca="1">IFERROR(__xludf.DUMMYFUNCTION("""COMPUTED_VALUE"""),0)</f>
        <v>0</v>
      </c>
      <c r="G254" s="1">
        <f ca="1">IFERROR(__xludf.DUMMYFUNCTION("""COMPUTED_VALUE"""),18)</f>
        <v>18</v>
      </c>
      <c r="H254" s="1">
        <f ca="1">IFERROR(__xludf.DUMMYFUNCTION("""COMPUTED_VALUE"""),8)</f>
        <v>8</v>
      </c>
      <c r="I254" s="1">
        <f ca="1">IFERROR(__xludf.DUMMYFUNCTION("""COMPUTED_VALUE"""),0)</f>
        <v>0</v>
      </c>
      <c r="J254" s="1">
        <f ca="1">IFERROR(__xludf.DUMMYFUNCTION("""COMPUTED_VALUE"""),8)</f>
        <v>8</v>
      </c>
      <c r="K254" s="1">
        <f ca="1">IFERROR(__xludf.DUMMYFUNCTION("""COMPUTED_VALUE"""),10)</f>
        <v>10</v>
      </c>
      <c r="L254" s="1">
        <f ca="1">IFERROR(__xludf.DUMMYFUNCTION("""COMPUTED_VALUE"""),0)</f>
        <v>0</v>
      </c>
      <c r="M254" s="1">
        <f ca="1">IFERROR(__xludf.DUMMYFUNCTION("""COMPUTED_VALUE"""),10)</f>
        <v>10</v>
      </c>
      <c r="N254" s="1">
        <f ca="1">IFERROR(__xludf.DUMMYFUNCTION("""COMPUTED_VALUE"""),0)</f>
        <v>0</v>
      </c>
      <c r="O254" s="1">
        <f ca="1">IFERROR(__xludf.DUMMYFUNCTION("""COMPUTED_VALUE"""),0)</f>
        <v>0</v>
      </c>
      <c r="P254" s="1">
        <f ca="1">IFERROR(__xludf.DUMMYFUNCTION("""COMPUTED_VALUE"""),0)</f>
        <v>0</v>
      </c>
      <c r="Q254" s="1">
        <f ca="1">IFERROR(__xludf.DUMMYFUNCTION("""COMPUTED_VALUE"""),1)</f>
        <v>1</v>
      </c>
      <c r="R254" s="1">
        <f ca="1">IFERROR(__xludf.DUMMYFUNCTION("""COMPUTED_VALUE"""),0)</f>
        <v>0</v>
      </c>
      <c r="S254" s="1">
        <f ca="1">IFERROR(__xludf.DUMMYFUNCTION("""COMPUTED_VALUE"""),1)</f>
        <v>1</v>
      </c>
      <c r="T254" s="1">
        <f ca="1">IFERROR(__xludf.DUMMYFUNCTION("""COMPUTED_VALUE"""),44305.4449421296)</f>
        <v>44305.444942129601</v>
      </c>
      <c r="U254" s="1" t="str">
        <f ca="1">IFERROR(__xludf.DUMMYFUNCTION("""COMPUTED_VALUE"""),"19-04-2021")</f>
        <v>19-04-2021</v>
      </c>
    </row>
    <row r="255" spans="1:21" ht="13" x14ac:dyDescent="0.15">
      <c r="A255" s="1" t="str">
        <f t="shared" ca="1" si="0"/>
        <v>SivagangaiKarthick Multi Speciality Hospital</v>
      </c>
      <c r="B255" s="1">
        <f ca="1">IFERROR(__xludf.DUMMYFUNCTION("""COMPUTED_VALUE"""),254)</f>
        <v>254</v>
      </c>
      <c r="C255" s="1" t="str">
        <f ca="1">IFERROR(__xludf.DUMMYFUNCTION("""COMPUTED_VALUE"""),"Sivagangai")</f>
        <v>Sivagangai</v>
      </c>
      <c r="D255" s="1" t="str">
        <f ca="1">IFERROR(__xludf.DUMMYFUNCTION("""COMPUTED_VALUE"""),"Karthick Multi Speciality Hospital")</f>
        <v>Karthick Multi Speciality Hospital</v>
      </c>
      <c r="E255" s="1">
        <f ca="1">IFERROR(__xludf.DUMMYFUNCTION("""COMPUTED_VALUE"""),13)</f>
        <v>13</v>
      </c>
      <c r="F255" s="1">
        <f ca="1">IFERROR(__xludf.DUMMYFUNCTION("""COMPUTED_VALUE"""),0)</f>
        <v>0</v>
      </c>
      <c r="G255" s="1">
        <f ca="1">IFERROR(__xludf.DUMMYFUNCTION("""COMPUTED_VALUE"""),13)</f>
        <v>13</v>
      </c>
      <c r="H255" s="1">
        <f ca="1">IFERROR(__xludf.DUMMYFUNCTION("""COMPUTED_VALUE"""),9)</f>
        <v>9</v>
      </c>
      <c r="I255" s="1">
        <f ca="1">IFERROR(__xludf.DUMMYFUNCTION("""COMPUTED_VALUE"""),9)</f>
        <v>9</v>
      </c>
      <c r="J255" s="1">
        <f ca="1">IFERROR(__xludf.DUMMYFUNCTION("""COMPUTED_VALUE"""),0)</f>
        <v>0</v>
      </c>
      <c r="K255" s="1">
        <f ca="1">IFERROR(__xludf.DUMMYFUNCTION("""COMPUTED_VALUE"""),4)</f>
        <v>4</v>
      </c>
      <c r="L255" s="1">
        <f ca="1">IFERROR(__xludf.DUMMYFUNCTION("""COMPUTED_VALUE"""),0)</f>
        <v>0</v>
      </c>
      <c r="M255" s="1">
        <f ca="1">IFERROR(__xludf.DUMMYFUNCTION("""COMPUTED_VALUE"""),0)</f>
        <v>0</v>
      </c>
      <c r="N255" s="1">
        <f ca="1">IFERROR(__xludf.DUMMYFUNCTION("""COMPUTED_VALUE"""),1)</f>
        <v>1</v>
      </c>
      <c r="O255" s="1">
        <f ca="1">IFERROR(__xludf.DUMMYFUNCTION("""COMPUTED_VALUE"""),0)</f>
        <v>0</v>
      </c>
      <c r="P255" s="1">
        <f ca="1">IFERROR(__xludf.DUMMYFUNCTION("""COMPUTED_VALUE"""),0)</f>
        <v>0</v>
      </c>
      <c r="Q255" s="1">
        <f ca="1">IFERROR(__xludf.DUMMYFUNCTION("""COMPUTED_VALUE"""),1)</f>
        <v>1</v>
      </c>
      <c r="R255" s="1">
        <f ca="1">IFERROR(__xludf.DUMMYFUNCTION("""COMPUTED_VALUE"""),0)</f>
        <v>0</v>
      </c>
      <c r="S255" s="1">
        <f ca="1">IFERROR(__xludf.DUMMYFUNCTION("""COMPUTED_VALUE"""),0)</f>
        <v>0</v>
      </c>
      <c r="T255" s="1">
        <f ca="1">IFERROR(__xludf.DUMMYFUNCTION("""COMPUTED_VALUE"""),44305.3625810185)</f>
        <v>44305.362581018497</v>
      </c>
      <c r="U255" s="1" t="str">
        <f ca="1">IFERROR(__xludf.DUMMYFUNCTION("""COMPUTED_VALUE"""),"19.04.2021")</f>
        <v>19.04.2021</v>
      </c>
    </row>
    <row r="256" spans="1:21" ht="13" x14ac:dyDescent="0.15">
      <c r="A256" s="1" t="str">
        <f t="shared" ca="1" si="0"/>
        <v>ThiruchirappalliVelan Speciality Hospital, Highways Colony</v>
      </c>
      <c r="B256" s="1">
        <f ca="1">IFERROR(__xludf.DUMMYFUNCTION("""COMPUTED_VALUE"""),255)</f>
        <v>255</v>
      </c>
      <c r="C256" s="1" t="str">
        <f ca="1">IFERROR(__xludf.DUMMYFUNCTION("""COMPUTED_VALUE"""),"Thiruchirappalli")</f>
        <v>Thiruchirappalli</v>
      </c>
      <c r="D256" s="1" t="str">
        <f ca="1">IFERROR(__xludf.DUMMYFUNCTION("""COMPUTED_VALUE"""),"Velan Speciality Hospital, Highways Colony")</f>
        <v>Velan Speciality Hospital, Highways Colony</v>
      </c>
      <c r="E256" s="1">
        <f ca="1">IFERROR(__xludf.DUMMYFUNCTION("""COMPUTED_VALUE"""),15)</f>
        <v>15</v>
      </c>
      <c r="F256" s="1">
        <f ca="1">IFERROR(__xludf.DUMMYFUNCTION("""COMPUTED_VALUE"""),15)</f>
        <v>15</v>
      </c>
      <c r="G256" s="1">
        <f ca="1">IFERROR(__xludf.DUMMYFUNCTION("""COMPUTED_VALUE"""),0)</f>
        <v>0</v>
      </c>
      <c r="H256" s="1">
        <f ca="1">IFERROR(__xludf.DUMMYFUNCTION("""COMPUTED_VALUE"""),15)</f>
        <v>15</v>
      </c>
      <c r="I256" s="1">
        <f ca="1">IFERROR(__xludf.DUMMYFUNCTION("""COMPUTED_VALUE"""),15)</f>
        <v>15</v>
      </c>
      <c r="J256" s="1">
        <f ca="1">IFERROR(__xludf.DUMMYFUNCTION("""COMPUTED_VALUE"""),0)</f>
        <v>0</v>
      </c>
      <c r="K256" s="1">
        <f ca="1">IFERROR(__xludf.DUMMYFUNCTION("""COMPUTED_VALUE"""),0)</f>
        <v>0</v>
      </c>
      <c r="L256" s="1">
        <f ca="1">IFERROR(__xludf.DUMMYFUNCTION("""COMPUTED_VALUE"""),0)</f>
        <v>0</v>
      </c>
      <c r="M256" s="1">
        <f ca="1">IFERROR(__xludf.DUMMYFUNCTION("""COMPUTED_VALUE"""),0)</f>
        <v>0</v>
      </c>
      <c r="N256" s="1">
        <f ca="1">IFERROR(__xludf.DUMMYFUNCTION("""COMPUTED_VALUE"""),3)</f>
        <v>3</v>
      </c>
      <c r="O256" s="1">
        <f ca="1">IFERROR(__xludf.DUMMYFUNCTION("""COMPUTED_VALUE"""),2)</f>
        <v>2</v>
      </c>
      <c r="P256" s="1">
        <f ca="1">IFERROR(__xludf.DUMMYFUNCTION("""COMPUTED_VALUE"""),1)</f>
        <v>1</v>
      </c>
      <c r="Q256" s="1">
        <f ca="1">IFERROR(__xludf.DUMMYFUNCTION("""COMPUTED_VALUE"""),1)</f>
        <v>1</v>
      </c>
      <c r="R256" s="1">
        <f ca="1">IFERROR(__xludf.DUMMYFUNCTION("""COMPUTED_VALUE"""),0)</f>
        <v>0</v>
      </c>
      <c r="S256" s="1">
        <f ca="1">IFERROR(__xludf.DUMMYFUNCTION("""COMPUTED_VALUE"""),1)</f>
        <v>1</v>
      </c>
      <c r="T256" s="1">
        <f ca="1">IFERROR(__xludf.DUMMYFUNCTION("""COMPUTED_VALUE"""),44305.4637268518)</f>
        <v>44305.463726851798</v>
      </c>
      <c r="U256" s="1"/>
    </row>
    <row r="257" spans="1:21" ht="13" x14ac:dyDescent="0.15">
      <c r="A257" s="1" t="str">
        <f t="shared" ca="1" si="0"/>
        <v>ThoothukudiPublic Welfare Hospital Kovilpatti</v>
      </c>
      <c r="B257" s="1">
        <f ca="1">IFERROR(__xludf.DUMMYFUNCTION("""COMPUTED_VALUE"""),256)</f>
        <v>256</v>
      </c>
      <c r="C257" s="1" t="str">
        <f ca="1">IFERROR(__xludf.DUMMYFUNCTION("""COMPUTED_VALUE"""),"Thoothukudi")</f>
        <v>Thoothukudi</v>
      </c>
      <c r="D257" s="1" t="str">
        <f ca="1">IFERROR(__xludf.DUMMYFUNCTION("""COMPUTED_VALUE"""),"Public Welfare Hospital Kovilpatti")</f>
        <v>Public Welfare Hospital Kovilpatti</v>
      </c>
      <c r="E257" s="1">
        <f ca="1">IFERROR(__xludf.DUMMYFUNCTION("""COMPUTED_VALUE"""),18)</f>
        <v>18</v>
      </c>
      <c r="F257" s="1">
        <f ca="1">IFERROR(__xludf.DUMMYFUNCTION("""COMPUTED_VALUE"""),0)</f>
        <v>0</v>
      </c>
      <c r="G257" s="1">
        <f ca="1">IFERROR(__xludf.DUMMYFUNCTION("""COMPUTED_VALUE"""),18)</f>
        <v>18</v>
      </c>
      <c r="H257" s="1">
        <f ca="1">IFERROR(__xludf.DUMMYFUNCTION("""COMPUTED_VALUE"""),6)</f>
        <v>6</v>
      </c>
      <c r="I257" s="1">
        <f ca="1">IFERROR(__xludf.DUMMYFUNCTION("""COMPUTED_VALUE"""),0)</f>
        <v>0</v>
      </c>
      <c r="J257" s="1">
        <f ca="1">IFERROR(__xludf.DUMMYFUNCTION("""COMPUTED_VALUE"""),6)</f>
        <v>6</v>
      </c>
      <c r="K257" s="1">
        <f ca="1">IFERROR(__xludf.DUMMYFUNCTION("""COMPUTED_VALUE"""),11)</f>
        <v>11</v>
      </c>
      <c r="L257" s="1">
        <f ca="1">IFERROR(__xludf.DUMMYFUNCTION("""COMPUTED_VALUE"""),0)</f>
        <v>0</v>
      </c>
      <c r="M257" s="1">
        <f ca="1">IFERROR(__xludf.DUMMYFUNCTION("""COMPUTED_VALUE"""),11)</f>
        <v>11</v>
      </c>
      <c r="N257" s="1">
        <f ca="1">IFERROR(__xludf.DUMMYFUNCTION("""COMPUTED_VALUE"""),1)</f>
        <v>1</v>
      </c>
      <c r="O257" s="1">
        <f ca="1">IFERROR(__xludf.DUMMYFUNCTION("""COMPUTED_VALUE"""),0)</f>
        <v>0</v>
      </c>
      <c r="P257" s="1">
        <f ca="1">IFERROR(__xludf.DUMMYFUNCTION("""COMPUTED_VALUE"""),1)</f>
        <v>1</v>
      </c>
      <c r="Q257" s="1">
        <f ca="1">IFERROR(__xludf.DUMMYFUNCTION("""COMPUTED_VALUE"""),1)</f>
        <v>1</v>
      </c>
      <c r="R257" s="1">
        <f ca="1">IFERROR(__xludf.DUMMYFUNCTION("""COMPUTED_VALUE"""),0)</f>
        <v>0</v>
      </c>
      <c r="S257" s="1">
        <f ca="1">IFERROR(__xludf.DUMMYFUNCTION("""COMPUTED_VALUE"""),1)</f>
        <v>1</v>
      </c>
      <c r="T257" s="1">
        <f ca="1">IFERROR(__xludf.DUMMYFUNCTION("""COMPUTED_VALUE"""),44305.4159837962)</f>
        <v>44305.4159837962</v>
      </c>
      <c r="U257" s="1" t="str">
        <f ca="1">IFERROR(__xludf.DUMMYFUNCTION("""COMPUTED_VALUE"""),"Nil..")</f>
        <v>Nil..</v>
      </c>
    </row>
    <row r="258" spans="1:21" ht="13" x14ac:dyDescent="0.15">
      <c r="A258" s="1" t="str">
        <f t="shared" ca="1" si="0"/>
        <v>ChennaiMedway Women Centre, Kodambakkam</v>
      </c>
      <c r="B258" s="1">
        <f ca="1">IFERROR(__xludf.DUMMYFUNCTION("""COMPUTED_VALUE"""),257)</f>
        <v>257</v>
      </c>
      <c r="C258" s="1" t="str">
        <f ca="1">IFERROR(__xludf.DUMMYFUNCTION("""COMPUTED_VALUE"""),"Chennai")</f>
        <v>Chennai</v>
      </c>
      <c r="D258" s="1" t="str">
        <f ca="1">IFERROR(__xludf.DUMMYFUNCTION("""COMPUTED_VALUE"""),"Medway Women Centre, Kodambakkam")</f>
        <v>Medway Women Centre, Kodambakkam</v>
      </c>
      <c r="E258" s="1">
        <f ca="1">IFERROR(__xludf.DUMMYFUNCTION("""COMPUTED_VALUE"""),30)</f>
        <v>30</v>
      </c>
      <c r="F258" s="1">
        <f ca="1">IFERROR(__xludf.DUMMYFUNCTION("""COMPUTED_VALUE"""),30)</f>
        <v>30</v>
      </c>
      <c r="G258" s="1">
        <f ca="1">IFERROR(__xludf.DUMMYFUNCTION("""COMPUTED_VALUE"""),0)</f>
        <v>0</v>
      </c>
      <c r="H258" s="1">
        <f ca="1">IFERROR(__xludf.DUMMYFUNCTION("""COMPUTED_VALUE"""),26)</f>
        <v>26</v>
      </c>
      <c r="I258" s="1">
        <f ca="1">IFERROR(__xludf.DUMMYFUNCTION("""COMPUTED_VALUE"""),26)</f>
        <v>26</v>
      </c>
      <c r="J258" s="1">
        <f ca="1">IFERROR(__xludf.DUMMYFUNCTION("""COMPUTED_VALUE"""),0)</f>
        <v>0</v>
      </c>
      <c r="K258" s="1">
        <f ca="1">IFERROR(__xludf.DUMMYFUNCTION("""COMPUTED_VALUE"""),0)</f>
        <v>0</v>
      </c>
      <c r="L258" s="1">
        <f ca="1">IFERROR(__xludf.DUMMYFUNCTION("""COMPUTED_VALUE"""),0)</f>
        <v>0</v>
      </c>
      <c r="M258" s="1">
        <f ca="1">IFERROR(__xludf.DUMMYFUNCTION("""COMPUTED_VALUE"""),0)</f>
        <v>0</v>
      </c>
      <c r="N258" s="1">
        <f ca="1">IFERROR(__xludf.DUMMYFUNCTION("""COMPUTED_VALUE"""),4)</f>
        <v>4</v>
      </c>
      <c r="O258" s="1">
        <f ca="1">IFERROR(__xludf.DUMMYFUNCTION("""COMPUTED_VALUE"""),4)</f>
        <v>4</v>
      </c>
      <c r="P258" s="1">
        <f ca="1">IFERROR(__xludf.DUMMYFUNCTION("""COMPUTED_VALUE"""),0)</f>
        <v>0</v>
      </c>
      <c r="Q258" s="1">
        <f ca="1">IFERROR(__xludf.DUMMYFUNCTION("""COMPUTED_VALUE"""),4)</f>
        <v>4</v>
      </c>
      <c r="R258" s="1">
        <f ca="1">IFERROR(__xludf.DUMMYFUNCTION("""COMPUTED_VALUE"""),4)</f>
        <v>4</v>
      </c>
      <c r="S258" s="1">
        <f ca="1">IFERROR(__xludf.DUMMYFUNCTION("""COMPUTED_VALUE"""),0)</f>
        <v>0</v>
      </c>
      <c r="T258" s="1">
        <f ca="1">IFERROR(__xludf.DUMMYFUNCTION("""COMPUTED_VALUE"""),44305.2780902777)</f>
        <v>44305.278090277701</v>
      </c>
      <c r="U258" s="1" t="str">
        <f ca="1">IFERROR(__xludf.DUMMYFUNCTION("""COMPUTED_VALUE"""),"19-04-2021")</f>
        <v>19-04-2021</v>
      </c>
    </row>
    <row r="259" spans="1:21" ht="13" x14ac:dyDescent="0.15">
      <c r="A259" s="1" t="str">
        <f t="shared" ca="1" si="0"/>
        <v>DindigulK T Hospitals, Palani Bye pass Junction</v>
      </c>
      <c r="B259" s="1">
        <f ca="1">IFERROR(__xludf.DUMMYFUNCTION("""COMPUTED_VALUE"""),258)</f>
        <v>258</v>
      </c>
      <c r="C259" s="1" t="str">
        <f ca="1">IFERROR(__xludf.DUMMYFUNCTION("""COMPUTED_VALUE"""),"Dindigul")</f>
        <v>Dindigul</v>
      </c>
      <c r="D259" s="1" t="str">
        <f ca="1">IFERROR(__xludf.DUMMYFUNCTION("""COMPUTED_VALUE"""),"K T Hospitals, Palani Bye pass Junction")</f>
        <v>K T Hospitals, Palani Bye pass Junction</v>
      </c>
      <c r="E259" s="1">
        <f ca="1">IFERROR(__xludf.DUMMYFUNCTION("""COMPUTED_VALUE"""),25)</f>
        <v>25</v>
      </c>
      <c r="F259" s="1">
        <f ca="1">IFERROR(__xludf.DUMMYFUNCTION("""COMPUTED_VALUE"""),14)</f>
        <v>14</v>
      </c>
      <c r="G259" s="1">
        <f ca="1">IFERROR(__xludf.DUMMYFUNCTION("""COMPUTED_VALUE"""),11)</f>
        <v>11</v>
      </c>
      <c r="H259" s="1">
        <f ca="1">IFERROR(__xludf.DUMMYFUNCTION("""COMPUTED_VALUE"""),10)</f>
        <v>10</v>
      </c>
      <c r="I259" s="1">
        <f ca="1">IFERROR(__xludf.DUMMYFUNCTION("""COMPUTED_VALUE"""),4)</f>
        <v>4</v>
      </c>
      <c r="J259" s="1">
        <f ca="1">IFERROR(__xludf.DUMMYFUNCTION("""COMPUTED_VALUE"""),6)</f>
        <v>6</v>
      </c>
      <c r="K259" s="1">
        <f ca="1">IFERROR(__xludf.DUMMYFUNCTION("""COMPUTED_VALUE"""),10)</f>
        <v>10</v>
      </c>
      <c r="L259" s="1">
        <f ca="1">IFERROR(__xludf.DUMMYFUNCTION("""COMPUTED_VALUE"""),10)</f>
        <v>10</v>
      </c>
      <c r="M259" s="1">
        <f ca="1">IFERROR(__xludf.DUMMYFUNCTION("""COMPUTED_VALUE"""),0)</f>
        <v>0</v>
      </c>
      <c r="N259" s="1">
        <f ca="1">IFERROR(__xludf.DUMMYFUNCTION("""COMPUTED_VALUE"""),5)</f>
        <v>5</v>
      </c>
      <c r="O259" s="1">
        <f ca="1">IFERROR(__xludf.DUMMYFUNCTION("""COMPUTED_VALUE"""),0)</f>
        <v>0</v>
      </c>
      <c r="P259" s="1">
        <f ca="1">IFERROR(__xludf.DUMMYFUNCTION("""COMPUTED_VALUE"""),5)</f>
        <v>5</v>
      </c>
      <c r="Q259" s="1">
        <f ca="1">IFERROR(__xludf.DUMMYFUNCTION("""COMPUTED_VALUE"""),1)</f>
        <v>1</v>
      </c>
      <c r="R259" s="1">
        <f ca="1">IFERROR(__xludf.DUMMYFUNCTION("""COMPUTED_VALUE"""),0)</f>
        <v>0</v>
      </c>
      <c r="S259" s="1">
        <f ca="1">IFERROR(__xludf.DUMMYFUNCTION("""COMPUTED_VALUE"""),1)</f>
        <v>1</v>
      </c>
      <c r="T259" s="1">
        <f ca="1">IFERROR(__xludf.DUMMYFUNCTION("""COMPUTED_VALUE"""),44305.3507638888)</f>
        <v>44305.350763888797</v>
      </c>
      <c r="U259" s="1" t="str">
        <f ca="1">IFERROR(__xludf.DUMMYFUNCTION("""COMPUTED_VALUE"""),"19.04.2021")</f>
        <v>19.04.2021</v>
      </c>
    </row>
    <row r="260" spans="1:21" ht="13" x14ac:dyDescent="0.15">
      <c r="A260" s="1" t="str">
        <f t="shared" ca="1" si="0"/>
        <v>MaduraiRaksha Hospital, Anna Nagar</v>
      </c>
      <c r="B260" s="1">
        <f ca="1">IFERROR(__xludf.DUMMYFUNCTION("""COMPUTED_VALUE"""),259)</f>
        <v>259</v>
      </c>
      <c r="C260" s="1" t="str">
        <f ca="1">IFERROR(__xludf.DUMMYFUNCTION("""COMPUTED_VALUE"""),"Madurai")</f>
        <v>Madurai</v>
      </c>
      <c r="D260" s="1" t="str">
        <f ca="1">IFERROR(__xludf.DUMMYFUNCTION("""COMPUTED_VALUE"""),"Raksha Hospital, Anna Nagar")</f>
        <v>Raksha Hospital, Anna Nagar</v>
      </c>
      <c r="E260" s="1">
        <f ca="1">IFERROR(__xludf.DUMMYFUNCTION("""COMPUTED_VALUE"""),10)</f>
        <v>10</v>
      </c>
      <c r="F260" s="1">
        <f ca="1">IFERROR(__xludf.DUMMYFUNCTION("""COMPUTED_VALUE"""),0)</f>
        <v>0</v>
      </c>
      <c r="G260" s="1">
        <f ca="1">IFERROR(__xludf.DUMMYFUNCTION("""COMPUTED_VALUE"""),10)</f>
        <v>10</v>
      </c>
      <c r="H260" s="1">
        <f ca="1">IFERROR(__xludf.DUMMYFUNCTION("""COMPUTED_VALUE"""),10)</f>
        <v>10</v>
      </c>
      <c r="I260" s="1">
        <f ca="1">IFERROR(__xludf.DUMMYFUNCTION("""COMPUTED_VALUE"""),0)</f>
        <v>0</v>
      </c>
      <c r="J260" s="1">
        <f ca="1">IFERROR(__xludf.DUMMYFUNCTION("""COMPUTED_VALUE"""),0)</f>
        <v>0</v>
      </c>
      <c r="K260" s="1">
        <f ca="1">IFERROR(__xludf.DUMMYFUNCTION("""COMPUTED_VALUE"""),10)</f>
        <v>10</v>
      </c>
      <c r="L260" s="1">
        <f ca="1">IFERROR(__xludf.DUMMYFUNCTION("""COMPUTED_VALUE"""),0)</f>
        <v>0</v>
      </c>
      <c r="M260" s="1">
        <f ca="1">IFERROR(__xludf.DUMMYFUNCTION("""COMPUTED_VALUE"""),0)</f>
        <v>0</v>
      </c>
      <c r="N260" s="1">
        <f ca="1">IFERROR(__xludf.DUMMYFUNCTION("""COMPUTED_VALUE"""),4)</f>
        <v>4</v>
      </c>
      <c r="O260" s="1">
        <f ca="1">IFERROR(__xludf.DUMMYFUNCTION("""COMPUTED_VALUE"""),0)</f>
        <v>0</v>
      </c>
      <c r="P260" s="1">
        <f ca="1">IFERROR(__xludf.DUMMYFUNCTION("""COMPUTED_VALUE"""),3)</f>
        <v>3</v>
      </c>
      <c r="Q260" s="1">
        <f ca="1">IFERROR(__xludf.DUMMYFUNCTION("""COMPUTED_VALUE"""),0)</f>
        <v>0</v>
      </c>
      <c r="R260" s="1">
        <f ca="1">IFERROR(__xludf.DUMMYFUNCTION("""COMPUTED_VALUE"""),0)</f>
        <v>0</v>
      </c>
      <c r="S260" s="1">
        <f ca="1">IFERROR(__xludf.DUMMYFUNCTION("""COMPUTED_VALUE"""),0)</f>
        <v>0</v>
      </c>
      <c r="T260" s="1">
        <f ca="1">IFERROR(__xludf.DUMMYFUNCTION("""COMPUTED_VALUE"""),44305.4808796296)</f>
        <v>44305.480879629598</v>
      </c>
      <c r="U260" s="1" t="str">
        <f ca="1">IFERROR(__xludf.DUMMYFUNCTION("""COMPUTED_VALUE"""),"No changes 19.04.2021")</f>
        <v>No changes 19.04.2021</v>
      </c>
    </row>
    <row r="261" spans="1:21" ht="13" x14ac:dyDescent="0.15">
      <c r="A261" s="1" t="str">
        <f t="shared" ca="1" si="0"/>
        <v>MaduraiThirusenthilandavar Multispeciality Hospital</v>
      </c>
      <c r="B261" s="1">
        <f ca="1">IFERROR(__xludf.DUMMYFUNCTION("""COMPUTED_VALUE"""),260)</f>
        <v>260</v>
      </c>
      <c r="C261" s="1" t="str">
        <f ca="1">IFERROR(__xludf.DUMMYFUNCTION("""COMPUTED_VALUE"""),"Madurai")</f>
        <v>Madurai</v>
      </c>
      <c r="D261" s="1" t="str">
        <f ca="1">IFERROR(__xludf.DUMMYFUNCTION("""COMPUTED_VALUE"""),"Thirusenthilandavar Multispeciality Hospital")</f>
        <v>Thirusenthilandavar Multispeciality Hospital</v>
      </c>
      <c r="E261" s="1">
        <f ca="1">IFERROR(__xludf.DUMMYFUNCTION("""COMPUTED_VALUE"""),10)</f>
        <v>10</v>
      </c>
      <c r="F261" s="1">
        <f ca="1">IFERROR(__xludf.DUMMYFUNCTION("""COMPUTED_VALUE"""),0)</f>
        <v>0</v>
      </c>
      <c r="G261" s="1">
        <f ca="1">IFERROR(__xludf.DUMMYFUNCTION("""COMPUTED_VALUE"""),10)</f>
        <v>10</v>
      </c>
      <c r="H261" s="1">
        <f ca="1">IFERROR(__xludf.DUMMYFUNCTION("""COMPUTED_VALUE"""),2)</f>
        <v>2</v>
      </c>
      <c r="I261" s="1">
        <f ca="1">IFERROR(__xludf.DUMMYFUNCTION("""COMPUTED_VALUE"""),0)</f>
        <v>0</v>
      </c>
      <c r="J261" s="1">
        <f ca="1">IFERROR(__xludf.DUMMYFUNCTION("""COMPUTED_VALUE"""),2)</f>
        <v>2</v>
      </c>
      <c r="K261" s="1">
        <f ca="1">IFERROR(__xludf.DUMMYFUNCTION("""COMPUTED_VALUE"""),6)</f>
        <v>6</v>
      </c>
      <c r="L261" s="1">
        <f ca="1">IFERROR(__xludf.DUMMYFUNCTION("""COMPUTED_VALUE"""),0)</f>
        <v>0</v>
      </c>
      <c r="M261" s="1">
        <f ca="1">IFERROR(__xludf.DUMMYFUNCTION("""COMPUTED_VALUE"""),6)</f>
        <v>6</v>
      </c>
      <c r="N261" s="1">
        <f ca="1">IFERROR(__xludf.DUMMYFUNCTION("""COMPUTED_VALUE"""),2)</f>
        <v>2</v>
      </c>
      <c r="O261" s="1">
        <f ca="1">IFERROR(__xludf.DUMMYFUNCTION("""COMPUTED_VALUE"""),0)</f>
        <v>0</v>
      </c>
      <c r="P261" s="1">
        <f ca="1">IFERROR(__xludf.DUMMYFUNCTION("""COMPUTED_VALUE"""),2)</f>
        <v>2</v>
      </c>
      <c r="Q261" s="1">
        <f ca="1">IFERROR(__xludf.DUMMYFUNCTION("""COMPUTED_VALUE"""),1)</f>
        <v>1</v>
      </c>
      <c r="R261" s="1">
        <f ca="1">IFERROR(__xludf.DUMMYFUNCTION("""COMPUTED_VALUE"""),0)</f>
        <v>0</v>
      </c>
      <c r="S261" s="1">
        <f ca="1">IFERROR(__xludf.DUMMYFUNCTION("""COMPUTED_VALUE"""),1)</f>
        <v>1</v>
      </c>
      <c r="T261" s="1">
        <f ca="1">IFERROR(__xludf.DUMMYFUNCTION("""COMPUTED_VALUE"""),44305.3152546296)</f>
        <v>44305.315254629597</v>
      </c>
      <c r="U261" s="1" t="str">
        <f ca="1">IFERROR(__xludf.DUMMYFUNCTION("""COMPUTED_VALUE"""),"Updated on 19.04.2021")</f>
        <v>Updated on 19.04.2021</v>
      </c>
    </row>
    <row r="262" spans="1:21" ht="13" x14ac:dyDescent="0.15">
      <c r="A262" s="1" t="str">
        <f t="shared" ca="1" si="0"/>
        <v>SivagangaiMadha Hospital, Manamadurai</v>
      </c>
      <c r="B262" s="1">
        <f ca="1">IFERROR(__xludf.DUMMYFUNCTION("""COMPUTED_VALUE"""),261)</f>
        <v>261</v>
      </c>
      <c r="C262" s="1" t="str">
        <f ca="1">IFERROR(__xludf.DUMMYFUNCTION("""COMPUTED_VALUE"""),"Sivagangai")</f>
        <v>Sivagangai</v>
      </c>
      <c r="D262" s="1" t="str">
        <f ca="1">IFERROR(__xludf.DUMMYFUNCTION("""COMPUTED_VALUE"""),"Madha Hospital, Manamadurai")</f>
        <v>Madha Hospital, Manamadurai</v>
      </c>
      <c r="E262" s="1">
        <f ca="1">IFERROR(__xludf.DUMMYFUNCTION("""COMPUTED_VALUE"""),50)</f>
        <v>50</v>
      </c>
      <c r="F262" s="1">
        <f ca="1">IFERROR(__xludf.DUMMYFUNCTION("""COMPUTED_VALUE"""),2)</f>
        <v>2</v>
      </c>
      <c r="G262" s="1">
        <f ca="1">IFERROR(__xludf.DUMMYFUNCTION("""COMPUTED_VALUE"""),48)</f>
        <v>48</v>
      </c>
      <c r="H262" s="1">
        <f ca="1">IFERROR(__xludf.DUMMYFUNCTION("""COMPUTED_VALUE"""),10)</f>
        <v>10</v>
      </c>
      <c r="I262" s="1">
        <f ca="1">IFERROR(__xludf.DUMMYFUNCTION("""COMPUTED_VALUE"""),1)</f>
        <v>1</v>
      </c>
      <c r="J262" s="1">
        <f ca="1">IFERROR(__xludf.DUMMYFUNCTION("""COMPUTED_VALUE"""),9)</f>
        <v>9</v>
      </c>
      <c r="K262" s="1">
        <f ca="1">IFERROR(__xludf.DUMMYFUNCTION("""COMPUTED_VALUE"""),40)</f>
        <v>40</v>
      </c>
      <c r="L262" s="1">
        <f ca="1">IFERROR(__xludf.DUMMYFUNCTION("""COMPUTED_VALUE"""),1)</f>
        <v>1</v>
      </c>
      <c r="M262" s="1">
        <f ca="1">IFERROR(__xludf.DUMMYFUNCTION("""COMPUTED_VALUE"""),39)</f>
        <v>39</v>
      </c>
      <c r="N262" s="1">
        <f ca="1">IFERROR(__xludf.DUMMYFUNCTION("""COMPUTED_VALUE"""),10)</f>
        <v>10</v>
      </c>
      <c r="O262" s="1">
        <f ca="1">IFERROR(__xludf.DUMMYFUNCTION("""COMPUTED_VALUE"""),0)</f>
        <v>0</v>
      </c>
      <c r="P262" s="1">
        <f ca="1">IFERROR(__xludf.DUMMYFUNCTION("""COMPUTED_VALUE"""),10)</f>
        <v>10</v>
      </c>
      <c r="Q262" s="1">
        <f ca="1">IFERROR(__xludf.DUMMYFUNCTION("""COMPUTED_VALUE"""),1)</f>
        <v>1</v>
      </c>
      <c r="R262" s="1">
        <f ca="1">IFERROR(__xludf.DUMMYFUNCTION("""COMPUTED_VALUE"""),0)</f>
        <v>0</v>
      </c>
      <c r="S262" s="1">
        <f ca="1">IFERROR(__xludf.DUMMYFUNCTION("""COMPUTED_VALUE"""),1)</f>
        <v>1</v>
      </c>
      <c r="T262" s="1">
        <f ca="1">IFERROR(__xludf.DUMMYFUNCTION("""COMPUTED_VALUE"""),44305.4174884259)</f>
        <v>44305.417488425897</v>
      </c>
      <c r="U262" s="1" t="str">
        <f ca="1">IFERROR(__xludf.DUMMYFUNCTION("""COMPUTED_VALUE"""),"Updated")</f>
        <v>Updated</v>
      </c>
    </row>
    <row r="263" spans="1:21" ht="13" x14ac:dyDescent="0.15">
      <c r="A263" s="1" t="str">
        <f t="shared" ca="1" si="0"/>
        <v>MaduraiAhana Hospital,11,Subramanian st,Annanagar,Madurai</v>
      </c>
      <c r="B263" s="1">
        <f ca="1">IFERROR(__xludf.DUMMYFUNCTION("""COMPUTED_VALUE"""),262)</f>
        <v>262</v>
      </c>
      <c r="C263" s="1" t="str">
        <f ca="1">IFERROR(__xludf.DUMMYFUNCTION("""COMPUTED_VALUE"""),"Madurai")</f>
        <v>Madurai</v>
      </c>
      <c r="D263" s="1" t="str">
        <f ca="1">IFERROR(__xludf.DUMMYFUNCTION("""COMPUTED_VALUE"""),"Ahana Hospital,11,Subramanian st,Annanagar,Madurai")</f>
        <v>Ahana Hospital,11,Subramanian st,Annanagar,Madurai</v>
      </c>
      <c r="E263" s="1">
        <f ca="1">IFERROR(__xludf.DUMMYFUNCTION("""COMPUTED_VALUE"""),35)</f>
        <v>35</v>
      </c>
      <c r="F263" s="1">
        <f ca="1">IFERROR(__xludf.DUMMYFUNCTION("""COMPUTED_VALUE"""),29)</f>
        <v>29</v>
      </c>
      <c r="G263" s="1">
        <f ca="1">IFERROR(__xludf.DUMMYFUNCTION("""COMPUTED_VALUE"""),6)</f>
        <v>6</v>
      </c>
      <c r="H263" s="1">
        <f ca="1">IFERROR(__xludf.DUMMYFUNCTION("""COMPUTED_VALUE"""),34)</f>
        <v>34</v>
      </c>
      <c r="I263" s="1">
        <f ca="1">IFERROR(__xludf.DUMMYFUNCTION("""COMPUTED_VALUE"""),28)</f>
        <v>28</v>
      </c>
      <c r="J263" s="1">
        <f ca="1">IFERROR(__xludf.DUMMYFUNCTION("""COMPUTED_VALUE"""),6)</f>
        <v>6</v>
      </c>
      <c r="K263" s="1">
        <f ca="1">IFERROR(__xludf.DUMMYFUNCTION("""COMPUTED_VALUE"""),0)</f>
        <v>0</v>
      </c>
      <c r="L263" s="1">
        <f ca="1">IFERROR(__xludf.DUMMYFUNCTION("""COMPUTED_VALUE"""),0)</f>
        <v>0</v>
      </c>
      <c r="M263" s="1">
        <f ca="1">IFERROR(__xludf.DUMMYFUNCTION("""COMPUTED_VALUE"""),0)</f>
        <v>0</v>
      </c>
      <c r="N263" s="1">
        <f ca="1">IFERROR(__xludf.DUMMYFUNCTION("""COMPUTED_VALUE"""),1)</f>
        <v>1</v>
      </c>
      <c r="O263" s="1">
        <f ca="1">IFERROR(__xludf.DUMMYFUNCTION("""COMPUTED_VALUE"""),1)</f>
        <v>1</v>
      </c>
      <c r="P263" s="1">
        <f ca="1">IFERROR(__xludf.DUMMYFUNCTION("""COMPUTED_VALUE"""),0)</f>
        <v>0</v>
      </c>
      <c r="Q263" s="1">
        <f ca="1">IFERROR(__xludf.DUMMYFUNCTION("""COMPUTED_VALUE"""),1)</f>
        <v>1</v>
      </c>
      <c r="R263" s="1">
        <f ca="1">IFERROR(__xludf.DUMMYFUNCTION("""COMPUTED_VALUE"""),0)</f>
        <v>0</v>
      </c>
      <c r="S263" s="1">
        <f ca="1">IFERROR(__xludf.DUMMYFUNCTION("""COMPUTED_VALUE"""),1)</f>
        <v>1</v>
      </c>
      <c r="T263" s="1">
        <f ca="1">IFERROR(__xludf.DUMMYFUNCTION("""COMPUTED_VALUE"""),44305.3047106481)</f>
        <v>44305.304710648103</v>
      </c>
      <c r="U263" s="1" t="str">
        <f ca="1">IFERROR(__xludf.DUMMYFUNCTION("""COMPUTED_VALUE"""),"Nil...")</f>
        <v>Nil...</v>
      </c>
    </row>
    <row r="264" spans="1:21" ht="13" x14ac:dyDescent="0.15">
      <c r="A264" s="1" t="str">
        <f t="shared" ca="1" si="0"/>
        <v>ChennaiApollo Hospital, OMR, Perungudi</v>
      </c>
      <c r="B264" s="1">
        <f ca="1">IFERROR(__xludf.DUMMYFUNCTION("""COMPUTED_VALUE"""),263)</f>
        <v>263</v>
      </c>
      <c r="C264" s="1" t="str">
        <f ca="1">IFERROR(__xludf.DUMMYFUNCTION("""COMPUTED_VALUE"""),"Chennai")</f>
        <v>Chennai</v>
      </c>
      <c r="D264" s="1" t="str">
        <f ca="1">IFERROR(__xludf.DUMMYFUNCTION("""COMPUTED_VALUE"""),"Apollo Hospital, OMR, Perungudi")</f>
        <v>Apollo Hospital, OMR, Perungudi</v>
      </c>
      <c r="E264" s="1">
        <f ca="1">IFERROR(__xludf.DUMMYFUNCTION("""COMPUTED_VALUE"""),20)</f>
        <v>20</v>
      </c>
      <c r="F264" s="1">
        <f ca="1">IFERROR(__xludf.DUMMYFUNCTION("""COMPUTED_VALUE"""),19)</f>
        <v>19</v>
      </c>
      <c r="G264" s="1">
        <f ca="1">IFERROR(__xludf.DUMMYFUNCTION("""COMPUTED_VALUE"""),0)</f>
        <v>0</v>
      </c>
      <c r="H264" s="1">
        <f ca="1">IFERROR(__xludf.DUMMYFUNCTION("""COMPUTED_VALUE"""),10)</f>
        <v>10</v>
      </c>
      <c r="I264" s="1">
        <f ca="1">IFERROR(__xludf.DUMMYFUNCTION("""COMPUTED_VALUE"""),10)</f>
        <v>10</v>
      </c>
      <c r="J264" s="1">
        <f ca="1">IFERROR(__xludf.DUMMYFUNCTION("""COMPUTED_VALUE"""),0)</f>
        <v>0</v>
      </c>
      <c r="K264" s="1">
        <f ca="1">IFERROR(__xludf.DUMMYFUNCTION("""COMPUTED_VALUE"""),0)</f>
        <v>0</v>
      </c>
      <c r="L264" s="1">
        <f ca="1">IFERROR(__xludf.DUMMYFUNCTION("""COMPUTED_VALUE"""),0)</f>
        <v>0</v>
      </c>
      <c r="M264" s="1">
        <f ca="1">IFERROR(__xludf.DUMMYFUNCTION("""COMPUTED_VALUE"""),0)</f>
        <v>0</v>
      </c>
      <c r="N264" s="1">
        <f ca="1">IFERROR(__xludf.DUMMYFUNCTION("""COMPUTED_VALUE"""),10)</f>
        <v>10</v>
      </c>
      <c r="O264" s="1">
        <f ca="1">IFERROR(__xludf.DUMMYFUNCTION("""COMPUTED_VALUE"""),9)</f>
        <v>9</v>
      </c>
      <c r="P264" s="1">
        <f ca="1">IFERROR(__xludf.DUMMYFUNCTION("""COMPUTED_VALUE"""),1)</f>
        <v>1</v>
      </c>
      <c r="Q264" s="1">
        <f ca="1">IFERROR(__xludf.DUMMYFUNCTION("""COMPUTED_VALUE"""),4)</f>
        <v>4</v>
      </c>
      <c r="R264" s="1">
        <f ca="1">IFERROR(__xludf.DUMMYFUNCTION("""COMPUTED_VALUE"""),2)</f>
        <v>2</v>
      </c>
      <c r="S264" s="1">
        <f ca="1">IFERROR(__xludf.DUMMYFUNCTION("""COMPUTED_VALUE"""),2)</f>
        <v>2</v>
      </c>
      <c r="T264" s="1">
        <f ca="1">IFERROR(__xludf.DUMMYFUNCTION("""COMPUTED_VALUE"""),44304.5611921296)</f>
        <v>44304.5611921296</v>
      </c>
      <c r="U264" s="1" t="str">
        <f ca="1">IFERROR(__xludf.DUMMYFUNCTION("""COMPUTED_VALUE"""),"Updated 16/4/2020")</f>
        <v>Updated 16/4/2020</v>
      </c>
    </row>
    <row r="265" spans="1:21" ht="13" x14ac:dyDescent="0.15">
      <c r="A265" s="1" t="str">
        <f t="shared" ca="1" si="0"/>
        <v>ChennaiK.G.J Hospitals, Korattur</v>
      </c>
      <c r="B265" s="1">
        <f ca="1">IFERROR(__xludf.DUMMYFUNCTION("""COMPUTED_VALUE"""),264)</f>
        <v>264</v>
      </c>
      <c r="C265" s="1" t="str">
        <f ca="1">IFERROR(__xludf.DUMMYFUNCTION("""COMPUTED_VALUE"""),"Chennai")</f>
        <v>Chennai</v>
      </c>
      <c r="D265" s="1" t="str">
        <f ca="1">IFERROR(__xludf.DUMMYFUNCTION("""COMPUTED_VALUE"""),"K.G.J Hospitals, Korattur")</f>
        <v>K.G.J Hospitals, Korattur</v>
      </c>
      <c r="E265" s="1">
        <f ca="1">IFERROR(__xludf.DUMMYFUNCTION("""COMPUTED_VALUE"""),20)</f>
        <v>20</v>
      </c>
      <c r="F265" s="1">
        <f ca="1">IFERROR(__xludf.DUMMYFUNCTION("""COMPUTED_VALUE"""),14)</f>
        <v>14</v>
      </c>
      <c r="G265" s="1">
        <f ca="1">IFERROR(__xludf.DUMMYFUNCTION("""COMPUTED_VALUE"""),6)</f>
        <v>6</v>
      </c>
      <c r="H265" s="1">
        <f ca="1">IFERROR(__xludf.DUMMYFUNCTION("""COMPUTED_VALUE"""),20)</f>
        <v>20</v>
      </c>
      <c r="I265" s="1">
        <f ca="1">IFERROR(__xludf.DUMMYFUNCTION("""COMPUTED_VALUE"""),14)</f>
        <v>14</v>
      </c>
      <c r="J265" s="1">
        <f ca="1">IFERROR(__xludf.DUMMYFUNCTION("""COMPUTED_VALUE"""),6)</f>
        <v>6</v>
      </c>
      <c r="K265" s="1">
        <f ca="1">IFERROR(__xludf.DUMMYFUNCTION("""COMPUTED_VALUE"""),0)</f>
        <v>0</v>
      </c>
      <c r="L265" s="1">
        <f ca="1">IFERROR(__xludf.DUMMYFUNCTION("""COMPUTED_VALUE"""),0)</f>
        <v>0</v>
      </c>
      <c r="M265" s="1">
        <f ca="1">IFERROR(__xludf.DUMMYFUNCTION("""COMPUTED_VALUE"""),0)</f>
        <v>0</v>
      </c>
      <c r="N265" s="1">
        <f ca="1">IFERROR(__xludf.DUMMYFUNCTION("""COMPUTED_VALUE"""),5)</f>
        <v>5</v>
      </c>
      <c r="O265" s="1">
        <f ca="1">IFERROR(__xludf.DUMMYFUNCTION("""COMPUTED_VALUE"""),0)</f>
        <v>0</v>
      </c>
      <c r="P265" s="1">
        <f ca="1">IFERROR(__xludf.DUMMYFUNCTION("""COMPUTED_VALUE"""),5)</f>
        <v>5</v>
      </c>
      <c r="Q265" s="1">
        <f ca="1">IFERROR(__xludf.DUMMYFUNCTION("""COMPUTED_VALUE"""),2)</f>
        <v>2</v>
      </c>
      <c r="R265" s="1">
        <f ca="1">IFERROR(__xludf.DUMMYFUNCTION("""COMPUTED_VALUE"""),0)</f>
        <v>0</v>
      </c>
      <c r="S265" s="1">
        <f ca="1">IFERROR(__xludf.DUMMYFUNCTION("""COMPUTED_VALUE"""),2)</f>
        <v>2</v>
      </c>
      <c r="T265" s="1">
        <f ca="1">IFERROR(__xludf.DUMMYFUNCTION("""COMPUTED_VALUE"""),44305.5690162037)</f>
        <v>44305.569016203699</v>
      </c>
      <c r="U265" s="1" t="str">
        <f ca="1">IFERROR(__xludf.DUMMYFUNCTION("""COMPUTED_VALUE"""),"Updated 19/04/2021")</f>
        <v>Updated 19/04/2021</v>
      </c>
    </row>
    <row r="266" spans="1:21" ht="13" x14ac:dyDescent="0.15">
      <c r="A266" s="1" t="str">
        <f t="shared" ca="1" si="0"/>
        <v>ChennaiPadmapriya Hospital, Adyar</v>
      </c>
      <c r="B266" s="1">
        <f ca="1">IFERROR(__xludf.DUMMYFUNCTION("""COMPUTED_VALUE"""),265)</f>
        <v>265</v>
      </c>
      <c r="C266" s="1" t="str">
        <f ca="1">IFERROR(__xludf.DUMMYFUNCTION("""COMPUTED_VALUE"""),"Chennai")</f>
        <v>Chennai</v>
      </c>
      <c r="D266" s="1" t="str">
        <f ca="1">IFERROR(__xludf.DUMMYFUNCTION("""COMPUTED_VALUE"""),"Padmapriya Hospital, Adyar")</f>
        <v>Padmapriya Hospital, Adyar</v>
      </c>
      <c r="E266" s="1">
        <f ca="1">IFERROR(__xludf.DUMMYFUNCTION("""COMPUTED_VALUE"""),5)</f>
        <v>5</v>
      </c>
      <c r="F266" s="1">
        <f ca="1">IFERROR(__xludf.DUMMYFUNCTION("""COMPUTED_VALUE"""),0)</f>
        <v>0</v>
      </c>
      <c r="G266" s="1">
        <f ca="1">IFERROR(__xludf.DUMMYFUNCTION("""COMPUTED_VALUE"""),5)</f>
        <v>5</v>
      </c>
      <c r="H266" s="1">
        <f ca="1">IFERROR(__xludf.DUMMYFUNCTION("""COMPUTED_VALUE"""),14)</f>
        <v>14</v>
      </c>
      <c r="I266" s="1">
        <f ca="1">IFERROR(__xludf.DUMMYFUNCTION("""COMPUTED_VALUE"""),0)</f>
        <v>0</v>
      </c>
      <c r="J266" s="1">
        <f ca="1">IFERROR(__xludf.DUMMYFUNCTION("""COMPUTED_VALUE"""),14)</f>
        <v>14</v>
      </c>
      <c r="K266" s="1">
        <f ca="1">IFERROR(__xludf.DUMMYFUNCTION("""COMPUTED_VALUE"""),1)</f>
        <v>1</v>
      </c>
      <c r="L266" s="1">
        <f ca="1">IFERROR(__xludf.DUMMYFUNCTION("""COMPUTED_VALUE"""),0)</f>
        <v>0</v>
      </c>
      <c r="M266" s="1">
        <f ca="1">IFERROR(__xludf.DUMMYFUNCTION("""COMPUTED_VALUE"""),1)</f>
        <v>1</v>
      </c>
      <c r="N266" s="1">
        <f ca="1">IFERROR(__xludf.DUMMYFUNCTION("""COMPUTED_VALUE"""),0)</f>
        <v>0</v>
      </c>
      <c r="O266" s="1">
        <f ca="1">IFERROR(__xludf.DUMMYFUNCTION("""COMPUTED_VALUE"""),0)</f>
        <v>0</v>
      </c>
      <c r="P266" s="1">
        <f ca="1">IFERROR(__xludf.DUMMYFUNCTION("""COMPUTED_VALUE"""),0)</f>
        <v>0</v>
      </c>
      <c r="Q266" s="1">
        <f ca="1">IFERROR(__xludf.DUMMYFUNCTION("""COMPUTED_VALUE"""),1)</f>
        <v>1</v>
      </c>
      <c r="R266" s="1">
        <f ca="1">IFERROR(__xludf.DUMMYFUNCTION("""COMPUTED_VALUE"""),0)</f>
        <v>0</v>
      </c>
      <c r="S266" s="1">
        <f ca="1">IFERROR(__xludf.DUMMYFUNCTION("""COMPUTED_VALUE"""),1)</f>
        <v>1</v>
      </c>
      <c r="T266" s="1">
        <f ca="1">IFERROR(__xludf.DUMMYFUNCTION("""COMPUTED_VALUE"""),44305.3747337963)</f>
        <v>44305.3747337963</v>
      </c>
      <c r="U266" s="1" t="str">
        <f ca="1">IFERROR(__xludf.DUMMYFUNCTION("""COMPUTED_VALUE"""),"updated 19-04-2021")</f>
        <v>updated 19-04-2021</v>
      </c>
    </row>
    <row r="267" spans="1:21" ht="13" x14ac:dyDescent="0.15">
      <c r="A267" s="1" t="str">
        <f t="shared" ca="1" si="0"/>
        <v>ChennaiPriya Nursing Home, Old Washermenpet</v>
      </c>
      <c r="B267" s="1">
        <f ca="1">IFERROR(__xludf.DUMMYFUNCTION("""COMPUTED_VALUE"""),266)</f>
        <v>266</v>
      </c>
      <c r="C267" s="1" t="str">
        <f ca="1">IFERROR(__xludf.DUMMYFUNCTION("""COMPUTED_VALUE"""),"Chennai")</f>
        <v>Chennai</v>
      </c>
      <c r="D267" s="1" t="str">
        <f ca="1">IFERROR(__xludf.DUMMYFUNCTION("""COMPUTED_VALUE"""),"Priya Nursing Home, Old Washermenpet")</f>
        <v>Priya Nursing Home, Old Washermenpet</v>
      </c>
      <c r="E267" s="1">
        <f ca="1">IFERROR(__xludf.DUMMYFUNCTION("""COMPUTED_VALUE"""),10)</f>
        <v>10</v>
      </c>
      <c r="F267" s="1">
        <f ca="1">IFERROR(__xludf.DUMMYFUNCTION("""COMPUTED_VALUE"""),10)</f>
        <v>10</v>
      </c>
      <c r="G267" s="1">
        <f ca="1">IFERROR(__xludf.DUMMYFUNCTION("""COMPUTED_VALUE"""),0)</f>
        <v>0</v>
      </c>
      <c r="H267" s="1">
        <f ca="1">IFERROR(__xludf.DUMMYFUNCTION("""COMPUTED_VALUE"""),0)</f>
        <v>0</v>
      </c>
      <c r="I267" s="1">
        <f ca="1">IFERROR(__xludf.DUMMYFUNCTION("""COMPUTED_VALUE"""),0)</f>
        <v>0</v>
      </c>
      <c r="J267" s="1">
        <f ca="1">IFERROR(__xludf.DUMMYFUNCTION("""COMPUTED_VALUE"""),0)</f>
        <v>0</v>
      </c>
      <c r="K267" s="1">
        <f ca="1">IFERROR(__xludf.DUMMYFUNCTION("""COMPUTED_VALUE"""),0)</f>
        <v>0</v>
      </c>
      <c r="L267" s="1">
        <f ca="1">IFERROR(__xludf.DUMMYFUNCTION("""COMPUTED_VALUE"""),0)</f>
        <v>0</v>
      </c>
      <c r="M267" s="1">
        <f ca="1">IFERROR(__xludf.DUMMYFUNCTION("""COMPUTED_VALUE"""),0)</f>
        <v>0</v>
      </c>
      <c r="N267" s="1">
        <f ca="1">IFERROR(__xludf.DUMMYFUNCTION("""COMPUTED_VALUE"""),5)</f>
        <v>5</v>
      </c>
      <c r="O267" s="1">
        <f ca="1">IFERROR(__xludf.DUMMYFUNCTION("""COMPUTED_VALUE"""),0)</f>
        <v>0</v>
      </c>
      <c r="P267" s="1">
        <f ca="1">IFERROR(__xludf.DUMMYFUNCTION("""COMPUTED_VALUE"""),0)</f>
        <v>0</v>
      </c>
      <c r="Q267" s="1">
        <f ca="1">IFERROR(__xludf.DUMMYFUNCTION("""COMPUTED_VALUE"""),0)</f>
        <v>0</v>
      </c>
      <c r="R267" s="1">
        <f ca="1">IFERROR(__xludf.DUMMYFUNCTION("""COMPUTED_VALUE"""),0)</f>
        <v>0</v>
      </c>
      <c r="S267" s="1">
        <f ca="1">IFERROR(__xludf.DUMMYFUNCTION("""COMPUTED_VALUE"""),0)</f>
        <v>0</v>
      </c>
      <c r="T267" s="1">
        <f ca="1">IFERROR(__xludf.DUMMYFUNCTION("""COMPUTED_VALUE"""),44305.6756828703)</f>
        <v>44305.6756828703</v>
      </c>
      <c r="U267" s="1" t="str">
        <f ca="1">IFERROR(__xludf.DUMMYFUNCTION("""COMPUTED_VALUE"""),"19/04/2021")</f>
        <v>19/04/2021</v>
      </c>
    </row>
    <row r="268" spans="1:21" ht="13" x14ac:dyDescent="0.15">
      <c r="A268" s="1" t="str">
        <f t="shared" ca="1" si="0"/>
        <v>ChennaiSaraswathy Multi Speciality Hospitals, Madipakkam</v>
      </c>
      <c r="B268" s="1">
        <f ca="1">IFERROR(__xludf.DUMMYFUNCTION("""COMPUTED_VALUE"""),267)</f>
        <v>267</v>
      </c>
      <c r="C268" s="1" t="str">
        <f ca="1">IFERROR(__xludf.DUMMYFUNCTION("""COMPUTED_VALUE"""),"Chennai")</f>
        <v>Chennai</v>
      </c>
      <c r="D268" s="1" t="str">
        <f ca="1">IFERROR(__xludf.DUMMYFUNCTION("""COMPUTED_VALUE"""),"Saraswathy Multi Speciality Hospitals, Madipakkam")</f>
        <v>Saraswathy Multi Speciality Hospitals, Madipakkam</v>
      </c>
      <c r="E268" s="1">
        <f ca="1">IFERROR(__xludf.DUMMYFUNCTION("""COMPUTED_VALUE"""),75)</f>
        <v>75</v>
      </c>
      <c r="F268" s="1">
        <f ca="1">IFERROR(__xludf.DUMMYFUNCTION("""COMPUTED_VALUE"""),74)</f>
        <v>74</v>
      </c>
      <c r="G268" s="1">
        <f ca="1">IFERROR(__xludf.DUMMYFUNCTION("""COMPUTED_VALUE"""),1)</f>
        <v>1</v>
      </c>
      <c r="H268" s="1">
        <f ca="1">IFERROR(__xludf.DUMMYFUNCTION("""COMPUTED_VALUE"""),20)</f>
        <v>20</v>
      </c>
      <c r="I268" s="1">
        <f ca="1">IFERROR(__xludf.DUMMYFUNCTION("""COMPUTED_VALUE"""),20)</f>
        <v>20</v>
      </c>
      <c r="J268" s="1">
        <f ca="1">IFERROR(__xludf.DUMMYFUNCTION("""COMPUTED_VALUE"""),0)</f>
        <v>0</v>
      </c>
      <c r="K268" s="1">
        <f ca="1">IFERROR(__xludf.DUMMYFUNCTION("""COMPUTED_VALUE"""),25)</f>
        <v>25</v>
      </c>
      <c r="L268" s="1">
        <f ca="1">IFERROR(__xludf.DUMMYFUNCTION("""COMPUTED_VALUE"""),24)</f>
        <v>24</v>
      </c>
      <c r="M268" s="1">
        <f ca="1">IFERROR(__xludf.DUMMYFUNCTION("""COMPUTED_VALUE"""),1)</f>
        <v>1</v>
      </c>
      <c r="N268" s="1">
        <f ca="1">IFERROR(__xludf.DUMMYFUNCTION("""COMPUTED_VALUE"""),30)</f>
        <v>30</v>
      </c>
      <c r="O268" s="1">
        <f ca="1">IFERROR(__xludf.DUMMYFUNCTION("""COMPUTED_VALUE"""),30)</f>
        <v>30</v>
      </c>
      <c r="P268" s="1">
        <f ca="1">IFERROR(__xludf.DUMMYFUNCTION("""COMPUTED_VALUE"""),0)</f>
        <v>0</v>
      </c>
      <c r="Q268" s="1">
        <f ca="1">IFERROR(__xludf.DUMMYFUNCTION("""COMPUTED_VALUE"""),6)</f>
        <v>6</v>
      </c>
      <c r="R268" s="1">
        <f ca="1">IFERROR(__xludf.DUMMYFUNCTION("""COMPUTED_VALUE"""),5)</f>
        <v>5</v>
      </c>
      <c r="S268" s="1">
        <f ca="1">IFERROR(__xludf.DUMMYFUNCTION("""COMPUTED_VALUE"""),1)</f>
        <v>1</v>
      </c>
      <c r="T268" s="1">
        <f ca="1">IFERROR(__xludf.DUMMYFUNCTION("""COMPUTED_VALUE"""),44305.3010069444)</f>
        <v>44305.301006944399</v>
      </c>
      <c r="U268" s="1"/>
    </row>
    <row r="269" spans="1:21" ht="13" x14ac:dyDescent="0.15">
      <c r="A269" s="1" t="str">
        <f t="shared" ca="1" si="0"/>
        <v>ChennaiSuman Hospital, Thiruvotriyur</v>
      </c>
      <c r="B269" s="1">
        <f ca="1">IFERROR(__xludf.DUMMYFUNCTION("""COMPUTED_VALUE"""),268)</f>
        <v>268</v>
      </c>
      <c r="C269" s="1" t="str">
        <f ca="1">IFERROR(__xludf.DUMMYFUNCTION("""COMPUTED_VALUE"""),"Chennai")</f>
        <v>Chennai</v>
      </c>
      <c r="D269" s="1" t="str">
        <f ca="1">IFERROR(__xludf.DUMMYFUNCTION("""COMPUTED_VALUE"""),"Suman Hospital, Thiruvotriyur")</f>
        <v>Suman Hospital, Thiruvotriyur</v>
      </c>
      <c r="E269" s="1">
        <f ca="1">IFERROR(__xludf.DUMMYFUNCTION("""COMPUTED_VALUE"""),25)</f>
        <v>25</v>
      </c>
      <c r="F269" s="1">
        <f ca="1">IFERROR(__xludf.DUMMYFUNCTION("""COMPUTED_VALUE"""),11)</f>
        <v>11</v>
      </c>
      <c r="G269" s="1">
        <f ca="1">IFERROR(__xludf.DUMMYFUNCTION("""COMPUTED_VALUE"""),14)</f>
        <v>14</v>
      </c>
      <c r="H269" s="1">
        <f ca="1">IFERROR(__xludf.DUMMYFUNCTION("""COMPUTED_VALUE"""),15)</f>
        <v>15</v>
      </c>
      <c r="I269" s="1">
        <f ca="1">IFERROR(__xludf.DUMMYFUNCTION("""COMPUTED_VALUE"""),11)</f>
        <v>11</v>
      </c>
      <c r="J269" s="1">
        <f ca="1">IFERROR(__xludf.DUMMYFUNCTION("""COMPUTED_VALUE"""),4)</f>
        <v>4</v>
      </c>
      <c r="K269" s="1">
        <f ca="1">IFERROR(__xludf.DUMMYFUNCTION("""COMPUTED_VALUE"""),0)</f>
        <v>0</v>
      </c>
      <c r="L269" s="1">
        <f ca="1">IFERROR(__xludf.DUMMYFUNCTION("""COMPUTED_VALUE"""),0)</f>
        <v>0</v>
      </c>
      <c r="M269" s="1">
        <f ca="1">IFERROR(__xludf.DUMMYFUNCTION("""COMPUTED_VALUE"""),0)</f>
        <v>0</v>
      </c>
      <c r="N269" s="1">
        <f ca="1">IFERROR(__xludf.DUMMYFUNCTION("""COMPUTED_VALUE"""),5)</f>
        <v>5</v>
      </c>
      <c r="O269" s="1">
        <f ca="1">IFERROR(__xludf.DUMMYFUNCTION("""COMPUTED_VALUE"""),0)</f>
        <v>0</v>
      </c>
      <c r="P269" s="1">
        <f ca="1">IFERROR(__xludf.DUMMYFUNCTION("""COMPUTED_VALUE"""),0)</f>
        <v>0</v>
      </c>
      <c r="Q269" s="1">
        <f ca="1">IFERROR(__xludf.DUMMYFUNCTION("""COMPUTED_VALUE"""),2)</f>
        <v>2</v>
      </c>
      <c r="R269" s="1">
        <f ca="1">IFERROR(__xludf.DUMMYFUNCTION("""COMPUTED_VALUE"""),0)</f>
        <v>0</v>
      </c>
      <c r="S269" s="1">
        <f ca="1">IFERROR(__xludf.DUMMYFUNCTION("""COMPUTED_VALUE"""),0)</f>
        <v>0</v>
      </c>
      <c r="T269" s="1">
        <f ca="1">IFERROR(__xludf.DUMMYFUNCTION("""COMPUTED_VALUE"""),44305.4359375)</f>
        <v>44305.435937499999</v>
      </c>
      <c r="U269" s="1" t="str">
        <f ca="1">IFERROR(__xludf.DUMMYFUNCTION("""COMPUTED_VALUE"""),"19-04-2021")</f>
        <v>19-04-2021</v>
      </c>
    </row>
    <row r="270" spans="1:21" ht="13" x14ac:dyDescent="0.15">
      <c r="A270" s="1" t="str">
        <f t="shared" ca="1" si="0"/>
        <v>ChennaiThe Madras Medical Mission, Mogappair</v>
      </c>
      <c r="B270" s="1">
        <f ca="1">IFERROR(__xludf.DUMMYFUNCTION("""COMPUTED_VALUE"""),269)</f>
        <v>269</v>
      </c>
      <c r="C270" s="1" t="str">
        <f ca="1">IFERROR(__xludf.DUMMYFUNCTION("""COMPUTED_VALUE"""),"Chennai")</f>
        <v>Chennai</v>
      </c>
      <c r="D270" s="1" t="str">
        <f ca="1">IFERROR(__xludf.DUMMYFUNCTION("""COMPUTED_VALUE"""),"The Madras Medical Mission, Mogappair")</f>
        <v>The Madras Medical Mission, Mogappair</v>
      </c>
      <c r="E270" s="1">
        <f ca="1">IFERROR(__xludf.DUMMYFUNCTION("""COMPUTED_VALUE"""),15)</f>
        <v>15</v>
      </c>
      <c r="F270" s="1">
        <f ca="1">IFERROR(__xludf.DUMMYFUNCTION("""COMPUTED_VALUE"""),0)</f>
        <v>0</v>
      </c>
      <c r="G270" s="1">
        <f ca="1">IFERROR(__xludf.DUMMYFUNCTION("""COMPUTED_VALUE"""),15)</f>
        <v>15</v>
      </c>
      <c r="H270" s="1">
        <f ca="1">IFERROR(__xludf.DUMMYFUNCTION("""COMPUTED_VALUE"""),13)</f>
        <v>13</v>
      </c>
      <c r="I270" s="1">
        <f ca="1">IFERROR(__xludf.DUMMYFUNCTION("""COMPUTED_VALUE"""),0)</f>
        <v>0</v>
      </c>
      <c r="J270" s="1">
        <f ca="1">IFERROR(__xludf.DUMMYFUNCTION("""COMPUTED_VALUE"""),13)</f>
        <v>13</v>
      </c>
      <c r="K270" s="1">
        <f ca="1">IFERROR(__xludf.DUMMYFUNCTION("""COMPUTED_VALUE"""),0)</f>
        <v>0</v>
      </c>
      <c r="L270" s="1">
        <f ca="1">IFERROR(__xludf.DUMMYFUNCTION("""COMPUTED_VALUE"""),0)</f>
        <v>0</v>
      </c>
      <c r="M270" s="1">
        <f ca="1">IFERROR(__xludf.DUMMYFUNCTION("""COMPUTED_VALUE"""),0)</f>
        <v>0</v>
      </c>
      <c r="N270" s="1">
        <f ca="1">IFERROR(__xludf.DUMMYFUNCTION("""COMPUTED_VALUE"""),2)</f>
        <v>2</v>
      </c>
      <c r="O270" s="1">
        <f ca="1">IFERROR(__xludf.DUMMYFUNCTION("""COMPUTED_VALUE"""),0)</f>
        <v>0</v>
      </c>
      <c r="P270" s="1">
        <f ca="1">IFERROR(__xludf.DUMMYFUNCTION("""COMPUTED_VALUE"""),2)</f>
        <v>2</v>
      </c>
      <c r="Q270" s="1">
        <f ca="1">IFERROR(__xludf.DUMMYFUNCTION("""COMPUTED_VALUE"""),1)</f>
        <v>1</v>
      </c>
      <c r="R270" s="1">
        <f ca="1">IFERROR(__xludf.DUMMYFUNCTION("""COMPUTED_VALUE"""),0)</f>
        <v>0</v>
      </c>
      <c r="S270" s="1">
        <f ca="1">IFERROR(__xludf.DUMMYFUNCTION("""COMPUTED_VALUE"""),1)</f>
        <v>1</v>
      </c>
      <c r="T270" s="1">
        <f ca="1">IFERROR(__xludf.DUMMYFUNCTION("""COMPUTED_VALUE"""),44305.3317476851)</f>
        <v>44305.331747685101</v>
      </c>
      <c r="U270" s="1" t="str">
        <f ca="1">IFERROR(__xludf.DUMMYFUNCTION("""COMPUTED_VALUE"""),"19-04-2021")</f>
        <v>19-04-2021</v>
      </c>
    </row>
    <row r="271" spans="1:21" ht="13" x14ac:dyDescent="0.15">
      <c r="A271" s="1" t="str">
        <f t="shared" ca="1" si="0"/>
        <v>CoimbatoreAbinand Hospital</v>
      </c>
      <c r="B271" s="1">
        <f ca="1">IFERROR(__xludf.DUMMYFUNCTION("""COMPUTED_VALUE"""),270)</f>
        <v>270</v>
      </c>
      <c r="C271" s="1" t="str">
        <f ca="1">IFERROR(__xludf.DUMMYFUNCTION("""COMPUTED_VALUE"""),"Coimbatore")</f>
        <v>Coimbatore</v>
      </c>
      <c r="D271" s="1" t="str">
        <f ca="1">IFERROR(__xludf.DUMMYFUNCTION("""COMPUTED_VALUE"""),"Abinand Hospital")</f>
        <v>Abinand Hospital</v>
      </c>
      <c r="E271" s="1">
        <f ca="1">IFERROR(__xludf.DUMMYFUNCTION("""COMPUTED_VALUE"""),55)</f>
        <v>55</v>
      </c>
      <c r="F271" s="1">
        <f ca="1">IFERROR(__xludf.DUMMYFUNCTION("""COMPUTED_VALUE"""),39)</f>
        <v>39</v>
      </c>
      <c r="G271" s="1">
        <f ca="1">IFERROR(__xludf.DUMMYFUNCTION("""COMPUTED_VALUE"""),16)</f>
        <v>16</v>
      </c>
      <c r="H271" s="1">
        <f ca="1">IFERROR(__xludf.DUMMYFUNCTION("""COMPUTED_VALUE"""),20)</f>
        <v>20</v>
      </c>
      <c r="I271" s="1">
        <f ca="1">IFERROR(__xludf.DUMMYFUNCTION("""COMPUTED_VALUE"""),20)</f>
        <v>20</v>
      </c>
      <c r="J271" s="1">
        <f ca="1">IFERROR(__xludf.DUMMYFUNCTION("""COMPUTED_VALUE"""),0)</f>
        <v>0</v>
      </c>
      <c r="K271" s="1">
        <f ca="1">IFERROR(__xludf.DUMMYFUNCTION("""COMPUTED_VALUE"""),30)</f>
        <v>30</v>
      </c>
      <c r="L271" s="1">
        <f ca="1">IFERROR(__xludf.DUMMYFUNCTION("""COMPUTED_VALUE"""),16)</f>
        <v>16</v>
      </c>
      <c r="M271" s="1">
        <f ca="1">IFERROR(__xludf.DUMMYFUNCTION("""COMPUTED_VALUE"""),14)</f>
        <v>14</v>
      </c>
      <c r="N271" s="1">
        <f ca="1">IFERROR(__xludf.DUMMYFUNCTION("""COMPUTED_VALUE"""),5)</f>
        <v>5</v>
      </c>
      <c r="O271" s="1">
        <f ca="1">IFERROR(__xludf.DUMMYFUNCTION("""COMPUTED_VALUE"""),3)</f>
        <v>3</v>
      </c>
      <c r="P271" s="1">
        <f ca="1">IFERROR(__xludf.DUMMYFUNCTION("""COMPUTED_VALUE"""),2)</f>
        <v>2</v>
      </c>
      <c r="Q271" s="1">
        <f ca="1">IFERROR(__xludf.DUMMYFUNCTION("""COMPUTED_VALUE"""),5)</f>
        <v>5</v>
      </c>
      <c r="R271" s="1">
        <f ca="1">IFERROR(__xludf.DUMMYFUNCTION("""COMPUTED_VALUE"""),0)</f>
        <v>0</v>
      </c>
      <c r="S271" s="1">
        <f ca="1">IFERROR(__xludf.DUMMYFUNCTION("""COMPUTED_VALUE"""),5)</f>
        <v>5</v>
      </c>
      <c r="T271" s="1">
        <f ca="1">IFERROR(__xludf.DUMMYFUNCTION("""COMPUTED_VALUE"""),44305.4195833333)</f>
        <v>44305.4195833333</v>
      </c>
      <c r="U271" s="1" t="str">
        <f ca="1">IFERROR(__xludf.DUMMYFUNCTION("""COMPUTED_VALUE"""),"on 19.04.2021")</f>
        <v>on 19.04.2021</v>
      </c>
    </row>
    <row r="272" spans="1:21" ht="13" x14ac:dyDescent="0.15">
      <c r="A272" s="1" t="str">
        <f t="shared" ca="1" si="0"/>
        <v>CoimbatoreSree Abirami Hospital, Coimbatore TN.</v>
      </c>
      <c r="B272" s="1">
        <f ca="1">IFERROR(__xludf.DUMMYFUNCTION("""COMPUTED_VALUE"""),271)</f>
        <v>271</v>
      </c>
      <c r="C272" s="1" t="str">
        <f ca="1">IFERROR(__xludf.DUMMYFUNCTION("""COMPUTED_VALUE"""),"Coimbatore")</f>
        <v>Coimbatore</v>
      </c>
      <c r="D272" s="1" t="str">
        <f ca="1">IFERROR(__xludf.DUMMYFUNCTION("""COMPUTED_VALUE"""),"Sree Abirami Hospital, Coimbatore TN.")</f>
        <v>Sree Abirami Hospital, Coimbatore TN.</v>
      </c>
      <c r="E272" s="1">
        <f ca="1">IFERROR(__xludf.DUMMYFUNCTION("""COMPUTED_VALUE"""),60)</f>
        <v>60</v>
      </c>
      <c r="F272" s="1">
        <f ca="1">IFERROR(__xludf.DUMMYFUNCTION("""COMPUTED_VALUE"""),54)</f>
        <v>54</v>
      </c>
      <c r="G272" s="1">
        <f ca="1">IFERROR(__xludf.DUMMYFUNCTION("""COMPUTED_VALUE"""),6)</f>
        <v>6</v>
      </c>
      <c r="H272" s="1">
        <f ca="1">IFERROR(__xludf.DUMMYFUNCTION("""COMPUTED_VALUE"""),40)</f>
        <v>40</v>
      </c>
      <c r="I272" s="1">
        <f ca="1">IFERROR(__xludf.DUMMYFUNCTION("""COMPUTED_VALUE"""),40)</f>
        <v>40</v>
      </c>
      <c r="J272" s="1">
        <f ca="1">IFERROR(__xludf.DUMMYFUNCTION("""COMPUTED_VALUE"""),0)</f>
        <v>0</v>
      </c>
      <c r="K272" s="1">
        <f ca="1">IFERROR(__xludf.DUMMYFUNCTION("""COMPUTED_VALUE"""),10)</f>
        <v>10</v>
      </c>
      <c r="L272" s="1">
        <f ca="1">IFERROR(__xludf.DUMMYFUNCTION("""COMPUTED_VALUE"""),6)</f>
        <v>6</v>
      </c>
      <c r="M272" s="1">
        <f ca="1">IFERROR(__xludf.DUMMYFUNCTION("""COMPUTED_VALUE"""),4)</f>
        <v>4</v>
      </c>
      <c r="N272" s="1">
        <f ca="1">IFERROR(__xludf.DUMMYFUNCTION("""COMPUTED_VALUE"""),10)</f>
        <v>10</v>
      </c>
      <c r="O272" s="1">
        <f ca="1">IFERROR(__xludf.DUMMYFUNCTION("""COMPUTED_VALUE"""),10)</f>
        <v>10</v>
      </c>
      <c r="P272" s="1">
        <f ca="1">IFERROR(__xludf.DUMMYFUNCTION("""COMPUTED_VALUE"""),0)</f>
        <v>0</v>
      </c>
      <c r="Q272" s="1">
        <f ca="1">IFERROR(__xludf.DUMMYFUNCTION("""COMPUTED_VALUE"""),3)</f>
        <v>3</v>
      </c>
      <c r="R272" s="1">
        <f ca="1">IFERROR(__xludf.DUMMYFUNCTION("""COMPUTED_VALUE"""),3)</f>
        <v>3</v>
      </c>
      <c r="S272" s="1">
        <f ca="1">IFERROR(__xludf.DUMMYFUNCTION("""COMPUTED_VALUE"""),0)</f>
        <v>0</v>
      </c>
      <c r="T272" s="1">
        <f ca="1">IFERROR(__xludf.DUMMYFUNCTION("""COMPUTED_VALUE"""),44305.4841435185)</f>
        <v>44305.484143518501</v>
      </c>
      <c r="U272" s="1" t="str">
        <f ca="1">IFERROR(__xludf.DUMMYFUNCTION("""COMPUTED_VALUE"""),"19/4")</f>
        <v>19/4</v>
      </c>
    </row>
    <row r="273" spans="1:21" ht="13" x14ac:dyDescent="0.15">
      <c r="A273" s="1" t="str">
        <f t="shared" ca="1" si="0"/>
        <v>ErodeKovai Medical Centre,Erode TN.</v>
      </c>
      <c r="B273" s="1">
        <f ca="1">IFERROR(__xludf.DUMMYFUNCTION("""COMPUTED_VALUE"""),272)</f>
        <v>272</v>
      </c>
      <c r="C273" s="1" t="str">
        <f ca="1">IFERROR(__xludf.DUMMYFUNCTION("""COMPUTED_VALUE"""),"Erode")</f>
        <v>Erode</v>
      </c>
      <c r="D273" s="1" t="str">
        <f ca="1">IFERROR(__xludf.DUMMYFUNCTION("""COMPUTED_VALUE"""),"Kovai Medical Centre,Erode TN.")</f>
        <v>Kovai Medical Centre,Erode TN.</v>
      </c>
      <c r="E273" s="1">
        <f ca="1">IFERROR(__xludf.DUMMYFUNCTION("""COMPUTED_VALUE"""),45)</f>
        <v>45</v>
      </c>
      <c r="F273" s="1">
        <f ca="1">IFERROR(__xludf.DUMMYFUNCTION("""COMPUTED_VALUE"""),0)</f>
        <v>0</v>
      </c>
      <c r="G273" s="1">
        <f ca="1">IFERROR(__xludf.DUMMYFUNCTION("""COMPUTED_VALUE"""),45)</f>
        <v>45</v>
      </c>
      <c r="H273" s="1">
        <f ca="1">IFERROR(__xludf.DUMMYFUNCTION("""COMPUTED_VALUE"""),20)</f>
        <v>20</v>
      </c>
      <c r="I273" s="1">
        <f ca="1">IFERROR(__xludf.DUMMYFUNCTION("""COMPUTED_VALUE"""),0)</f>
        <v>0</v>
      </c>
      <c r="J273" s="1">
        <f ca="1">IFERROR(__xludf.DUMMYFUNCTION("""COMPUTED_VALUE"""),20)</f>
        <v>20</v>
      </c>
      <c r="K273" s="1">
        <f ca="1">IFERROR(__xludf.DUMMYFUNCTION("""COMPUTED_VALUE"""),25)</f>
        <v>25</v>
      </c>
      <c r="L273" s="1">
        <f ca="1">IFERROR(__xludf.DUMMYFUNCTION("""COMPUTED_VALUE"""),0)</f>
        <v>0</v>
      </c>
      <c r="M273" s="1">
        <f ca="1">IFERROR(__xludf.DUMMYFUNCTION("""COMPUTED_VALUE"""),25)</f>
        <v>25</v>
      </c>
      <c r="N273" s="1">
        <f ca="1">IFERROR(__xludf.DUMMYFUNCTION("""COMPUTED_VALUE"""),0)</f>
        <v>0</v>
      </c>
      <c r="O273" s="1">
        <f ca="1">IFERROR(__xludf.DUMMYFUNCTION("""COMPUTED_VALUE"""),0)</f>
        <v>0</v>
      </c>
      <c r="P273" s="1">
        <f ca="1">IFERROR(__xludf.DUMMYFUNCTION("""COMPUTED_VALUE"""),0)</f>
        <v>0</v>
      </c>
      <c r="Q273" s="1">
        <f ca="1">IFERROR(__xludf.DUMMYFUNCTION("""COMPUTED_VALUE"""),0)</f>
        <v>0</v>
      </c>
      <c r="R273" s="1">
        <f ca="1">IFERROR(__xludf.DUMMYFUNCTION("""COMPUTED_VALUE"""),0)</f>
        <v>0</v>
      </c>
      <c r="S273" s="1">
        <f ca="1">IFERROR(__xludf.DUMMYFUNCTION("""COMPUTED_VALUE"""),0)</f>
        <v>0</v>
      </c>
      <c r="T273" s="1">
        <f ca="1">IFERROR(__xludf.DUMMYFUNCTION("""COMPUTED_VALUE"""),44270.5688425925)</f>
        <v>44270.568842592496</v>
      </c>
      <c r="U273" s="1" t="str">
        <f ca="1">IFERROR(__xludf.DUMMYFUNCTION("""COMPUTED_VALUE"""),".")</f>
        <v>.</v>
      </c>
    </row>
    <row r="274" spans="1:21" ht="13" x14ac:dyDescent="0.15">
      <c r="A274" s="1" t="str">
        <f t="shared" ca="1" si="0"/>
        <v>KancheepuramTCS, Sirucherry</v>
      </c>
      <c r="B274" s="1">
        <f ca="1">IFERROR(__xludf.DUMMYFUNCTION("""COMPUTED_VALUE"""),273)</f>
        <v>273</v>
      </c>
      <c r="C274" s="1" t="str">
        <f ca="1">IFERROR(__xludf.DUMMYFUNCTION("""COMPUTED_VALUE"""),"Kancheepuram")</f>
        <v>Kancheepuram</v>
      </c>
      <c r="D274" s="1" t="str">
        <f ca="1">IFERROR(__xludf.DUMMYFUNCTION("""COMPUTED_VALUE"""),"TCS, Sirucherry")</f>
        <v>TCS, Sirucherry</v>
      </c>
      <c r="E274" s="1">
        <f ca="1">IFERROR(__xludf.DUMMYFUNCTION("""COMPUTED_VALUE"""),48)</f>
        <v>48</v>
      </c>
      <c r="F274" s="1">
        <f ca="1">IFERROR(__xludf.DUMMYFUNCTION("""COMPUTED_VALUE"""),8)</f>
        <v>8</v>
      </c>
      <c r="G274" s="1">
        <f ca="1">IFERROR(__xludf.DUMMYFUNCTION("""COMPUTED_VALUE"""),40)</f>
        <v>40</v>
      </c>
      <c r="H274" s="1">
        <f ca="1">IFERROR(__xludf.DUMMYFUNCTION("""COMPUTED_VALUE"""),0)</f>
        <v>0</v>
      </c>
      <c r="I274" s="1">
        <f ca="1">IFERROR(__xludf.DUMMYFUNCTION("""COMPUTED_VALUE"""),0)</f>
        <v>0</v>
      </c>
      <c r="J274" s="1">
        <f ca="1">IFERROR(__xludf.DUMMYFUNCTION("""COMPUTED_VALUE"""),0)</f>
        <v>0</v>
      </c>
      <c r="K274" s="1">
        <f ca="1">IFERROR(__xludf.DUMMYFUNCTION("""COMPUTED_VALUE"""),48)</f>
        <v>48</v>
      </c>
      <c r="L274" s="1">
        <f ca="1">IFERROR(__xludf.DUMMYFUNCTION("""COMPUTED_VALUE"""),8)</f>
        <v>8</v>
      </c>
      <c r="M274" s="1">
        <f ca="1">IFERROR(__xludf.DUMMYFUNCTION("""COMPUTED_VALUE"""),40)</f>
        <v>40</v>
      </c>
      <c r="N274" s="1">
        <f ca="1">IFERROR(__xludf.DUMMYFUNCTION("""COMPUTED_VALUE"""),0)</f>
        <v>0</v>
      </c>
      <c r="O274" s="1">
        <f ca="1">IFERROR(__xludf.DUMMYFUNCTION("""COMPUTED_VALUE"""),0)</f>
        <v>0</v>
      </c>
      <c r="P274" s="1">
        <f ca="1">IFERROR(__xludf.DUMMYFUNCTION("""COMPUTED_VALUE"""),0)</f>
        <v>0</v>
      </c>
      <c r="Q274" s="1">
        <f ca="1">IFERROR(__xludf.DUMMYFUNCTION("""COMPUTED_VALUE"""),0)</f>
        <v>0</v>
      </c>
      <c r="R274" s="1">
        <f ca="1">IFERROR(__xludf.DUMMYFUNCTION("""COMPUTED_VALUE"""),0)</f>
        <v>0</v>
      </c>
      <c r="S274" s="1">
        <f ca="1">IFERROR(__xludf.DUMMYFUNCTION("""COMPUTED_VALUE"""),0)</f>
        <v>0</v>
      </c>
      <c r="T274" s="1">
        <f ca="1">IFERROR(__xludf.DUMMYFUNCTION("""COMPUTED_VALUE"""),44305.305625)</f>
        <v>44305.305625000001</v>
      </c>
      <c r="U274" s="1" t="str">
        <f ca="1">IFERROR(__xludf.DUMMYFUNCTION("""COMPUTED_VALUE"""),"UPDATED TILL 19/04/2021 08:00AM")</f>
        <v>UPDATED TILL 19/04/2021 08:00AM</v>
      </c>
    </row>
    <row r="275" spans="1:21" ht="13" x14ac:dyDescent="0.15">
      <c r="A275" s="1" t="str">
        <f t="shared" ca="1" si="0"/>
        <v>KanyakumariBethesda Hospital, Nagercoil</v>
      </c>
      <c r="B275" s="1">
        <f ca="1">IFERROR(__xludf.DUMMYFUNCTION("""COMPUTED_VALUE"""),274)</f>
        <v>274</v>
      </c>
      <c r="C275" s="1" t="str">
        <f ca="1">IFERROR(__xludf.DUMMYFUNCTION("""COMPUTED_VALUE"""),"Kanyakumari")</f>
        <v>Kanyakumari</v>
      </c>
      <c r="D275" s="1" t="str">
        <f ca="1">IFERROR(__xludf.DUMMYFUNCTION("""COMPUTED_VALUE"""),"Bethesda Hospital, Nagercoil")</f>
        <v>Bethesda Hospital, Nagercoil</v>
      </c>
      <c r="E275" s="1">
        <f ca="1">IFERROR(__xludf.DUMMYFUNCTION("""COMPUTED_VALUE"""),31)</f>
        <v>31</v>
      </c>
      <c r="F275" s="1">
        <f ca="1">IFERROR(__xludf.DUMMYFUNCTION("""COMPUTED_VALUE"""),11)</f>
        <v>11</v>
      </c>
      <c r="G275" s="1">
        <f ca="1">IFERROR(__xludf.DUMMYFUNCTION("""COMPUTED_VALUE"""),20)</f>
        <v>20</v>
      </c>
      <c r="H275" s="1">
        <f ca="1">IFERROR(__xludf.DUMMYFUNCTION("""COMPUTED_VALUE"""),31)</f>
        <v>31</v>
      </c>
      <c r="I275" s="1">
        <f ca="1">IFERROR(__xludf.DUMMYFUNCTION("""COMPUTED_VALUE"""),11)</f>
        <v>11</v>
      </c>
      <c r="J275" s="1">
        <f ca="1">IFERROR(__xludf.DUMMYFUNCTION("""COMPUTED_VALUE"""),20)</f>
        <v>20</v>
      </c>
      <c r="K275" s="1">
        <f ca="1">IFERROR(__xludf.DUMMYFUNCTION("""COMPUTED_VALUE"""),11)</f>
        <v>11</v>
      </c>
      <c r="L275" s="1">
        <f ca="1">IFERROR(__xludf.DUMMYFUNCTION("""COMPUTED_VALUE"""),11)</f>
        <v>11</v>
      </c>
      <c r="M275" s="1">
        <f ca="1">IFERROR(__xludf.DUMMYFUNCTION("""COMPUTED_VALUE"""),11)</f>
        <v>11</v>
      </c>
      <c r="N275" s="1">
        <f ca="1">IFERROR(__xludf.DUMMYFUNCTION("""COMPUTED_VALUE"""),7)</f>
        <v>7</v>
      </c>
      <c r="O275" s="1">
        <f ca="1">IFERROR(__xludf.DUMMYFUNCTION("""COMPUTED_VALUE"""),0)</f>
        <v>0</v>
      </c>
      <c r="P275" s="1">
        <f ca="1">IFERROR(__xludf.DUMMYFUNCTION("""COMPUTED_VALUE"""),7)</f>
        <v>7</v>
      </c>
      <c r="Q275" s="1">
        <f ca="1">IFERROR(__xludf.DUMMYFUNCTION("""COMPUTED_VALUE"""),2)</f>
        <v>2</v>
      </c>
      <c r="R275" s="1">
        <f ca="1">IFERROR(__xludf.DUMMYFUNCTION("""COMPUTED_VALUE"""),0)</f>
        <v>0</v>
      </c>
      <c r="S275" s="1">
        <f ca="1">IFERROR(__xludf.DUMMYFUNCTION("""COMPUTED_VALUE"""),2)</f>
        <v>2</v>
      </c>
      <c r="T275" s="1">
        <f ca="1">IFERROR(__xludf.DUMMYFUNCTION("""COMPUTED_VALUE"""),44305.4623958333)</f>
        <v>44305.462395833303</v>
      </c>
      <c r="U275" s="1"/>
    </row>
    <row r="276" spans="1:21" ht="13" x14ac:dyDescent="0.15">
      <c r="A276" s="1" t="str">
        <f t="shared" ca="1" si="0"/>
        <v>KanyakumariSiva Hospital, Nagercoil</v>
      </c>
      <c r="B276" s="1">
        <f ca="1">IFERROR(__xludf.DUMMYFUNCTION("""COMPUTED_VALUE"""),275)</f>
        <v>275</v>
      </c>
      <c r="C276" s="1" t="str">
        <f ca="1">IFERROR(__xludf.DUMMYFUNCTION("""COMPUTED_VALUE"""),"Kanyakumari")</f>
        <v>Kanyakumari</v>
      </c>
      <c r="D276" s="1" t="str">
        <f ca="1">IFERROR(__xludf.DUMMYFUNCTION("""COMPUTED_VALUE"""),"Siva Hospital, Nagercoil")</f>
        <v>Siva Hospital, Nagercoil</v>
      </c>
      <c r="E276" s="1">
        <f ca="1">IFERROR(__xludf.DUMMYFUNCTION("""COMPUTED_VALUE"""),50)</f>
        <v>50</v>
      </c>
      <c r="F276" s="1">
        <f ca="1">IFERROR(__xludf.DUMMYFUNCTION("""COMPUTED_VALUE"""),27)</f>
        <v>27</v>
      </c>
      <c r="G276" s="1">
        <f ca="1">IFERROR(__xludf.DUMMYFUNCTION("""COMPUTED_VALUE"""),23)</f>
        <v>23</v>
      </c>
      <c r="H276" s="1">
        <f ca="1">IFERROR(__xludf.DUMMYFUNCTION("""COMPUTED_VALUE"""),18)</f>
        <v>18</v>
      </c>
      <c r="I276" s="1">
        <f ca="1">IFERROR(__xludf.DUMMYFUNCTION("""COMPUTED_VALUE"""),0)</f>
        <v>0</v>
      </c>
      <c r="J276" s="1">
        <f ca="1">IFERROR(__xludf.DUMMYFUNCTION("""COMPUTED_VALUE"""),18)</f>
        <v>18</v>
      </c>
      <c r="K276" s="1">
        <f ca="1">IFERROR(__xludf.DUMMYFUNCTION("""COMPUTED_VALUE"""),30)</f>
        <v>30</v>
      </c>
      <c r="L276" s="1">
        <f ca="1">IFERROR(__xludf.DUMMYFUNCTION("""COMPUTED_VALUE"""),27)</f>
        <v>27</v>
      </c>
      <c r="M276" s="1">
        <f ca="1">IFERROR(__xludf.DUMMYFUNCTION("""COMPUTED_VALUE"""),3)</f>
        <v>3</v>
      </c>
      <c r="N276" s="1">
        <f ca="1">IFERROR(__xludf.DUMMYFUNCTION("""COMPUTED_VALUE"""),10)</f>
        <v>10</v>
      </c>
      <c r="O276" s="1">
        <f ca="1">IFERROR(__xludf.DUMMYFUNCTION("""COMPUTED_VALUE"""),0)</f>
        <v>0</v>
      </c>
      <c r="P276" s="1">
        <f ca="1">IFERROR(__xludf.DUMMYFUNCTION("""COMPUTED_VALUE"""),10)</f>
        <v>10</v>
      </c>
      <c r="Q276" s="1">
        <f ca="1">IFERROR(__xludf.DUMMYFUNCTION("""COMPUTED_VALUE"""),3)</f>
        <v>3</v>
      </c>
      <c r="R276" s="1">
        <f ca="1">IFERROR(__xludf.DUMMYFUNCTION("""COMPUTED_VALUE"""),0)</f>
        <v>0</v>
      </c>
      <c r="S276" s="1">
        <f ca="1">IFERROR(__xludf.DUMMYFUNCTION("""COMPUTED_VALUE"""),3)</f>
        <v>3</v>
      </c>
      <c r="T276" s="1">
        <f ca="1">IFERROR(__xludf.DUMMYFUNCTION("""COMPUTED_VALUE"""),44305.3154050925)</f>
        <v>44305.3154050925</v>
      </c>
      <c r="U276" s="1" t="str">
        <f ca="1">IFERROR(__xludf.DUMMYFUNCTION("""COMPUTED_VALUE"""),".")</f>
        <v>.</v>
      </c>
    </row>
    <row r="277" spans="1:21" ht="13" x14ac:dyDescent="0.15">
      <c r="A277" s="1" t="str">
        <f t="shared" ca="1" si="0"/>
        <v>KarurABS Hospital, Thanthonimalai</v>
      </c>
      <c r="B277" s="1">
        <f ca="1">IFERROR(__xludf.DUMMYFUNCTION("""COMPUTED_VALUE"""),276)</f>
        <v>276</v>
      </c>
      <c r="C277" s="1" t="str">
        <f ca="1">IFERROR(__xludf.DUMMYFUNCTION("""COMPUTED_VALUE"""),"Karur")</f>
        <v>Karur</v>
      </c>
      <c r="D277" s="1" t="str">
        <f ca="1">IFERROR(__xludf.DUMMYFUNCTION("""COMPUTED_VALUE"""),"ABS Hospital, Thanthonimalai")</f>
        <v>ABS Hospital, Thanthonimalai</v>
      </c>
      <c r="E277" s="1">
        <f ca="1">IFERROR(__xludf.DUMMYFUNCTION("""COMPUTED_VALUE"""),30)</f>
        <v>30</v>
      </c>
      <c r="F277" s="1">
        <f ca="1">IFERROR(__xludf.DUMMYFUNCTION("""COMPUTED_VALUE"""),21)</f>
        <v>21</v>
      </c>
      <c r="G277" s="1">
        <f ca="1">IFERROR(__xludf.DUMMYFUNCTION("""COMPUTED_VALUE"""),9)</f>
        <v>9</v>
      </c>
      <c r="H277" s="1">
        <f ca="1">IFERROR(__xludf.DUMMYFUNCTION("""COMPUTED_VALUE"""),30)</f>
        <v>30</v>
      </c>
      <c r="I277" s="1">
        <f ca="1">IFERROR(__xludf.DUMMYFUNCTION("""COMPUTED_VALUE"""),21)</f>
        <v>21</v>
      </c>
      <c r="J277" s="1">
        <f ca="1">IFERROR(__xludf.DUMMYFUNCTION("""COMPUTED_VALUE"""),9)</f>
        <v>9</v>
      </c>
      <c r="K277" s="1">
        <f ca="1">IFERROR(__xludf.DUMMYFUNCTION("""COMPUTED_VALUE"""),0)</f>
        <v>0</v>
      </c>
      <c r="L277" s="1">
        <f ca="1">IFERROR(__xludf.DUMMYFUNCTION("""COMPUTED_VALUE"""),0)</f>
        <v>0</v>
      </c>
      <c r="M277" s="1">
        <f ca="1">IFERROR(__xludf.DUMMYFUNCTION("""COMPUTED_VALUE"""),0)</f>
        <v>0</v>
      </c>
      <c r="N277" s="1">
        <f ca="1">IFERROR(__xludf.DUMMYFUNCTION("""COMPUTED_VALUE"""),0)</f>
        <v>0</v>
      </c>
      <c r="O277" s="1">
        <f ca="1">IFERROR(__xludf.DUMMYFUNCTION("""COMPUTED_VALUE"""),6)</f>
        <v>6</v>
      </c>
      <c r="P277" s="1">
        <f ca="1">IFERROR(__xludf.DUMMYFUNCTION("""COMPUTED_VALUE"""),2)</f>
        <v>2</v>
      </c>
      <c r="Q277" s="1">
        <f ca="1">IFERROR(__xludf.DUMMYFUNCTION("""COMPUTED_VALUE"""),3)</f>
        <v>3</v>
      </c>
      <c r="R277" s="1">
        <f ca="1">IFERROR(__xludf.DUMMYFUNCTION("""COMPUTED_VALUE"""),0)</f>
        <v>0</v>
      </c>
      <c r="S277" s="1">
        <f ca="1">IFERROR(__xludf.DUMMYFUNCTION("""COMPUTED_VALUE"""),3)</f>
        <v>3</v>
      </c>
      <c r="T277" s="1">
        <f ca="1">IFERROR(__xludf.DUMMYFUNCTION("""COMPUTED_VALUE"""),44305.2799884259)</f>
        <v>44305.2799884259</v>
      </c>
      <c r="U277" s="1" t="str">
        <f ca="1">IFERROR(__xludf.DUMMYFUNCTION("""COMPUTED_VALUE"""),"19.04.2021")</f>
        <v>19.04.2021</v>
      </c>
    </row>
    <row r="278" spans="1:21" ht="13" x14ac:dyDescent="0.15">
      <c r="A278" s="1" t="str">
        <f t="shared" ca="1" si="0"/>
        <v>KrishnagiriSri Chandrasekaran Hospital unit -2, Hosur</v>
      </c>
      <c r="B278" s="1">
        <f ca="1">IFERROR(__xludf.DUMMYFUNCTION("""COMPUTED_VALUE"""),277)</f>
        <v>277</v>
      </c>
      <c r="C278" s="1" t="str">
        <f ca="1">IFERROR(__xludf.DUMMYFUNCTION("""COMPUTED_VALUE"""),"Krishnagiri")</f>
        <v>Krishnagiri</v>
      </c>
      <c r="D278" s="1" t="str">
        <f ca="1">IFERROR(__xludf.DUMMYFUNCTION("""COMPUTED_VALUE"""),"Sri Chandrasekaran Hospital unit -2, Hosur")</f>
        <v>Sri Chandrasekaran Hospital unit -2, Hosur</v>
      </c>
      <c r="E278" s="1">
        <f ca="1">IFERROR(__xludf.DUMMYFUNCTION("""COMPUTED_VALUE"""),90)</f>
        <v>90</v>
      </c>
      <c r="F278" s="1">
        <f ca="1">IFERROR(__xludf.DUMMYFUNCTION("""COMPUTED_VALUE"""),46)</f>
        <v>46</v>
      </c>
      <c r="G278" s="1">
        <f ca="1">IFERROR(__xludf.DUMMYFUNCTION("""COMPUTED_VALUE"""),44)</f>
        <v>44</v>
      </c>
      <c r="H278" s="1">
        <f ca="1">IFERROR(__xludf.DUMMYFUNCTION("""COMPUTED_VALUE"""),85)</f>
        <v>85</v>
      </c>
      <c r="I278" s="1">
        <f ca="1">IFERROR(__xludf.DUMMYFUNCTION("""COMPUTED_VALUE"""),68)</f>
        <v>68</v>
      </c>
      <c r="J278" s="1">
        <f ca="1">IFERROR(__xludf.DUMMYFUNCTION("""COMPUTED_VALUE"""),17)</f>
        <v>17</v>
      </c>
      <c r="K278" s="1">
        <f ca="1">IFERROR(__xludf.DUMMYFUNCTION("""COMPUTED_VALUE"""),5)</f>
        <v>5</v>
      </c>
      <c r="L278" s="1">
        <f ca="1">IFERROR(__xludf.DUMMYFUNCTION("""COMPUTED_VALUE"""),0)</f>
        <v>0</v>
      </c>
      <c r="M278" s="1">
        <f ca="1">IFERROR(__xludf.DUMMYFUNCTION("""COMPUTED_VALUE"""),5)</f>
        <v>5</v>
      </c>
      <c r="N278" s="1">
        <f ca="1">IFERROR(__xludf.DUMMYFUNCTION("""COMPUTED_VALUE"""),0)</f>
        <v>0</v>
      </c>
      <c r="O278" s="1">
        <f ca="1">IFERROR(__xludf.DUMMYFUNCTION("""COMPUTED_VALUE"""),0)</f>
        <v>0</v>
      </c>
      <c r="P278" s="1">
        <f ca="1">IFERROR(__xludf.DUMMYFUNCTION("""COMPUTED_VALUE"""),0)</f>
        <v>0</v>
      </c>
      <c r="Q278" s="1">
        <f ca="1">IFERROR(__xludf.DUMMYFUNCTION("""COMPUTED_VALUE"""),0)</f>
        <v>0</v>
      </c>
      <c r="R278" s="1">
        <f ca="1">IFERROR(__xludf.DUMMYFUNCTION("""COMPUTED_VALUE"""),0)</f>
        <v>0</v>
      </c>
      <c r="S278" s="1">
        <f ca="1">IFERROR(__xludf.DUMMYFUNCTION("""COMPUTED_VALUE"""),0)</f>
        <v>0</v>
      </c>
      <c r="T278" s="1">
        <f ca="1">IFERROR(__xludf.DUMMYFUNCTION("""COMPUTED_VALUE"""),44305.4428587963)</f>
        <v>44305.442858796298</v>
      </c>
      <c r="U278" s="1"/>
    </row>
    <row r="279" spans="1:21" ht="13" x14ac:dyDescent="0.15">
      <c r="A279" s="1" t="str">
        <f t="shared" ca="1" si="0"/>
        <v>MaduraiBGM Hospital, Iyer Bungalow</v>
      </c>
      <c r="B279" s="1">
        <f ca="1">IFERROR(__xludf.DUMMYFUNCTION("""COMPUTED_VALUE"""),278)</f>
        <v>278</v>
      </c>
      <c r="C279" s="1" t="str">
        <f ca="1">IFERROR(__xludf.DUMMYFUNCTION("""COMPUTED_VALUE"""),"Madurai")</f>
        <v>Madurai</v>
      </c>
      <c r="D279" s="1" t="str">
        <f ca="1">IFERROR(__xludf.DUMMYFUNCTION("""COMPUTED_VALUE"""),"BGM Hospital, Iyer Bungalow")</f>
        <v>BGM Hospital, Iyer Bungalow</v>
      </c>
      <c r="E279" s="1">
        <f ca="1">IFERROR(__xludf.DUMMYFUNCTION("""COMPUTED_VALUE"""),16)</f>
        <v>16</v>
      </c>
      <c r="F279" s="1">
        <f ca="1">IFERROR(__xludf.DUMMYFUNCTION("""COMPUTED_VALUE"""),7)</f>
        <v>7</v>
      </c>
      <c r="G279" s="1">
        <f ca="1">IFERROR(__xludf.DUMMYFUNCTION("""COMPUTED_VALUE"""),9)</f>
        <v>9</v>
      </c>
      <c r="H279" s="1">
        <f ca="1">IFERROR(__xludf.DUMMYFUNCTION("""COMPUTED_VALUE"""),8)</f>
        <v>8</v>
      </c>
      <c r="I279" s="1">
        <f ca="1">IFERROR(__xludf.DUMMYFUNCTION("""COMPUTED_VALUE"""),0)</f>
        <v>0</v>
      </c>
      <c r="J279" s="1">
        <f ca="1">IFERROR(__xludf.DUMMYFUNCTION("""COMPUTED_VALUE"""),8)</f>
        <v>8</v>
      </c>
      <c r="K279" s="1">
        <f ca="1">IFERROR(__xludf.DUMMYFUNCTION("""COMPUTED_VALUE"""),6)</f>
        <v>6</v>
      </c>
      <c r="L279" s="1">
        <f ca="1">IFERROR(__xludf.DUMMYFUNCTION("""COMPUTED_VALUE"""),2)</f>
        <v>2</v>
      </c>
      <c r="M279" s="1">
        <f ca="1">IFERROR(__xludf.DUMMYFUNCTION("""COMPUTED_VALUE"""),2)</f>
        <v>2</v>
      </c>
      <c r="N279" s="1">
        <f ca="1">IFERROR(__xludf.DUMMYFUNCTION("""COMPUTED_VALUE"""),4)</f>
        <v>4</v>
      </c>
      <c r="O279" s="1">
        <f ca="1">IFERROR(__xludf.DUMMYFUNCTION("""COMPUTED_VALUE"""),0)</f>
        <v>0</v>
      </c>
      <c r="P279" s="1">
        <f ca="1">IFERROR(__xludf.DUMMYFUNCTION("""COMPUTED_VALUE"""),4)</f>
        <v>4</v>
      </c>
      <c r="Q279" s="1">
        <f ca="1">IFERROR(__xludf.DUMMYFUNCTION("""COMPUTED_VALUE"""),1)</f>
        <v>1</v>
      </c>
      <c r="R279" s="1">
        <f ca="1">IFERROR(__xludf.DUMMYFUNCTION("""COMPUTED_VALUE"""),0)</f>
        <v>0</v>
      </c>
      <c r="S279" s="1">
        <f ca="1">IFERROR(__xludf.DUMMYFUNCTION("""COMPUTED_VALUE"""),1)</f>
        <v>1</v>
      </c>
      <c r="T279" s="1">
        <f ca="1">IFERROR(__xludf.DUMMYFUNCTION("""COMPUTED_VALUE"""),44305.2823379629)</f>
        <v>44305.282337962897</v>
      </c>
      <c r="U279" s="1" t="str">
        <f ca="1">IFERROR(__xludf.DUMMYFUNCTION("""COMPUTED_VALUE"""),"19.04.2021 ( covid - 19 four patients admission in our hospital )")</f>
        <v>19.04.2021 ( covid - 19 four patients admission in our hospital )</v>
      </c>
    </row>
    <row r="280" spans="1:21" ht="13" x14ac:dyDescent="0.15">
      <c r="A280" s="1" t="str">
        <f t="shared" ca="1" si="0"/>
        <v>MaduraiDr.Chidambaram Memorial Hospital, Jai Hind puram</v>
      </c>
      <c r="B280" s="1">
        <f ca="1">IFERROR(__xludf.DUMMYFUNCTION("""COMPUTED_VALUE"""),279)</f>
        <v>279</v>
      </c>
      <c r="C280" s="1" t="str">
        <f ca="1">IFERROR(__xludf.DUMMYFUNCTION("""COMPUTED_VALUE"""),"Madurai")</f>
        <v>Madurai</v>
      </c>
      <c r="D280" s="1" t="str">
        <f ca="1">IFERROR(__xludf.DUMMYFUNCTION("""COMPUTED_VALUE"""),"Dr.Chidambaram Memorial Hospital, Jai Hind puram")</f>
        <v>Dr.Chidambaram Memorial Hospital, Jai Hind puram</v>
      </c>
      <c r="E280" s="1">
        <f ca="1">IFERROR(__xludf.DUMMYFUNCTION("""COMPUTED_VALUE"""),10)</f>
        <v>10</v>
      </c>
      <c r="F280" s="1">
        <f ca="1">IFERROR(__xludf.DUMMYFUNCTION("""COMPUTED_VALUE"""),2)</f>
        <v>2</v>
      </c>
      <c r="G280" s="1">
        <f ca="1">IFERROR(__xludf.DUMMYFUNCTION("""COMPUTED_VALUE"""),8)</f>
        <v>8</v>
      </c>
      <c r="H280" s="1">
        <f ca="1">IFERROR(__xludf.DUMMYFUNCTION("""COMPUTED_VALUE"""),10)</f>
        <v>10</v>
      </c>
      <c r="I280" s="1">
        <f ca="1">IFERROR(__xludf.DUMMYFUNCTION("""COMPUTED_VALUE"""),2)</f>
        <v>2</v>
      </c>
      <c r="J280" s="1">
        <f ca="1">IFERROR(__xludf.DUMMYFUNCTION("""COMPUTED_VALUE"""),8)</f>
        <v>8</v>
      </c>
      <c r="K280" s="1">
        <f ca="1">IFERROR(__xludf.DUMMYFUNCTION("""COMPUTED_VALUE"""),0)</f>
        <v>0</v>
      </c>
      <c r="L280" s="1">
        <f ca="1">IFERROR(__xludf.DUMMYFUNCTION("""COMPUTED_VALUE"""),0)</f>
        <v>0</v>
      </c>
      <c r="M280" s="1">
        <f ca="1">IFERROR(__xludf.DUMMYFUNCTION("""COMPUTED_VALUE"""),0)</f>
        <v>0</v>
      </c>
      <c r="N280" s="1">
        <f ca="1">IFERROR(__xludf.DUMMYFUNCTION("""COMPUTED_VALUE"""),0)</f>
        <v>0</v>
      </c>
      <c r="O280" s="1">
        <f ca="1">IFERROR(__xludf.DUMMYFUNCTION("""COMPUTED_VALUE"""),0)</f>
        <v>0</v>
      </c>
      <c r="P280" s="1">
        <f ca="1">IFERROR(__xludf.DUMMYFUNCTION("""COMPUTED_VALUE"""),0)</f>
        <v>0</v>
      </c>
      <c r="Q280" s="1">
        <f ca="1">IFERROR(__xludf.DUMMYFUNCTION("""COMPUTED_VALUE"""),0)</f>
        <v>0</v>
      </c>
      <c r="R280" s="1">
        <f ca="1">IFERROR(__xludf.DUMMYFUNCTION("""COMPUTED_VALUE"""),0)</f>
        <v>0</v>
      </c>
      <c r="S280" s="1">
        <f ca="1">IFERROR(__xludf.DUMMYFUNCTION("""COMPUTED_VALUE"""),0)</f>
        <v>0</v>
      </c>
      <c r="T280" s="1">
        <f ca="1">IFERROR(__xludf.DUMMYFUNCTION("""COMPUTED_VALUE"""),44305.4632754629)</f>
        <v>44305.463275462898</v>
      </c>
      <c r="U280" s="1" t="str">
        <f ca="1">IFERROR(__xludf.DUMMYFUNCTION("""COMPUTED_VALUE"""),"19.04.2021 UPDATED...")</f>
        <v>19.04.2021 UPDATED...</v>
      </c>
    </row>
    <row r="281" spans="1:21" ht="13" x14ac:dyDescent="0.15">
      <c r="A281" s="1" t="str">
        <f t="shared" ca="1" si="0"/>
        <v>MaduraiGowri Nursing Home, Jeeva Nagar</v>
      </c>
      <c r="B281" s="1">
        <f ca="1">IFERROR(__xludf.DUMMYFUNCTION("""COMPUTED_VALUE"""),280)</f>
        <v>280</v>
      </c>
      <c r="C281" s="1" t="str">
        <f ca="1">IFERROR(__xludf.DUMMYFUNCTION("""COMPUTED_VALUE"""),"Madurai")</f>
        <v>Madurai</v>
      </c>
      <c r="D281" s="1" t="str">
        <f ca="1">IFERROR(__xludf.DUMMYFUNCTION("""COMPUTED_VALUE"""),"Gowri Nursing Home, Jeeva Nagar")</f>
        <v>Gowri Nursing Home, Jeeva Nagar</v>
      </c>
      <c r="E281" s="1">
        <f ca="1">IFERROR(__xludf.DUMMYFUNCTION("""COMPUTED_VALUE"""),10)</f>
        <v>10</v>
      </c>
      <c r="F281" s="1">
        <f ca="1">IFERROR(__xludf.DUMMYFUNCTION("""COMPUTED_VALUE"""),5)</f>
        <v>5</v>
      </c>
      <c r="G281" s="1">
        <f ca="1">IFERROR(__xludf.DUMMYFUNCTION("""COMPUTED_VALUE"""),5)</f>
        <v>5</v>
      </c>
      <c r="H281" s="1">
        <f ca="1">IFERROR(__xludf.DUMMYFUNCTION("""COMPUTED_VALUE"""),10)</f>
        <v>10</v>
      </c>
      <c r="I281" s="1">
        <f ca="1">IFERROR(__xludf.DUMMYFUNCTION("""COMPUTED_VALUE"""),5)</f>
        <v>5</v>
      </c>
      <c r="J281" s="1">
        <f ca="1">IFERROR(__xludf.DUMMYFUNCTION("""COMPUTED_VALUE"""),5)</f>
        <v>5</v>
      </c>
      <c r="K281" s="1">
        <f ca="1">IFERROR(__xludf.DUMMYFUNCTION("""COMPUTED_VALUE"""),0)</f>
        <v>0</v>
      </c>
      <c r="L281" s="1">
        <f ca="1">IFERROR(__xludf.DUMMYFUNCTION("""COMPUTED_VALUE"""),0)</f>
        <v>0</v>
      </c>
      <c r="M281" s="1">
        <f ca="1">IFERROR(__xludf.DUMMYFUNCTION("""COMPUTED_VALUE"""),0)</f>
        <v>0</v>
      </c>
      <c r="N281" s="1">
        <f ca="1">IFERROR(__xludf.DUMMYFUNCTION("""COMPUTED_VALUE"""),0)</f>
        <v>0</v>
      </c>
      <c r="O281" s="1">
        <f ca="1">IFERROR(__xludf.DUMMYFUNCTION("""COMPUTED_VALUE"""),0)</f>
        <v>0</v>
      </c>
      <c r="P281" s="1">
        <f ca="1">IFERROR(__xludf.DUMMYFUNCTION("""COMPUTED_VALUE"""),0)</f>
        <v>0</v>
      </c>
      <c r="Q281" s="1">
        <f ca="1">IFERROR(__xludf.DUMMYFUNCTION("""COMPUTED_VALUE"""),0)</f>
        <v>0</v>
      </c>
      <c r="R281" s="1">
        <f ca="1">IFERROR(__xludf.DUMMYFUNCTION("""COMPUTED_VALUE"""),0)</f>
        <v>0</v>
      </c>
      <c r="S281" s="1">
        <f ca="1">IFERROR(__xludf.DUMMYFUNCTION("""COMPUTED_VALUE"""),0)</f>
        <v>0</v>
      </c>
      <c r="T281" s="1">
        <f ca="1">IFERROR(__xludf.DUMMYFUNCTION("""COMPUTED_VALUE"""),44305.4459606481)</f>
        <v>44305.445960648103</v>
      </c>
      <c r="U281" s="1" t="str">
        <f ca="1">IFERROR(__xludf.DUMMYFUNCTION("""COMPUTED_VALUE"""),"Update . 19.04. 2021........")</f>
        <v>Update . 19.04. 2021........</v>
      </c>
    </row>
    <row r="282" spans="1:21" ht="13" x14ac:dyDescent="0.15">
      <c r="A282" s="1" t="str">
        <f t="shared" ca="1" si="0"/>
        <v>MaduraiGrace Kennett Foundation Hospital, Kennett Road</v>
      </c>
      <c r="B282" s="1">
        <f ca="1">IFERROR(__xludf.DUMMYFUNCTION("""COMPUTED_VALUE"""),281)</f>
        <v>281</v>
      </c>
      <c r="C282" s="1" t="str">
        <f ca="1">IFERROR(__xludf.DUMMYFUNCTION("""COMPUTED_VALUE"""),"Madurai")</f>
        <v>Madurai</v>
      </c>
      <c r="D282" s="1" t="str">
        <f ca="1">IFERROR(__xludf.DUMMYFUNCTION("""COMPUTED_VALUE"""),"Grace Kennett Foundation Hospital, Kennett Road")</f>
        <v>Grace Kennett Foundation Hospital, Kennett Road</v>
      </c>
      <c r="E282" s="1">
        <f ca="1">IFERROR(__xludf.DUMMYFUNCTION("""COMPUTED_VALUE"""),10)</f>
        <v>10</v>
      </c>
      <c r="F282" s="1">
        <f ca="1">IFERROR(__xludf.DUMMYFUNCTION("""COMPUTED_VALUE"""),10)</f>
        <v>10</v>
      </c>
      <c r="G282" s="1">
        <f ca="1">IFERROR(__xludf.DUMMYFUNCTION("""COMPUTED_VALUE"""),0)</f>
        <v>0</v>
      </c>
      <c r="H282" s="1">
        <f ca="1">IFERROR(__xludf.DUMMYFUNCTION("""COMPUTED_VALUE"""),4)</f>
        <v>4</v>
      </c>
      <c r="I282" s="1">
        <f ca="1">IFERROR(__xludf.DUMMYFUNCTION("""COMPUTED_VALUE"""),4)</f>
        <v>4</v>
      </c>
      <c r="J282" s="1">
        <f ca="1">IFERROR(__xludf.DUMMYFUNCTION("""COMPUTED_VALUE"""),0)</f>
        <v>0</v>
      </c>
      <c r="K282" s="1">
        <f ca="1">IFERROR(__xludf.DUMMYFUNCTION("""COMPUTED_VALUE"""),2)</f>
        <v>2</v>
      </c>
      <c r="L282" s="1">
        <f ca="1">IFERROR(__xludf.DUMMYFUNCTION("""COMPUTED_VALUE"""),2)</f>
        <v>2</v>
      </c>
      <c r="M282" s="1">
        <f ca="1">IFERROR(__xludf.DUMMYFUNCTION("""COMPUTED_VALUE"""),0)</f>
        <v>0</v>
      </c>
      <c r="N282" s="1">
        <f ca="1">IFERROR(__xludf.DUMMYFUNCTION("""COMPUTED_VALUE"""),4)</f>
        <v>4</v>
      </c>
      <c r="O282" s="1">
        <f ca="1">IFERROR(__xludf.DUMMYFUNCTION("""COMPUTED_VALUE"""),4)</f>
        <v>4</v>
      </c>
      <c r="P282" s="1">
        <f ca="1">IFERROR(__xludf.DUMMYFUNCTION("""COMPUTED_VALUE"""),0)</f>
        <v>0</v>
      </c>
      <c r="Q282" s="1">
        <f ca="1">IFERROR(__xludf.DUMMYFUNCTION("""COMPUTED_VALUE"""),2)</f>
        <v>2</v>
      </c>
      <c r="R282" s="1">
        <f ca="1">IFERROR(__xludf.DUMMYFUNCTION("""COMPUTED_VALUE"""),1)</f>
        <v>1</v>
      </c>
      <c r="S282" s="1">
        <f ca="1">IFERROR(__xludf.DUMMYFUNCTION("""COMPUTED_VALUE"""),1)</f>
        <v>1</v>
      </c>
      <c r="T282" s="1">
        <f ca="1">IFERROR(__xludf.DUMMYFUNCTION("""COMPUTED_VALUE"""),44305.3482060185)</f>
        <v>44305.348206018498</v>
      </c>
      <c r="U282" s="1" t="str">
        <f ca="1">IFERROR(__xludf.DUMMYFUNCTION("""COMPUTED_VALUE"""),"DISCHARGE - 1")</f>
        <v>DISCHARGE - 1</v>
      </c>
    </row>
    <row r="283" spans="1:21" ht="13" x14ac:dyDescent="0.15">
      <c r="A283" s="1" t="str">
        <f t="shared" ca="1" si="0"/>
        <v>MaduraiSwarnakamalam (SKG) Multispeciality Hospital Pvt Ltd, Thirumanagalam</v>
      </c>
      <c r="B283" s="1">
        <f ca="1">IFERROR(__xludf.DUMMYFUNCTION("""COMPUTED_VALUE"""),282)</f>
        <v>282</v>
      </c>
      <c r="C283" s="1" t="str">
        <f ca="1">IFERROR(__xludf.DUMMYFUNCTION("""COMPUTED_VALUE"""),"Madurai")</f>
        <v>Madurai</v>
      </c>
      <c r="D283" s="1" t="str">
        <f ca="1">IFERROR(__xludf.DUMMYFUNCTION("""COMPUTED_VALUE"""),"Swarnakamalam (SKG) Multispeciality Hospital Pvt Ltd, Thirumanagalam")</f>
        <v>Swarnakamalam (SKG) Multispeciality Hospital Pvt Ltd, Thirumanagalam</v>
      </c>
      <c r="E283" s="1">
        <f ca="1">IFERROR(__xludf.DUMMYFUNCTION("""COMPUTED_VALUE"""),33)</f>
        <v>33</v>
      </c>
      <c r="F283" s="1">
        <f ca="1">IFERROR(__xludf.DUMMYFUNCTION("""COMPUTED_VALUE"""),2)</f>
        <v>2</v>
      </c>
      <c r="G283" s="1">
        <f ca="1">IFERROR(__xludf.DUMMYFUNCTION("""COMPUTED_VALUE"""),31)</f>
        <v>31</v>
      </c>
      <c r="H283" s="1">
        <f ca="1">IFERROR(__xludf.DUMMYFUNCTION("""COMPUTED_VALUE"""),5)</f>
        <v>5</v>
      </c>
      <c r="I283" s="1">
        <f ca="1">IFERROR(__xludf.DUMMYFUNCTION("""COMPUTED_VALUE"""),2)</f>
        <v>2</v>
      </c>
      <c r="J283" s="1">
        <f ca="1">IFERROR(__xludf.DUMMYFUNCTION("""COMPUTED_VALUE"""),3)</f>
        <v>3</v>
      </c>
      <c r="K283" s="1">
        <f ca="1">IFERROR(__xludf.DUMMYFUNCTION("""COMPUTED_VALUE"""),5)</f>
        <v>5</v>
      </c>
      <c r="L283" s="1">
        <f ca="1">IFERROR(__xludf.DUMMYFUNCTION("""COMPUTED_VALUE"""),0)</f>
        <v>0</v>
      </c>
      <c r="M283" s="1">
        <f ca="1">IFERROR(__xludf.DUMMYFUNCTION("""COMPUTED_VALUE"""),5)</f>
        <v>5</v>
      </c>
      <c r="N283" s="1">
        <f ca="1">IFERROR(__xludf.DUMMYFUNCTION("""COMPUTED_VALUE"""),23)</f>
        <v>23</v>
      </c>
      <c r="O283" s="1">
        <f ca="1">IFERROR(__xludf.DUMMYFUNCTION("""COMPUTED_VALUE"""),0)</f>
        <v>0</v>
      </c>
      <c r="P283" s="1">
        <f ca="1">IFERROR(__xludf.DUMMYFUNCTION("""COMPUTED_VALUE"""),23)</f>
        <v>23</v>
      </c>
      <c r="Q283" s="1">
        <f ca="1">IFERROR(__xludf.DUMMYFUNCTION("""COMPUTED_VALUE"""),8)</f>
        <v>8</v>
      </c>
      <c r="R283" s="1">
        <f ca="1">IFERROR(__xludf.DUMMYFUNCTION("""COMPUTED_VALUE"""),0)</f>
        <v>0</v>
      </c>
      <c r="S283" s="1">
        <f ca="1">IFERROR(__xludf.DUMMYFUNCTION("""COMPUTED_VALUE"""),8)</f>
        <v>8</v>
      </c>
      <c r="T283" s="1">
        <f ca="1">IFERROR(__xludf.DUMMYFUNCTION("""COMPUTED_VALUE"""),44305.277199074)</f>
        <v>44305.277199074</v>
      </c>
      <c r="U283" s="1" t="str">
        <f ca="1">IFERROR(__xludf.DUMMYFUNCTION("""COMPUTED_VALUE"""),"19-04-2021")</f>
        <v>19-04-2021</v>
      </c>
    </row>
    <row r="284" spans="1:21" ht="13" x14ac:dyDescent="0.15">
      <c r="A284" s="1" t="str">
        <f t="shared" ca="1" si="0"/>
        <v>NagapattinamArun Priya Nursing Home, Nagapattinam TN.</v>
      </c>
      <c r="B284" s="1">
        <f ca="1">IFERROR(__xludf.DUMMYFUNCTION("""COMPUTED_VALUE"""),283)</f>
        <v>283</v>
      </c>
      <c r="C284" s="1" t="str">
        <f ca="1">IFERROR(__xludf.DUMMYFUNCTION("""COMPUTED_VALUE"""),"Nagapattinam")</f>
        <v>Nagapattinam</v>
      </c>
      <c r="D284" s="1" t="str">
        <f ca="1">IFERROR(__xludf.DUMMYFUNCTION("""COMPUTED_VALUE"""),"Arun Priya Nursing Home, Nagapattinam TN.")</f>
        <v>Arun Priya Nursing Home, Nagapattinam TN.</v>
      </c>
      <c r="E284" s="1">
        <f ca="1">IFERROR(__xludf.DUMMYFUNCTION("""COMPUTED_VALUE"""),10)</f>
        <v>10</v>
      </c>
      <c r="F284" s="1">
        <f ca="1">IFERROR(__xludf.DUMMYFUNCTION("""COMPUTED_VALUE"""),0)</f>
        <v>0</v>
      </c>
      <c r="G284" s="1">
        <f ca="1">IFERROR(__xludf.DUMMYFUNCTION("""COMPUTED_VALUE"""),10)</f>
        <v>10</v>
      </c>
      <c r="H284" s="1">
        <f ca="1">IFERROR(__xludf.DUMMYFUNCTION("""COMPUTED_VALUE"""),3)</f>
        <v>3</v>
      </c>
      <c r="I284" s="1">
        <f ca="1">IFERROR(__xludf.DUMMYFUNCTION("""COMPUTED_VALUE"""),0)</f>
        <v>0</v>
      </c>
      <c r="J284" s="1">
        <f ca="1">IFERROR(__xludf.DUMMYFUNCTION("""COMPUTED_VALUE"""),3)</f>
        <v>3</v>
      </c>
      <c r="K284" s="1">
        <f ca="1">IFERROR(__xludf.DUMMYFUNCTION("""COMPUTED_VALUE"""),7)</f>
        <v>7</v>
      </c>
      <c r="L284" s="1">
        <f ca="1">IFERROR(__xludf.DUMMYFUNCTION("""COMPUTED_VALUE"""),0)</f>
        <v>0</v>
      </c>
      <c r="M284" s="1">
        <f ca="1">IFERROR(__xludf.DUMMYFUNCTION("""COMPUTED_VALUE"""),7)</f>
        <v>7</v>
      </c>
      <c r="N284" s="1">
        <f ca="1">IFERROR(__xludf.DUMMYFUNCTION("""COMPUTED_VALUE"""),1)</f>
        <v>1</v>
      </c>
      <c r="O284" s="1">
        <f ca="1">IFERROR(__xludf.DUMMYFUNCTION("""COMPUTED_VALUE"""),0)</f>
        <v>0</v>
      </c>
      <c r="P284" s="1">
        <f ca="1">IFERROR(__xludf.DUMMYFUNCTION("""COMPUTED_VALUE"""),1)</f>
        <v>1</v>
      </c>
      <c r="Q284" s="1">
        <f ca="1">IFERROR(__xludf.DUMMYFUNCTION("""COMPUTED_VALUE"""),1)</f>
        <v>1</v>
      </c>
      <c r="R284" s="1">
        <f ca="1">IFERROR(__xludf.DUMMYFUNCTION("""COMPUTED_VALUE"""),0)</f>
        <v>0</v>
      </c>
      <c r="S284" s="1">
        <f ca="1">IFERROR(__xludf.DUMMYFUNCTION("""COMPUTED_VALUE"""),1)</f>
        <v>1</v>
      </c>
      <c r="T284" s="1">
        <f ca="1">IFERROR(__xludf.DUMMYFUNCTION("""COMPUTED_VALUE"""),44305.3589814814)</f>
        <v>44305.358981481397</v>
      </c>
      <c r="U284" s="1"/>
    </row>
    <row r="285" spans="1:21" ht="13" x14ac:dyDescent="0.15">
      <c r="A285" s="1" t="str">
        <f t="shared" ca="1" si="0"/>
        <v>RamanathapuramMeera Clinic</v>
      </c>
      <c r="B285" s="1">
        <f ca="1">IFERROR(__xludf.DUMMYFUNCTION("""COMPUTED_VALUE"""),284)</f>
        <v>284</v>
      </c>
      <c r="C285" s="1" t="str">
        <f ca="1">IFERROR(__xludf.DUMMYFUNCTION("""COMPUTED_VALUE"""),"Ramanathapuram")</f>
        <v>Ramanathapuram</v>
      </c>
      <c r="D285" s="1" t="str">
        <f ca="1">IFERROR(__xludf.DUMMYFUNCTION("""COMPUTED_VALUE"""),"Meera Clinic")</f>
        <v>Meera Clinic</v>
      </c>
      <c r="E285" s="1">
        <f ca="1">IFERROR(__xludf.DUMMYFUNCTION("""COMPUTED_VALUE"""),25)</f>
        <v>25</v>
      </c>
      <c r="F285" s="1">
        <f ca="1">IFERROR(__xludf.DUMMYFUNCTION("""COMPUTED_VALUE"""),0)</f>
        <v>0</v>
      </c>
      <c r="G285" s="1">
        <f ca="1">IFERROR(__xludf.DUMMYFUNCTION("""COMPUTED_VALUE"""),25)</f>
        <v>25</v>
      </c>
      <c r="H285" s="1">
        <f ca="1">IFERROR(__xludf.DUMMYFUNCTION("""COMPUTED_VALUE"""),11)</f>
        <v>11</v>
      </c>
      <c r="I285" s="1">
        <f ca="1">IFERROR(__xludf.DUMMYFUNCTION("""COMPUTED_VALUE"""),0)</f>
        <v>0</v>
      </c>
      <c r="J285" s="1">
        <f ca="1">IFERROR(__xludf.DUMMYFUNCTION("""COMPUTED_VALUE"""),11)</f>
        <v>11</v>
      </c>
      <c r="K285" s="1">
        <f ca="1">IFERROR(__xludf.DUMMYFUNCTION("""COMPUTED_VALUE"""),10)</f>
        <v>10</v>
      </c>
      <c r="L285" s="1">
        <f ca="1">IFERROR(__xludf.DUMMYFUNCTION("""COMPUTED_VALUE"""),0)</f>
        <v>0</v>
      </c>
      <c r="M285" s="1">
        <f ca="1">IFERROR(__xludf.DUMMYFUNCTION("""COMPUTED_VALUE"""),10)</f>
        <v>10</v>
      </c>
      <c r="N285" s="1">
        <f ca="1">IFERROR(__xludf.DUMMYFUNCTION("""COMPUTED_VALUE"""),4)</f>
        <v>4</v>
      </c>
      <c r="O285" s="1">
        <f ca="1">IFERROR(__xludf.DUMMYFUNCTION("""COMPUTED_VALUE"""),0)</f>
        <v>0</v>
      </c>
      <c r="P285" s="1">
        <f ca="1">IFERROR(__xludf.DUMMYFUNCTION("""COMPUTED_VALUE"""),4)</f>
        <v>4</v>
      </c>
      <c r="Q285" s="1">
        <f ca="1">IFERROR(__xludf.DUMMYFUNCTION("""COMPUTED_VALUE"""),2)</f>
        <v>2</v>
      </c>
      <c r="R285" s="1">
        <f ca="1">IFERROR(__xludf.DUMMYFUNCTION("""COMPUTED_VALUE"""),0)</f>
        <v>0</v>
      </c>
      <c r="S285" s="1">
        <f ca="1">IFERROR(__xludf.DUMMYFUNCTION("""COMPUTED_VALUE"""),2)</f>
        <v>2</v>
      </c>
      <c r="T285" s="1">
        <f ca="1">IFERROR(__xludf.DUMMYFUNCTION("""COMPUTED_VALUE"""),44305.3799652777)</f>
        <v>44305.379965277702</v>
      </c>
      <c r="U285" s="1"/>
    </row>
    <row r="286" spans="1:21" ht="13" x14ac:dyDescent="0.15">
      <c r="A286" s="1" t="str">
        <f t="shared" ca="1" si="0"/>
        <v>SalemGeeth Raghunath Hospital, Attur</v>
      </c>
      <c r="B286" s="1">
        <f ca="1">IFERROR(__xludf.DUMMYFUNCTION("""COMPUTED_VALUE"""),285)</f>
        <v>285</v>
      </c>
      <c r="C286" s="1" t="str">
        <f ca="1">IFERROR(__xludf.DUMMYFUNCTION("""COMPUTED_VALUE"""),"Salem")</f>
        <v>Salem</v>
      </c>
      <c r="D286" s="1" t="str">
        <f ca="1">IFERROR(__xludf.DUMMYFUNCTION("""COMPUTED_VALUE"""),"Geeth Raghunath Hospital, Attur")</f>
        <v>Geeth Raghunath Hospital, Attur</v>
      </c>
      <c r="E286" s="1">
        <f ca="1">IFERROR(__xludf.DUMMYFUNCTION("""COMPUTED_VALUE"""),25)</f>
        <v>25</v>
      </c>
      <c r="F286" s="1">
        <f ca="1">IFERROR(__xludf.DUMMYFUNCTION("""COMPUTED_VALUE"""),14)</f>
        <v>14</v>
      </c>
      <c r="G286" s="1">
        <f ca="1">IFERROR(__xludf.DUMMYFUNCTION("""COMPUTED_VALUE"""),11)</f>
        <v>11</v>
      </c>
      <c r="H286" s="1">
        <f ca="1">IFERROR(__xludf.DUMMYFUNCTION("""COMPUTED_VALUE"""),25)</f>
        <v>25</v>
      </c>
      <c r="I286" s="1">
        <f ca="1">IFERROR(__xludf.DUMMYFUNCTION("""COMPUTED_VALUE"""),0)</f>
        <v>0</v>
      </c>
      <c r="J286" s="1">
        <f ca="1">IFERROR(__xludf.DUMMYFUNCTION("""COMPUTED_VALUE"""),0)</f>
        <v>0</v>
      </c>
      <c r="K286" s="1">
        <f ca="1">IFERROR(__xludf.DUMMYFUNCTION("""COMPUTED_VALUE"""),25)</f>
        <v>25</v>
      </c>
      <c r="L286" s="1">
        <f ca="1">IFERROR(__xludf.DUMMYFUNCTION("""COMPUTED_VALUE"""),0)</f>
        <v>0</v>
      </c>
      <c r="M286" s="1">
        <f ca="1">IFERROR(__xludf.DUMMYFUNCTION("""COMPUTED_VALUE"""),0)</f>
        <v>0</v>
      </c>
      <c r="N286" s="1">
        <f ca="1">IFERROR(__xludf.DUMMYFUNCTION("""COMPUTED_VALUE"""),4)</f>
        <v>4</v>
      </c>
      <c r="O286" s="1">
        <f ca="1">IFERROR(__xludf.DUMMYFUNCTION("""COMPUTED_VALUE"""),0)</f>
        <v>0</v>
      </c>
      <c r="P286" s="1">
        <f ca="1">IFERROR(__xludf.DUMMYFUNCTION("""COMPUTED_VALUE"""),4)</f>
        <v>4</v>
      </c>
      <c r="Q286" s="1">
        <f ca="1">IFERROR(__xludf.DUMMYFUNCTION("""COMPUTED_VALUE"""),2)</f>
        <v>2</v>
      </c>
      <c r="R286" s="1">
        <f ca="1">IFERROR(__xludf.DUMMYFUNCTION("""COMPUTED_VALUE"""),0)</f>
        <v>0</v>
      </c>
      <c r="S286" s="1">
        <f ca="1">IFERROR(__xludf.DUMMYFUNCTION("""COMPUTED_VALUE"""),2)</f>
        <v>2</v>
      </c>
      <c r="T286" s="1">
        <f ca="1">IFERROR(__xludf.DUMMYFUNCTION("""COMPUTED_VALUE"""),44305.4523263888)</f>
        <v>44305.452326388797</v>
      </c>
      <c r="U286" s="1"/>
    </row>
    <row r="287" spans="1:21" ht="13" x14ac:dyDescent="0.15">
      <c r="A287" s="1" t="str">
        <f t="shared" ca="1" si="0"/>
        <v>SalemKarthik Medical Centre, Idappadi</v>
      </c>
      <c r="B287" s="1">
        <f ca="1">IFERROR(__xludf.DUMMYFUNCTION("""COMPUTED_VALUE"""),286)</f>
        <v>286</v>
      </c>
      <c r="C287" s="1" t="str">
        <f ca="1">IFERROR(__xludf.DUMMYFUNCTION("""COMPUTED_VALUE"""),"Salem")</f>
        <v>Salem</v>
      </c>
      <c r="D287" s="1" t="str">
        <f ca="1">IFERROR(__xludf.DUMMYFUNCTION("""COMPUTED_VALUE"""),"Karthik Medical Centre, Idappadi")</f>
        <v>Karthik Medical Centre, Idappadi</v>
      </c>
      <c r="E287" s="1">
        <f ca="1">IFERROR(__xludf.DUMMYFUNCTION("""COMPUTED_VALUE"""),14)</f>
        <v>14</v>
      </c>
      <c r="F287" s="1">
        <f ca="1">IFERROR(__xludf.DUMMYFUNCTION("""COMPUTED_VALUE"""),7)</f>
        <v>7</v>
      </c>
      <c r="G287" s="1">
        <f ca="1">IFERROR(__xludf.DUMMYFUNCTION("""COMPUTED_VALUE"""),7)</f>
        <v>7</v>
      </c>
      <c r="H287" s="1">
        <f ca="1">IFERROR(__xludf.DUMMYFUNCTION("""COMPUTED_VALUE"""),4)</f>
        <v>4</v>
      </c>
      <c r="I287" s="1">
        <f ca="1">IFERROR(__xludf.DUMMYFUNCTION("""COMPUTED_VALUE"""),0)</f>
        <v>0</v>
      </c>
      <c r="J287" s="1">
        <f ca="1">IFERROR(__xludf.DUMMYFUNCTION("""COMPUTED_VALUE"""),4)</f>
        <v>4</v>
      </c>
      <c r="K287" s="1">
        <f ca="1">IFERROR(__xludf.DUMMYFUNCTION("""COMPUTED_VALUE"""),10)</f>
        <v>10</v>
      </c>
      <c r="L287" s="1">
        <f ca="1">IFERROR(__xludf.DUMMYFUNCTION("""COMPUTED_VALUE"""),0)</f>
        <v>0</v>
      </c>
      <c r="M287" s="1">
        <f ca="1">IFERROR(__xludf.DUMMYFUNCTION("""COMPUTED_VALUE"""),3)</f>
        <v>3</v>
      </c>
      <c r="N287" s="1">
        <f ca="1">IFERROR(__xludf.DUMMYFUNCTION("""COMPUTED_VALUE"""),0)</f>
        <v>0</v>
      </c>
      <c r="O287" s="1">
        <f ca="1">IFERROR(__xludf.DUMMYFUNCTION("""COMPUTED_VALUE"""),0)</f>
        <v>0</v>
      </c>
      <c r="P287" s="1">
        <f ca="1">IFERROR(__xludf.DUMMYFUNCTION("""COMPUTED_VALUE"""),0)</f>
        <v>0</v>
      </c>
      <c r="Q287" s="1">
        <f ca="1">IFERROR(__xludf.DUMMYFUNCTION("""COMPUTED_VALUE"""),1)</f>
        <v>1</v>
      </c>
      <c r="R287" s="1">
        <f ca="1">IFERROR(__xludf.DUMMYFUNCTION("""COMPUTED_VALUE"""),0)</f>
        <v>0</v>
      </c>
      <c r="S287" s="1">
        <f ca="1">IFERROR(__xludf.DUMMYFUNCTION("""COMPUTED_VALUE"""),1)</f>
        <v>1</v>
      </c>
      <c r="T287" s="1">
        <f ca="1">IFERROR(__xludf.DUMMYFUNCTION("""COMPUTED_VALUE"""),44305.4146527777)</f>
        <v>44305.414652777697</v>
      </c>
      <c r="U287" s="1"/>
    </row>
    <row r="288" spans="1:21" ht="13" x14ac:dyDescent="0.15">
      <c r="A288" s="1" t="str">
        <f t="shared" ca="1" si="0"/>
        <v>SalemShivasurya Polyclinic, Salem</v>
      </c>
      <c r="B288" s="1">
        <f ca="1">IFERROR(__xludf.DUMMYFUNCTION("""COMPUTED_VALUE"""),287)</f>
        <v>287</v>
      </c>
      <c r="C288" s="1" t="str">
        <f ca="1">IFERROR(__xludf.DUMMYFUNCTION("""COMPUTED_VALUE"""),"Salem")</f>
        <v>Salem</v>
      </c>
      <c r="D288" s="1" t="str">
        <f ca="1">IFERROR(__xludf.DUMMYFUNCTION("""COMPUTED_VALUE"""),"Shivasurya Polyclinic, Salem")</f>
        <v>Shivasurya Polyclinic, Salem</v>
      </c>
      <c r="E288" s="1">
        <f ca="1">IFERROR(__xludf.DUMMYFUNCTION("""COMPUTED_VALUE"""),10)</f>
        <v>10</v>
      </c>
      <c r="F288" s="1">
        <f ca="1">IFERROR(__xludf.DUMMYFUNCTION("""COMPUTED_VALUE"""),0)</f>
        <v>0</v>
      </c>
      <c r="G288" s="1">
        <f ca="1">IFERROR(__xludf.DUMMYFUNCTION("""COMPUTED_VALUE"""),10)</f>
        <v>10</v>
      </c>
      <c r="H288" s="1">
        <f ca="1">IFERROR(__xludf.DUMMYFUNCTION("""COMPUTED_VALUE"""),4)</f>
        <v>4</v>
      </c>
      <c r="I288" s="1">
        <f ca="1">IFERROR(__xludf.DUMMYFUNCTION("""COMPUTED_VALUE"""),0)</f>
        <v>0</v>
      </c>
      <c r="J288" s="1">
        <f ca="1">IFERROR(__xludf.DUMMYFUNCTION("""COMPUTED_VALUE"""),4)</f>
        <v>4</v>
      </c>
      <c r="K288" s="1">
        <f ca="1">IFERROR(__xludf.DUMMYFUNCTION("""COMPUTED_VALUE"""),5)</f>
        <v>5</v>
      </c>
      <c r="L288" s="1">
        <f ca="1">IFERROR(__xludf.DUMMYFUNCTION("""COMPUTED_VALUE"""),0)</f>
        <v>0</v>
      </c>
      <c r="M288" s="1">
        <f ca="1">IFERROR(__xludf.DUMMYFUNCTION("""COMPUTED_VALUE"""),5)</f>
        <v>5</v>
      </c>
      <c r="N288" s="1">
        <f ca="1">IFERROR(__xludf.DUMMYFUNCTION("""COMPUTED_VALUE"""),1)</f>
        <v>1</v>
      </c>
      <c r="O288" s="1">
        <f ca="1">IFERROR(__xludf.DUMMYFUNCTION("""COMPUTED_VALUE"""),0)</f>
        <v>0</v>
      </c>
      <c r="P288" s="1">
        <f ca="1">IFERROR(__xludf.DUMMYFUNCTION("""COMPUTED_VALUE"""),1)</f>
        <v>1</v>
      </c>
      <c r="Q288" s="1">
        <f ca="1">IFERROR(__xludf.DUMMYFUNCTION("""COMPUTED_VALUE"""),0)</f>
        <v>0</v>
      </c>
      <c r="R288" s="1">
        <f ca="1">IFERROR(__xludf.DUMMYFUNCTION("""COMPUTED_VALUE"""),0)</f>
        <v>0</v>
      </c>
      <c r="S288" s="1">
        <f ca="1">IFERROR(__xludf.DUMMYFUNCTION("""COMPUTED_VALUE"""),0)</f>
        <v>0</v>
      </c>
      <c r="T288" s="1">
        <f ca="1">IFERROR(__xludf.DUMMYFUNCTION("""COMPUTED_VALUE"""),44305.5035879629)</f>
        <v>44305.503587962899</v>
      </c>
      <c r="U288" s="1" t="str">
        <f ca="1">IFERROR(__xludf.DUMMYFUNCTION("""COMPUTED_VALUE"""),"Nil")</f>
        <v>Nil</v>
      </c>
    </row>
    <row r="289" spans="1:21" ht="13" x14ac:dyDescent="0.15">
      <c r="A289" s="1" t="str">
        <f t="shared" ca="1" si="0"/>
        <v>SalemSree Vasantham Hospital, Gugai</v>
      </c>
      <c r="B289" s="1">
        <f ca="1">IFERROR(__xludf.DUMMYFUNCTION("""COMPUTED_VALUE"""),288)</f>
        <v>288</v>
      </c>
      <c r="C289" s="1" t="str">
        <f ca="1">IFERROR(__xludf.DUMMYFUNCTION("""COMPUTED_VALUE"""),"Salem")</f>
        <v>Salem</v>
      </c>
      <c r="D289" s="1" t="str">
        <f ca="1">IFERROR(__xludf.DUMMYFUNCTION("""COMPUTED_VALUE"""),"Sree Vasantham Hospital, Gugai")</f>
        <v>Sree Vasantham Hospital, Gugai</v>
      </c>
      <c r="E289" s="1">
        <f ca="1">IFERROR(__xludf.DUMMYFUNCTION("""COMPUTED_VALUE"""),25)</f>
        <v>25</v>
      </c>
      <c r="F289" s="1">
        <f ca="1">IFERROR(__xludf.DUMMYFUNCTION("""COMPUTED_VALUE"""),12)</f>
        <v>12</v>
      </c>
      <c r="G289" s="1">
        <f ca="1">IFERROR(__xludf.DUMMYFUNCTION("""COMPUTED_VALUE"""),13)</f>
        <v>13</v>
      </c>
      <c r="H289" s="1">
        <f ca="1">IFERROR(__xludf.DUMMYFUNCTION("""COMPUTED_VALUE"""),11)</f>
        <v>11</v>
      </c>
      <c r="I289" s="1">
        <f ca="1">IFERROR(__xludf.DUMMYFUNCTION("""COMPUTED_VALUE"""),0)</f>
        <v>0</v>
      </c>
      <c r="J289" s="1">
        <f ca="1">IFERROR(__xludf.DUMMYFUNCTION("""COMPUTED_VALUE"""),11)</f>
        <v>11</v>
      </c>
      <c r="K289" s="1">
        <f ca="1">IFERROR(__xludf.DUMMYFUNCTION("""COMPUTED_VALUE"""),3)</f>
        <v>3</v>
      </c>
      <c r="L289" s="1">
        <f ca="1">IFERROR(__xludf.DUMMYFUNCTION("""COMPUTED_VALUE"""),0)</f>
        <v>0</v>
      </c>
      <c r="M289" s="1">
        <f ca="1">IFERROR(__xludf.DUMMYFUNCTION("""COMPUTED_VALUE"""),0)</f>
        <v>0</v>
      </c>
      <c r="N289" s="1">
        <f ca="1">IFERROR(__xludf.DUMMYFUNCTION("""COMPUTED_VALUE"""),5)</f>
        <v>5</v>
      </c>
      <c r="O289" s="1">
        <f ca="1">IFERROR(__xludf.DUMMYFUNCTION("""COMPUTED_VALUE"""),0)</f>
        <v>0</v>
      </c>
      <c r="P289" s="1">
        <f ca="1">IFERROR(__xludf.DUMMYFUNCTION("""COMPUTED_VALUE"""),5)</f>
        <v>5</v>
      </c>
      <c r="Q289" s="1">
        <f ca="1">IFERROR(__xludf.DUMMYFUNCTION("""COMPUTED_VALUE"""),3)</f>
        <v>3</v>
      </c>
      <c r="R289" s="1">
        <f ca="1">IFERROR(__xludf.DUMMYFUNCTION("""COMPUTED_VALUE"""),0)</f>
        <v>0</v>
      </c>
      <c r="S289" s="1">
        <f ca="1">IFERROR(__xludf.DUMMYFUNCTION("""COMPUTED_VALUE"""),3)</f>
        <v>3</v>
      </c>
      <c r="T289" s="1">
        <f ca="1">IFERROR(__xludf.DUMMYFUNCTION("""COMPUTED_VALUE"""),44305.4331944444)</f>
        <v>44305.433194444398</v>
      </c>
      <c r="U289" s="1"/>
    </row>
    <row r="290" spans="1:21" ht="13" x14ac:dyDescent="0.15">
      <c r="A290" s="1" t="str">
        <f t="shared" ca="1" si="0"/>
        <v>TenkasiMeeran Hospital, Tenkasi</v>
      </c>
      <c r="B290" s="1">
        <f ca="1">IFERROR(__xludf.DUMMYFUNCTION("""COMPUTED_VALUE"""),289)</f>
        <v>289</v>
      </c>
      <c r="C290" s="1" t="str">
        <f ca="1">IFERROR(__xludf.DUMMYFUNCTION("""COMPUTED_VALUE"""),"Tenkasi")</f>
        <v>Tenkasi</v>
      </c>
      <c r="D290" s="1" t="str">
        <f ca="1">IFERROR(__xludf.DUMMYFUNCTION("""COMPUTED_VALUE"""),"Meeran Hospital, Tenkasi")</f>
        <v>Meeran Hospital, Tenkasi</v>
      </c>
      <c r="E290" s="1">
        <f ca="1">IFERROR(__xludf.DUMMYFUNCTION("""COMPUTED_VALUE"""),35)</f>
        <v>35</v>
      </c>
      <c r="F290" s="1">
        <f ca="1">IFERROR(__xludf.DUMMYFUNCTION("""COMPUTED_VALUE"""),2)</f>
        <v>2</v>
      </c>
      <c r="G290" s="1">
        <f ca="1">IFERROR(__xludf.DUMMYFUNCTION("""COMPUTED_VALUE"""),33)</f>
        <v>33</v>
      </c>
      <c r="H290" s="1">
        <f ca="1">IFERROR(__xludf.DUMMYFUNCTION("""COMPUTED_VALUE"""),29)</f>
        <v>29</v>
      </c>
      <c r="I290" s="1">
        <f ca="1">IFERROR(__xludf.DUMMYFUNCTION("""COMPUTED_VALUE"""),2)</f>
        <v>2</v>
      </c>
      <c r="J290" s="1">
        <f ca="1">IFERROR(__xludf.DUMMYFUNCTION("""COMPUTED_VALUE"""),27)</f>
        <v>27</v>
      </c>
      <c r="K290" s="1">
        <f ca="1">IFERROR(__xludf.DUMMYFUNCTION("""COMPUTED_VALUE"""),2)</f>
        <v>2</v>
      </c>
      <c r="L290" s="1">
        <f ca="1">IFERROR(__xludf.DUMMYFUNCTION("""COMPUTED_VALUE"""),0)</f>
        <v>0</v>
      </c>
      <c r="M290" s="1">
        <f ca="1">IFERROR(__xludf.DUMMYFUNCTION("""COMPUTED_VALUE"""),2)</f>
        <v>2</v>
      </c>
      <c r="N290" s="1">
        <f ca="1">IFERROR(__xludf.DUMMYFUNCTION("""COMPUTED_VALUE"""),4)</f>
        <v>4</v>
      </c>
      <c r="O290" s="1">
        <f ca="1">IFERROR(__xludf.DUMMYFUNCTION("""COMPUTED_VALUE"""),0)</f>
        <v>0</v>
      </c>
      <c r="P290" s="1">
        <f ca="1">IFERROR(__xludf.DUMMYFUNCTION("""COMPUTED_VALUE"""),4)</f>
        <v>4</v>
      </c>
      <c r="Q290" s="1">
        <f ca="1">IFERROR(__xludf.DUMMYFUNCTION("""COMPUTED_VALUE"""),1)</f>
        <v>1</v>
      </c>
      <c r="R290" s="1">
        <f ca="1">IFERROR(__xludf.DUMMYFUNCTION("""COMPUTED_VALUE"""),0)</f>
        <v>0</v>
      </c>
      <c r="S290" s="1">
        <f ca="1">IFERROR(__xludf.DUMMYFUNCTION("""COMPUTED_VALUE"""),1)</f>
        <v>1</v>
      </c>
      <c r="T290" s="1">
        <f ca="1">IFERROR(__xludf.DUMMYFUNCTION("""COMPUTED_VALUE"""),44305.4011342592)</f>
        <v>44305.401134259198</v>
      </c>
      <c r="U290" s="1" t="str">
        <f ca="1">IFERROR(__xludf.DUMMYFUNCTION("""COMPUTED_VALUE"""),".")</f>
        <v>.</v>
      </c>
    </row>
    <row r="291" spans="1:21" ht="13" x14ac:dyDescent="0.15">
      <c r="A291" s="1" t="str">
        <f t="shared" ca="1" si="0"/>
        <v>TenkasiSanthi Hospital, Vaikkalpalam, Tenkasi</v>
      </c>
      <c r="B291" s="1">
        <f ca="1">IFERROR(__xludf.DUMMYFUNCTION("""COMPUTED_VALUE"""),290)</f>
        <v>290</v>
      </c>
      <c r="C291" s="1" t="str">
        <f ca="1">IFERROR(__xludf.DUMMYFUNCTION("""COMPUTED_VALUE"""),"Tenkasi")</f>
        <v>Tenkasi</v>
      </c>
      <c r="D291" s="1" t="str">
        <f ca="1">IFERROR(__xludf.DUMMYFUNCTION("""COMPUTED_VALUE"""),"Santhi Hospital, Vaikkalpalam, Tenkasi")</f>
        <v>Santhi Hospital, Vaikkalpalam, Tenkasi</v>
      </c>
      <c r="E291" s="1">
        <f ca="1">IFERROR(__xludf.DUMMYFUNCTION("""COMPUTED_VALUE"""),0)</f>
        <v>0</v>
      </c>
      <c r="F291" s="1">
        <f ca="1">IFERROR(__xludf.DUMMYFUNCTION("""COMPUTED_VALUE"""),0)</f>
        <v>0</v>
      </c>
      <c r="G291" s="1">
        <f ca="1">IFERROR(__xludf.DUMMYFUNCTION("""COMPUTED_VALUE"""),0)</f>
        <v>0</v>
      </c>
      <c r="H291" s="1">
        <f ca="1">IFERROR(__xludf.DUMMYFUNCTION("""COMPUTED_VALUE"""),0)</f>
        <v>0</v>
      </c>
      <c r="I291" s="1">
        <f ca="1">IFERROR(__xludf.DUMMYFUNCTION("""COMPUTED_VALUE"""),0)</f>
        <v>0</v>
      </c>
      <c r="J291" s="1">
        <f ca="1">IFERROR(__xludf.DUMMYFUNCTION("""COMPUTED_VALUE"""),0)</f>
        <v>0</v>
      </c>
      <c r="K291" s="1">
        <f ca="1">IFERROR(__xludf.DUMMYFUNCTION("""COMPUTED_VALUE"""),0)</f>
        <v>0</v>
      </c>
      <c r="L291" s="1">
        <f ca="1">IFERROR(__xludf.DUMMYFUNCTION("""COMPUTED_VALUE"""),0)</f>
        <v>0</v>
      </c>
      <c r="M291" s="1">
        <f ca="1">IFERROR(__xludf.DUMMYFUNCTION("""COMPUTED_VALUE"""),0)</f>
        <v>0</v>
      </c>
      <c r="N291" s="1">
        <f ca="1">IFERROR(__xludf.DUMMYFUNCTION("""COMPUTED_VALUE"""),0)</f>
        <v>0</v>
      </c>
      <c r="O291" s="1">
        <f ca="1">IFERROR(__xludf.DUMMYFUNCTION("""COMPUTED_VALUE"""),0)</f>
        <v>0</v>
      </c>
      <c r="P291" s="1">
        <f ca="1">IFERROR(__xludf.DUMMYFUNCTION("""COMPUTED_VALUE"""),0)</f>
        <v>0</v>
      </c>
      <c r="Q291" s="1">
        <f ca="1">IFERROR(__xludf.DUMMYFUNCTION("""COMPUTED_VALUE"""),0)</f>
        <v>0</v>
      </c>
      <c r="R291" s="1">
        <f ca="1">IFERROR(__xludf.DUMMYFUNCTION("""COMPUTED_VALUE"""),0)</f>
        <v>0</v>
      </c>
      <c r="S291" s="1">
        <f ca="1">IFERROR(__xludf.DUMMYFUNCTION("""COMPUTED_VALUE"""),0)</f>
        <v>0</v>
      </c>
      <c r="T291" s="1">
        <f ca="1">IFERROR(__xludf.DUMMYFUNCTION("""COMPUTED_VALUE"""),44305.4009259259)</f>
        <v>44305.400925925896</v>
      </c>
      <c r="U291" s="1" t="str">
        <f ca="1">IFERROR(__xludf.DUMMYFUNCTION("""COMPUTED_VALUE"""),".")</f>
        <v>.</v>
      </c>
    </row>
    <row r="292" spans="1:21" ht="13" x14ac:dyDescent="0.15">
      <c r="A292" s="1" t="str">
        <f t="shared" ca="1" si="0"/>
        <v>ThanjavurOur Lady Hospital</v>
      </c>
      <c r="B292" s="1">
        <f ca="1">IFERROR(__xludf.DUMMYFUNCTION("""COMPUTED_VALUE"""),291)</f>
        <v>291</v>
      </c>
      <c r="C292" s="1" t="str">
        <f ca="1">IFERROR(__xludf.DUMMYFUNCTION("""COMPUTED_VALUE"""),"Thanjavur")</f>
        <v>Thanjavur</v>
      </c>
      <c r="D292" s="1" t="str">
        <f ca="1">IFERROR(__xludf.DUMMYFUNCTION("""COMPUTED_VALUE"""),"Our Lady Hospital")</f>
        <v>Our Lady Hospital</v>
      </c>
      <c r="E292" s="1">
        <f ca="1">IFERROR(__xludf.DUMMYFUNCTION("""COMPUTED_VALUE"""),59)</f>
        <v>59</v>
      </c>
      <c r="F292" s="1">
        <f ca="1">IFERROR(__xludf.DUMMYFUNCTION("""COMPUTED_VALUE"""),34)</f>
        <v>34</v>
      </c>
      <c r="G292" s="1">
        <f ca="1">IFERROR(__xludf.DUMMYFUNCTION("""COMPUTED_VALUE"""),25)</f>
        <v>25</v>
      </c>
      <c r="H292" s="1">
        <f ca="1">IFERROR(__xludf.DUMMYFUNCTION("""COMPUTED_VALUE"""),20)</f>
        <v>20</v>
      </c>
      <c r="I292" s="1">
        <f ca="1">IFERROR(__xludf.DUMMYFUNCTION("""COMPUTED_VALUE"""),4)</f>
        <v>4</v>
      </c>
      <c r="J292" s="1">
        <f ca="1">IFERROR(__xludf.DUMMYFUNCTION("""COMPUTED_VALUE"""),16)</f>
        <v>16</v>
      </c>
      <c r="K292" s="1">
        <f ca="1">IFERROR(__xludf.DUMMYFUNCTION("""COMPUTED_VALUE"""),30)</f>
        <v>30</v>
      </c>
      <c r="L292" s="1">
        <f ca="1">IFERROR(__xludf.DUMMYFUNCTION("""COMPUTED_VALUE"""),30)</f>
        <v>30</v>
      </c>
      <c r="M292" s="1">
        <f ca="1">IFERROR(__xludf.DUMMYFUNCTION("""COMPUTED_VALUE"""),0)</f>
        <v>0</v>
      </c>
      <c r="N292" s="1">
        <f ca="1">IFERROR(__xludf.DUMMYFUNCTION("""COMPUTED_VALUE"""),9)</f>
        <v>9</v>
      </c>
      <c r="O292" s="1">
        <f ca="1">IFERROR(__xludf.DUMMYFUNCTION("""COMPUTED_VALUE"""),0)</f>
        <v>0</v>
      </c>
      <c r="P292" s="1">
        <f ca="1">IFERROR(__xludf.DUMMYFUNCTION("""COMPUTED_VALUE"""),9)</f>
        <v>9</v>
      </c>
      <c r="Q292" s="1">
        <f ca="1">IFERROR(__xludf.DUMMYFUNCTION("""COMPUTED_VALUE"""),2)</f>
        <v>2</v>
      </c>
      <c r="R292" s="1">
        <f ca="1">IFERROR(__xludf.DUMMYFUNCTION("""COMPUTED_VALUE"""),0)</f>
        <v>0</v>
      </c>
      <c r="S292" s="1">
        <f ca="1">IFERROR(__xludf.DUMMYFUNCTION("""COMPUTED_VALUE"""),2)</f>
        <v>2</v>
      </c>
      <c r="T292" s="1">
        <f ca="1">IFERROR(__xludf.DUMMYFUNCTION("""COMPUTED_VALUE"""),44305.3930555555)</f>
        <v>44305.393055555498</v>
      </c>
      <c r="U292" s="1" t="str">
        <f ca="1">IFERROR(__xludf.DUMMYFUNCTION("""COMPUTED_VALUE"""),"Total positive case - 17 Total sari case - 17")</f>
        <v>Total positive case - 17 Total sari case - 17</v>
      </c>
    </row>
    <row r="293" spans="1:21" ht="13" x14ac:dyDescent="0.15">
      <c r="A293" s="1" t="str">
        <f t="shared" ca="1" si="0"/>
        <v>ThanjavurSri Naadi Hospital, Pattukottai</v>
      </c>
      <c r="B293" s="1">
        <f ca="1">IFERROR(__xludf.DUMMYFUNCTION("""COMPUTED_VALUE"""),292)</f>
        <v>292</v>
      </c>
      <c r="C293" s="1" t="str">
        <f ca="1">IFERROR(__xludf.DUMMYFUNCTION("""COMPUTED_VALUE"""),"Thanjavur")</f>
        <v>Thanjavur</v>
      </c>
      <c r="D293" s="1" t="str">
        <f ca="1">IFERROR(__xludf.DUMMYFUNCTION("""COMPUTED_VALUE"""),"Sri Naadi Hospital, Pattukottai")</f>
        <v>Sri Naadi Hospital, Pattukottai</v>
      </c>
      <c r="E293" s="1">
        <f ca="1">IFERROR(__xludf.DUMMYFUNCTION("""COMPUTED_VALUE"""),30)</f>
        <v>30</v>
      </c>
      <c r="F293" s="1">
        <f ca="1">IFERROR(__xludf.DUMMYFUNCTION("""COMPUTED_VALUE"""),0)</f>
        <v>0</v>
      </c>
      <c r="G293" s="1">
        <f ca="1">IFERROR(__xludf.DUMMYFUNCTION("""COMPUTED_VALUE"""),30)</f>
        <v>30</v>
      </c>
      <c r="H293" s="1">
        <f ca="1">IFERROR(__xludf.DUMMYFUNCTION("""COMPUTED_VALUE"""),15)</f>
        <v>15</v>
      </c>
      <c r="I293" s="1">
        <f ca="1">IFERROR(__xludf.DUMMYFUNCTION("""COMPUTED_VALUE"""),0)</f>
        <v>0</v>
      </c>
      <c r="J293" s="1">
        <f ca="1">IFERROR(__xludf.DUMMYFUNCTION("""COMPUTED_VALUE"""),15)</f>
        <v>15</v>
      </c>
      <c r="K293" s="1">
        <f ca="1">IFERROR(__xludf.DUMMYFUNCTION("""COMPUTED_VALUE"""),10)</f>
        <v>10</v>
      </c>
      <c r="L293" s="1">
        <f ca="1">IFERROR(__xludf.DUMMYFUNCTION("""COMPUTED_VALUE"""),0)</f>
        <v>0</v>
      </c>
      <c r="M293" s="1">
        <f ca="1">IFERROR(__xludf.DUMMYFUNCTION("""COMPUTED_VALUE"""),10)</f>
        <v>10</v>
      </c>
      <c r="N293" s="1">
        <f ca="1">IFERROR(__xludf.DUMMYFUNCTION("""COMPUTED_VALUE"""),5)</f>
        <v>5</v>
      </c>
      <c r="O293" s="1">
        <f ca="1">IFERROR(__xludf.DUMMYFUNCTION("""COMPUTED_VALUE"""),0)</f>
        <v>0</v>
      </c>
      <c r="P293" s="1">
        <f ca="1">IFERROR(__xludf.DUMMYFUNCTION("""COMPUTED_VALUE"""),5)</f>
        <v>5</v>
      </c>
      <c r="Q293" s="1">
        <f ca="1">IFERROR(__xludf.DUMMYFUNCTION("""COMPUTED_VALUE"""),3)</f>
        <v>3</v>
      </c>
      <c r="R293" s="1">
        <f ca="1">IFERROR(__xludf.DUMMYFUNCTION("""COMPUTED_VALUE"""),0)</f>
        <v>0</v>
      </c>
      <c r="S293" s="1">
        <f ca="1">IFERROR(__xludf.DUMMYFUNCTION("""COMPUTED_VALUE"""),3)</f>
        <v>3</v>
      </c>
      <c r="T293" s="1">
        <f ca="1">IFERROR(__xludf.DUMMYFUNCTION("""COMPUTED_VALUE"""),44305.5074537037)</f>
        <v>44305.5074537037</v>
      </c>
      <c r="U293" s="1" t="str">
        <f ca="1">IFERROR(__xludf.DUMMYFUNCTION("""COMPUTED_VALUE"""),"0 positive case.")</f>
        <v>0 positive case.</v>
      </c>
    </row>
    <row r="294" spans="1:21" ht="13" x14ac:dyDescent="0.15">
      <c r="A294" s="1" t="str">
        <f t="shared" ca="1" si="0"/>
        <v>ThanjavurVijay Poly Clinic, Kumbakonam</v>
      </c>
      <c r="B294" s="1">
        <f ca="1">IFERROR(__xludf.DUMMYFUNCTION("""COMPUTED_VALUE"""),293)</f>
        <v>293</v>
      </c>
      <c r="C294" s="1" t="str">
        <f ca="1">IFERROR(__xludf.DUMMYFUNCTION("""COMPUTED_VALUE"""),"Thanjavur")</f>
        <v>Thanjavur</v>
      </c>
      <c r="D294" s="1" t="str">
        <f ca="1">IFERROR(__xludf.DUMMYFUNCTION("""COMPUTED_VALUE"""),"Vijay Poly Clinic, Kumbakonam")</f>
        <v>Vijay Poly Clinic, Kumbakonam</v>
      </c>
      <c r="E294" s="1">
        <f ca="1">IFERROR(__xludf.DUMMYFUNCTION("""COMPUTED_VALUE"""),20)</f>
        <v>20</v>
      </c>
      <c r="F294" s="1">
        <f ca="1">IFERROR(__xludf.DUMMYFUNCTION("""COMPUTED_VALUE"""),0)</f>
        <v>0</v>
      </c>
      <c r="G294" s="1">
        <f ca="1">IFERROR(__xludf.DUMMYFUNCTION("""COMPUTED_VALUE"""),10)</f>
        <v>10</v>
      </c>
      <c r="H294" s="1">
        <f ca="1">IFERROR(__xludf.DUMMYFUNCTION("""COMPUTED_VALUE"""),9)</f>
        <v>9</v>
      </c>
      <c r="I294" s="1">
        <f ca="1">IFERROR(__xludf.DUMMYFUNCTION("""COMPUTED_VALUE"""),4)</f>
        <v>4</v>
      </c>
      <c r="J294" s="1">
        <f ca="1">IFERROR(__xludf.DUMMYFUNCTION("""COMPUTED_VALUE"""),5)</f>
        <v>5</v>
      </c>
      <c r="K294" s="1">
        <f ca="1">IFERROR(__xludf.DUMMYFUNCTION("""COMPUTED_VALUE"""),10)</f>
        <v>10</v>
      </c>
      <c r="L294" s="1">
        <f ca="1">IFERROR(__xludf.DUMMYFUNCTION("""COMPUTED_VALUE"""),5)</f>
        <v>5</v>
      </c>
      <c r="M294" s="1">
        <f ca="1">IFERROR(__xludf.DUMMYFUNCTION("""COMPUTED_VALUE"""),5)</f>
        <v>5</v>
      </c>
      <c r="N294" s="1">
        <f ca="1">IFERROR(__xludf.DUMMYFUNCTION("""COMPUTED_VALUE"""),1)</f>
        <v>1</v>
      </c>
      <c r="O294" s="1">
        <f ca="1">IFERROR(__xludf.DUMMYFUNCTION("""COMPUTED_VALUE"""),0)</f>
        <v>0</v>
      </c>
      <c r="P294" s="1">
        <f ca="1">IFERROR(__xludf.DUMMYFUNCTION("""COMPUTED_VALUE"""),1)</f>
        <v>1</v>
      </c>
      <c r="Q294" s="1">
        <f ca="1">IFERROR(__xludf.DUMMYFUNCTION("""COMPUTED_VALUE"""),1)</f>
        <v>1</v>
      </c>
      <c r="R294" s="1">
        <f ca="1">IFERROR(__xludf.DUMMYFUNCTION("""COMPUTED_VALUE"""),0)</f>
        <v>0</v>
      </c>
      <c r="S294" s="1">
        <f ca="1">IFERROR(__xludf.DUMMYFUNCTION("""COMPUTED_VALUE"""),1)</f>
        <v>1</v>
      </c>
      <c r="T294" s="1">
        <f ca="1">IFERROR(__xludf.DUMMYFUNCTION("""COMPUTED_VALUE"""),44305.3095138888)</f>
        <v>44305.309513888802</v>
      </c>
      <c r="U294" s="1" t="str">
        <f ca="1">IFERROR(__xludf.DUMMYFUNCTION("""COMPUTED_VALUE"""),"Updated on 19")</f>
        <v>Updated on 19</v>
      </c>
    </row>
    <row r="295" spans="1:21" ht="13" x14ac:dyDescent="0.15">
      <c r="A295" s="1" t="str">
        <f t="shared" ca="1" si="0"/>
        <v>TheniArun Hospital</v>
      </c>
      <c r="B295" s="1">
        <f ca="1">IFERROR(__xludf.DUMMYFUNCTION("""COMPUTED_VALUE"""),294)</f>
        <v>294</v>
      </c>
      <c r="C295" s="1" t="str">
        <f ca="1">IFERROR(__xludf.DUMMYFUNCTION("""COMPUTED_VALUE"""),"Theni")</f>
        <v>Theni</v>
      </c>
      <c r="D295" s="1" t="str">
        <f ca="1">IFERROR(__xludf.DUMMYFUNCTION("""COMPUTED_VALUE"""),"Arun Hospital")</f>
        <v>Arun Hospital</v>
      </c>
      <c r="E295" s="1">
        <f ca="1">IFERROR(__xludf.DUMMYFUNCTION("""COMPUTED_VALUE"""),10)</f>
        <v>10</v>
      </c>
      <c r="F295" s="1">
        <f ca="1">IFERROR(__xludf.DUMMYFUNCTION("""COMPUTED_VALUE"""),0)</f>
        <v>0</v>
      </c>
      <c r="G295" s="1">
        <f ca="1">IFERROR(__xludf.DUMMYFUNCTION("""COMPUTED_VALUE"""),0)</f>
        <v>0</v>
      </c>
      <c r="H295" s="1">
        <f ca="1">IFERROR(__xludf.DUMMYFUNCTION("""COMPUTED_VALUE"""),10)</f>
        <v>10</v>
      </c>
      <c r="I295" s="1">
        <f ca="1">IFERROR(__xludf.DUMMYFUNCTION("""COMPUTED_VALUE"""),0)</f>
        <v>0</v>
      </c>
      <c r="J295" s="1">
        <f ca="1">IFERROR(__xludf.DUMMYFUNCTION("""COMPUTED_VALUE"""),0)</f>
        <v>0</v>
      </c>
      <c r="K295" s="1">
        <f ca="1">IFERROR(__xludf.DUMMYFUNCTION("""COMPUTED_VALUE"""),10)</f>
        <v>10</v>
      </c>
      <c r="L295" s="1">
        <f ca="1">IFERROR(__xludf.DUMMYFUNCTION("""COMPUTED_VALUE"""),0)</f>
        <v>0</v>
      </c>
      <c r="M295" s="1">
        <f ca="1">IFERROR(__xludf.DUMMYFUNCTION("""COMPUTED_VALUE"""),0)</f>
        <v>0</v>
      </c>
      <c r="N295" s="1">
        <f ca="1">IFERROR(__xludf.DUMMYFUNCTION("""COMPUTED_VALUE"""),3)</f>
        <v>3</v>
      </c>
      <c r="O295" s="1">
        <f ca="1">IFERROR(__xludf.DUMMYFUNCTION("""COMPUTED_VALUE"""),0)</f>
        <v>0</v>
      </c>
      <c r="P295" s="1">
        <f ca="1">IFERROR(__xludf.DUMMYFUNCTION("""COMPUTED_VALUE"""),0)</f>
        <v>0</v>
      </c>
      <c r="Q295" s="1">
        <f ca="1">IFERROR(__xludf.DUMMYFUNCTION("""COMPUTED_VALUE"""),0)</f>
        <v>0</v>
      </c>
      <c r="R295" s="1">
        <f ca="1">IFERROR(__xludf.DUMMYFUNCTION("""COMPUTED_VALUE"""),0)</f>
        <v>0</v>
      </c>
      <c r="S295" s="1">
        <f ca="1">IFERROR(__xludf.DUMMYFUNCTION("""COMPUTED_VALUE"""),0)</f>
        <v>0</v>
      </c>
      <c r="T295" s="1">
        <f ca="1">IFERROR(__xludf.DUMMYFUNCTION("""COMPUTED_VALUE"""),44305.2907060185)</f>
        <v>44305.290706018503</v>
      </c>
      <c r="U295" s="1" t="str">
        <f ca="1">IFERROR(__xludf.DUMMYFUNCTION("""COMPUTED_VALUE"""),"Covid center theni")</f>
        <v>Covid center theni</v>
      </c>
    </row>
    <row r="296" spans="1:21" ht="13" x14ac:dyDescent="0.15">
      <c r="A296" s="1" t="str">
        <f t="shared" ca="1" si="0"/>
        <v>TheniNalam Hospital, Allinagaram</v>
      </c>
      <c r="B296" s="1">
        <f ca="1">IFERROR(__xludf.DUMMYFUNCTION("""COMPUTED_VALUE"""),295)</f>
        <v>295</v>
      </c>
      <c r="C296" s="1" t="str">
        <f ca="1">IFERROR(__xludf.DUMMYFUNCTION("""COMPUTED_VALUE"""),"Theni")</f>
        <v>Theni</v>
      </c>
      <c r="D296" s="1" t="str">
        <f ca="1">IFERROR(__xludf.DUMMYFUNCTION("""COMPUTED_VALUE"""),"Nalam Hospital, Allinagaram")</f>
        <v>Nalam Hospital, Allinagaram</v>
      </c>
      <c r="E296" s="1">
        <f ca="1">IFERROR(__xludf.DUMMYFUNCTION("""COMPUTED_VALUE"""),12)</f>
        <v>12</v>
      </c>
      <c r="F296" s="1">
        <f ca="1">IFERROR(__xludf.DUMMYFUNCTION("""COMPUTED_VALUE"""),1)</f>
        <v>1</v>
      </c>
      <c r="G296" s="1">
        <f ca="1">IFERROR(__xludf.DUMMYFUNCTION("""COMPUTED_VALUE"""),11)</f>
        <v>11</v>
      </c>
      <c r="H296" s="1">
        <f ca="1">IFERROR(__xludf.DUMMYFUNCTION("""COMPUTED_VALUE"""),10)</f>
        <v>10</v>
      </c>
      <c r="I296" s="1">
        <f ca="1">IFERROR(__xludf.DUMMYFUNCTION("""COMPUTED_VALUE"""),1)</f>
        <v>1</v>
      </c>
      <c r="J296" s="1">
        <f ca="1">IFERROR(__xludf.DUMMYFUNCTION("""COMPUTED_VALUE"""),9)</f>
        <v>9</v>
      </c>
      <c r="K296" s="1">
        <f ca="1">IFERROR(__xludf.DUMMYFUNCTION("""COMPUTED_VALUE"""),2)</f>
        <v>2</v>
      </c>
      <c r="L296" s="1">
        <f ca="1">IFERROR(__xludf.DUMMYFUNCTION("""COMPUTED_VALUE"""),0)</f>
        <v>0</v>
      </c>
      <c r="M296" s="1">
        <f ca="1">IFERROR(__xludf.DUMMYFUNCTION("""COMPUTED_VALUE"""),2)</f>
        <v>2</v>
      </c>
      <c r="N296" s="1">
        <f ca="1">IFERROR(__xludf.DUMMYFUNCTION("""COMPUTED_VALUE"""),0)</f>
        <v>0</v>
      </c>
      <c r="O296" s="1">
        <f ca="1">IFERROR(__xludf.DUMMYFUNCTION("""COMPUTED_VALUE"""),0)</f>
        <v>0</v>
      </c>
      <c r="P296" s="1">
        <f ca="1">IFERROR(__xludf.DUMMYFUNCTION("""COMPUTED_VALUE"""),0)</f>
        <v>0</v>
      </c>
      <c r="Q296" s="1">
        <f ca="1">IFERROR(__xludf.DUMMYFUNCTION("""COMPUTED_VALUE"""),0)</f>
        <v>0</v>
      </c>
      <c r="R296" s="1">
        <f ca="1">IFERROR(__xludf.DUMMYFUNCTION("""COMPUTED_VALUE"""),0)</f>
        <v>0</v>
      </c>
      <c r="S296" s="1">
        <f ca="1">IFERROR(__xludf.DUMMYFUNCTION("""COMPUTED_VALUE"""),0)</f>
        <v>0</v>
      </c>
      <c r="T296" s="1">
        <f ca="1">IFERROR(__xludf.DUMMYFUNCTION("""COMPUTED_VALUE"""),44305.2980555555)</f>
        <v>44305.298055555497</v>
      </c>
      <c r="U296" s="1" t="str">
        <f ca="1">IFERROR(__xludf.DUMMYFUNCTION("""COMPUTED_VALUE"""),"Nil")</f>
        <v>Nil</v>
      </c>
    </row>
    <row r="297" spans="1:21" ht="13" x14ac:dyDescent="0.15">
      <c r="A297" s="1" t="str">
        <f t="shared" ca="1" si="0"/>
        <v>TheniRamapadyan Hospital, A.Pudur Vilakku</v>
      </c>
      <c r="B297" s="1">
        <f ca="1">IFERROR(__xludf.DUMMYFUNCTION("""COMPUTED_VALUE"""),296)</f>
        <v>296</v>
      </c>
      <c r="C297" s="1" t="str">
        <f ca="1">IFERROR(__xludf.DUMMYFUNCTION("""COMPUTED_VALUE"""),"Theni")</f>
        <v>Theni</v>
      </c>
      <c r="D297" s="1" t="str">
        <f ca="1">IFERROR(__xludf.DUMMYFUNCTION("""COMPUTED_VALUE"""),"Ramapadyan Hospital, A.Pudur Vilakku")</f>
        <v>Ramapadyan Hospital, A.Pudur Vilakku</v>
      </c>
      <c r="E297" s="1">
        <f ca="1">IFERROR(__xludf.DUMMYFUNCTION("""COMPUTED_VALUE"""),15)</f>
        <v>15</v>
      </c>
      <c r="F297" s="1">
        <f ca="1">IFERROR(__xludf.DUMMYFUNCTION("""COMPUTED_VALUE"""),0)</f>
        <v>0</v>
      </c>
      <c r="G297" s="1">
        <f ca="1">IFERROR(__xludf.DUMMYFUNCTION("""COMPUTED_VALUE"""),15)</f>
        <v>15</v>
      </c>
      <c r="H297" s="1">
        <f ca="1">IFERROR(__xludf.DUMMYFUNCTION("""COMPUTED_VALUE"""),2)</f>
        <v>2</v>
      </c>
      <c r="I297" s="1">
        <f ca="1">IFERROR(__xludf.DUMMYFUNCTION("""COMPUTED_VALUE"""),0)</f>
        <v>0</v>
      </c>
      <c r="J297" s="1">
        <f ca="1">IFERROR(__xludf.DUMMYFUNCTION("""COMPUTED_VALUE"""),2)</f>
        <v>2</v>
      </c>
      <c r="K297" s="1">
        <f ca="1">IFERROR(__xludf.DUMMYFUNCTION("""COMPUTED_VALUE"""),7)</f>
        <v>7</v>
      </c>
      <c r="L297" s="1">
        <f ca="1">IFERROR(__xludf.DUMMYFUNCTION("""COMPUTED_VALUE"""),0)</f>
        <v>0</v>
      </c>
      <c r="M297" s="1">
        <f ca="1">IFERROR(__xludf.DUMMYFUNCTION("""COMPUTED_VALUE"""),8)</f>
        <v>8</v>
      </c>
      <c r="N297" s="1">
        <f ca="1">IFERROR(__xludf.DUMMYFUNCTION("""COMPUTED_VALUE"""),2)</f>
        <v>2</v>
      </c>
      <c r="O297" s="1">
        <f ca="1">IFERROR(__xludf.DUMMYFUNCTION("""COMPUTED_VALUE"""),0)</f>
        <v>0</v>
      </c>
      <c r="P297" s="1">
        <f ca="1">IFERROR(__xludf.DUMMYFUNCTION("""COMPUTED_VALUE"""),2)</f>
        <v>2</v>
      </c>
      <c r="Q297" s="1">
        <f ca="1">IFERROR(__xludf.DUMMYFUNCTION("""COMPUTED_VALUE"""),1)</f>
        <v>1</v>
      </c>
      <c r="R297" s="1">
        <f ca="1">IFERROR(__xludf.DUMMYFUNCTION("""COMPUTED_VALUE"""),0)</f>
        <v>0</v>
      </c>
      <c r="S297" s="1">
        <f ca="1">IFERROR(__xludf.DUMMYFUNCTION("""COMPUTED_VALUE"""),0)</f>
        <v>0</v>
      </c>
      <c r="T297" s="1">
        <f ca="1">IFERROR(__xludf.DUMMYFUNCTION("""COMPUTED_VALUE"""),44305.2902314814)</f>
        <v>44305.290231481398</v>
      </c>
      <c r="U297" s="1" t="str">
        <f ca="1">IFERROR(__xludf.DUMMYFUNCTION("""COMPUTED_VALUE"""),"Covid care centre theni")</f>
        <v>Covid care centre theni</v>
      </c>
    </row>
    <row r="298" spans="1:21" ht="13" x14ac:dyDescent="0.15">
      <c r="A298" s="1" t="str">
        <f t="shared" ca="1" si="0"/>
        <v>TheniTheni Medical Centre, Nehruji Road</v>
      </c>
      <c r="B298" s="1">
        <f ca="1">IFERROR(__xludf.DUMMYFUNCTION("""COMPUTED_VALUE"""),297)</f>
        <v>297</v>
      </c>
      <c r="C298" s="1" t="str">
        <f ca="1">IFERROR(__xludf.DUMMYFUNCTION("""COMPUTED_VALUE"""),"Theni")</f>
        <v>Theni</v>
      </c>
      <c r="D298" s="1" t="str">
        <f ca="1">IFERROR(__xludf.DUMMYFUNCTION("""COMPUTED_VALUE"""),"Theni Medical Centre, Nehruji Road")</f>
        <v>Theni Medical Centre, Nehruji Road</v>
      </c>
      <c r="E298" s="1">
        <f ca="1">IFERROR(__xludf.DUMMYFUNCTION("""COMPUTED_VALUE"""),25)</f>
        <v>25</v>
      </c>
      <c r="F298" s="1">
        <f ca="1">IFERROR(__xludf.DUMMYFUNCTION("""COMPUTED_VALUE"""),5)</f>
        <v>5</v>
      </c>
      <c r="G298" s="1">
        <f ca="1">IFERROR(__xludf.DUMMYFUNCTION("""COMPUTED_VALUE"""),20)</f>
        <v>20</v>
      </c>
      <c r="H298" s="1">
        <f ca="1">IFERROR(__xludf.DUMMYFUNCTION("""COMPUTED_VALUE"""),25)</f>
        <v>25</v>
      </c>
      <c r="I298" s="1">
        <f ca="1">IFERROR(__xludf.DUMMYFUNCTION("""COMPUTED_VALUE"""),1)</f>
        <v>1</v>
      </c>
      <c r="J298" s="1">
        <f ca="1">IFERROR(__xludf.DUMMYFUNCTION("""COMPUTED_VALUE"""),24)</f>
        <v>24</v>
      </c>
      <c r="K298" s="1">
        <f ca="1">IFERROR(__xludf.DUMMYFUNCTION("""COMPUTED_VALUE"""),0)</f>
        <v>0</v>
      </c>
      <c r="L298" s="1">
        <f ca="1">IFERROR(__xludf.DUMMYFUNCTION("""COMPUTED_VALUE"""),0)</f>
        <v>0</v>
      </c>
      <c r="M298" s="1">
        <f ca="1">IFERROR(__xludf.DUMMYFUNCTION("""COMPUTED_VALUE"""),0)</f>
        <v>0</v>
      </c>
      <c r="N298" s="1">
        <f ca="1">IFERROR(__xludf.DUMMYFUNCTION("""COMPUTED_VALUE"""),0)</f>
        <v>0</v>
      </c>
      <c r="O298" s="1">
        <f ca="1">IFERROR(__xludf.DUMMYFUNCTION("""COMPUTED_VALUE"""),0)</f>
        <v>0</v>
      </c>
      <c r="P298" s="1">
        <f ca="1">IFERROR(__xludf.DUMMYFUNCTION("""COMPUTED_VALUE"""),0)</f>
        <v>0</v>
      </c>
      <c r="Q298" s="1">
        <f ca="1">IFERROR(__xludf.DUMMYFUNCTION("""COMPUTED_VALUE"""),0)</f>
        <v>0</v>
      </c>
      <c r="R298" s="1">
        <f ca="1">IFERROR(__xludf.DUMMYFUNCTION("""COMPUTED_VALUE"""),0)</f>
        <v>0</v>
      </c>
      <c r="S298" s="1">
        <f ca="1">IFERROR(__xludf.DUMMYFUNCTION("""COMPUTED_VALUE"""),0)</f>
        <v>0</v>
      </c>
      <c r="T298" s="1">
        <f ca="1">IFERROR(__xludf.DUMMYFUNCTION("""COMPUTED_VALUE"""),44305.2916898148)</f>
        <v>44305.291689814803</v>
      </c>
      <c r="U298" s="1" t="str">
        <f ca="1">IFERROR(__xludf.DUMMYFUNCTION("""COMPUTED_VALUE"""),"Covid care center")</f>
        <v>Covid care center</v>
      </c>
    </row>
    <row r="299" spans="1:21" ht="13" x14ac:dyDescent="0.15">
      <c r="A299" s="1" t="str">
        <f t="shared" ca="1" si="0"/>
        <v>TirunelveliRoyal Hospital, NGO Colony</v>
      </c>
      <c r="B299" s="1">
        <f ca="1">IFERROR(__xludf.DUMMYFUNCTION("""COMPUTED_VALUE"""),298)</f>
        <v>298</v>
      </c>
      <c r="C299" s="1" t="str">
        <f ca="1">IFERROR(__xludf.DUMMYFUNCTION("""COMPUTED_VALUE"""),"Tirunelveli")</f>
        <v>Tirunelveli</v>
      </c>
      <c r="D299" s="1" t="str">
        <f ca="1">IFERROR(__xludf.DUMMYFUNCTION("""COMPUTED_VALUE"""),"Royal Hospital, NGO Colony")</f>
        <v>Royal Hospital, NGO Colony</v>
      </c>
      <c r="E299" s="1">
        <f ca="1">IFERROR(__xludf.DUMMYFUNCTION("""COMPUTED_VALUE"""),0)</f>
        <v>0</v>
      </c>
      <c r="F299" s="1">
        <f ca="1">IFERROR(__xludf.DUMMYFUNCTION("""COMPUTED_VALUE"""),0)</f>
        <v>0</v>
      </c>
      <c r="G299" s="1">
        <f ca="1">IFERROR(__xludf.DUMMYFUNCTION("""COMPUTED_VALUE"""),0)</f>
        <v>0</v>
      </c>
      <c r="H299" s="1">
        <f ca="1">IFERROR(__xludf.DUMMYFUNCTION("""COMPUTED_VALUE"""),0)</f>
        <v>0</v>
      </c>
      <c r="I299" s="1">
        <f ca="1">IFERROR(__xludf.DUMMYFUNCTION("""COMPUTED_VALUE"""),0)</f>
        <v>0</v>
      </c>
      <c r="J299" s="1">
        <f ca="1">IFERROR(__xludf.DUMMYFUNCTION("""COMPUTED_VALUE"""),0)</f>
        <v>0</v>
      </c>
      <c r="K299" s="1">
        <f ca="1">IFERROR(__xludf.DUMMYFUNCTION("""COMPUTED_VALUE"""),0)</f>
        <v>0</v>
      </c>
      <c r="L299" s="1">
        <f ca="1">IFERROR(__xludf.DUMMYFUNCTION("""COMPUTED_VALUE"""),0)</f>
        <v>0</v>
      </c>
      <c r="M299" s="1">
        <f ca="1">IFERROR(__xludf.DUMMYFUNCTION("""COMPUTED_VALUE"""),0)</f>
        <v>0</v>
      </c>
      <c r="N299" s="1">
        <f ca="1">IFERROR(__xludf.DUMMYFUNCTION("""COMPUTED_VALUE"""),0)</f>
        <v>0</v>
      </c>
      <c r="O299" s="1">
        <f ca="1">IFERROR(__xludf.DUMMYFUNCTION("""COMPUTED_VALUE"""),0)</f>
        <v>0</v>
      </c>
      <c r="P299" s="1">
        <f ca="1">IFERROR(__xludf.DUMMYFUNCTION("""COMPUTED_VALUE"""),0)</f>
        <v>0</v>
      </c>
      <c r="Q299" s="1">
        <f ca="1">IFERROR(__xludf.DUMMYFUNCTION("""COMPUTED_VALUE"""),0)</f>
        <v>0</v>
      </c>
      <c r="R299" s="1">
        <f ca="1">IFERROR(__xludf.DUMMYFUNCTION("""COMPUTED_VALUE"""),0)</f>
        <v>0</v>
      </c>
      <c r="S299" s="1">
        <f ca="1">IFERROR(__xludf.DUMMYFUNCTION("""COMPUTED_VALUE"""),0)</f>
        <v>0</v>
      </c>
      <c r="T299" s="1">
        <f ca="1">IFERROR(__xludf.DUMMYFUNCTION("""COMPUTED_VALUE"""),44305.3755787037)</f>
        <v>44305.375578703701</v>
      </c>
      <c r="U299" s="1"/>
    </row>
    <row r="300" spans="1:21" ht="13" x14ac:dyDescent="0.15">
      <c r="A300" s="1" t="str">
        <f t="shared" ca="1" si="0"/>
        <v>TirunelveliSudharson Platinum Hospitals, Vannarpettai</v>
      </c>
      <c r="B300" s="1">
        <f ca="1">IFERROR(__xludf.DUMMYFUNCTION("""COMPUTED_VALUE"""),299)</f>
        <v>299</v>
      </c>
      <c r="C300" s="1" t="str">
        <f ca="1">IFERROR(__xludf.DUMMYFUNCTION("""COMPUTED_VALUE"""),"Tirunelveli")</f>
        <v>Tirunelveli</v>
      </c>
      <c r="D300" s="1" t="str">
        <f ca="1">IFERROR(__xludf.DUMMYFUNCTION("""COMPUTED_VALUE"""),"Sudharson Platinum Hospitals, Vannarpettai")</f>
        <v>Sudharson Platinum Hospitals, Vannarpettai</v>
      </c>
      <c r="E300" s="1">
        <f ca="1">IFERROR(__xludf.DUMMYFUNCTION("""COMPUTED_VALUE"""),28)</f>
        <v>28</v>
      </c>
      <c r="F300" s="1">
        <f ca="1">IFERROR(__xludf.DUMMYFUNCTION("""COMPUTED_VALUE"""),25)</f>
        <v>25</v>
      </c>
      <c r="G300" s="1">
        <f ca="1">IFERROR(__xludf.DUMMYFUNCTION("""COMPUTED_VALUE"""),3)</f>
        <v>3</v>
      </c>
      <c r="H300" s="1">
        <f ca="1">IFERROR(__xludf.DUMMYFUNCTION("""COMPUTED_VALUE"""),10)</f>
        <v>10</v>
      </c>
      <c r="I300" s="1">
        <f ca="1">IFERROR(__xludf.DUMMYFUNCTION("""COMPUTED_VALUE"""),10)</f>
        <v>10</v>
      </c>
      <c r="J300" s="1">
        <f ca="1">IFERROR(__xludf.DUMMYFUNCTION("""COMPUTED_VALUE"""),0)</f>
        <v>0</v>
      </c>
      <c r="K300" s="1">
        <f ca="1">IFERROR(__xludf.DUMMYFUNCTION("""COMPUTED_VALUE"""),7)</f>
        <v>7</v>
      </c>
      <c r="L300" s="1">
        <f ca="1">IFERROR(__xludf.DUMMYFUNCTION("""COMPUTED_VALUE"""),0)</f>
        <v>0</v>
      </c>
      <c r="M300" s="1">
        <f ca="1">IFERROR(__xludf.DUMMYFUNCTION("""COMPUTED_VALUE"""),2)</f>
        <v>2</v>
      </c>
      <c r="N300" s="1">
        <f ca="1">IFERROR(__xludf.DUMMYFUNCTION("""COMPUTED_VALUE"""),11)</f>
        <v>11</v>
      </c>
      <c r="O300" s="1">
        <f ca="1">IFERROR(__xludf.DUMMYFUNCTION("""COMPUTED_VALUE"""),11)</f>
        <v>11</v>
      </c>
      <c r="P300" s="1">
        <f ca="1">IFERROR(__xludf.DUMMYFUNCTION("""COMPUTED_VALUE"""),0)</f>
        <v>0</v>
      </c>
      <c r="Q300" s="1">
        <f ca="1">IFERROR(__xludf.DUMMYFUNCTION("""COMPUTED_VALUE"""),3)</f>
        <v>3</v>
      </c>
      <c r="R300" s="1">
        <f ca="1">IFERROR(__xludf.DUMMYFUNCTION("""COMPUTED_VALUE"""),0)</f>
        <v>0</v>
      </c>
      <c r="S300" s="1">
        <f ca="1">IFERROR(__xludf.DUMMYFUNCTION("""COMPUTED_VALUE"""),3)</f>
        <v>3</v>
      </c>
      <c r="T300" s="1">
        <f ca="1">IFERROR(__xludf.DUMMYFUNCTION("""COMPUTED_VALUE"""),44305.4393055555)</f>
        <v>44305.439305555497</v>
      </c>
      <c r="U300" s="1" t="str">
        <f ca="1">IFERROR(__xludf.DUMMYFUNCTION("""COMPUTED_VALUE"""),"25 positive and 1 susupected cases")</f>
        <v>25 positive and 1 susupected cases</v>
      </c>
    </row>
    <row r="301" spans="1:21" ht="13" x14ac:dyDescent="0.15">
      <c r="A301" s="1" t="str">
        <f t="shared" ca="1" si="0"/>
        <v>ThiruchirappalliAthma Hospitals, Thillai Nagar</v>
      </c>
      <c r="B301" s="1">
        <f ca="1">IFERROR(__xludf.DUMMYFUNCTION("""COMPUTED_VALUE"""),300)</f>
        <v>300</v>
      </c>
      <c r="C301" s="1" t="str">
        <f ca="1">IFERROR(__xludf.DUMMYFUNCTION("""COMPUTED_VALUE"""),"Thiruchirappalli")</f>
        <v>Thiruchirappalli</v>
      </c>
      <c r="D301" s="1" t="str">
        <f ca="1">IFERROR(__xludf.DUMMYFUNCTION("""COMPUTED_VALUE"""),"Athma Hospitals, Thillai Nagar")</f>
        <v>Athma Hospitals, Thillai Nagar</v>
      </c>
      <c r="E301" s="1">
        <f ca="1">IFERROR(__xludf.DUMMYFUNCTION("""COMPUTED_VALUE"""),15)</f>
        <v>15</v>
      </c>
      <c r="F301" s="1">
        <f ca="1">IFERROR(__xludf.DUMMYFUNCTION("""COMPUTED_VALUE"""),2)</f>
        <v>2</v>
      </c>
      <c r="G301" s="1">
        <f ca="1">IFERROR(__xludf.DUMMYFUNCTION("""COMPUTED_VALUE"""),13)</f>
        <v>13</v>
      </c>
      <c r="H301" s="1">
        <f ca="1">IFERROR(__xludf.DUMMYFUNCTION("""COMPUTED_VALUE"""),6)</f>
        <v>6</v>
      </c>
      <c r="I301" s="1">
        <f ca="1">IFERROR(__xludf.DUMMYFUNCTION("""COMPUTED_VALUE"""),0)</f>
        <v>0</v>
      </c>
      <c r="J301" s="1">
        <f ca="1">IFERROR(__xludf.DUMMYFUNCTION("""COMPUTED_VALUE"""),6)</f>
        <v>6</v>
      </c>
      <c r="K301" s="1">
        <f ca="1">IFERROR(__xludf.DUMMYFUNCTION("""COMPUTED_VALUE"""),8)</f>
        <v>8</v>
      </c>
      <c r="L301" s="1">
        <f ca="1">IFERROR(__xludf.DUMMYFUNCTION("""COMPUTED_VALUE"""),1)</f>
        <v>1</v>
      </c>
      <c r="M301" s="1">
        <f ca="1">IFERROR(__xludf.DUMMYFUNCTION("""COMPUTED_VALUE"""),7)</f>
        <v>7</v>
      </c>
      <c r="N301" s="1">
        <f ca="1">IFERROR(__xludf.DUMMYFUNCTION("""COMPUTED_VALUE"""),1)</f>
        <v>1</v>
      </c>
      <c r="O301" s="1">
        <f ca="1">IFERROR(__xludf.DUMMYFUNCTION("""COMPUTED_VALUE"""),1)</f>
        <v>1</v>
      </c>
      <c r="P301" s="1">
        <f ca="1">IFERROR(__xludf.DUMMYFUNCTION("""COMPUTED_VALUE"""),0)</f>
        <v>0</v>
      </c>
      <c r="Q301" s="1">
        <f ca="1">IFERROR(__xludf.DUMMYFUNCTION("""COMPUTED_VALUE"""),1)</f>
        <v>1</v>
      </c>
      <c r="R301" s="1">
        <f ca="1">IFERROR(__xludf.DUMMYFUNCTION("""COMPUTED_VALUE"""),0)</f>
        <v>0</v>
      </c>
      <c r="S301" s="1">
        <f ca="1">IFERROR(__xludf.DUMMYFUNCTION("""COMPUTED_VALUE"""),1)</f>
        <v>1</v>
      </c>
      <c r="T301" s="1">
        <f ca="1">IFERROR(__xludf.DUMMYFUNCTION("""COMPUTED_VALUE"""),44305.3358217592)</f>
        <v>44305.335821759203</v>
      </c>
      <c r="U301" s="1" t="str">
        <f ca="1">IFERROR(__xludf.DUMMYFUNCTION("""COMPUTED_VALUE"""),"CT POSITIVE.")</f>
        <v>CT POSITIVE.</v>
      </c>
    </row>
    <row r="302" spans="1:21" ht="13" x14ac:dyDescent="0.15">
      <c r="A302" s="1" t="str">
        <f t="shared" ca="1" si="0"/>
        <v>ThiruchirappalliKavi Hospital &amp; Neuro Foundation</v>
      </c>
      <c r="B302" s="1">
        <f ca="1">IFERROR(__xludf.DUMMYFUNCTION("""COMPUTED_VALUE"""),301)</f>
        <v>301</v>
      </c>
      <c r="C302" s="1" t="str">
        <f ca="1">IFERROR(__xludf.DUMMYFUNCTION("""COMPUTED_VALUE"""),"Thiruchirappalli")</f>
        <v>Thiruchirappalli</v>
      </c>
      <c r="D302" s="1" t="str">
        <f ca="1">IFERROR(__xludf.DUMMYFUNCTION("""COMPUTED_VALUE"""),"Kavi Hospital &amp; Neuro Foundation")</f>
        <v>Kavi Hospital &amp; Neuro Foundation</v>
      </c>
      <c r="E302" s="1">
        <f ca="1">IFERROR(__xludf.DUMMYFUNCTION("""COMPUTED_VALUE"""),30)</f>
        <v>30</v>
      </c>
      <c r="F302" s="1">
        <f ca="1">IFERROR(__xludf.DUMMYFUNCTION("""COMPUTED_VALUE"""),6)</f>
        <v>6</v>
      </c>
      <c r="G302" s="1">
        <f ca="1">IFERROR(__xludf.DUMMYFUNCTION("""COMPUTED_VALUE"""),24)</f>
        <v>24</v>
      </c>
      <c r="H302" s="1">
        <f ca="1">IFERROR(__xludf.DUMMYFUNCTION("""COMPUTED_VALUE"""),24)</f>
        <v>24</v>
      </c>
      <c r="I302" s="1">
        <f ca="1">IFERROR(__xludf.DUMMYFUNCTION("""COMPUTED_VALUE"""),1)</f>
        <v>1</v>
      </c>
      <c r="J302" s="1">
        <f ca="1">IFERROR(__xludf.DUMMYFUNCTION("""COMPUTED_VALUE"""),23)</f>
        <v>23</v>
      </c>
      <c r="K302" s="1">
        <f ca="1">IFERROR(__xludf.DUMMYFUNCTION("""COMPUTED_VALUE"""),4)</f>
        <v>4</v>
      </c>
      <c r="L302" s="1">
        <f ca="1">IFERROR(__xludf.DUMMYFUNCTION("""COMPUTED_VALUE"""),0)</f>
        <v>0</v>
      </c>
      <c r="M302" s="1">
        <f ca="1">IFERROR(__xludf.DUMMYFUNCTION("""COMPUTED_VALUE"""),4)</f>
        <v>4</v>
      </c>
      <c r="N302" s="1">
        <f ca="1">IFERROR(__xludf.DUMMYFUNCTION("""COMPUTED_VALUE"""),2)</f>
        <v>2</v>
      </c>
      <c r="O302" s="1">
        <f ca="1">IFERROR(__xludf.DUMMYFUNCTION("""COMPUTED_VALUE"""),0)</f>
        <v>0</v>
      </c>
      <c r="P302" s="1">
        <f ca="1">IFERROR(__xludf.DUMMYFUNCTION("""COMPUTED_VALUE"""),2)</f>
        <v>2</v>
      </c>
      <c r="Q302" s="1">
        <f ca="1">IFERROR(__xludf.DUMMYFUNCTION("""COMPUTED_VALUE"""),2)</f>
        <v>2</v>
      </c>
      <c r="R302" s="1">
        <f ca="1">IFERROR(__xludf.DUMMYFUNCTION("""COMPUTED_VALUE"""),0)</f>
        <v>0</v>
      </c>
      <c r="S302" s="1">
        <f ca="1">IFERROR(__xludf.DUMMYFUNCTION("""COMPUTED_VALUE"""),2)</f>
        <v>2</v>
      </c>
      <c r="T302" s="1">
        <f ca="1">IFERROR(__xludf.DUMMYFUNCTION("""COMPUTED_VALUE"""),44305.3985879629)</f>
        <v>44305.398587962904</v>
      </c>
      <c r="U302" s="1"/>
    </row>
    <row r="303" spans="1:21" ht="13" x14ac:dyDescent="0.15">
      <c r="A303" s="1" t="str">
        <f t="shared" ca="1" si="0"/>
        <v>ThiruchirappalliMangalam Hospital</v>
      </c>
      <c r="B303" s="1">
        <f ca="1">IFERROR(__xludf.DUMMYFUNCTION("""COMPUTED_VALUE"""),302)</f>
        <v>302</v>
      </c>
      <c r="C303" s="1" t="str">
        <f ca="1">IFERROR(__xludf.DUMMYFUNCTION("""COMPUTED_VALUE"""),"Thiruchirappalli")</f>
        <v>Thiruchirappalli</v>
      </c>
      <c r="D303" s="1" t="str">
        <f ca="1">IFERROR(__xludf.DUMMYFUNCTION("""COMPUTED_VALUE"""),"Mangalam Hospital")</f>
        <v>Mangalam Hospital</v>
      </c>
      <c r="E303" s="1">
        <f ca="1">IFERROR(__xludf.DUMMYFUNCTION("""COMPUTED_VALUE"""),14)</f>
        <v>14</v>
      </c>
      <c r="F303" s="1">
        <f ca="1">IFERROR(__xludf.DUMMYFUNCTION("""COMPUTED_VALUE"""),13)</f>
        <v>13</v>
      </c>
      <c r="G303" s="1">
        <f ca="1">IFERROR(__xludf.DUMMYFUNCTION("""COMPUTED_VALUE"""),1)</f>
        <v>1</v>
      </c>
      <c r="H303" s="1">
        <f ca="1">IFERROR(__xludf.DUMMYFUNCTION("""COMPUTED_VALUE"""),11)</f>
        <v>11</v>
      </c>
      <c r="I303" s="1">
        <f ca="1">IFERROR(__xludf.DUMMYFUNCTION("""COMPUTED_VALUE"""),11)</f>
        <v>11</v>
      </c>
      <c r="J303" s="1">
        <f ca="1">IFERROR(__xludf.DUMMYFUNCTION("""COMPUTED_VALUE"""),0)</f>
        <v>0</v>
      </c>
      <c r="K303" s="1">
        <f ca="1">IFERROR(__xludf.DUMMYFUNCTION("""COMPUTED_VALUE"""),3)</f>
        <v>3</v>
      </c>
      <c r="L303" s="1">
        <f ca="1">IFERROR(__xludf.DUMMYFUNCTION("""COMPUTED_VALUE"""),2)</f>
        <v>2</v>
      </c>
      <c r="M303" s="1">
        <f ca="1">IFERROR(__xludf.DUMMYFUNCTION("""COMPUTED_VALUE"""),1)</f>
        <v>1</v>
      </c>
      <c r="N303" s="1">
        <f ca="1">IFERROR(__xludf.DUMMYFUNCTION("""COMPUTED_VALUE"""),0)</f>
        <v>0</v>
      </c>
      <c r="O303" s="1">
        <f ca="1">IFERROR(__xludf.DUMMYFUNCTION("""COMPUTED_VALUE"""),0)</f>
        <v>0</v>
      </c>
      <c r="P303" s="1">
        <f ca="1">IFERROR(__xludf.DUMMYFUNCTION("""COMPUTED_VALUE"""),0)</f>
        <v>0</v>
      </c>
      <c r="Q303" s="1">
        <f ca="1">IFERROR(__xludf.DUMMYFUNCTION("""COMPUTED_VALUE"""),0)</f>
        <v>0</v>
      </c>
      <c r="R303" s="1">
        <f ca="1">IFERROR(__xludf.DUMMYFUNCTION("""COMPUTED_VALUE"""),0)</f>
        <v>0</v>
      </c>
      <c r="S303" s="1">
        <f ca="1">IFERROR(__xludf.DUMMYFUNCTION("""COMPUTED_VALUE"""),0)</f>
        <v>0</v>
      </c>
      <c r="T303" s="1">
        <f ca="1">IFERROR(__xludf.DUMMYFUNCTION("""COMPUTED_VALUE"""),44305.4214814814)</f>
        <v>44305.421481481397</v>
      </c>
      <c r="U303" s="1" t="str">
        <f ca="1">IFERROR(__xludf.DUMMYFUNCTION("""COMPUTED_VALUE"""),"Nil")</f>
        <v>Nil</v>
      </c>
    </row>
    <row r="304" spans="1:21" ht="13" x14ac:dyDescent="0.15">
      <c r="A304" s="1" t="str">
        <f t="shared" ca="1" si="0"/>
        <v>ThiruchirappalliMMM Multi Speciality Hospital</v>
      </c>
      <c r="B304" s="1">
        <f ca="1">IFERROR(__xludf.DUMMYFUNCTION("""COMPUTED_VALUE"""),303)</f>
        <v>303</v>
      </c>
      <c r="C304" s="1" t="str">
        <f ca="1">IFERROR(__xludf.DUMMYFUNCTION("""COMPUTED_VALUE"""),"Thiruchirappalli")</f>
        <v>Thiruchirappalli</v>
      </c>
      <c r="D304" s="1" t="str">
        <f ca="1">IFERROR(__xludf.DUMMYFUNCTION("""COMPUTED_VALUE"""),"MMM Multi Speciality Hospital")</f>
        <v>MMM Multi Speciality Hospital</v>
      </c>
      <c r="E304" s="1">
        <f ca="1">IFERROR(__xludf.DUMMYFUNCTION("""COMPUTED_VALUE"""),20)</f>
        <v>20</v>
      </c>
      <c r="F304" s="1">
        <f ca="1">IFERROR(__xludf.DUMMYFUNCTION("""COMPUTED_VALUE"""),0)</f>
        <v>0</v>
      </c>
      <c r="G304" s="1">
        <f ca="1">IFERROR(__xludf.DUMMYFUNCTION("""COMPUTED_VALUE"""),20)</f>
        <v>20</v>
      </c>
      <c r="H304" s="1">
        <f ca="1">IFERROR(__xludf.DUMMYFUNCTION("""COMPUTED_VALUE"""),18)</f>
        <v>18</v>
      </c>
      <c r="I304" s="1">
        <f ca="1">IFERROR(__xludf.DUMMYFUNCTION("""COMPUTED_VALUE"""),0)</f>
        <v>0</v>
      </c>
      <c r="J304" s="1">
        <f ca="1">IFERROR(__xludf.DUMMYFUNCTION("""COMPUTED_VALUE"""),18)</f>
        <v>18</v>
      </c>
      <c r="K304" s="1">
        <f ca="1">IFERROR(__xludf.DUMMYFUNCTION("""COMPUTED_VALUE"""),2)</f>
        <v>2</v>
      </c>
      <c r="L304" s="1">
        <f ca="1">IFERROR(__xludf.DUMMYFUNCTION("""COMPUTED_VALUE"""),0)</f>
        <v>0</v>
      </c>
      <c r="M304" s="1">
        <f ca="1">IFERROR(__xludf.DUMMYFUNCTION("""COMPUTED_VALUE"""),2)</f>
        <v>2</v>
      </c>
      <c r="N304" s="1">
        <f ca="1">IFERROR(__xludf.DUMMYFUNCTION("""COMPUTED_VALUE"""),2)</f>
        <v>2</v>
      </c>
      <c r="O304" s="1">
        <f ca="1">IFERROR(__xludf.DUMMYFUNCTION("""COMPUTED_VALUE"""),0)</f>
        <v>0</v>
      </c>
      <c r="P304" s="1">
        <f ca="1">IFERROR(__xludf.DUMMYFUNCTION("""COMPUTED_VALUE"""),2)</f>
        <v>2</v>
      </c>
      <c r="Q304" s="1">
        <f ca="1">IFERROR(__xludf.DUMMYFUNCTION("""COMPUTED_VALUE"""),1)</f>
        <v>1</v>
      </c>
      <c r="R304" s="1">
        <f ca="1">IFERROR(__xludf.DUMMYFUNCTION("""COMPUTED_VALUE"""),0)</f>
        <v>0</v>
      </c>
      <c r="S304" s="1">
        <f ca="1">IFERROR(__xludf.DUMMYFUNCTION("""COMPUTED_VALUE"""),1)</f>
        <v>1</v>
      </c>
      <c r="T304" s="1">
        <f ca="1">IFERROR(__xludf.DUMMYFUNCTION("""COMPUTED_VALUE"""),44305.3652314814)</f>
        <v>44305.365231481403</v>
      </c>
      <c r="U304" s="1"/>
    </row>
    <row r="305" spans="1:21" ht="13" x14ac:dyDescent="0.15">
      <c r="A305" s="1" t="str">
        <f t="shared" ca="1" si="0"/>
        <v>ThiruchirappalliRetna Global Hospital, Tennur</v>
      </c>
      <c r="B305" s="1">
        <f ca="1">IFERROR(__xludf.DUMMYFUNCTION("""COMPUTED_VALUE"""),304)</f>
        <v>304</v>
      </c>
      <c r="C305" s="1" t="str">
        <f ca="1">IFERROR(__xludf.DUMMYFUNCTION("""COMPUTED_VALUE"""),"Thiruchirappalli")</f>
        <v>Thiruchirappalli</v>
      </c>
      <c r="D305" s="1" t="str">
        <f ca="1">IFERROR(__xludf.DUMMYFUNCTION("""COMPUTED_VALUE"""),"Retna Global Hospital, Tennur")</f>
        <v>Retna Global Hospital, Tennur</v>
      </c>
      <c r="E305" s="1">
        <f ca="1">IFERROR(__xludf.DUMMYFUNCTION("""COMPUTED_VALUE"""),33)</f>
        <v>33</v>
      </c>
      <c r="F305" s="1">
        <f ca="1">IFERROR(__xludf.DUMMYFUNCTION("""COMPUTED_VALUE"""),29)</f>
        <v>29</v>
      </c>
      <c r="G305" s="1">
        <f ca="1">IFERROR(__xludf.DUMMYFUNCTION("""COMPUTED_VALUE"""),4)</f>
        <v>4</v>
      </c>
      <c r="H305" s="1">
        <f ca="1">IFERROR(__xludf.DUMMYFUNCTION("""COMPUTED_VALUE"""),29)</f>
        <v>29</v>
      </c>
      <c r="I305" s="1">
        <f ca="1">IFERROR(__xludf.DUMMYFUNCTION("""COMPUTED_VALUE"""),26)</f>
        <v>26</v>
      </c>
      <c r="J305" s="1">
        <f ca="1">IFERROR(__xludf.DUMMYFUNCTION("""COMPUTED_VALUE"""),3)</f>
        <v>3</v>
      </c>
      <c r="K305" s="1">
        <f ca="1">IFERROR(__xludf.DUMMYFUNCTION("""COMPUTED_VALUE"""),0)</f>
        <v>0</v>
      </c>
      <c r="L305" s="1">
        <f ca="1">IFERROR(__xludf.DUMMYFUNCTION("""COMPUTED_VALUE"""),0)</f>
        <v>0</v>
      </c>
      <c r="M305" s="1">
        <f ca="1">IFERROR(__xludf.DUMMYFUNCTION("""COMPUTED_VALUE"""),0)</f>
        <v>0</v>
      </c>
      <c r="N305" s="1">
        <f ca="1">IFERROR(__xludf.DUMMYFUNCTION("""COMPUTED_VALUE"""),4)</f>
        <v>4</v>
      </c>
      <c r="O305" s="1">
        <f ca="1">IFERROR(__xludf.DUMMYFUNCTION("""COMPUTED_VALUE"""),3)</f>
        <v>3</v>
      </c>
      <c r="P305" s="1">
        <f ca="1">IFERROR(__xludf.DUMMYFUNCTION("""COMPUTED_VALUE"""),1)</f>
        <v>1</v>
      </c>
      <c r="Q305" s="1">
        <f ca="1">IFERROR(__xludf.DUMMYFUNCTION("""COMPUTED_VALUE"""),4)</f>
        <v>4</v>
      </c>
      <c r="R305" s="1">
        <f ca="1">IFERROR(__xludf.DUMMYFUNCTION("""COMPUTED_VALUE"""),3)</f>
        <v>3</v>
      </c>
      <c r="S305" s="1">
        <f ca="1">IFERROR(__xludf.DUMMYFUNCTION("""COMPUTED_VALUE"""),1)</f>
        <v>1</v>
      </c>
      <c r="T305" s="1">
        <f ca="1">IFERROR(__xludf.DUMMYFUNCTION("""COMPUTED_VALUE"""),44305.4465625)</f>
        <v>44305.446562500001</v>
      </c>
      <c r="U305" s="1"/>
    </row>
    <row r="306" spans="1:21" ht="13" x14ac:dyDescent="0.15">
      <c r="A306" s="1" t="str">
        <f t="shared" ca="1" si="0"/>
        <v>ThiruchirappalliStar KIMS Hospital, Thillai Nagar</v>
      </c>
      <c r="B306" s="1">
        <f ca="1">IFERROR(__xludf.DUMMYFUNCTION("""COMPUTED_VALUE"""),305)</f>
        <v>305</v>
      </c>
      <c r="C306" s="1" t="str">
        <f ca="1">IFERROR(__xludf.DUMMYFUNCTION("""COMPUTED_VALUE"""),"Thiruchirappalli")</f>
        <v>Thiruchirappalli</v>
      </c>
      <c r="D306" s="1" t="str">
        <f ca="1">IFERROR(__xludf.DUMMYFUNCTION("""COMPUTED_VALUE"""),"Star KIMS Hospital, Thillai Nagar")</f>
        <v>Star KIMS Hospital, Thillai Nagar</v>
      </c>
      <c r="E306" s="1">
        <f ca="1">IFERROR(__xludf.DUMMYFUNCTION("""COMPUTED_VALUE"""),20)</f>
        <v>20</v>
      </c>
      <c r="F306" s="1">
        <f ca="1">IFERROR(__xludf.DUMMYFUNCTION("""COMPUTED_VALUE"""),8)</f>
        <v>8</v>
      </c>
      <c r="G306" s="1">
        <f ca="1">IFERROR(__xludf.DUMMYFUNCTION("""COMPUTED_VALUE"""),12)</f>
        <v>12</v>
      </c>
      <c r="H306" s="1">
        <f ca="1">IFERROR(__xludf.DUMMYFUNCTION("""COMPUTED_VALUE"""),15)</f>
        <v>15</v>
      </c>
      <c r="I306" s="1">
        <f ca="1">IFERROR(__xludf.DUMMYFUNCTION("""COMPUTED_VALUE"""),6)</f>
        <v>6</v>
      </c>
      <c r="J306" s="1">
        <f ca="1">IFERROR(__xludf.DUMMYFUNCTION("""COMPUTED_VALUE"""),9)</f>
        <v>9</v>
      </c>
      <c r="K306" s="1">
        <f ca="1">IFERROR(__xludf.DUMMYFUNCTION("""COMPUTED_VALUE"""),0)</f>
        <v>0</v>
      </c>
      <c r="L306" s="1">
        <f ca="1">IFERROR(__xludf.DUMMYFUNCTION("""COMPUTED_VALUE"""),0)</f>
        <v>0</v>
      </c>
      <c r="M306" s="1">
        <f ca="1">IFERROR(__xludf.DUMMYFUNCTION("""COMPUTED_VALUE"""),0)</f>
        <v>0</v>
      </c>
      <c r="N306" s="1">
        <f ca="1">IFERROR(__xludf.DUMMYFUNCTION("""COMPUTED_VALUE"""),5)</f>
        <v>5</v>
      </c>
      <c r="O306" s="1">
        <f ca="1">IFERROR(__xludf.DUMMYFUNCTION("""COMPUTED_VALUE"""),3)</f>
        <v>3</v>
      </c>
      <c r="P306" s="1">
        <f ca="1">IFERROR(__xludf.DUMMYFUNCTION("""COMPUTED_VALUE"""),2)</f>
        <v>2</v>
      </c>
      <c r="Q306" s="1">
        <f ca="1">IFERROR(__xludf.DUMMYFUNCTION("""COMPUTED_VALUE"""),6)</f>
        <v>6</v>
      </c>
      <c r="R306" s="1">
        <f ca="1">IFERROR(__xludf.DUMMYFUNCTION("""COMPUTED_VALUE"""),0)</f>
        <v>0</v>
      </c>
      <c r="S306" s="1">
        <f ca="1">IFERROR(__xludf.DUMMYFUNCTION("""COMPUTED_VALUE"""),6)</f>
        <v>6</v>
      </c>
      <c r="T306" s="1">
        <f ca="1">IFERROR(__xludf.DUMMYFUNCTION("""COMPUTED_VALUE"""),44305.439537037)</f>
        <v>44305.439537036997</v>
      </c>
      <c r="U306" s="1" t="str">
        <f ca="1">IFERROR(__xludf.DUMMYFUNCTION("""COMPUTED_VALUE"""),"Nil")</f>
        <v>Nil</v>
      </c>
    </row>
    <row r="307" spans="1:21" ht="13" x14ac:dyDescent="0.15">
      <c r="A307" s="1" t="str">
        <f t="shared" ca="1" si="0"/>
        <v>ThiruchirappalliTrichy Medical Centre and Hospital, Thillai Nagar</v>
      </c>
      <c r="B307" s="1">
        <f ca="1">IFERROR(__xludf.DUMMYFUNCTION("""COMPUTED_VALUE"""),306)</f>
        <v>306</v>
      </c>
      <c r="C307" s="1" t="str">
        <f ca="1">IFERROR(__xludf.DUMMYFUNCTION("""COMPUTED_VALUE"""),"Thiruchirappalli")</f>
        <v>Thiruchirappalli</v>
      </c>
      <c r="D307" s="1" t="str">
        <f ca="1">IFERROR(__xludf.DUMMYFUNCTION("""COMPUTED_VALUE"""),"Trichy Medical Centre and Hospital, Thillai Nagar")</f>
        <v>Trichy Medical Centre and Hospital, Thillai Nagar</v>
      </c>
      <c r="E307" s="1">
        <f ca="1">IFERROR(__xludf.DUMMYFUNCTION("""COMPUTED_VALUE"""),22)</f>
        <v>22</v>
      </c>
      <c r="F307" s="1">
        <f ca="1">IFERROR(__xludf.DUMMYFUNCTION("""COMPUTED_VALUE"""),22)</f>
        <v>22</v>
      </c>
      <c r="G307" s="1">
        <f ca="1">IFERROR(__xludf.DUMMYFUNCTION("""COMPUTED_VALUE"""),0)</f>
        <v>0</v>
      </c>
      <c r="H307" s="1">
        <f ca="1">IFERROR(__xludf.DUMMYFUNCTION("""COMPUTED_VALUE"""),15)</f>
        <v>15</v>
      </c>
      <c r="I307" s="1">
        <f ca="1">IFERROR(__xludf.DUMMYFUNCTION("""COMPUTED_VALUE"""),15)</f>
        <v>15</v>
      </c>
      <c r="J307" s="1">
        <f ca="1">IFERROR(__xludf.DUMMYFUNCTION("""COMPUTED_VALUE"""),0)</f>
        <v>0</v>
      </c>
      <c r="K307" s="1">
        <f ca="1">IFERROR(__xludf.DUMMYFUNCTION("""COMPUTED_VALUE"""),2)</f>
        <v>2</v>
      </c>
      <c r="L307" s="1">
        <f ca="1">IFERROR(__xludf.DUMMYFUNCTION("""COMPUTED_VALUE"""),2)</f>
        <v>2</v>
      </c>
      <c r="M307" s="1">
        <f ca="1">IFERROR(__xludf.DUMMYFUNCTION("""COMPUTED_VALUE"""),0)</f>
        <v>0</v>
      </c>
      <c r="N307" s="1">
        <f ca="1">IFERROR(__xludf.DUMMYFUNCTION("""COMPUTED_VALUE"""),5)</f>
        <v>5</v>
      </c>
      <c r="O307" s="1">
        <f ca="1">IFERROR(__xludf.DUMMYFUNCTION("""COMPUTED_VALUE"""),5)</f>
        <v>5</v>
      </c>
      <c r="P307" s="1">
        <f ca="1">IFERROR(__xludf.DUMMYFUNCTION("""COMPUTED_VALUE"""),0)</f>
        <v>0</v>
      </c>
      <c r="Q307" s="1">
        <f ca="1">IFERROR(__xludf.DUMMYFUNCTION("""COMPUTED_VALUE"""),2)</f>
        <v>2</v>
      </c>
      <c r="R307" s="1">
        <f ca="1">IFERROR(__xludf.DUMMYFUNCTION("""COMPUTED_VALUE"""),0)</f>
        <v>0</v>
      </c>
      <c r="S307" s="1">
        <f ca="1">IFERROR(__xludf.DUMMYFUNCTION("""COMPUTED_VALUE"""),2)</f>
        <v>2</v>
      </c>
      <c r="T307" s="1">
        <f ca="1">IFERROR(__xludf.DUMMYFUNCTION("""COMPUTED_VALUE"""),44305.4215509259)</f>
        <v>44305.421550925901</v>
      </c>
      <c r="U307" s="1" t="str">
        <f ca="1">IFERROR(__xludf.DUMMYFUNCTION("""COMPUTED_VALUE"""),"Nil")</f>
        <v>Nil</v>
      </c>
    </row>
    <row r="308" spans="1:21" ht="13" x14ac:dyDescent="0.15">
      <c r="A308" s="1" t="str">
        <f t="shared" ca="1" si="0"/>
        <v>ThoothukudiAarthi Hospital, Kovilpatti</v>
      </c>
      <c r="B308" s="1">
        <f ca="1">IFERROR(__xludf.DUMMYFUNCTION("""COMPUTED_VALUE"""),307)</f>
        <v>307</v>
      </c>
      <c r="C308" s="1" t="str">
        <f ca="1">IFERROR(__xludf.DUMMYFUNCTION("""COMPUTED_VALUE"""),"Thoothukudi")</f>
        <v>Thoothukudi</v>
      </c>
      <c r="D308" s="1" t="str">
        <f ca="1">IFERROR(__xludf.DUMMYFUNCTION("""COMPUTED_VALUE"""),"Aarthi Hospital, Kovilpatti")</f>
        <v>Aarthi Hospital, Kovilpatti</v>
      </c>
      <c r="E308" s="1">
        <f ca="1">IFERROR(__xludf.DUMMYFUNCTION("""COMPUTED_VALUE"""),22)</f>
        <v>22</v>
      </c>
      <c r="F308" s="1">
        <f ca="1">IFERROR(__xludf.DUMMYFUNCTION("""COMPUTED_VALUE"""),14)</f>
        <v>14</v>
      </c>
      <c r="G308" s="1">
        <f ca="1">IFERROR(__xludf.DUMMYFUNCTION("""COMPUTED_VALUE"""),8)</f>
        <v>8</v>
      </c>
      <c r="H308" s="1">
        <f ca="1">IFERROR(__xludf.DUMMYFUNCTION("""COMPUTED_VALUE"""),8)</f>
        <v>8</v>
      </c>
      <c r="I308" s="1">
        <f ca="1">IFERROR(__xludf.DUMMYFUNCTION("""COMPUTED_VALUE"""),8)</f>
        <v>8</v>
      </c>
      <c r="J308" s="1">
        <f ca="1">IFERROR(__xludf.DUMMYFUNCTION("""COMPUTED_VALUE"""),0)</f>
        <v>0</v>
      </c>
      <c r="K308" s="1">
        <f ca="1">IFERROR(__xludf.DUMMYFUNCTION("""COMPUTED_VALUE"""),2)</f>
        <v>2</v>
      </c>
      <c r="L308" s="1">
        <f ca="1">IFERROR(__xludf.DUMMYFUNCTION("""COMPUTED_VALUE"""),2)</f>
        <v>2</v>
      </c>
      <c r="M308" s="1">
        <f ca="1">IFERROR(__xludf.DUMMYFUNCTION("""COMPUTED_VALUE"""),0)</f>
        <v>0</v>
      </c>
      <c r="N308" s="1">
        <f ca="1">IFERROR(__xludf.DUMMYFUNCTION("""COMPUTED_VALUE"""),4)</f>
        <v>4</v>
      </c>
      <c r="O308" s="1">
        <f ca="1">IFERROR(__xludf.DUMMYFUNCTION("""COMPUTED_VALUE"""),4)</f>
        <v>4</v>
      </c>
      <c r="P308" s="1">
        <f ca="1">IFERROR(__xludf.DUMMYFUNCTION("""COMPUTED_VALUE"""),0)</f>
        <v>0</v>
      </c>
      <c r="Q308" s="1">
        <f ca="1">IFERROR(__xludf.DUMMYFUNCTION("""COMPUTED_VALUE"""),1)</f>
        <v>1</v>
      </c>
      <c r="R308" s="1">
        <f ca="1">IFERROR(__xludf.DUMMYFUNCTION("""COMPUTED_VALUE"""),0)</f>
        <v>0</v>
      </c>
      <c r="S308" s="1">
        <f ca="1">IFERROR(__xludf.DUMMYFUNCTION("""COMPUTED_VALUE"""),1)</f>
        <v>1</v>
      </c>
      <c r="T308" s="1">
        <f ca="1">IFERROR(__xludf.DUMMYFUNCTION("""COMPUTED_VALUE"""),44305.4178703703)</f>
        <v>44305.4178703703</v>
      </c>
      <c r="U308" s="1" t="str">
        <f ca="1">IFERROR(__xludf.DUMMYFUNCTION("""COMPUTED_VALUE"""),"RT-PCR positive Cases: 14 Suspected SARI Cases: 3")</f>
        <v>RT-PCR positive Cases: 14 Suspected SARI Cases: 3</v>
      </c>
    </row>
    <row r="309" spans="1:21" ht="13" x14ac:dyDescent="0.15">
      <c r="A309" s="1" t="str">
        <f t="shared" ca="1" si="0"/>
        <v>ThoothukudiCity Hospital, Tuticorin</v>
      </c>
      <c r="B309" s="1">
        <f ca="1">IFERROR(__xludf.DUMMYFUNCTION("""COMPUTED_VALUE"""),308)</f>
        <v>308</v>
      </c>
      <c r="C309" s="1" t="str">
        <f ca="1">IFERROR(__xludf.DUMMYFUNCTION("""COMPUTED_VALUE"""),"Thoothukudi")</f>
        <v>Thoothukudi</v>
      </c>
      <c r="D309" s="1" t="str">
        <f ca="1">IFERROR(__xludf.DUMMYFUNCTION("""COMPUTED_VALUE"""),"City Hospital, Tuticorin")</f>
        <v>City Hospital, Tuticorin</v>
      </c>
      <c r="E309" s="1">
        <f ca="1">IFERROR(__xludf.DUMMYFUNCTION("""COMPUTED_VALUE"""),0)</f>
        <v>0</v>
      </c>
      <c r="F309" s="1">
        <f ca="1">IFERROR(__xludf.DUMMYFUNCTION("""COMPUTED_VALUE"""),0)</f>
        <v>0</v>
      </c>
      <c r="G309" s="1">
        <f ca="1">IFERROR(__xludf.DUMMYFUNCTION("""COMPUTED_VALUE"""),0)</f>
        <v>0</v>
      </c>
      <c r="H309" s="1">
        <f ca="1">IFERROR(__xludf.DUMMYFUNCTION("""COMPUTED_VALUE"""),0)</f>
        <v>0</v>
      </c>
      <c r="I309" s="1">
        <f ca="1">IFERROR(__xludf.DUMMYFUNCTION("""COMPUTED_VALUE"""),0)</f>
        <v>0</v>
      </c>
      <c r="J309" s="1">
        <f ca="1">IFERROR(__xludf.DUMMYFUNCTION("""COMPUTED_VALUE"""),0)</f>
        <v>0</v>
      </c>
      <c r="K309" s="1">
        <f ca="1">IFERROR(__xludf.DUMMYFUNCTION("""COMPUTED_VALUE"""),0)</f>
        <v>0</v>
      </c>
      <c r="L309" s="1">
        <f ca="1">IFERROR(__xludf.DUMMYFUNCTION("""COMPUTED_VALUE"""),0)</f>
        <v>0</v>
      </c>
      <c r="M309" s="1">
        <f ca="1">IFERROR(__xludf.DUMMYFUNCTION("""COMPUTED_VALUE"""),0)</f>
        <v>0</v>
      </c>
      <c r="N309" s="1">
        <f ca="1">IFERROR(__xludf.DUMMYFUNCTION("""COMPUTED_VALUE"""),0)</f>
        <v>0</v>
      </c>
      <c r="O309" s="1">
        <f ca="1">IFERROR(__xludf.DUMMYFUNCTION("""COMPUTED_VALUE"""),0)</f>
        <v>0</v>
      </c>
      <c r="P309" s="1">
        <f ca="1">IFERROR(__xludf.DUMMYFUNCTION("""COMPUTED_VALUE"""),0)</f>
        <v>0</v>
      </c>
      <c r="Q309" s="1">
        <f ca="1">IFERROR(__xludf.DUMMYFUNCTION("""COMPUTED_VALUE"""),0)</f>
        <v>0</v>
      </c>
      <c r="R309" s="1">
        <f ca="1">IFERROR(__xludf.DUMMYFUNCTION("""COMPUTED_VALUE"""),0)</f>
        <v>0</v>
      </c>
      <c r="S309" s="1">
        <f ca="1">IFERROR(__xludf.DUMMYFUNCTION("""COMPUTED_VALUE"""),0)</f>
        <v>0</v>
      </c>
      <c r="T309" s="1">
        <f ca="1">IFERROR(__xludf.DUMMYFUNCTION("""COMPUTED_VALUE"""),44305.332037037)</f>
        <v>44305.332037036998</v>
      </c>
      <c r="U309" s="1" t="str">
        <f ca="1">IFERROR(__xludf.DUMMYFUNCTION("""COMPUTED_VALUE"""),"Temporarily stopped as per JDHS Instruction.")</f>
        <v>Temporarily stopped as per JDHS Instruction.</v>
      </c>
    </row>
    <row r="310" spans="1:21" ht="13" x14ac:dyDescent="0.15">
      <c r="A310" s="1" t="str">
        <f t="shared" ca="1" si="0"/>
        <v>ThoothukudiK.M.T Hospital, Kayalpatnam</v>
      </c>
      <c r="B310" s="1">
        <f ca="1">IFERROR(__xludf.DUMMYFUNCTION("""COMPUTED_VALUE"""),309)</f>
        <v>309</v>
      </c>
      <c r="C310" s="1" t="str">
        <f ca="1">IFERROR(__xludf.DUMMYFUNCTION("""COMPUTED_VALUE"""),"Thoothukudi")</f>
        <v>Thoothukudi</v>
      </c>
      <c r="D310" s="1" t="str">
        <f ca="1">IFERROR(__xludf.DUMMYFUNCTION("""COMPUTED_VALUE"""),"K.M.T Hospital, Kayalpatnam")</f>
        <v>K.M.T Hospital, Kayalpatnam</v>
      </c>
      <c r="E310" s="1">
        <f ca="1">IFERROR(__xludf.DUMMYFUNCTION("""COMPUTED_VALUE"""),15)</f>
        <v>15</v>
      </c>
      <c r="F310" s="1">
        <f ca="1">IFERROR(__xludf.DUMMYFUNCTION("""COMPUTED_VALUE"""),5)</f>
        <v>5</v>
      </c>
      <c r="G310" s="1">
        <f ca="1">IFERROR(__xludf.DUMMYFUNCTION("""COMPUTED_VALUE"""),10)</f>
        <v>10</v>
      </c>
      <c r="H310" s="1">
        <f ca="1">IFERROR(__xludf.DUMMYFUNCTION("""COMPUTED_VALUE"""),5)</f>
        <v>5</v>
      </c>
      <c r="I310" s="1">
        <f ca="1">IFERROR(__xludf.DUMMYFUNCTION("""COMPUTED_VALUE"""),0)</f>
        <v>0</v>
      </c>
      <c r="J310" s="1">
        <f ca="1">IFERROR(__xludf.DUMMYFUNCTION("""COMPUTED_VALUE"""),5)</f>
        <v>5</v>
      </c>
      <c r="K310" s="1">
        <f ca="1">IFERROR(__xludf.DUMMYFUNCTION("""COMPUTED_VALUE"""),5)</f>
        <v>5</v>
      </c>
      <c r="L310" s="1">
        <f ca="1">IFERROR(__xludf.DUMMYFUNCTION("""COMPUTED_VALUE"""),5)</f>
        <v>5</v>
      </c>
      <c r="M310" s="1">
        <f ca="1">IFERROR(__xludf.DUMMYFUNCTION("""COMPUTED_VALUE"""),0)</f>
        <v>0</v>
      </c>
      <c r="N310" s="1">
        <f ca="1">IFERROR(__xludf.DUMMYFUNCTION("""COMPUTED_VALUE"""),5)</f>
        <v>5</v>
      </c>
      <c r="O310" s="1">
        <f ca="1">IFERROR(__xludf.DUMMYFUNCTION("""COMPUTED_VALUE"""),0)</f>
        <v>0</v>
      </c>
      <c r="P310" s="1">
        <f ca="1">IFERROR(__xludf.DUMMYFUNCTION("""COMPUTED_VALUE"""),5)</f>
        <v>5</v>
      </c>
      <c r="Q310" s="1">
        <f ca="1">IFERROR(__xludf.DUMMYFUNCTION("""COMPUTED_VALUE"""),1)</f>
        <v>1</v>
      </c>
      <c r="R310" s="1">
        <f ca="1">IFERROR(__xludf.DUMMYFUNCTION("""COMPUTED_VALUE"""),0)</f>
        <v>0</v>
      </c>
      <c r="S310" s="1">
        <f ca="1">IFERROR(__xludf.DUMMYFUNCTION("""COMPUTED_VALUE"""),1)</f>
        <v>1</v>
      </c>
      <c r="T310" s="1">
        <f ca="1">IFERROR(__xludf.DUMMYFUNCTION("""COMPUTED_VALUE"""),44305.3340046296)</f>
        <v>44305.3340046296</v>
      </c>
      <c r="U310" s="1" t="str">
        <f ca="1">IFERROR(__xludf.DUMMYFUNCTION("""COMPUTED_VALUE"""),"19.04.2021.")</f>
        <v>19.04.2021.</v>
      </c>
    </row>
    <row r="311" spans="1:21" ht="13" x14ac:dyDescent="0.15">
      <c r="A311" s="1" t="str">
        <f t="shared" ca="1" si="0"/>
        <v>ThoothukudiSree Chendur Multispeciality Hospital, Kovilpatti</v>
      </c>
      <c r="B311" s="1">
        <f ca="1">IFERROR(__xludf.DUMMYFUNCTION("""COMPUTED_VALUE"""),310)</f>
        <v>310</v>
      </c>
      <c r="C311" s="1" t="str">
        <f ca="1">IFERROR(__xludf.DUMMYFUNCTION("""COMPUTED_VALUE"""),"Thoothukudi")</f>
        <v>Thoothukudi</v>
      </c>
      <c r="D311" s="1" t="str">
        <f ca="1">IFERROR(__xludf.DUMMYFUNCTION("""COMPUTED_VALUE"""),"Sree Chendur Multispeciality Hospital, Kovilpatti")</f>
        <v>Sree Chendur Multispeciality Hospital, Kovilpatti</v>
      </c>
      <c r="E311" s="1">
        <f ca="1">IFERROR(__xludf.DUMMYFUNCTION("""COMPUTED_VALUE"""),16)</f>
        <v>16</v>
      </c>
      <c r="F311" s="1">
        <f ca="1">IFERROR(__xludf.DUMMYFUNCTION("""COMPUTED_VALUE"""),11)</f>
        <v>11</v>
      </c>
      <c r="G311" s="1">
        <f ca="1">IFERROR(__xludf.DUMMYFUNCTION("""COMPUTED_VALUE"""),5)</f>
        <v>5</v>
      </c>
      <c r="H311" s="1">
        <f ca="1">IFERROR(__xludf.DUMMYFUNCTION("""COMPUTED_VALUE"""),13)</f>
        <v>13</v>
      </c>
      <c r="I311" s="1">
        <f ca="1">IFERROR(__xludf.DUMMYFUNCTION("""COMPUTED_VALUE"""),11)</f>
        <v>11</v>
      </c>
      <c r="J311" s="1">
        <f ca="1">IFERROR(__xludf.DUMMYFUNCTION("""COMPUTED_VALUE"""),2)</f>
        <v>2</v>
      </c>
      <c r="K311" s="1">
        <f ca="1">IFERROR(__xludf.DUMMYFUNCTION("""COMPUTED_VALUE"""),0)</f>
        <v>0</v>
      </c>
      <c r="L311" s="1">
        <f ca="1">IFERROR(__xludf.DUMMYFUNCTION("""COMPUTED_VALUE"""),0)</f>
        <v>0</v>
      </c>
      <c r="M311" s="1">
        <f ca="1">IFERROR(__xludf.DUMMYFUNCTION("""COMPUTED_VALUE"""),0)</f>
        <v>0</v>
      </c>
      <c r="N311" s="1">
        <f ca="1">IFERROR(__xludf.DUMMYFUNCTION("""COMPUTED_VALUE"""),3)</f>
        <v>3</v>
      </c>
      <c r="O311" s="1">
        <f ca="1">IFERROR(__xludf.DUMMYFUNCTION("""COMPUTED_VALUE"""),0)</f>
        <v>0</v>
      </c>
      <c r="P311" s="1">
        <f ca="1">IFERROR(__xludf.DUMMYFUNCTION("""COMPUTED_VALUE"""),3)</f>
        <v>3</v>
      </c>
      <c r="Q311" s="1">
        <f ca="1">IFERROR(__xludf.DUMMYFUNCTION("""COMPUTED_VALUE"""),0)</f>
        <v>0</v>
      </c>
      <c r="R311" s="1">
        <f ca="1">IFERROR(__xludf.DUMMYFUNCTION("""COMPUTED_VALUE"""),0)</f>
        <v>0</v>
      </c>
      <c r="S311" s="1">
        <f ca="1">IFERROR(__xludf.DUMMYFUNCTION("""COMPUTED_VALUE"""),0)</f>
        <v>0</v>
      </c>
      <c r="T311" s="1">
        <f ca="1">IFERROR(__xludf.DUMMYFUNCTION("""COMPUTED_VALUE"""),44305.3115277777)</f>
        <v>44305.311527777703</v>
      </c>
      <c r="U311" s="1"/>
    </row>
    <row r="312" spans="1:21" ht="13" x14ac:dyDescent="0.15">
      <c r="A312" s="1" t="str">
        <f t="shared" ca="1" si="0"/>
        <v>ThoothukudiSuganthi Nursing Home (Unit of Sundaram Arulrhaj Hospitals)</v>
      </c>
      <c r="B312" s="1">
        <f ca="1">IFERROR(__xludf.DUMMYFUNCTION("""COMPUTED_VALUE"""),311)</f>
        <v>311</v>
      </c>
      <c r="C312" s="1" t="str">
        <f ca="1">IFERROR(__xludf.DUMMYFUNCTION("""COMPUTED_VALUE"""),"Thoothukudi")</f>
        <v>Thoothukudi</v>
      </c>
      <c r="D312" s="1" t="str">
        <f ca="1">IFERROR(__xludf.DUMMYFUNCTION("""COMPUTED_VALUE"""),"Suganthi Nursing Home (Unit of Sundaram Arulrhaj Hospitals)")</f>
        <v>Suganthi Nursing Home (Unit of Sundaram Arulrhaj Hospitals)</v>
      </c>
      <c r="E312" s="1">
        <f ca="1">IFERROR(__xludf.DUMMYFUNCTION("""COMPUTED_VALUE"""),0)</f>
        <v>0</v>
      </c>
      <c r="F312" s="1">
        <f ca="1">IFERROR(__xludf.DUMMYFUNCTION("""COMPUTED_VALUE"""),0)</f>
        <v>0</v>
      </c>
      <c r="G312" s="1">
        <f ca="1">IFERROR(__xludf.DUMMYFUNCTION("""COMPUTED_VALUE"""),0)</f>
        <v>0</v>
      </c>
      <c r="H312" s="1">
        <f ca="1">IFERROR(__xludf.DUMMYFUNCTION("""COMPUTED_VALUE"""),0)</f>
        <v>0</v>
      </c>
      <c r="I312" s="1">
        <f ca="1">IFERROR(__xludf.DUMMYFUNCTION("""COMPUTED_VALUE"""),0)</f>
        <v>0</v>
      </c>
      <c r="J312" s="1">
        <f ca="1">IFERROR(__xludf.DUMMYFUNCTION("""COMPUTED_VALUE"""),0)</f>
        <v>0</v>
      </c>
      <c r="K312" s="1">
        <f ca="1">IFERROR(__xludf.DUMMYFUNCTION("""COMPUTED_VALUE"""),0)</f>
        <v>0</v>
      </c>
      <c r="L312" s="1">
        <f ca="1">IFERROR(__xludf.DUMMYFUNCTION("""COMPUTED_VALUE"""),0)</f>
        <v>0</v>
      </c>
      <c r="M312" s="1">
        <f ca="1">IFERROR(__xludf.DUMMYFUNCTION("""COMPUTED_VALUE"""),0)</f>
        <v>0</v>
      </c>
      <c r="N312" s="1">
        <f ca="1">IFERROR(__xludf.DUMMYFUNCTION("""COMPUTED_VALUE"""),0)</f>
        <v>0</v>
      </c>
      <c r="O312" s="1">
        <f ca="1">IFERROR(__xludf.DUMMYFUNCTION("""COMPUTED_VALUE"""),0)</f>
        <v>0</v>
      </c>
      <c r="P312" s="1">
        <f ca="1">IFERROR(__xludf.DUMMYFUNCTION("""COMPUTED_VALUE"""),0)</f>
        <v>0</v>
      </c>
      <c r="Q312" s="1">
        <f ca="1">IFERROR(__xludf.DUMMYFUNCTION("""COMPUTED_VALUE"""),0)</f>
        <v>0</v>
      </c>
      <c r="R312" s="1">
        <f ca="1">IFERROR(__xludf.DUMMYFUNCTION("""COMPUTED_VALUE"""),0)</f>
        <v>0</v>
      </c>
      <c r="S312" s="1">
        <f ca="1">IFERROR(__xludf.DUMMYFUNCTION("""COMPUTED_VALUE"""),0)</f>
        <v>0</v>
      </c>
      <c r="T312" s="1">
        <f ca="1">IFERROR(__xludf.DUMMYFUNCTION("""COMPUTED_VALUE"""),44305.3334722222)</f>
        <v>44305.333472222199</v>
      </c>
      <c r="U312" s="1" t="str">
        <f ca="1">IFERROR(__xludf.DUMMYFUNCTION("""COMPUTED_VALUE"""),"temporarily closed.")</f>
        <v>temporarily closed.</v>
      </c>
    </row>
    <row r="313" spans="1:21" ht="13" x14ac:dyDescent="0.15">
      <c r="A313" s="1" t="str">
        <f t="shared" ca="1" si="0"/>
        <v>VirudhunagarVVVNC, Chatrarediapatti</v>
      </c>
      <c r="B313" s="1">
        <f ca="1">IFERROR(__xludf.DUMMYFUNCTION("""COMPUTED_VALUE"""),312)</f>
        <v>312</v>
      </c>
      <c r="C313" s="1" t="str">
        <f ca="1">IFERROR(__xludf.DUMMYFUNCTION("""COMPUTED_VALUE"""),"Virudhunagar")</f>
        <v>Virudhunagar</v>
      </c>
      <c r="D313" s="1" t="str">
        <f ca="1">IFERROR(__xludf.DUMMYFUNCTION("""COMPUTED_VALUE"""),"VVVNC, Chatrarediapatti")</f>
        <v>VVVNC, Chatrarediapatti</v>
      </c>
      <c r="E313" s="1">
        <f ca="1">IFERROR(__xludf.DUMMYFUNCTION("""COMPUTED_VALUE"""),40)</f>
        <v>40</v>
      </c>
      <c r="F313" s="1">
        <f ca="1">IFERROR(__xludf.DUMMYFUNCTION("""COMPUTED_VALUE"""),11)</f>
        <v>11</v>
      </c>
      <c r="G313" s="1">
        <f ca="1">IFERROR(__xludf.DUMMYFUNCTION("""COMPUTED_VALUE"""),29)</f>
        <v>29</v>
      </c>
      <c r="H313" s="1">
        <f ca="1">IFERROR(__xludf.DUMMYFUNCTION("""COMPUTED_VALUE"""),40)</f>
        <v>40</v>
      </c>
      <c r="I313" s="1">
        <f ca="1">IFERROR(__xludf.DUMMYFUNCTION("""COMPUTED_VALUE"""),11)</f>
        <v>11</v>
      </c>
      <c r="J313" s="1">
        <f ca="1">IFERROR(__xludf.DUMMYFUNCTION("""COMPUTED_VALUE"""),29)</f>
        <v>29</v>
      </c>
      <c r="K313" s="1">
        <f ca="1">IFERROR(__xludf.DUMMYFUNCTION("""COMPUTED_VALUE"""),0)</f>
        <v>0</v>
      </c>
      <c r="L313" s="1">
        <f ca="1">IFERROR(__xludf.DUMMYFUNCTION("""COMPUTED_VALUE"""),0)</f>
        <v>0</v>
      </c>
      <c r="M313" s="1">
        <f ca="1">IFERROR(__xludf.DUMMYFUNCTION("""COMPUTED_VALUE"""),0)</f>
        <v>0</v>
      </c>
      <c r="N313" s="1">
        <f ca="1">IFERROR(__xludf.DUMMYFUNCTION("""COMPUTED_VALUE"""),15)</f>
        <v>15</v>
      </c>
      <c r="O313" s="1">
        <f ca="1">IFERROR(__xludf.DUMMYFUNCTION("""COMPUTED_VALUE"""),11)</f>
        <v>11</v>
      </c>
      <c r="P313" s="1">
        <f ca="1">IFERROR(__xludf.DUMMYFUNCTION("""COMPUTED_VALUE"""),4)</f>
        <v>4</v>
      </c>
      <c r="Q313" s="1">
        <f ca="1">IFERROR(__xludf.DUMMYFUNCTION("""COMPUTED_VALUE"""),1)</f>
        <v>1</v>
      </c>
      <c r="R313" s="1">
        <f ca="1">IFERROR(__xludf.DUMMYFUNCTION("""COMPUTED_VALUE"""),0)</f>
        <v>0</v>
      </c>
      <c r="S313" s="1">
        <f ca="1">IFERROR(__xludf.DUMMYFUNCTION("""COMPUTED_VALUE"""),1)</f>
        <v>1</v>
      </c>
      <c r="T313" s="1">
        <f ca="1">IFERROR(__xludf.DUMMYFUNCTION("""COMPUTED_VALUE"""),44305.4146527777)</f>
        <v>44305.414652777697</v>
      </c>
      <c r="U313" s="1"/>
    </row>
    <row r="314" spans="1:21" ht="13" x14ac:dyDescent="0.15">
      <c r="A314" s="1" t="str">
        <f t="shared" ca="1" si="0"/>
        <v>ChennaiDr. Mehtas Hospital</v>
      </c>
      <c r="B314" s="1">
        <f ca="1">IFERROR(__xludf.DUMMYFUNCTION("""COMPUTED_VALUE"""),313)</f>
        <v>313</v>
      </c>
      <c r="C314" s="1" t="str">
        <f ca="1">IFERROR(__xludf.DUMMYFUNCTION("""COMPUTED_VALUE"""),"Chennai")</f>
        <v>Chennai</v>
      </c>
      <c r="D314" s="1" t="str">
        <f ca="1">IFERROR(__xludf.DUMMYFUNCTION("""COMPUTED_VALUE"""),"Dr. Mehtas Hospital")</f>
        <v>Dr. Mehtas Hospital</v>
      </c>
      <c r="E314" s="1">
        <f ca="1">IFERROR(__xludf.DUMMYFUNCTION("""COMPUTED_VALUE"""),102)</f>
        <v>102</v>
      </c>
      <c r="F314" s="1">
        <f ca="1">IFERROR(__xludf.DUMMYFUNCTION("""COMPUTED_VALUE"""),97)</f>
        <v>97</v>
      </c>
      <c r="G314" s="1">
        <f ca="1">IFERROR(__xludf.DUMMYFUNCTION("""COMPUTED_VALUE"""),5)</f>
        <v>5</v>
      </c>
      <c r="H314" s="1">
        <f ca="1">IFERROR(__xludf.DUMMYFUNCTION("""COMPUTED_VALUE"""),92)</f>
        <v>92</v>
      </c>
      <c r="I314" s="1">
        <f ca="1">IFERROR(__xludf.DUMMYFUNCTION("""COMPUTED_VALUE"""),89)</f>
        <v>89</v>
      </c>
      <c r="J314" s="1">
        <f ca="1">IFERROR(__xludf.DUMMYFUNCTION("""COMPUTED_VALUE"""),3)</f>
        <v>3</v>
      </c>
      <c r="K314" s="1">
        <f ca="1">IFERROR(__xludf.DUMMYFUNCTION("""COMPUTED_VALUE"""),0)</f>
        <v>0</v>
      </c>
      <c r="L314" s="1">
        <f ca="1">IFERROR(__xludf.DUMMYFUNCTION("""COMPUTED_VALUE"""),0)</f>
        <v>0</v>
      </c>
      <c r="M314" s="1">
        <f ca="1">IFERROR(__xludf.DUMMYFUNCTION("""COMPUTED_VALUE"""),0)</f>
        <v>0</v>
      </c>
      <c r="N314" s="1">
        <f ca="1">IFERROR(__xludf.DUMMYFUNCTION("""COMPUTED_VALUE"""),10)</f>
        <v>10</v>
      </c>
      <c r="O314" s="1">
        <f ca="1">IFERROR(__xludf.DUMMYFUNCTION("""COMPUTED_VALUE"""),8)</f>
        <v>8</v>
      </c>
      <c r="P314" s="1">
        <f ca="1">IFERROR(__xludf.DUMMYFUNCTION("""COMPUTED_VALUE"""),2)</f>
        <v>2</v>
      </c>
      <c r="Q314" s="1">
        <f ca="1">IFERROR(__xludf.DUMMYFUNCTION("""COMPUTED_VALUE"""),4)</f>
        <v>4</v>
      </c>
      <c r="R314" s="1">
        <f ca="1">IFERROR(__xludf.DUMMYFUNCTION("""COMPUTED_VALUE"""),1)</f>
        <v>1</v>
      </c>
      <c r="S314" s="1">
        <f ca="1">IFERROR(__xludf.DUMMYFUNCTION("""COMPUTED_VALUE"""),3)</f>
        <v>3</v>
      </c>
      <c r="T314" s="1">
        <f ca="1">IFERROR(__xludf.DUMMYFUNCTION("""COMPUTED_VALUE"""),44305.4841898148)</f>
        <v>44305.484189814801</v>
      </c>
      <c r="U314" s="1" t="str">
        <f ca="1">IFERROR(__xludf.DUMMYFUNCTION("""COMPUTED_VALUE"""),"Updated on 19/04/2021")</f>
        <v>Updated on 19/04/2021</v>
      </c>
    </row>
    <row r="315" spans="1:21" ht="13" x14ac:dyDescent="0.15">
      <c r="A315" s="1" t="str">
        <f t="shared" ca="1" si="0"/>
        <v>TirunelveliShifa Hospital</v>
      </c>
      <c r="B315" s="1">
        <f ca="1">IFERROR(__xludf.DUMMYFUNCTION("""COMPUTED_VALUE"""),314)</f>
        <v>314</v>
      </c>
      <c r="C315" s="1" t="str">
        <f ca="1">IFERROR(__xludf.DUMMYFUNCTION("""COMPUTED_VALUE"""),"Tirunelveli")</f>
        <v>Tirunelveli</v>
      </c>
      <c r="D315" s="1" t="str">
        <f ca="1">IFERROR(__xludf.DUMMYFUNCTION("""COMPUTED_VALUE"""),"Shifa Hospital")</f>
        <v>Shifa Hospital</v>
      </c>
      <c r="E315" s="1">
        <f ca="1">IFERROR(__xludf.DUMMYFUNCTION("""COMPUTED_VALUE"""),52)</f>
        <v>52</v>
      </c>
      <c r="F315" s="1">
        <f ca="1">IFERROR(__xludf.DUMMYFUNCTION("""COMPUTED_VALUE"""),28)</f>
        <v>28</v>
      </c>
      <c r="G315" s="1">
        <f ca="1">IFERROR(__xludf.DUMMYFUNCTION("""COMPUTED_VALUE"""),24)</f>
        <v>24</v>
      </c>
      <c r="H315" s="1">
        <f ca="1">IFERROR(__xludf.DUMMYFUNCTION("""COMPUTED_VALUE"""),37)</f>
        <v>37</v>
      </c>
      <c r="I315" s="1">
        <f ca="1">IFERROR(__xludf.DUMMYFUNCTION("""COMPUTED_VALUE"""),18)</f>
        <v>18</v>
      </c>
      <c r="J315" s="1">
        <f ca="1">IFERROR(__xludf.DUMMYFUNCTION("""COMPUTED_VALUE"""),19)</f>
        <v>19</v>
      </c>
      <c r="K315" s="1">
        <f ca="1">IFERROR(__xludf.DUMMYFUNCTION("""COMPUTED_VALUE"""),12)</f>
        <v>12</v>
      </c>
      <c r="L315" s="1">
        <f ca="1">IFERROR(__xludf.DUMMYFUNCTION("""COMPUTED_VALUE"""),0)</f>
        <v>0</v>
      </c>
      <c r="M315" s="1">
        <f ca="1">IFERROR(__xludf.DUMMYFUNCTION("""COMPUTED_VALUE"""),7)</f>
        <v>7</v>
      </c>
      <c r="N315" s="1">
        <f ca="1">IFERROR(__xludf.DUMMYFUNCTION("""COMPUTED_VALUE"""),3)</f>
        <v>3</v>
      </c>
      <c r="O315" s="1">
        <f ca="1">IFERROR(__xludf.DUMMYFUNCTION("""COMPUTED_VALUE"""),3)</f>
        <v>3</v>
      </c>
      <c r="P315" s="1">
        <f ca="1">IFERROR(__xludf.DUMMYFUNCTION("""COMPUTED_VALUE"""),0)</f>
        <v>0</v>
      </c>
      <c r="Q315" s="1">
        <f ca="1">IFERROR(__xludf.DUMMYFUNCTION("""COMPUTED_VALUE"""),3)</f>
        <v>3</v>
      </c>
      <c r="R315" s="1">
        <f ca="1">IFERROR(__xludf.DUMMYFUNCTION("""COMPUTED_VALUE"""),3)</f>
        <v>3</v>
      </c>
      <c r="S315" s="1">
        <f ca="1">IFERROR(__xludf.DUMMYFUNCTION("""COMPUTED_VALUE"""),0)</f>
        <v>0</v>
      </c>
      <c r="T315" s="1">
        <f ca="1">IFERROR(__xludf.DUMMYFUNCTION("""COMPUTED_VALUE"""),44304.5379398148)</f>
        <v>44304.5379398148</v>
      </c>
      <c r="U315" s="1" t="str">
        <f ca="1">IFERROR(__xludf.DUMMYFUNCTION("""COMPUTED_VALUE"""),"28 positive cases &amp; 5 Suspected Cases 18/04/2021")</f>
        <v>28 positive cases &amp; 5 Suspected Cases 18/04/2021</v>
      </c>
    </row>
    <row r="316" spans="1:21" ht="13" x14ac:dyDescent="0.15">
      <c r="A316" s="1" t="str">
        <f t="shared" ca="1" si="0"/>
        <v>ChennaiAnnai Multispeciality Hospital</v>
      </c>
      <c r="B316" s="1">
        <f ca="1">IFERROR(__xludf.DUMMYFUNCTION("""COMPUTED_VALUE"""),315)</f>
        <v>315</v>
      </c>
      <c r="C316" s="1" t="str">
        <f ca="1">IFERROR(__xludf.DUMMYFUNCTION("""COMPUTED_VALUE"""),"Chennai")</f>
        <v>Chennai</v>
      </c>
      <c r="D316" s="1" t="str">
        <f ca="1">IFERROR(__xludf.DUMMYFUNCTION("""COMPUTED_VALUE"""),"Annai Multispeciality Hospital")</f>
        <v>Annai Multispeciality Hospital</v>
      </c>
      <c r="E316" s="1">
        <f ca="1">IFERROR(__xludf.DUMMYFUNCTION("""COMPUTED_VALUE"""),25)</f>
        <v>25</v>
      </c>
      <c r="F316" s="1">
        <f ca="1">IFERROR(__xludf.DUMMYFUNCTION("""COMPUTED_VALUE"""),15)</f>
        <v>15</v>
      </c>
      <c r="G316" s="1">
        <f ca="1">IFERROR(__xludf.DUMMYFUNCTION("""COMPUTED_VALUE"""),10)</f>
        <v>10</v>
      </c>
      <c r="H316" s="1">
        <f ca="1">IFERROR(__xludf.DUMMYFUNCTION("""COMPUTED_VALUE"""),10)</f>
        <v>10</v>
      </c>
      <c r="I316" s="1">
        <f ca="1">IFERROR(__xludf.DUMMYFUNCTION("""COMPUTED_VALUE"""),5)</f>
        <v>5</v>
      </c>
      <c r="J316" s="1">
        <f ca="1">IFERROR(__xludf.DUMMYFUNCTION("""COMPUTED_VALUE"""),5)</f>
        <v>5</v>
      </c>
      <c r="K316" s="1">
        <f ca="1">IFERROR(__xludf.DUMMYFUNCTION("""COMPUTED_VALUE"""),15)</f>
        <v>15</v>
      </c>
      <c r="L316" s="1">
        <f ca="1">IFERROR(__xludf.DUMMYFUNCTION("""COMPUTED_VALUE"""),0)</f>
        <v>0</v>
      </c>
      <c r="M316" s="1">
        <f ca="1">IFERROR(__xludf.DUMMYFUNCTION("""COMPUTED_VALUE"""),7)</f>
        <v>7</v>
      </c>
      <c r="N316" s="1">
        <f ca="1">IFERROR(__xludf.DUMMYFUNCTION("""COMPUTED_VALUE"""),8)</f>
        <v>8</v>
      </c>
      <c r="O316" s="1">
        <f ca="1">IFERROR(__xludf.DUMMYFUNCTION("""COMPUTED_VALUE"""),2)</f>
        <v>2</v>
      </c>
      <c r="P316" s="1">
        <f ca="1">IFERROR(__xludf.DUMMYFUNCTION("""COMPUTED_VALUE"""),6)</f>
        <v>6</v>
      </c>
      <c r="Q316" s="1">
        <f ca="1">IFERROR(__xludf.DUMMYFUNCTION("""COMPUTED_VALUE"""),4)</f>
        <v>4</v>
      </c>
      <c r="R316" s="1">
        <f ca="1">IFERROR(__xludf.DUMMYFUNCTION("""COMPUTED_VALUE"""),0)</f>
        <v>0</v>
      </c>
      <c r="S316" s="1">
        <f ca="1">IFERROR(__xludf.DUMMYFUNCTION("""COMPUTED_VALUE"""),4)</f>
        <v>4</v>
      </c>
      <c r="T316" s="1">
        <f ca="1">IFERROR(__xludf.DUMMYFUNCTION("""COMPUTED_VALUE"""),44305.3604861111)</f>
        <v>44305.360486111102</v>
      </c>
      <c r="U316" s="1" t="str">
        <f ca="1">IFERROR(__xludf.DUMMYFUNCTION("""COMPUTED_VALUE"""),"19/04/2021 Covid care helpline - 8778501016/9894686088")</f>
        <v>19/04/2021 Covid care helpline - 8778501016/9894686088</v>
      </c>
    </row>
    <row r="317" spans="1:21" ht="13" x14ac:dyDescent="0.15">
      <c r="A317" s="1" t="str">
        <f t="shared" ca="1" si="0"/>
        <v>ThiruchirappalliRoyal Pearl Hospital</v>
      </c>
      <c r="B317" s="1">
        <f ca="1">IFERROR(__xludf.DUMMYFUNCTION("""COMPUTED_VALUE"""),316)</f>
        <v>316</v>
      </c>
      <c r="C317" s="1" t="str">
        <f ca="1">IFERROR(__xludf.DUMMYFUNCTION("""COMPUTED_VALUE"""),"Thiruchirappalli")</f>
        <v>Thiruchirappalli</v>
      </c>
      <c r="D317" s="1" t="str">
        <f ca="1">IFERROR(__xludf.DUMMYFUNCTION("""COMPUTED_VALUE"""),"Royal Pearl Hospital")</f>
        <v>Royal Pearl Hospital</v>
      </c>
      <c r="E317" s="1">
        <f ca="1">IFERROR(__xludf.DUMMYFUNCTION("""COMPUTED_VALUE"""),15)</f>
        <v>15</v>
      </c>
      <c r="F317" s="1">
        <f ca="1">IFERROR(__xludf.DUMMYFUNCTION("""COMPUTED_VALUE"""),0)</f>
        <v>0</v>
      </c>
      <c r="G317" s="1">
        <f ca="1">IFERROR(__xludf.DUMMYFUNCTION("""COMPUTED_VALUE"""),15)</f>
        <v>15</v>
      </c>
      <c r="H317" s="1">
        <f ca="1">IFERROR(__xludf.DUMMYFUNCTION("""COMPUTED_VALUE"""),10)</f>
        <v>10</v>
      </c>
      <c r="I317" s="1">
        <f ca="1">IFERROR(__xludf.DUMMYFUNCTION("""COMPUTED_VALUE"""),0)</f>
        <v>0</v>
      </c>
      <c r="J317" s="1">
        <f ca="1">IFERROR(__xludf.DUMMYFUNCTION("""COMPUTED_VALUE"""),10)</f>
        <v>10</v>
      </c>
      <c r="K317" s="1">
        <f ca="1">IFERROR(__xludf.DUMMYFUNCTION("""COMPUTED_VALUE"""),3)</f>
        <v>3</v>
      </c>
      <c r="L317" s="1">
        <f ca="1">IFERROR(__xludf.DUMMYFUNCTION("""COMPUTED_VALUE"""),0)</f>
        <v>0</v>
      </c>
      <c r="M317" s="1">
        <f ca="1">IFERROR(__xludf.DUMMYFUNCTION("""COMPUTED_VALUE"""),3)</f>
        <v>3</v>
      </c>
      <c r="N317" s="1">
        <f ca="1">IFERROR(__xludf.DUMMYFUNCTION("""COMPUTED_VALUE"""),2)</f>
        <v>2</v>
      </c>
      <c r="O317" s="1">
        <f ca="1">IFERROR(__xludf.DUMMYFUNCTION("""COMPUTED_VALUE"""),0)</f>
        <v>0</v>
      </c>
      <c r="P317" s="1">
        <f ca="1">IFERROR(__xludf.DUMMYFUNCTION("""COMPUTED_VALUE"""),2)</f>
        <v>2</v>
      </c>
      <c r="Q317" s="1">
        <f ca="1">IFERROR(__xludf.DUMMYFUNCTION("""COMPUTED_VALUE"""),5)</f>
        <v>5</v>
      </c>
      <c r="R317" s="1">
        <f ca="1">IFERROR(__xludf.DUMMYFUNCTION("""COMPUTED_VALUE"""),0)</f>
        <v>0</v>
      </c>
      <c r="S317" s="1">
        <f ca="1">IFERROR(__xludf.DUMMYFUNCTION("""COMPUTED_VALUE"""),5)</f>
        <v>5</v>
      </c>
      <c r="T317" s="1">
        <f ca="1">IFERROR(__xludf.DUMMYFUNCTION("""COMPUTED_VALUE"""),44305.3639814814)</f>
        <v>44305.363981481401</v>
      </c>
      <c r="U317" s="1"/>
    </row>
    <row r="318" spans="1:21" ht="13" x14ac:dyDescent="0.15">
      <c r="A318" s="1" t="str">
        <f t="shared" ca="1" si="0"/>
        <v>MayiladuthuraiVishnu hospital</v>
      </c>
      <c r="B318" s="1">
        <f ca="1">IFERROR(__xludf.DUMMYFUNCTION("""COMPUTED_VALUE"""),317)</f>
        <v>317</v>
      </c>
      <c r="C318" s="1" t="str">
        <f ca="1">IFERROR(__xludf.DUMMYFUNCTION("""COMPUTED_VALUE"""),"Mayiladuthurai")</f>
        <v>Mayiladuthurai</v>
      </c>
      <c r="D318" s="1" t="str">
        <f ca="1">IFERROR(__xludf.DUMMYFUNCTION("""COMPUTED_VALUE"""),"Vishnu hospital")</f>
        <v>Vishnu hospital</v>
      </c>
      <c r="E318" s="1">
        <f ca="1">IFERROR(__xludf.DUMMYFUNCTION("""COMPUTED_VALUE"""),14)</f>
        <v>14</v>
      </c>
      <c r="F318" s="1">
        <f ca="1">IFERROR(__xludf.DUMMYFUNCTION("""COMPUTED_VALUE"""),12)</f>
        <v>12</v>
      </c>
      <c r="G318" s="1">
        <f ca="1">IFERROR(__xludf.DUMMYFUNCTION("""COMPUTED_VALUE"""),2)</f>
        <v>2</v>
      </c>
      <c r="H318" s="1">
        <f ca="1">IFERROR(__xludf.DUMMYFUNCTION("""COMPUTED_VALUE"""),2)</f>
        <v>2</v>
      </c>
      <c r="I318" s="1">
        <f ca="1">IFERROR(__xludf.DUMMYFUNCTION("""COMPUTED_VALUE"""),0)</f>
        <v>0</v>
      </c>
      <c r="J318" s="1">
        <f ca="1">IFERROR(__xludf.DUMMYFUNCTION("""COMPUTED_VALUE"""),2)</f>
        <v>2</v>
      </c>
      <c r="K318" s="1">
        <f ca="1">IFERROR(__xludf.DUMMYFUNCTION("""COMPUTED_VALUE"""),12)</f>
        <v>12</v>
      </c>
      <c r="L318" s="1">
        <f ca="1">IFERROR(__xludf.DUMMYFUNCTION("""COMPUTED_VALUE"""),12)</f>
        <v>12</v>
      </c>
      <c r="M318" s="1">
        <f ca="1">IFERROR(__xludf.DUMMYFUNCTION("""COMPUTED_VALUE"""),0)</f>
        <v>0</v>
      </c>
      <c r="N318" s="1">
        <f ca="1">IFERROR(__xludf.DUMMYFUNCTION("""COMPUTED_VALUE"""),1)</f>
        <v>1</v>
      </c>
      <c r="O318" s="1">
        <f ca="1">IFERROR(__xludf.DUMMYFUNCTION("""COMPUTED_VALUE"""),0)</f>
        <v>0</v>
      </c>
      <c r="P318" s="1">
        <f ca="1">IFERROR(__xludf.DUMMYFUNCTION("""COMPUTED_VALUE"""),1)</f>
        <v>1</v>
      </c>
      <c r="Q318" s="1">
        <f ca="1">IFERROR(__xludf.DUMMYFUNCTION("""COMPUTED_VALUE"""),1)</f>
        <v>1</v>
      </c>
      <c r="R318" s="1">
        <f ca="1">IFERROR(__xludf.DUMMYFUNCTION("""COMPUTED_VALUE"""),0)</f>
        <v>0</v>
      </c>
      <c r="S318" s="1">
        <f ca="1">IFERROR(__xludf.DUMMYFUNCTION("""COMPUTED_VALUE"""),1)</f>
        <v>1</v>
      </c>
      <c r="T318" s="1">
        <f ca="1">IFERROR(__xludf.DUMMYFUNCTION("""COMPUTED_VALUE"""),44305.37375)</f>
        <v>44305.373749999999</v>
      </c>
      <c r="U318" s="1" t="str">
        <f ca="1">IFERROR(__xludf.DUMMYFUNCTION("""COMPUTED_VALUE"""),"Nil")</f>
        <v>Nil</v>
      </c>
    </row>
    <row r="319" spans="1:21" ht="13" x14ac:dyDescent="0.15">
      <c r="A319" s="1" t="str">
        <f t="shared" ca="1" si="0"/>
        <v>SivagangaiApollo</v>
      </c>
      <c r="B319" s="1">
        <f ca="1">IFERROR(__xludf.DUMMYFUNCTION("""COMPUTED_VALUE"""),318)</f>
        <v>318</v>
      </c>
      <c r="C319" s="1" t="str">
        <f ca="1">IFERROR(__xludf.DUMMYFUNCTION("""COMPUTED_VALUE"""),"Sivagangai")</f>
        <v>Sivagangai</v>
      </c>
      <c r="D319" s="1" t="str">
        <f ca="1">IFERROR(__xludf.DUMMYFUNCTION("""COMPUTED_VALUE"""),"Apollo")</f>
        <v>Apollo</v>
      </c>
      <c r="E319" s="1">
        <f ca="1">IFERROR(__xludf.DUMMYFUNCTION("""COMPUTED_VALUE"""),32)</f>
        <v>32</v>
      </c>
      <c r="F319" s="1">
        <f ca="1">IFERROR(__xludf.DUMMYFUNCTION("""COMPUTED_VALUE"""),32)</f>
        <v>32</v>
      </c>
      <c r="G319" s="1">
        <f ca="1">IFERROR(__xludf.DUMMYFUNCTION("""COMPUTED_VALUE"""),0)</f>
        <v>0</v>
      </c>
      <c r="H319" s="1">
        <f ca="1">IFERROR(__xludf.DUMMYFUNCTION("""COMPUTED_VALUE"""),32)</f>
        <v>32</v>
      </c>
      <c r="I319" s="1">
        <f ca="1">IFERROR(__xludf.DUMMYFUNCTION("""COMPUTED_VALUE"""),32)</f>
        <v>32</v>
      </c>
      <c r="J319" s="1">
        <f ca="1">IFERROR(__xludf.DUMMYFUNCTION("""COMPUTED_VALUE"""),0)</f>
        <v>0</v>
      </c>
      <c r="K319" s="1">
        <f ca="1">IFERROR(__xludf.DUMMYFUNCTION("""COMPUTED_VALUE"""),0)</f>
        <v>0</v>
      </c>
      <c r="L319" s="1">
        <f ca="1">IFERROR(__xludf.DUMMYFUNCTION("""COMPUTED_VALUE"""),0)</f>
        <v>0</v>
      </c>
      <c r="M319" s="1">
        <f ca="1">IFERROR(__xludf.DUMMYFUNCTION("""COMPUTED_VALUE"""),0)</f>
        <v>0</v>
      </c>
      <c r="N319" s="1">
        <f ca="1">IFERROR(__xludf.DUMMYFUNCTION("""COMPUTED_VALUE"""),2)</f>
        <v>2</v>
      </c>
      <c r="O319" s="1">
        <f ca="1">IFERROR(__xludf.DUMMYFUNCTION("""COMPUTED_VALUE"""),0)</f>
        <v>0</v>
      </c>
      <c r="P319" s="1">
        <f ca="1">IFERROR(__xludf.DUMMYFUNCTION("""COMPUTED_VALUE"""),2)</f>
        <v>2</v>
      </c>
      <c r="Q319" s="1">
        <f ca="1">IFERROR(__xludf.DUMMYFUNCTION("""COMPUTED_VALUE"""),1)</f>
        <v>1</v>
      </c>
      <c r="R319" s="1">
        <f ca="1">IFERROR(__xludf.DUMMYFUNCTION("""COMPUTED_VALUE"""),0)</f>
        <v>0</v>
      </c>
      <c r="S319" s="1">
        <f ca="1">IFERROR(__xludf.DUMMYFUNCTION("""COMPUTED_VALUE"""),1)</f>
        <v>1</v>
      </c>
      <c r="T319" s="1">
        <f ca="1">IFERROR(__xludf.DUMMYFUNCTION("""COMPUTED_VALUE"""),44305.3785300925)</f>
        <v>44305.378530092501</v>
      </c>
      <c r="U319" s="1" t="str">
        <f ca="1">IFERROR(__xludf.DUMMYFUNCTION("""COMPUTED_VALUE"""),"Updated .1")</f>
        <v>Updated .1</v>
      </c>
    </row>
    <row r="320" spans="1:21" ht="13" x14ac:dyDescent="0.15">
      <c r="A320" s="1" t="str">
        <f t="shared" ca="1" si="0"/>
        <v>SivagangaiSenthil hospital</v>
      </c>
      <c r="B320" s="1">
        <f ca="1">IFERROR(__xludf.DUMMYFUNCTION("""COMPUTED_VALUE"""),319)</f>
        <v>319</v>
      </c>
      <c r="C320" s="1" t="str">
        <f ca="1">IFERROR(__xludf.DUMMYFUNCTION("""COMPUTED_VALUE"""),"Sivagangai")</f>
        <v>Sivagangai</v>
      </c>
      <c r="D320" s="1" t="str">
        <f ca="1">IFERROR(__xludf.DUMMYFUNCTION("""COMPUTED_VALUE"""),"Senthil hospital")</f>
        <v>Senthil hospital</v>
      </c>
      <c r="E320" s="1">
        <f ca="1">IFERROR(__xludf.DUMMYFUNCTION("""COMPUTED_VALUE"""),40)</f>
        <v>40</v>
      </c>
      <c r="F320" s="1">
        <f ca="1">IFERROR(__xludf.DUMMYFUNCTION("""COMPUTED_VALUE"""),12)</f>
        <v>12</v>
      </c>
      <c r="G320" s="1">
        <f ca="1">IFERROR(__xludf.DUMMYFUNCTION("""COMPUTED_VALUE"""),28)</f>
        <v>28</v>
      </c>
      <c r="H320" s="1">
        <f ca="1">IFERROR(__xludf.DUMMYFUNCTION("""COMPUTED_VALUE"""),31)</f>
        <v>31</v>
      </c>
      <c r="I320" s="1">
        <f ca="1">IFERROR(__xludf.DUMMYFUNCTION("""COMPUTED_VALUE"""),12)</f>
        <v>12</v>
      </c>
      <c r="J320" s="1">
        <f ca="1">IFERROR(__xludf.DUMMYFUNCTION("""COMPUTED_VALUE"""),19)</f>
        <v>19</v>
      </c>
      <c r="K320" s="1">
        <f ca="1">IFERROR(__xludf.DUMMYFUNCTION("""COMPUTED_VALUE"""),0)</f>
        <v>0</v>
      </c>
      <c r="L320" s="1">
        <f ca="1">IFERROR(__xludf.DUMMYFUNCTION("""COMPUTED_VALUE"""),0)</f>
        <v>0</v>
      </c>
      <c r="M320" s="1">
        <f ca="1">IFERROR(__xludf.DUMMYFUNCTION("""COMPUTED_VALUE"""),0)</f>
        <v>0</v>
      </c>
      <c r="N320" s="1">
        <f ca="1">IFERROR(__xludf.DUMMYFUNCTION("""COMPUTED_VALUE"""),9)</f>
        <v>9</v>
      </c>
      <c r="O320" s="1">
        <f ca="1">IFERROR(__xludf.DUMMYFUNCTION("""COMPUTED_VALUE"""),0)</f>
        <v>0</v>
      </c>
      <c r="P320" s="1">
        <f ca="1">IFERROR(__xludf.DUMMYFUNCTION("""COMPUTED_VALUE"""),9)</f>
        <v>9</v>
      </c>
      <c r="Q320" s="1">
        <f ca="1">IFERROR(__xludf.DUMMYFUNCTION("""COMPUTED_VALUE"""),4)</f>
        <v>4</v>
      </c>
      <c r="R320" s="1">
        <f ca="1">IFERROR(__xludf.DUMMYFUNCTION("""COMPUTED_VALUE"""),0)</f>
        <v>0</v>
      </c>
      <c r="S320" s="1">
        <f ca="1">IFERROR(__xludf.DUMMYFUNCTION("""COMPUTED_VALUE"""),4)</f>
        <v>4</v>
      </c>
      <c r="T320" s="1">
        <f ca="1">IFERROR(__xludf.DUMMYFUNCTION("""COMPUTED_VALUE"""),44305.3461226851)</f>
        <v>44305.3461226851</v>
      </c>
      <c r="U320" s="1" t="str">
        <f ca="1">IFERROR(__xludf.DUMMYFUNCTION("""COMPUTED_VALUE"""),"19/04/2021")</f>
        <v>19/04/2021</v>
      </c>
    </row>
    <row r="321" spans="1:21" ht="13" x14ac:dyDescent="0.15">
      <c r="A321" s="1" t="str">
        <f t="shared" ca="1" si="0"/>
        <v>ChengalpetKMS Health Centre</v>
      </c>
      <c r="B321" s="1">
        <f ca="1">IFERROR(__xludf.DUMMYFUNCTION("""COMPUTED_VALUE"""),320)</f>
        <v>320</v>
      </c>
      <c r="C321" s="1" t="str">
        <f ca="1">IFERROR(__xludf.DUMMYFUNCTION("""COMPUTED_VALUE"""),"Chengalpet")</f>
        <v>Chengalpet</v>
      </c>
      <c r="D321" s="1" t="str">
        <f ca="1">IFERROR(__xludf.DUMMYFUNCTION("""COMPUTED_VALUE"""),"KMS Health Centre")</f>
        <v>KMS Health Centre</v>
      </c>
      <c r="E321" s="1">
        <f ca="1">IFERROR(__xludf.DUMMYFUNCTION("""COMPUTED_VALUE"""),25)</f>
        <v>25</v>
      </c>
      <c r="F321" s="1">
        <f ca="1">IFERROR(__xludf.DUMMYFUNCTION("""COMPUTED_VALUE"""),15)</f>
        <v>15</v>
      </c>
      <c r="G321" s="1">
        <f ca="1">IFERROR(__xludf.DUMMYFUNCTION("""COMPUTED_VALUE"""),1)</f>
        <v>1</v>
      </c>
      <c r="H321" s="1">
        <f ca="1">IFERROR(__xludf.DUMMYFUNCTION("""COMPUTED_VALUE"""),13)</f>
        <v>13</v>
      </c>
      <c r="I321" s="1">
        <f ca="1">IFERROR(__xludf.DUMMYFUNCTION("""COMPUTED_VALUE"""),4)</f>
        <v>4</v>
      </c>
      <c r="J321" s="1">
        <f ca="1">IFERROR(__xludf.DUMMYFUNCTION("""COMPUTED_VALUE"""),9)</f>
        <v>9</v>
      </c>
      <c r="K321" s="1">
        <f ca="1">IFERROR(__xludf.DUMMYFUNCTION("""COMPUTED_VALUE"""),12)</f>
        <v>12</v>
      </c>
      <c r="L321" s="1">
        <f ca="1">IFERROR(__xludf.DUMMYFUNCTION("""COMPUTED_VALUE"""),11)</f>
        <v>11</v>
      </c>
      <c r="M321" s="1">
        <f ca="1">IFERROR(__xludf.DUMMYFUNCTION("""COMPUTED_VALUE"""),1)</f>
        <v>1</v>
      </c>
      <c r="N321" s="1">
        <f ca="1">IFERROR(__xludf.DUMMYFUNCTION("""COMPUTED_VALUE"""),3)</f>
        <v>3</v>
      </c>
      <c r="O321" s="1">
        <f ca="1">IFERROR(__xludf.DUMMYFUNCTION("""COMPUTED_VALUE"""),0)</f>
        <v>0</v>
      </c>
      <c r="P321" s="1">
        <f ca="1">IFERROR(__xludf.DUMMYFUNCTION("""COMPUTED_VALUE"""),3)</f>
        <v>3</v>
      </c>
      <c r="Q321" s="1">
        <f ca="1">IFERROR(__xludf.DUMMYFUNCTION("""COMPUTED_VALUE"""),1)</f>
        <v>1</v>
      </c>
      <c r="R321" s="1">
        <f ca="1">IFERROR(__xludf.DUMMYFUNCTION("""COMPUTED_VALUE"""),0)</f>
        <v>0</v>
      </c>
      <c r="S321" s="1">
        <f ca="1">IFERROR(__xludf.DUMMYFUNCTION("""COMPUTED_VALUE"""),1)</f>
        <v>1</v>
      </c>
      <c r="T321" s="1">
        <f ca="1">IFERROR(__xludf.DUMMYFUNCTION("""COMPUTED_VALUE"""),44305.5150925925)</f>
        <v>44305.515092592497</v>
      </c>
      <c r="U321" s="1" t="str">
        <f ca="1">IFERROR(__xludf.DUMMYFUNCTION("""COMPUTED_VALUE"""),"Nil")</f>
        <v>Nil</v>
      </c>
    </row>
    <row r="322" spans="1:21" ht="13" x14ac:dyDescent="0.15">
      <c r="A322" s="1" t="str">
        <f t="shared" ca="1" si="0"/>
        <v>SalemKamala Hospital,Agraharam</v>
      </c>
      <c r="B322" s="1">
        <f ca="1">IFERROR(__xludf.DUMMYFUNCTION("""COMPUTED_VALUE"""),321)</f>
        <v>321</v>
      </c>
      <c r="C322" s="1" t="str">
        <f ca="1">IFERROR(__xludf.DUMMYFUNCTION("""COMPUTED_VALUE"""),"Salem")</f>
        <v>Salem</v>
      </c>
      <c r="D322" s="1" t="str">
        <f ca="1">IFERROR(__xludf.DUMMYFUNCTION("""COMPUTED_VALUE"""),"Kamala Hospital,Agraharam")</f>
        <v>Kamala Hospital,Agraharam</v>
      </c>
      <c r="E322" s="1">
        <f ca="1">IFERROR(__xludf.DUMMYFUNCTION("""COMPUTED_VALUE"""),25)</f>
        <v>25</v>
      </c>
      <c r="F322" s="1">
        <f ca="1">IFERROR(__xludf.DUMMYFUNCTION("""COMPUTED_VALUE"""),17)</f>
        <v>17</v>
      </c>
      <c r="G322" s="1">
        <f ca="1">IFERROR(__xludf.DUMMYFUNCTION("""COMPUTED_VALUE"""),8)</f>
        <v>8</v>
      </c>
      <c r="H322" s="1">
        <f ca="1">IFERROR(__xludf.DUMMYFUNCTION("""COMPUTED_VALUE"""),7)</f>
        <v>7</v>
      </c>
      <c r="I322" s="1">
        <f ca="1">IFERROR(__xludf.DUMMYFUNCTION("""COMPUTED_VALUE"""),0)</f>
        <v>0</v>
      </c>
      <c r="J322" s="1">
        <f ca="1">IFERROR(__xludf.DUMMYFUNCTION("""COMPUTED_VALUE"""),7)</f>
        <v>7</v>
      </c>
      <c r="K322" s="1">
        <f ca="1">IFERROR(__xludf.DUMMYFUNCTION("""COMPUTED_VALUE"""),18)</f>
        <v>18</v>
      </c>
      <c r="L322" s="1">
        <f ca="1">IFERROR(__xludf.DUMMYFUNCTION("""COMPUTED_VALUE"""),17)</f>
        <v>17</v>
      </c>
      <c r="M322" s="1">
        <f ca="1">IFERROR(__xludf.DUMMYFUNCTION("""COMPUTED_VALUE"""),1)</f>
        <v>1</v>
      </c>
      <c r="N322" s="1">
        <f ca="1">IFERROR(__xludf.DUMMYFUNCTION("""COMPUTED_VALUE"""),10)</f>
        <v>10</v>
      </c>
      <c r="O322" s="1">
        <f ca="1">IFERROR(__xludf.DUMMYFUNCTION("""COMPUTED_VALUE"""),0)</f>
        <v>0</v>
      </c>
      <c r="P322" s="1">
        <f ca="1">IFERROR(__xludf.DUMMYFUNCTION("""COMPUTED_VALUE"""),0)</f>
        <v>0</v>
      </c>
      <c r="Q322" s="1">
        <f ca="1">IFERROR(__xludf.DUMMYFUNCTION("""COMPUTED_VALUE"""),8)</f>
        <v>8</v>
      </c>
      <c r="R322" s="1">
        <f ca="1">IFERROR(__xludf.DUMMYFUNCTION("""COMPUTED_VALUE"""),0)</f>
        <v>0</v>
      </c>
      <c r="S322" s="1">
        <f ca="1">IFERROR(__xludf.DUMMYFUNCTION("""COMPUTED_VALUE"""),8)</f>
        <v>8</v>
      </c>
      <c r="T322" s="1">
        <f ca="1">IFERROR(__xludf.DUMMYFUNCTION("""COMPUTED_VALUE"""),44305.3478703703)</f>
        <v>44305.3478703703</v>
      </c>
      <c r="U322" s="1"/>
    </row>
    <row r="323" spans="1:21" ht="13" x14ac:dyDescent="0.15">
      <c r="A323" s="1" t="str">
        <f t="shared" ca="1" si="0"/>
        <v>CoimbatoreCoimbatore Diabetic Foundation,maruthamalai road</v>
      </c>
      <c r="B323" s="1">
        <f ca="1">IFERROR(__xludf.DUMMYFUNCTION("""COMPUTED_VALUE"""),322)</f>
        <v>322</v>
      </c>
      <c r="C323" s="1" t="str">
        <f ca="1">IFERROR(__xludf.DUMMYFUNCTION("""COMPUTED_VALUE"""),"Coimbatore")</f>
        <v>Coimbatore</v>
      </c>
      <c r="D323" s="1" t="str">
        <f ca="1">IFERROR(__xludf.DUMMYFUNCTION("""COMPUTED_VALUE"""),"Coimbatore Diabetic Foundation,maruthamalai road")</f>
        <v>Coimbatore Diabetic Foundation,maruthamalai road</v>
      </c>
      <c r="E323" s="1">
        <f ca="1">IFERROR(__xludf.DUMMYFUNCTION("""COMPUTED_VALUE"""),30)</f>
        <v>30</v>
      </c>
      <c r="F323" s="1">
        <f ca="1">IFERROR(__xludf.DUMMYFUNCTION("""COMPUTED_VALUE"""),0)</f>
        <v>0</v>
      </c>
      <c r="G323" s="1">
        <f ca="1">IFERROR(__xludf.DUMMYFUNCTION("""COMPUTED_VALUE"""),30)</f>
        <v>30</v>
      </c>
      <c r="H323" s="1">
        <f ca="1">IFERROR(__xludf.DUMMYFUNCTION("""COMPUTED_VALUE"""),27)</f>
        <v>27</v>
      </c>
      <c r="I323" s="1">
        <f ca="1">IFERROR(__xludf.DUMMYFUNCTION("""COMPUTED_VALUE"""),0)</f>
        <v>0</v>
      </c>
      <c r="J323" s="1">
        <f ca="1">IFERROR(__xludf.DUMMYFUNCTION("""COMPUTED_VALUE"""),27)</f>
        <v>27</v>
      </c>
      <c r="K323" s="1">
        <f ca="1">IFERROR(__xludf.DUMMYFUNCTION("""COMPUTED_VALUE"""),0)</f>
        <v>0</v>
      </c>
      <c r="L323" s="1">
        <f ca="1">IFERROR(__xludf.DUMMYFUNCTION("""COMPUTED_VALUE"""),0)</f>
        <v>0</v>
      </c>
      <c r="M323" s="1">
        <f ca="1">IFERROR(__xludf.DUMMYFUNCTION("""COMPUTED_VALUE"""),0)</f>
        <v>0</v>
      </c>
      <c r="N323" s="1">
        <f ca="1">IFERROR(__xludf.DUMMYFUNCTION("""COMPUTED_VALUE"""),3)</f>
        <v>3</v>
      </c>
      <c r="O323" s="1">
        <f ca="1">IFERROR(__xludf.DUMMYFUNCTION("""COMPUTED_VALUE"""),0)</f>
        <v>0</v>
      </c>
      <c r="P323" s="1">
        <f ca="1">IFERROR(__xludf.DUMMYFUNCTION("""COMPUTED_VALUE"""),3)</f>
        <v>3</v>
      </c>
      <c r="Q323" s="1">
        <f ca="1">IFERROR(__xludf.DUMMYFUNCTION("""COMPUTED_VALUE"""),1)</f>
        <v>1</v>
      </c>
      <c r="R323" s="1">
        <f ca="1">IFERROR(__xludf.DUMMYFUNCTION("""COMPUTED_VALUE"""),0)</f>
        <v>0</v>
      </c>
      <c r="S323" s="1">
        <f ca="1">IFERROR(__xludf.DUMMYFUNCTION("""COMPUTED_VALUE"""),1)</f>
        <v>1</v>
      </c>
      <c r="T323" s="1">
        <f ca="1">IFERROR(__xludf.DUMMYFUNCTION("""COMPUTED_VALUE"""),44305.4436111111)</f>
        <v>44305.443611111099</v>
      </c>
      <c r="U323" s="1" t="str">
        <f ca="1">IFERROR(__xludf.DUMMYFUNCTION("""COMPUTED_VALUE"""),"19.04.2021")</f>
        <v>19.04.2021</v>
      </c>
    </row>
    <row r="324" spans="1:21" ht="13" x14ac:dyDescent="0.15">
      <c r="A324" s="1" t="str">
        <f t="shared" ca="1" si="0"/>
        <v>KanyakumariManuel Orthopedic Hospital, therekaalputhoor</v>
      </c>
      <c r="B324" s="1">
        <f ca="1">IFERROR(__xludf.DUMMYFUNCTION("""COMPUTED_VALUE"""),323)</f>
        <v>323</v>
      </c>
      <c r="C324" s="1" t="str">
        <f ca="1">IFERROR(__xludf.DUMMYFUNCTION("""COMPUTED_VALUE"""),"Kanyakumari")</f>
        <v>Kanyakumari</v>
      </c>
      <c r="D324" s="1" t="str">
        <f ca="1">IFERROR(__xludf.DUMMYFUNCTION("""COMPUTED_VALUE"""),"Manuel Orthopedic Hospital, therekaalputhoor")</f>
        <v>Manuel Orthopedic Hospital, therekaalputhoor</v>
      </c>
      <c r="E324" s="1">
        <f ca="1">IFERROR(__xludf.DUMMYFUNCTION("""COMPUTED_VALUE"""),25)</f>
        <v>25</v>
      </c>
      <c r="F324" s="1">
        <f ca="1">IFERROR(__xludf.DUMMYFUNCTION("""COMPUTED_VALUE"""),0)</f>
        <v>0</v>
      </c>
      <c r="G324" s="1">
        <f ca="1">IFERROR(__xludf.DUMMYFUNCTION("""COMPUTED_VALUE"""),25)</f>
        <v>25</v>
      </c>
      <c r="H324" s="1">
        <f ca="1">IFERROR(__xludf.DUMMYFUNCTION("""COMPUTED_VALUE"""),25)</f>
        <v>25</v>
      </c>
      <c r="I324" s="1">
        <f ca="1">IFERROR(__xludf.DUMMYFUNCTION("""COMPUTED_VALUE"""),0)</f>
        <v>0</v>
      </c>
      <c r="J324" s="1">
        <f ca="1">IFERROR(__xludf.DUMMYFUNCTION("""COMPUTED_VALUE"""),25)</f>
        <v>25</v>
      </c>
      <c r="K324" s="1">
        <f ca="1">IFERROR(__xludf.DUMMYFUNCTION("""COMPUTED_VALUE"""),0)</f>
        <v>0</v>
      </c>
      <c r="L324" s="1">
        <f ca="1">IFERROR(__xludf.DUMMYFUNCTION("""COMPUTED_VALUE"""),0)</f>
        <v>0</v>
      </c>
      <c r="M324" s="1">
        <f ca="1">IFERROR(__xludf.DUMMYFUNCTION("""COMPUTED_VALUE"""),0)</f>
        <v>0</v>
      </c>
      <c r="N324" s="1">
        <f ca="1">IFERROR(__xludf.DUMMYFUNCTION("""COMPUTED_VALUE"""),5)</f>
        <v>5</v>
      </c>
      <c r="O324" s="1">
        <f ca="1">IFERROR(__xludf.DUMMYFUNCTION("""COMPUTED_VALUE"""),0)</f>
        <v>0</v>
      </c>
      <c r="P324" s="1">
        <f ca="1">IFERROR(__xludf.DUMMYFUNCTION("""COMPUTED_VALUE"""),0)</f>
        <v>0</v>
      </c>
      <c r="Q324" s="1">
        <f ca="1">IFERROR(__xludf.DUMMYFUNCTION("""COMPUTED_VALUE"""),2)</f>
        <v>2</v>
      </c>
      <c r="R324" s="1">
        <f ca="1">IFERROR(__xludf.DUMMYFUNCTION("""COMPUTED_VALUE"""),0)</f>
        <v>0</v>
      </c>
      <c r="S324" s="1">
        <f ca="1">IFERROR(__xludf.DUMMYFUNCTION("""COMPUTED_VALUE"""),2)</f>
        <v>2</v>
      </c>
      <c r="T324" s="1">
        <f ca="1">IFERROR(__xludf.DUMMYFUNCTION("""COMPUTED_VALUE"""),44305.3179050925)</f>
        <v>44305.317905092503</v>
      </c>
      <c r="U324" s="1" t="str">
        <f ca="1">IFERROR(__xludf.DUMMYFUNCTION("""COMPUTED_VALUE"""),".")</f>
        <v>.</v>
      </c>
    </row>
    <row r="325" spans="1:21" ht="13" x14ac:dyDescent="0.15">
      <c r="A325" s="1" t="str">
        <f t="shared" ca="1" si="0"/>
        <v>KanyakumariJoseph Sahayam Speciality Hospital, Nagerkoil</v>
      </c>
      <c r="B325" s="1">
        <f ca="1">IFERROR(__xludf.DUMMYFUNCTION("""COMPUTED_VALUE"""),324)</f>
        <v>324</v>
      </c>
      <c r="C325" s="1" t="str">
        <f ca="1">IFERROR(__xludf.DUMMYFUNCTION("""COMPUTED_VALUE"""),"Kanyakumari")</f>
        <v>Kanyakumari</v>
      </c>
      <c r="D325" s="1" t="str">
        <f ca="1">IFERROR(__xludf.DUMMYFUNCTION("""COMPUTED_VALUE"""),"Joseph Sahayam Speciality Hospital, Nagerkoil")</f>
        <v>Joseph Sahayam Speciality Hospital, Nagerkoil</v>
      </c>
      <c r="E325" s="1">
        <f ca="1">IFERROR(__xludf.DUMMYFUNCTION("""COMPUTED_VALUE"""),68)</f>
        <v>68</v>
      </c>
      <c r="F325" s="1">
        <f ca="1">IFERROR(__xludf.DUMMYFUNCTION("""COMPUTED_VALUE"""),1)</f>
        <v>1</v>
      </c>
      <c r="G325" s="1">
        <f ca="1">IFERROR(__xludf.DUMMYFUNCTION("""COMPUTED_VALUE"""),67)</f>
        <v>67</v>
      </c>
      <c r="H325" s="1">
        <f ca="1">IFERROR(__xludf.DUMMYFUNCTION("""COMPUTED_VALUE"""),31)</f>
        <v>31</v>
      </c>
      <c r="I325" s="1">
        <f ca="1">IFERROR(__xludf.DUMMYFUNCTION("""COMPUTED_VALUE"""),0)</f>
        <v>0</v>
      </c>
      <c r="J325" s="1">
        <f ca="1">IFERROR(__xludf.DUMMYFUNCTION("""COMPUTED_VALUE"""),31)</f>
        <v>31</v>
      </c>
      <c r="K325" s="1">
        <f ca="1">IFERROR(__xludf.DUMMYFUNCTION("""COMPUTED_VALUE"""),31)</f>
        <v>31</v>
      </c>
      <c r="L325" s="1">
        <f ca="1">IFERROR(__xludf.DUMMYFUNCTION("""COMPUTED_VALUE"""),1)</f>
        <v>1</v>
      </c>
      <c r="M325" s="1">
        <f ca="1">IFERROR(__xludf.DUMMYFUNCTION("""COMPUTED_VALUE"""),30)</f>
        <v>30</v>
      </c>
      <c r="N325" s="1">
        <f ca="1">IFERROR(__xludf.DUMMYFUNCTION("""COMPUTED_VALUE"""),6)</f>
        <v>6</v>
      </c>
      <c r="O325" s="1">
        <f ca="1">IFERROR(__xludf.DUMMYFUNCTION("""COMPUTED_VALUE"""),0)</f>
        <v>0</v>
      </c>
      <c r="P325" s="1">
        <f ca="1">IFERROR(__xludf.DUMMYFUNCTION("""COMPUTED_VALUE"""),6)</f>
        <v>6</v>
      </c>
      <c r="Q325" s="1">
        <f ca="1">IFERROR(__xludf.DUMMYFUNCTION("""COMPUTED_VALUE"""),4)</f>
        <v>4</v>
      </c>
      <c r="R325" s="1">
        <f ca="1">IFERROR(__xludf.DUMMYFUNCTION("""COMPUTED_VALUE"""),0)</f>
        <v>0</v>
      </c>
      <c r="S325" s="1">
        <f ca="1">IFERROR(__xludf.DUMMYFUNCTION("""COMPUTED_VALUE"""),4)</f>
        <v>4</v>
      </c>
      <c r="T325" s="1">
        <f ca="1">IFERROR(__xludf.DUMMYFUNCTION("""COMPUTED_VALUE"""),44305.3176157407)</f>
        <v>44305.3176157407</v>
      </c>
      <c r="U325" s="1" t="str">
        <f ca="1">IFERROR(__xludf.DUMMYFUNCTION("""COMPUTED_VALUE"""),".")</f>
        <v>.</v>
      </c>
    </row>
    <row r="326" spans="1:21" ht="13" x14ac:dyDescent="0.15">
      <c r="A326" s="1" t="str">
        <f t="shared" ca="1" si="0"/>
        <v>KanyakumariThasiah Medical centre, Marthandam</v>
      </c>
      <c r="B326" s="1">
        <f ca="1">IFERROR(__xludf.DUMMYFUNCTION("""COMPUTED_VALUE"""),325)</f>
        <v>325</v>
      </c>
      <c r="C326" s="1" t="str">
        <f ca="1">IFERROR(__xludf.DUMMYFUNCTION("""COMPUTED_VALUE"""),"Kanyakumari")</f>
        <v>Kanyakumari</v>
      </c>
      <c r="D326" s="1" t="str">
        <f ca="1">IFERROR(__xludf.DUMMYFUNCTION("""COMPUTED_VALUE"""),"Thasiah Medical centre, Marthandam")</f>
        <v>Thasiah Medical centre, Marthandam</v>
      </c>
      <c r="E326" s="1">
        <f ca="1">IFERROR(__xludf.DUMMYFUNCTION("""COMPUTED_VALUE"""),30)</f>
        <v>30</v>
      </c>
      <c r="F326" s="1">
        <f ca="1">IFERROR(__xludf.DUMMYFUNCTION("""COMPUTED_VALUE"""),1)</f>
        <v>1</v>
      </c>
      <c r="G326" s="1">
        <f ca="1">IFERROR(__xludf.DUMMYFUNCTION("""COMPUTED_VALUE"""),29)</f>
        <v>29</v>
      </c>
      <c r="H326" s="1">
        <f ca="1">IFERROR(__xludf.DUMMYFUNCTION("""COMPUTED_VALUE"""),13)</f>
        <v>13</v>
      </c>
      <c r="I326" s="1">
        <f ca="1">IFERROR(__xludf.DUMMYFUNCTION("""COMPUTED_VALUE"""),0)</f>
        <v>0</v>
      </c>
      <c r="J326" s="1">
        <f ca="1">IFERROR(__xludf.DUMMYFUNCTION("""COMPUTED_VALUE"""),13)</f>
        <v>13</v>
      </c>
      <c r="K326" s="1">
        <f ca="1">IFERROR(__xludf.DUMMYFUNCTION("""COMPUTED_VALUE"""),7)</f>
        <v>7</v>
      </c>
      <c r="L326" s="1">
        <f ca="1">IFERROR(__xludf.DUMMYFUNCTION("""COMPUTED_VALUE"""),0)</f>
        <v>0</v>
      </c>
      <c r="M326" s="1">
        <f ca="1">IFERROR(__xludf.DUMMYFUNCTION("""COMPUTED_VALUE"""),6)</f>
        <v>6</v>
      </c>
      <c r="N326" s="1">
        <f ca="1">IFERROR(__xludf.DUMMYFUNCTION("""COMPUTED_VALUE"""),10)</f>
        <v>10</v>
      </c>
      <c r="O326" s="1">
        <f ca="1">IFERROR(__xludf.DUMMYFUNCTION("""COMPUTED_VALUE"""),0)</f>
        <v>0</v>
      </c>
      <c r="P326" s="1">
        <f ca="1">IFERROR(__xludf.DUMMYFUNCTION("""COMPUTED_VALUE"""),10)</f>
        <v>10</v>
      </c>
      <c r="Q326" s="1">
        <f ca="1">IFERROR(__xludf.DUMMYFUNCTION("""COMPUTED_VALUE"""),2)</f>
        <v>2</v>
      </c>
      <c r="R326" s="1">
        <f ca="1">IFERROR(__xludf.DUMMYFUNCTION("""COMPUTED_VALUE"""),0)</f>
        <v>0</v>
      </c>
      <c r="S326" s="1">
        <f ca="1">IFERROR(__xludf.DUMMYFUNCTION("""COMPUTED_VALUE"""),2)</f>
        <v>2</v>
      </c>
      <c r="T326" s="1">
        <f ca="1">IFERROR(__xludf.DUMMYFUNCTION("""COMPUTED_VALUE"""),44305.3182638888)</f>
        <v>44305.318263888803</v>
      </c>
      <c r="U326" s="1"/>
    </row>
    <row r="327" spans="1:21" ht="13" x14ac:dyDescent="0.15">
      <c r="A327" s="1" t="str">
        <f t="shared" ca="1" si="0"/>
        <v>ThanjavurMVK Hospital, Thanjavur</v>
      </c>
      <c r="B327" s="1">
        <f ca="1">IFERROR(__xludf.DUMMYFUNCTION("""COMPUTED_VALUE"""),326)</f>
        <v>326</v>
      </c>
      <c r="C327" s="1" t="str">
        <f ca="1">IFERROR(__xludf.DUMMYFUNCTION("""COMPUTED_VALUE"""),"Thanjavur")</f>
        <v>Thanjavur</v>
      </c>
      <c r="D327" s="1" t="str">
        <f ca="1">IFERROR(__xludf.DUMMYFUNCTION("""COMPUTED_VALUE"""),"MVK Hospital, Thanjavur")</f>
        <v>MVK Hospital, Thanjavur</v>
      </c>
      <c r="E327" s="1">
        <f ca="1">IFERROR(__xludf.DUMMYFUNCTION("""COMPUTED_VALUE"""),30)</f>
        <v>30</v>
      </c>
      <c r="F327" s="1">
        <f ca="1">IFERROR(__xludf.DUMMYFUNCTION("""COMPUTED_VALUE"""),4)</f>
        <v>4</v>
      </c>
      <c r="G327" s="1">
        <f ca="1">IFERROR(__xludf.DUMMYFUNCTION("""COMPUTED_VALUE"""),26)</f>
        <v>26</v>
      </c>
      <c r="H327" s="1">
        <f ca="1">IFERROR(__xludf.DUMMYFUNCTION("""COMPUTED_VALUE"""),20)</f>
        <v>20</v>
      </c>
      <c r="I327" s="1">
        <f ca="1">IFERROR(__xludf.DUMMYFUNCTION("""COMPUTED_VALUE"""),1)</f>
        <v>1</v>
      </c>
      <c r="J327" s="1">
        <f ca="1">IFERROR(__xludf.DUMMYFUNCTION("""COMPUTED_VALUE"""),18)</f>
        <v>18</v>
      </c>
      <c r="K327" s="1">
        <f ca="1">IFERROR(__xludf.DUMMYFUNCTION("""COMPUTED_VALUE"""),3)</f>
        <v>3</v>
      </c>
      <c r="L327" s="1">
        <f ca="1">IFERROR(__xludf.DUMMYFUNCTION("""COMPUTED_VALUE"""),0)</f>
        <v>0</v>
      </c>
      <c r="M327" s="1">
        <f ca="1">IFERROR(__xludf.DUMMYFUNCTION("""COMPUTED_VALUE"""),0)</f>
        <v>0</v>
      </c>
      <c r="N327" s="1">
        <f ca="1">IFERROR(__xludf.DUMMYFUNCTION("""COMPUTED_VALUE"""),10)</f>
        <v>10</v>
      </c>
      <c r="O327" s="1">
        <f ca="1">IFERROR(__xludf.DUMMYFUNCTION("""COMPUTED_VALUE"""),0)</f>
        <v>0</v>
      </c>
      <c r="P327" s="1">
        <f ca="1">IFERROR(__xludf.DUMMYFUNCTION("""COMPUTED_VALUE"""),10)</f>
        <v>10</v>
      </c>
      <c r="Q327" s="1">
        <f ca="1">IFERROR(__xludf.DUMMYFUNCTION("""COMPUTED_VALUE"""),2)</f>
        <v>2</v>
      </c>
      <c r="R327" s="1">
        <f ca="1">IFERROR(__xludf.DUMMYFUNCTION("""COMPUTED_VALUE"""),0)</f>
        <v>0</v>
      </c>
      <c r="S327" s="1">
        <f ca="1">IFERROR(__xludf.DUMMYFUNCTION("""COMPUTED_VALUE"""),2)</f>
        <v>2</v>
      </c>
      <c r="T327" s="1">
        <f ca="1">IFERROR(__xludf.DUMMYFUNCTION("""COMPUTED_VALUE"""),44305.2498263888)</f>
        <v>44305.249826388797</v>
      </c>
      <c r="U327" s="1" t="str">
        <f ca="1">IFERROR(__xludf.DUMMYFUNCTION("""COMPUTED_VALUE"""),"patients all are stable")</f>
        <v>patients all are stable</v>
      </c>
    </row>
    <row r="328" spans="1:21" ht="13" x14ac:dyDescent="0.15">
      <c r="A328" s="1" t="str">
        <f t="shared" ca="1" si="0"/>
        <v>ThanjavurVinodhagan Memorial Hospital</v>
      </c>
      <c r="B328" s="1">
        <f ca="1">IFERROR(__xludf.DUMMYFUNCTION("""COMPUTED_VALUE"""),327)</f>
        <v>327</v>
      </c>
      <c r="C328" s="1" t="str">
        <f ca="1">IFERROR(__xludf.DUMMYFUNCTION("""COMPUTED_VALUE"""),"Thanjavur")</f>
        <v>Thanjavur</v>
      </c>
      <c r="D328" s="1" t="str">
        <f ca="1">IFERROR(__xludf.DUMMYFUNCTION("""COMPUTED_VALUE"""),"Vinodhagan Memorial Hospital")</f>
        <v>Vinodhagan Memorial Hospital</v>
      </c>
      <c r="E328" s="1">
        <f ca="1">IFERROR(__xludf.DUMMYFUNCTION("""COMPUTED_VALUE"""),35)</f>
        <v>35</v>
      </c>
      <c r="F328" s="1">
        <f ca="1">IFERROR(__xludf.DUMMYFUNCTION("""COMPUTED_VALUE"""),23)</f>
        <v>23</v>
      </c>
      <c r="G328" s="1">
        <f ca="1">IFERROR(__xludf.DUMMYFUNCTION("""COMPUTED_VALUE"""),15)</f>
        <v>15</v>
      </c>
      <c r="H328" s="1">
        <f ca="1">IFERROR(__xludf.DUMMYFUNCTION("""COMPUTED_VALUE"""),15)</f>
        <v>15</v>
      </c>
      <c r="I328" s="1">
        <f ca="1">IFERROR(__xludf.DUMMYFUNCTION("""COMPUTED_VALUE"""),8)</f>
        <v>8</v>
      </c>
      <c r="J328" s="1">
        <f ca="1">IFERROR(__xludf.DUMMYFUNCTION("""COMPUTED_VALUE"""),7)</f>
        <v>7</v>
      </c>
      <c r="K328" s="1">
        <f ca="1">IFERROR(__xludf.DUMMYFUNCTION("""COMPUTED_VALUE"""),20)</f>
        <v>20</v>
      </c>
      <c r="L328" s="1">
        <f ca="1">IFERROR(__xludf.DUMMYFUNCTION("""COMPUTED_VALUE"""),15)</f>
        <v>15</v>
      </c>
      <c r="M328" s="1">
        <f ca="1">IFERROR(__xludf.DUMMYFUNCTION("""COMPUTED_VALUE"""),5)</f>
        <v>5</v>
      </c>
      <c r="N328" s="1">
        <f ca="1">IFERROR(__xludf.DUMMYFUNCTION("""COMPUTED_VALUE"""),5)</f>
        <v>5</v>
      </c>
      <c r="O328" s="1">
        <f ca="1">IFERROR(__xludf.DUMMYFUNCTION("""COMPUTED_VALUE"""),0)</f>
        <v>0</v>
      </c>
      <c r="P328" s="1">
        <f ca="1">IFERROR(__xludf.DUMMYFUNCTION("""COMPUTED_VALUE"""),5)</f>
        <v>5</v>
      </c>
      <c r="Q328" s="1">
        <f ca="1">IFERROR(__xludf.DUMMYFUNCTION("""COMPUTED_VALUE"""),2)</f>
        <v>2</v>
      </c>
      <c r="R328" s="1">
        <f ca="1">IFERROR(__xludf.DUMMYFUNCTION("""COMPUTED_VALUE"""),0)</f>
        <v>0</v>
      </c>
      <c r="S328" s="1">
        <f ca="1">IFERROR(__xludf.DUMMYFUNCTION("""COMPUTED_VALUE"""),2)</f>
        <v>2</v>
      </c>
      <c r="T328" s="1">
        <f ca="1">IFERROR(__xludf.DUMMYFUNCTION("""COMPUTED_VALUE"""),44305.3353935185)</f>
        <v>44305.3353935185</v>
      </c>
      <c r="U328" s="1" t="str">
        <f ca="1">IFERROR(__xludf.DUMMYFUNCTION("""COMPUTED_VALUE"""),"Updated 19.04.2021")</f>
        <v>Updated 19.04.2021</v>
      </c>
    </row>
    <row r="329" spans="1:21" ht="13" x14ac:dyDescent="0.15">
      <c r="A329" s="1" t="str">
        <f t="shared" ca="1" si="0"/>
        <v>CoimbatoreChennai Hospitals Pvt Ltd, Gandhipuram</v>
      </c>
      <c r="B329" s="1">
        <f ca="1">IFERROR(__xludf.DUMMYFUNCTION("""COMPUTED_VALUE"""),328)</f>
        <v>328</v>
      </c>
      <c r="C329" s="1" t="str">
        <f ca="1">IFERROR(__xludf.DUMMYFUNCTION("""COMPUTED_VALUE"""),"Coimbatore")</f>
        <v>Coimbatore</v>
      </c>
      <c r="D329" s="1" t="str">
        <f ca="1">IFERROR(__xludf.DUMMYFUNCTION("""COMPUTED_VALUE"""),"Chennai Hospitals Pvt Ltd, Gandhipuram")</f>
        <v>Chennai Hospitals Pvt Ltd, Gandhipuram</v>
      </c>
      <c r="E329" s="1">
        <f ca="1">IFERROR(__xludf.DUMMYFUNCTION("""COMPUTED_VALUE"""),37)</f>
        <v>37</v>
      </c>
      <c r="F329" s="1">
        <f ca="1">IFERROR(__xludf.DUMMYFUNCTION("""COMPUTED_VALUE"""),0)</f>
        <v>0</v>
      </c>
      <c r="G329" s="1">
        <f ca="1">IFERROR(__xludf.DUMMYFUNCTION("""COMPUTED_VALUE"""),37)</f>
        <v>37</v>
      </c>
      <c r="H329" s="1">
        <f ca="1">IFERROR(__xludf.DUMMYFUNCTION("""COMPUTED_VALUE"""),37)</f>
        <v>37</v>
      </c>
      <c r="I329" s="1">
        <f ca="1">IFERROR(__xludf.DUMMYFUNCTION("""COMPUTED_VALUE"""),0)</f>
        <v>0</v>
      </c>
      <c r="J329" s="1">
        <f ca="1">IFERROR(__xludf.DUMMYFUNCTION("""COMPUTED_VALUE"""),37)</f>
        <v>37</v>
      </c>
      <c r="K329" s="1">
        <f ca="1">IFERROR(__xludf.DUMMYFUNCTION("""COMPUTED_VALUE"""),0)</f>
        <v>0</v>
      </c>
      <c r="L329" s="1">
        <f ca="1">IFERROR(__xludf.DUMMYFUNCTION("""COMPUTED_VALUE"""),0)</f>
        <v>0</v>
      </c>
      <c r="M329" s="1">
        <f ca="1">IFERROR(__xludf.DUMMYFUNCTION("""COMPUTED_VALUE"""),0)</f>
        <v>0</v>
      </c>
      <c r="N329" s="1">
        <f ca="1">IFERROR(__xludf.DUMMYFUNCTION("""COMPUTED_VALUE"""),7)</f>
        <v>7</v>
      </c>
      <c r="O329" s="1">
        <f ca="1">IFERROR(__xludf.DUMMYFUNCTION("""COMPUTED_VALUE"""),0)</f>
        <v>0</v>
      </c>
      <c r="P329" s="1">
        <f ca="1">IFERROR(__xludf.DUMMYFUNCTION("""COMPUTED_VALUE"""),7)</f>
        <v>7</v>
      </c>
      <c r="Q329" s="1">
        <f ca="1">IFERROR(__xludf.DUMMYFUNCTION("""COMPUTED_VALUE"""),0)</f>
        <v>0</v>
      </c>
      <c r="R329" s="1">
        <f ca="1">IFERROR(__xludf.DUMMYFUNCTION("""COMPUTED_VALUE"""),0)</f>
        <v>0</v>
      </c>
      <c r="S329" s="1">
        <f ca="1">IFERROR(__xludf.DUMMYFUNCTION("""COMPUTED_VALUE"""),0)</f>
        <v>0</v>
      </c>
      <c r="T329" s="1">
        <f ca="1">IFERROR(__xludf.DUMMYFUNCTION("""COMPUTED_VALUE"""),44175.3810879629)</f>
        <v>44175.381087962902</v>
      </c>
      <c r="U329" s="1" t="str">
        <f ca="1">IFERROR(__xludf.DUMMYFUNCTION("""COMPUTED_VALUE"""),"Report Submitted 10.12.2020")</f>
        <v>Report Submitted 10.12.2020</v>
      </c>
    </row>
    <row r="330" spans="1:21" ht="13" x14ac:dyDescent="0.15">
      <c r="A330" s="1" t="str">
        <f t="shared" ca="1" si="0"/>
        <v>CoimbatoreCSR Nursing Home, Gandhipuram</v>
      </c>
      <c r="B330" s="1">
        <f ca="1">IFERROR(__xludf.DUMMYFUNCTION("""COMPUTED_VALUE"""),329)</f>
        <v>329</v>
      </c>
      <c r="C330" s="1" t="str">
        <f ca="1">IFERROR(__xludf.DUMMYFUNCTION("""COMPUTED_VALUE"""),"Coimbatore")</f>
        <v>Coimbatore</v>
      </c>
      <c r="D330" s="1" t="str">
        <f ca="1">IFERROR(__xludf.DUMMYFUNCTION("""COMPUTED_VALUE"""),"CSR Nursing Home, Gandhipuram")</f>
        <v>CSR Nursing Home, Gandhipuram</v>
      </c>
      <c r="E330" s="1">
        <f ca="1">IFERROR(__xludf.DUMMYFUNCTION("""COMPUTED_VALUE"""),28)</f>
        <v>28</v>
      </c>
      <c r="F330" s="1">
        <f ca="1">IFERROR(__xludf.DUMMYFUNCTION("""COMPUTED_VALUE"""),27)</f>
        <v>27</v>
      </c>
      <c r="G330" s="1">
        <f ca="1">IFERROR(__xludf.DUMMYFUNCTION("""COMPUTED_VALUE"""),1)</f>
        <v>1</v>
      </c>
      <c r="H330" s="1">
        <f ca="1">IFERROR(__xludf.DUMMYFUNCTION("""COMPUTED_VALUE"""),14)</f>
        <v>14</v>
      </c>
      <c r="I330" s="1">
        <f ca="1">IFERROR(__xludf.DUMMYFUNCTION("""COMPUTED_VALUE"""),13)</f>
        <v>13</v>
      </c>
      <c r="J330" s="1">
        <f ca="1">IFERROR(__xludf.DUMMYFUNCTION("""COMPUTED_VALUE"""),1)</f>
        <v>1</v>
      </c>
      <c r="K330" s="1">
        <f ca="1">IFERROR(__xludf.DUMMYFUNCTION("""COMPUTED_VALUE"""),14)</f>
        <v>14</v>
      </c>
      <c r="L330" s="1">
        <f ca="1">IFERROR(__xludf.DUMMYFUNCTION("""COMPUTED_VALUE"""),14)</f>
        <v>14</v>
      </c>
      <c r="M330" s="1">
        <f ca="1">IFERROR(__xludf.DUMMYFUNCTION("""COMPUTED_VALUE"""),0)</f>
        <v>0</v>
      </c>
      <c r="N330" s="1">
        <f ca="1">IFERROR(__xludf.DUMMYFUNCTION("""COMPUTED_VALUE"""),1)</f>
        <v>1</v>
      </c>
      <c r="O330" s="1">
        <f ca="1">IFERROR(__xludf.DUMMYFUNCTION("""COMPUTED_VALUE"""),0)</f>
        <v>0</v>
      </c>
      <c r="P330" s="1">
        <f ca="1">IFERROR(__xludf.DUMMYFUNCTION("""COMPUTED_VALUE"""),1)</f>
        <v>1</v>
      </c>
      <c r="Q330" s="1">
        <f ca="1">IFERROR(__xludf.DUMMYFUNCTION("""COMPUTED_VALUE"""),1)</f>
        <v>1</v>
      </c>
      <c r="R330" s="1">
        <f ca="1">IFERROR(__xludf.DUMMYFUNCTION("""COMPUTED_VALUE"""),0)</f>
        <v>0</v>
      </c>
      <c r="S330" s="1">
        <f ca="1">IFERROR(__xludf.DUMMYFUNCTION("""COMPUTED_VALUE"""),1)</f>
        <v>1</v>
      </c>
      <c r="T330" s="1">
        <f ca="1">IFERROR(__xludf.DUMMYFUNCTION("""COMPUTED_VALUE"""),44305.4321412037)</f>
        <v>44305.432141203702</v>
      </c>
      <c r="U330" s="1" t="str">
        <f ca="1">IFERROR(__xludf.DUMMYFUNCTION("""COMPUTED_VALUE"""),"CSR COVID CARE CENTER")</f>
        <v>CSR COVID CARE CENTER</v>
      </c>
    </row>
    <row r="331" spans="1:21" ht="13" x14ac:dyDescent="0.15">
      <c r="A331" s="1" t="str">
        <f t="shared" ca="1" si="0"/>
        <v>CoimbatoreDr.Muthus Hospital, Saravanampatti</v>
      </c>
      <c r="B331" s="1">
        <f ca="1">IFERROR(__xludf.DUMMYFUNCTION("""COMPUTED_VALUE"""),330)</f>
        <v>330</v>
      </c>
      <c r="C331" s="1" t="str">
        <f ca="1">IFERROR(__xludf.DUMMYFUNCTION("""COMPUTED_VALUE"""),"Coimbatore")</f>
        <v>Coimbatore</v>
      </c>
      <c r="D331" s="1" t="str">
        <f ca="1">IFERROR(__xludf.DUMMYFUNCTION("""COMPUTED_VALUE"""),"Dr.Muthus Hospital, Saravanampatti")</f>
        <v>Dr.Muthus Hospital, Saravanampatti</v>
      </c>
      <c r="E331" s="1">
        <f ca="1">IFERROR(__xludf.DUMMYFUNCTION("""COMPUTED_VALUE"""),100)</f>
        <v>100</v>
      </c>
      <c r="F331" s="1">
        <f ca="1">IFERROR(__xludf.DUMMYFUNCTION("""COMPUTED_VALUE"""),61)</f>
        <v>61</v>
      </c>
      <c r="G331" s="1">
        <f ca="1">IFERROR(__xludf.DUMMYFUNCTION("""COMPUTED_VALUE"""),39)</f>
        <v>39</v>
      </c>
      <c r="H331" s="1">
        <f ca="1">IFERROR(__xludf.DUMMYFUNCTION("""COMPUTED_VALUE"""),20)</f>
        <v>20</v>
      </c>
      <c r="I331" s="1">
        <f ca="1">IFERROR(__xludf.DUMMYFUNCTION("""COMPUTED_VALUE"""),0)</f>
        <v>0</v>
      </c>
      <c r="J331" s="1">
        <f ca="1">IFERROR(__xludf.DUMMYFUNCTION("""COMPUTED_VALUE"""),20)</f>
        <v>20</v>
      </c>
      <c r="K331" s="1">
        <f ca="1">IFERROR(__xludf.DUMMYFUNCTION("""COMPUTED_VALUE"""),80)</f>
        <v>80</v>
      </c>
      <c r="L331" s="1">
        <f ca="1">IFERROR(__xludf.DUMMYFUNCTION("""COMPUTED_VALUE"""),61)</f>
        <v>61</v>
      </c>
      <c r="M331" s="1">
        <f ca="1">IFERROR(__xludf.DUMMYFUNCTION("""COMPUTED_VALUE"""),19)</f>
        <v>19</v>
      </c>
      <c r="N331" s="1">
        <f ca="1">IFERROR(__xludf.DUMMYFUNCTION("""COMPUTED_VALUE"""),20)</f>
        <v>20</v>
      </c>
      <c r="O331" s="1">
        <f ca="1">IFERROR(__xludf.DUMMYFUNCTION("""COMPUTED_VALUE"""),11)</f>
        <v>11</v>
      </c>
      <c r="P331" s="1">
        <f ca="1">IFERROR(__xludf.DUMMYFUNCTION("""COMPUTED_VALUE"""),9)</f>
        <v>9</v>
      </c>
      <c r="Q331" s="1">
        <f ca="1">IFERROR(__xludf.DUMMYFUNCTION("""COMPUTED_VALUE"""),15)</f>
        <v>15</v>
      </c>
      <c r="R331" s="1">
        <f ca="1">IFERROR(__xludf.DUMMYFUNCTION("""COMPUTED_VALUE"""),5)</f>
        <v>5</v>
      </c>
      <c r="S331" s="1">
        <f ca="1">IFERROR(__xludf.DUMMYFUNCTION("""COMPUTED_VALUE"""),10)</f>
        <v>10</v>
      </c>
      <c r="T331" s="1">
        <f ca="1">IFERROR(__xludf.DUMMYFUNCTION("""COMPUTED_VALUE"""),44305.400636574)</f>
        <v>44305.400636573999</v>
      </c>
      <c r="U331" s="1" t="str">
        <f ca="1">IFERROR(__xludf.DUMMYFUNCTION("""COMPUTED_VALUE"""),"19.04.2021")</f>
        <v>19.04.2021</v>
      </c>
    </row>
    <row r="332" spans="1:21" ht="13" x14ac:dyDescent="0.15">
      <c r="A332" s="1" t="str">
        <f t="shared" ca="1" si="0"/>
        <v>CoimbatoreFIMS Hospital, Sundarapuram</v>
      </c>
      <c r="B332" s="1">
        <f ca="1">IFERROR(__xludf.DUMMYFUNCTION("""COMPUTED_VALUE"""),331)</f>
        <v>331</v>
      </c>
      <c r="C332" s="1" t="str">
        <f ca="1">IFERROR(__xludf.DUMMYFUNCTION("""COMPUTED_VALUE"""),"Coimbatore")</f>
        <v>Coimbatore</v>
      </c>
      <c r="D332" s="1" t="str">
        <f ca="1">IFERROR(__xludf.DUMMYFUNCTION("""COMPUTED_VALUE"""),"FIMS Hospital, Sundarapuram")</f>
        <v>FIMS Hospital, Sundarapuram</v>
      </c>
      <c r="E332" s="1">
        <f ca="1">IFERROR(__xludf.DUMMYFUNCTION("""COMPUTED_VALUE"""),30)</f>
        <v>30</v>
      </c>
      <c r="F332" s="1">
        <f ca="1">IFERROR(__xludf.DUMMYFUNCTION("""COMPUTED_VALUE"""),28)</f>
        <v>28</v>
      </c>
      <c r="G332" s="1">
        <f ca="1">IFERROR(__xludf.DUMMYFUNCTION("""COMPUTED_VALUE"""),2)</f>
        <v>2</v>
      </c>
      <c r="H332" s="1">
        <f ca="1">IFERROR(__xludf.DUMMYFUNCTION("""COMPUTED_VALUE"""),30)</f>
        <v>30</v>
      </c>
      <c r="I332" s="1">
        <f ca="1">IFERROR(__xludf.DUMMYFUNCTION("""COMPUTED_VALUE"""),28)</f>
        <v>28</v>
      </c>
      <c r="J332" s="1">
        <f ca="1">IFERROR(__xludf.DUMMYFUNCTION("""COMPUTED_VALUE"""),2)</f>
        <v>2</v>
      </c>
      <c r="K332" s="1">
        <f ca="1">IFERROR(__xludf.DUMMYFUNCTION("""COMPUTED_VALUE"""),0)</f>
        <v>0</v>
      </c>
      <c r="L332" s="1">
        <f ca="1">IFERROR(__xludf.DUMMYFUNCTION("""COMPUTED_VALUE"""),0)</f>
        <v>0</v>
      </c>
      <c r="M332" s="1">
        <f ca="1">IFERROR(__xludf.DUMMYFUNCTION("""COMPUTED_VALUE"""),0)</f>
        <v>0</v>
      </c>
      <c r="N332" s="1">
        <f ca="1">IFERROR(__xludf.DUMMYFUNCTION("""COMPUTED_VALUE"""),4)</f>
        <v>4</v>
      </c>
      <c r="O332" s="1">
        <f ca="1">IFERROR(__xludf.DUMMYFUNCTION("""COMPUTED_VALUE"""),3)</f>
        <v>3</v>
      </c>
      <c r="P332" s="1">
        <f ca="1">IFERROR(__xludf.DUMMYFUNCTION("""COMPUTED_VALUE"""),1)</f>
        <v>1</v>
      </c>
      <c r="Q332" s="1">
        <f ca="1">IFERROR(__xludf.DUMMYFUNCTION("""COMPUTED_VALUE"""),3)</f>
        <v>3</v>
      </c>
      <c r="R332" s="1">
        <f ca="1">IFERROR(__xludf.DUMMYFUNCTION("""COMPUTED_VALUE"""),0)</f>
        <v>0</v>
      </c>
      <c r="S332" s="1">
        <f ca="1">IFERROR(__xludf.DUMMYFUNCTION("""COMPUTED_VALUE"""),3)</f>
        <v>3</v>
      </c>
      <c r="T332" s="1">
        <f ca="1">IFERROR(__xludf.DUMMYFUNCTION("""COMPUTED_VALUE"""),44305.3938078703)</f>
        <v>44305.393807870299</v>
      </c>
      <c r="U332" s="1" t="str">
        <f ca="1">IFERROR(__xludf.DUMMYFUNCTION("""COMPUTED_VALUE"""),"25 with O2 3 in ICU")</f>
        <v>25 with O2 3 in ICU</v>
      </c>
    </row>
    <row r="333" spans="1:21" ht="13" x14ac:dyDescent="0.15">
      <c r="A333" s="1" t="str">
        <f t="shared" ca="1" si="0"/>
        <v>CoimbatoreK.Govindhasamy Memorial Annex Hospital, Saravanampatti</v>
      </c>
      <c r="B333" s="1">
        <f ca="1">IFERROR(__xludf.DUMMYFUNCTION("""COMPUTED_VALUE"""),332)</f>
        <v>332</v>
      </c>
      <c r="C333" s="1" t="str">
        <f ca="1">IFERROR(__xludf.DUMMYFUNCTION("""COMPUTED_VALUE"""),"Coimbatore")</f>
        <v>Coimbatore</v>
      </c>
      <c r="D333" s="1" t="str">
        <f ca="1">IFERROR(__xludf.DUMMYFUNCTION("""COMPUTED_VALUE"""),"K.Govindhasamy Memorial Annex Hospital, Saravanampatti")</f>
        <v>K.Govindhasamy Memorial Annex Hospital, Saravanampatti</v>
      </c>
      <c r="E333" s="1">
        <f ca="1">IFERROR(__xludf.DUMMYFUNCTION("""COMPUTED_VALUE"""),110)</f>
        <v>110</v>
      </c>
      <c r="F333" s="1">
        <f ca="1">IFERROR(__xludf.DUMMYFUNCTION("""COMPUTED_VALUE"""),106)</f>
        <v>106</v>
      </c>
      <c r="G333" s="1">
        <f ca="1">IFERROR(__xludf.DUMMYFUNCTION("""COMPUTED_VALUE"""),14)</f>
        <v>14</v>
      </c>
      <c r="H333" s="1">
        <f ca="1">IFERROR(__xludf.DUMMYFUNCTION("""COMPUTED_VALUE"""),110)</f>
        <v>110</v>
      </c>
      <c r="I333" s="1">
        <f ca="1">IFERROR(__xludf.DUMMYFUNCTION("""COMPUTED_VALUE"""),106)</f>
        <v>106</v>
      </c>
      <c r="J333" s="1">
        <f ca="1">IFERROR(__xludf.DUMMYFUNCTION("""COMPUTED_VALUE"""),14)</f>
        <v>14</v>
      </c>
      <c r="K333" s="1">
        <f ca="1">IFERROR(__xludf.DUMMYFUNCTION("""COMPUTED_VALUE"""),0)</f>
        <v>0</v>
      </c>
      <c r="L333" s="1">
        <f ca="1">IFERROR(__xludf.DUMMYFUNCTION("""COMPUTED_VALUE"""),0)</f>
        <v>0</v>
      </c>
      <c r="M333" s="1">
        <f ca="1">IFERROR(__xludf.DUMMYFUNCTION("""COMPUTED_VALUE"""),0)</f>
        <v>0</v>
      </c>
      <c r="N333" s="1">
        <f ca="1">IFERROR(__xludf.DUMMYFUNCTION("""COMPUTED_VALUE"""),3)</f>
        <v>3</v>
      </c>
      <c r="O333" s="1">
        <f ca="1">IFERROR(__xludf.DUMMYFUNCTION("""COMPUTED_VALUE"""),0)</f>
        <v>0</v>
      </c>
      <c r="P333" s="1">
        <f ca="1">IFERROR(__xludf.DUMMYFUNCTION("""COMPUTED_VALUE"""),3)</f>
        <v>3</v>
      </c>
      <c r="Q333" s="1">
        <f ca="1">IFERROR(__xludf.DUMMYFUNCTION("""COMPUTED_VALUE"""),3)</f>
        <v>3</v>
      </c>
      <c r="R333" s="1">
        <f ca="1">IFERROR(__xludf.DUMMYFUNCTION("""COMPUTED_VALUE"""),0)</f>
        <v>0</v>
      </c>
      <c r="S333" s="1">
        <f ca="1">IFERROR(__xludf.DUMMYFUNCTION("""COMPUTED_VALUE"""),3)</f>
        <v>3</v>
      </c>
      <c r="T333" s="1">
        <f ca="1">IFERROR(__xludf.DUMMYFUNCTION("""COMPUTED_VALUE"""),44305.4759953703)</f>
        <v>44305.475995370303</v>
      </c>
      <c r="U333" s="1" t="str">
        <f ca="1">IFERROR(__xludf.DUMMYFUNCTION("""COMPUTED_VALUE"""),"KG Hospital Saravanampatti")</f>
        <v>KG Hospital Saravanampatti</v>
      </c>
    </row>
    <row r="334" spans="1:21" ht="13" x14ac:dyDescent="0.15">
      <c r="A334" s="1" t="str">
        <f t="shared" ca="1" si="0"/>
        <v>CoimbatoreKalpana Medical Centre Pvt Ltd, Kavundampalayam</v>
      </c>
      <c r="B334" s="1">
        <f ca="1">IFERROR(__xludf.DUMMYFUNCTION("""COMPUTED_VALUE"""),333)</f>
        <v>333</v>
      </c>
      <c r="C334" s="1" t="str">
        <f ca="1">IFERROR(__xludf.DUMMYFUNCTION("""COMPUTED_VALUE"""),"Coimbatore")</f>
        <v>Coimbatore</v>
      </c>
      <c r="D334" s="1" t="str">
        <f ca="1">IFERROR(__xludf.DUMMYFUNCTION("""COMPUTED_VALUE"""),"Kalpana Medical Centre Pvt Ltd, Kavundampalayam")</f>
        <v>Kalpana Medical Centre Pvt Ltd, Kavundampalayam</v>
      </c>
      <c r="E334" s="1">
        <f ca="1">IFERROR(__xludf.DUMMYFUNCTION("""COMPUTED_VALUE"""),40)</f>
        <v>40</v>
      </c>
      <c r="F334" s="1">
        <f ca="1">IFERROR(__xludf.DUMMYFUNCTION("""COMPUTED_VALUE"""),20)</f>
        <v>20</v>
      </c>
      <c r="G334" s="1">
        <f ca="1">IFERROR(__xludf.DUMMYFUNCTION("""COMPUTED_VALUE"""),20)</f>
        <v>20</v>
      </c>
      <c r="H334" s="1">
        <f ca="1">IFERROR(__xludf.DUMMYFUNCTION("""COMPUTED_VALUE"""),40)</f>
        <v>40</v>
      </c>
      <c r="I334" s="1">
        <f ca="1">IFERROR(__xludf.DUMMYFUNCTION("""COMPUTED_VALUE"""),20)</f>
        <v>20</v>
      </c>
      <c r="J334" s="1">
        <f ca="1">IFERROR(__xludf.DUMMYFUNCTION("""COMPUTED_VALUE"""),20)</f>
        <v>20</v>
      </c>
      <c r="K334" s="1">
        <f ca="1">IFERROR(__xludf.DUMMYFUNCTION("""COMPUTED_VALUE"""),0)</f>
        <v>0</v>
      </c>
      <c r="L334" s="1">
        <f ca="1">IFERROR(__xludf.DUMMYFUNCTION("""COMPUTED_VALUE"""),0)</f>
        <v>0</v>
      </c>
      <c r="M334" s="1">
        <f ca="1">IFERROR(__xludf.DUMMYFUNCTION("""COMPUTED_VALUE"""),0)</f>
        <v>0</v>
      </c>
      <c r="N334" s="1">
        <f ca="1">IFERROR(__xludf.DUMMYFUNCTION("""COMPUTED_VALUE"""),2)</f>
        <v>2</v>
      </c>
      <c r="O334" s="1">
        <f ca="1">IFERROR(__xludf.DUMMYFUNCTION("""COMPUTED_VALUE"""),0)</f>
        <v>0</v>
      </c>
      <c r="P334" s="1">
        <f ca="1">IFERROR(__xludf.DUMMYFUNCTION("""COMPUTED_VALUE"""),2)</f>
        <v>2</v>
      </c>
      <c r="Q334" s="1">
        <f ca="1">IFERROR(__xludf.DUMMYFUNCTION("""COMPUTED_VALUE"""),2)</f>
        <v>2</v>
      </c>
      <c r="R334" s="1">
        <f ca="1">IFERROR(__xludf.DUMMYFUNCTION("""COMPUTED_VALUE"""),0)</f>
        <v>0</v>
      </c>
      <c r="S334" s="1">
        <f ca="1">IFERROR(__xludf.DUMMYFUNCTION("""COMPUTED_VALUE"""),2)</f>
        <v>2</v>
      </c>
      <c r="T334" s="1">
        <f ca="1">IFERROR(__xludf.DUMMYFUNCTION("""COMPUTED_VALUE"""),44305.3271064814)</f>
        <v>44305.327106481403</v>
      </c>
      <c r="U334" s="1" t="str">
        <f ca="1">IFERROR(__xludf.DUMMYFUNCTION("""COMPUTED_VALUE"""),"19. 04. 2021 Updated")</f>
        <v>19. 04. 2021 Updated</v>
      </c>
    </row>
    <row r="335" spans="1:21" ht="13" x14ac:dyDescent="0.15">
      <c r="A335" s="1" t="str">
        <f t="shared" ca="1" si="0"/>
        <v>CoimbatoreKumaran Medical Centre, Kurumbapalayam</v>
      </c>
      <c r="B335" s="1">
        <f ca="1">IFERROR(__xludf.DUMMYFUNCTION("""COMPUTED_VALUE"""),334)</f>
        <v>334</v>
      </c>
      <c r="C335" s="1" t="str">
        <f ca="1">IFERROR(__xludf.DUMMYFUNCTION("""COMPUTED_VALUE"""),"Coimbatore")</f>
        <v>Coimbatore</v>
      </c>
      <c r="D335" s="1" t="str">
        <f ca="1">IFERROR(__xludf.DUMMYFUNCTION("""COMPUTED_VALUE"""),"Kumaran Medical Centre, Kurumbapalayam")</f>
        <v>Kumaran Medical Centre, Kurumbapalayam</v>
      </c>
      <c r="E335" s="1">
        <f ca="1">IFERROR(__xludf.DUMMYFUNCTION("""COMPUTED_VALUE"""),40)</f>
        <v>40</v>
      </c>
      <c r="F335" s="1">
        <f ca="1">IFERROR(__xludf.DUMMYFUNCTION("""COMPUTED_VALUE"""),40)</f>
        <v>40</v>
      </c>
      <c r="G335" s="1">
        <f ca="1">IFERROR(__xludf.DUMMYFUNCTION("""COMPUTED_VALUE"""),0)</f>
        <v>0</v>
      </c>
      <c r="H335" s="1">
        <f ca="1">IFERROR(__xludf.DUMMYFUNCTION("""COMPUTED_VALUE"""),15)</f>
        <v>15</v>
      </c>
      <c r="I335" s="1">
        <f ca="1">IFERROR(__xludf.DUMMYFUNCTION("""COMPUTED_VALUE"""),15)</f>
        <v>15</v>
      </c>
      <c r="J335" s="1">
        <f ca="1">IFERROR(__xludf.DUMMYFUNCTION("""COMPUTED_VALUE"""),0)</f>
        <v>0</v>
      </c>
      <c r="K335" s="1">
        <f ca="1">IFERROR(__xludf.DUMMYFUNCTION("""COMPUTED_VALUE"""),20)</f>
        <v>20</v>
      </c>
      <c r="L335" s="1">
        <f ca="1">IFERROR(__xludf.DUMMYFUNCTION("""COMPUTED_VALUE"""),20)</f>
        <v>20</v>
      </c>
      <c r="M335" s="1">
        <f ca="1">IFERROR(__xludf.DUMMYFUNCTION("""COMPUTED_VALUE"""),0)</f>
        <v>0</v>
      </c>
      <c r="N335" s="1">
        <f ca="1">IFERROR(__xludf.DUMMYFUNCTION("""COMPUTED_VALUE"""),5)</f>
        <v>5</v>
      </c>
      <c r="O335" s="1">
        <f ca="1">IFERROR(__xludf.DUMMYFUNCTION("""COMPUTED_VALUE"""),5)</f>
        <v>5</v>
      </c>
      <c r="P335" s="1">
        <f ca="1">IFERROR(__xludf.DUMMYFUNCTION("""COMPUTED_VALUE"""),0)</f>
        <v>0</v>
      </c>
      <c r="Q335" s="1">
        <f ca="1">IFERROR(__xludf.DUMMYFUNCTION("""COMPUTED_VALUE"""),4)</f>
        <v>4</v>
      </c>
      <c r="R335" s="1">
        <f ca="1">IFERROR(__xludf.DUMMYFUNCTION("""COMPUTED_VALUE"""),3)</f>
        <v>3</v>
      </c>
      <c r="S335" s="1">
        <f ca="1">IFERROR(__xludf.DUMMYFUNCTION("""COMPUTED_VALUE"""),1)</f>
        <v>1</v>
      </c>
      <c r="T335" s="1">
        <f ca="1">IFERROR(__xludf.DUMMYFUNCTION("""COMPUTED_VALUE"""),44305.4132291666)</f>
        <v>44305.413229166603</v>
      </c>
      <c r="U335" s="1" t="str">
        <f ca="1">IFERROR(__xludf.DUMMYFUNCTION("""COMPUTED_VALUE"""),"19.4.2021")</f>
        <v>19.4.2021</v>
      </c>
    </row>
    <row r="336" spans="1:21" ht="13" x14ac:dyDescent="0.15">
      <c r="A336" s="1" t="str">
        <f t="shared" ca="1" si="0"/>
        <v>CoimbatoreNG Hospital Pvt Ltd &amp; Research Centre, Singanallur</v>
      </c>
      <c r="B336" s="1">
        <f ca="1">IFERROR(__xludf.DUMMYFUNCTION("""COMPUTED_VALUE"""),335)</f>
        <v>335</v>
      </c>
      <c r="C336" s="1" t="str">
        <f ca="1">IFERROR(__xludf.DUMMYFUNCTION("""COMPUTED_VALUE"""),"Coimbatore")</f>
        <v>Coimbatore</v>
      </c>
      <c r="D336" s="1" t="str">
        <f ca="1">IFERROR(__xludf.DUMMYFUNCTION("""COMPUTED_VALUE"""),"NG Hospital Pvt Ltd &amp; Research Centre, Singanallur")</f>
        <v>NG Hospital Pvt Ltd &amp; Research Centre, Singanallur</v>
      </c>
      <c r="E336" s="1">
        <f ca="1">IFERROR(__xludf.DUMMYFUNCTION("""COMPUTED_VALUE"""),53)</f>
        <v>53</v>
      </c>
      <c r="F336" s="1">
        <f ca="1">IFERROR(__xludf.DUMMYFUNCTION("""COMPUTED_VALUE"""),43)</f>
        <v>43</v>
      </c>
      <c r="G336" s="1">
        <f ca="1">IFERROR(__xludf.DUMMYFUNCTION("""COMPUTED_VALUE"""),10)</f>
        <v>10</v>
      </c>
      <c r="H336" s="1">
        <f ca="1">IFERROR(__xludf.DUMMYFUNCTION("""COMPUTED_VALUE"""),53)</f>
        <v>53</v>
      </c>
      <c r="I336" s="1">
        <f ca="1">IFERROR(__xludf.DUMMYFUNCTION("""COMPUTED_VALUE"""),43)</f>
        <v>43</v>
      </c>
      <c r="J336" s="1">
        <f ca="1">IFERROR(__xludf.DUMMYFUNCTION("""COMPUTED_VALUE"""),10)</f>
        <v>10</v>
      </c>
      <c r="K336" s="1">
        <f ca="1">IFERROR(__xludf.DUMMYFUNCTION("""COMPUTED_VALUE"""),0)</f>
        <v>0</v>
      </c>
      <c r="L336" s="1">
        <f ca="1">IFERROR(__xludf.DUMMYFUNCTION("""COMPUTED_VALUE"""),0)</f>
        <v>0</v>
      </c>
      <c r="M336" s="1">
        <f ca="1">IFERROR(__xludf.DUMMYFUNCTION("""COMPUTED_VALUE"""),0)</f>
        <v>0</v>
      </c>
      <c r="N336" s="1">
        <f ca="1">IFERROR(__xludf.DUMMYFUNCTION("""COMPUTED_VALUE"""),3)</f>
        <v>3</v>
      </c>
      <c r="O336" s="1">
        <f ca="1">IFERROR(__xludf.DUMMYFUNCTION("""COMPUTED_VALUE"""),0)</f>
        <v>0</v>
      </c>
      <c r="P336" s="1">
        <f ca="1">IFERROR(__xludf.DUMMYFUNCTION("""COMPUTED_VALUE"""),3)</f>
        <v>3</v>
      </c>
      <c r="Q336" s="1">
        <f ca="1">IFERROR(__xludf.DUMMYFUNCTION("""COMPUTED_VALUE"""),2)</f>
        <v>2</v>
      </c>
      <c r="R336" s="1">
        <f ca="1">IFERROR(__xludf.DUMMYFUNCTION("""COMPUTED_VALUE"""),0)</f>
        <v>0</v>
      </c>
      <c r="S336" s="1">
        <f ca="1">IFERROR(__xludf.DUMMYFUNCTION("""COMPUTED_VALUE"""),2)</f>
        <v>2</v>
      </c>
      <c r="T336" s="1">
        <f ca="1">IFERROR(__xludf.DUMMYFUNCTION("""COMPUTED_VALUE"""),44305.3772800925)</f>
        <v>44305.3772800925</v>
      </c>
      <c r="U336" s="1"/>
    </row>
    <row r="337" spans="1:21" ht="13" x14ac:dyDescent="0.15">
      <c r="A337" s="1" t="str">
        <f t="shared" ca="1" si="0"/>
        <v>CoimbatoreSathya Medical Centre and Hospital, Sivanandha Colony</v>
      </c>
      <c r="B337" s="1">
        <f ca="1">IFERROR(__xludf.DUMMYFUNCTION("""COMPUTED_VALUE"""),336)</f>
        <v>336</v>
      </c>
      <c r="C337" s="1" t="str">
        <f ca="1">IFERROR(__xludf.DUMMYFUNCTION("""COMPUTED_VALUE"""),"Coimbatore")</f>
        <v>Coimbatore</v>
      </c>
      <c r="D337" s="1" t="str">
        <f ca="1">IFERROR(__xludf.DUMMYFUNCTION("""COMPUTED_VALUE"""),"Sathya Medical Centre and Hospital, Sivanandha Colony")</f>
        <v>Sathya Medical Centre and Hospital, Sivanandha Colony</v>
      </c>
      <c r="E337" s="1">
        <f ca="1">IFERROR(__xludf.DUMMYFUNCTION("""COMPUTED_VALUE"""),40)</f>
        <v>40</v>
      </c>
      <c r="F337" s="1">
        <f ca="1">IFERROR(__xludf.DUMMYFUNCTION("""COMPUTED_VALUE"""),10)</f>
        <v>10</v>
      </c>
      <c r="G337" s="1">
        <f ca="1">IFERROR(__xludf.DUMMYFUNCTION("""COMPUTED_VALUE"""),30)</f>
        <v>30</v>
      </c>
      <c r="H337" s="1">
        <f ca="1">IFERROR(__xludf.DUMMYFUNCTION("""COMPUTED_VALUE"""),20)</f>
        <v>20</v>
      </c>
      <c r="I337" s="1">
        <f ca="1">IFERROR(__xludf.DUMMYFUNCTION("""COMPUTED_VALUE"""),5)</f>
        <v>5</v>
      </c>
      <c r="J337" s="1">
        <f ca="1">IFERROR(__xludf.DUMMYFUNCTION("""COMPUTED_VALUE"""),15)</f>
        <v>15</v>
      </c>
      <c r="K337" s="1">
        <f ca="1">IFERROR(__xludf.DUMMYFUNCTION("""COMPUTED_VALUE"""),20)</f>
        <v>20</v>
      </c>
      <c r="L337" s="1">
        <f ca="1">IFERROR(__xludf.DUMMYFUNCTION("""COMPUTED_VALUE"""),5)</f>
        <v>5</v>
      </c>
      <c r="M337" s="1">
        <f ca="1">IFERROR(__xludf.DUMMYFUNCTION("""COMPUTED_VALUE"""),15)</f>
        <v>15</v>
      </c>
      <c r="N337" s="1">
        <f ca="1">IFERROR(__xludf.DUMMYFUNCTION("""COMPUTED_VALUE"""),5)</f>
        <v>5</v>
      </c>
      <c r="O337" s="1">
        <f ca="1">IFERROR(__xludf.DUMMYFUNCTION("""COMPUTED_VALUE"""),0)</f>
        <v>0</v>
      </c>
      <c r="P337" s="1">
        <f ca="1">IFERROR(__xludf.DUMMYFUNCTION("""COMPUTED_VALUE"""),5)</f>
        <v>5</v>
      </c>
      <c r="Q337" s="1">
        <f ca="1">IFERROR(__xludf.DUMMYFUNCTION("""COMPUTED_VALUE"""),4)</f>
        <v>4</v>
      </c>
      <c r="R337" s="1">
        <f ca="1">IFERROR(__xludf.DUMMYFUNCTION("""COMPUTED_VALUE"""),0)</f>
        <v>0</v>
      </c>
      <c r="S337" s="1">
        <f ca="1">IFERROR(__xludf.DUMMYFUNCTION("""COMPUTED_VALUE"""),4)</f>
        <v>4</v>
      </c>
      <c r="T337" s="1">
        <f ca="1">IFERROR(__xludf.DUMMYFUNCTION("""COMPUTED_VALUE"""),44305.3991319444)</f>
        <v>44305.399131944403</v>
      </c>
      <c r="U337" s="1" t="str">
        <f ca="1">IFERROR(__xludf.DUMMYFUNCTION("""COMPUTED_VALUE"""),"19.04.2021")</f>
        <v>19.04.2021</v>
      </c>
    </row>
    <row r="338" spans="1:21" ht="13" x14ac:dyDescent="0.15">
      <c r="A338" s="1" t="str">
        <f t="shared" ca="1" si="0"/>
        <v>SalemAishwaryam Speciality Hospital</v>
      </c>
      <c r="B338" s="1">
        <f ca="1">IFERROR(__xludf.DUMMYFUNCTION("""COMPUTED_VALUE"""),337)</f>
        <v>337</v>
      </c>
      <c r="C338" s="1" t="str">
        <f ca="1">IFERROR(__xludf.DUMMYFUNCTION("""COMPUTED_VALUE"""),"Salem")</f>
        <v>Salem</v>
      </c>
      <c r="D338" s="1" t="str">
        <f ca="1">IFERROR(__xludf.DUMMYFUNCTION("""COMPUTED_VALUE"""),"Aishwaryam Speciality Hospital")</f>
        <v>Aishwaryam Speciality Hospital</v>
      </c>
      <c r="E338" s="1">
        <f ca="1">IFERROR(__xludf.DUMMYFUNCTION("""COMPUTED_VALUE"""),43)</f>
        <v>43</v>
      </c>
      <c r="F338" s="1">
        <f ca="1">IFERROR(__xludf.DUMMYFUNCTION("""COMPUTED_VALUE"""),0)</f>
        <v>0</v>
      </c>
      <c r="G338" s="1">
        <f ca="1">IFERROR(__xludf.DUMMYFUNCTION("""COMPUTED_VALUE"""),43)</f>
        <v>43</v>
      </c>
      <c r="H338" s="1">
        <f ca="1">IFERROR(__xludf.DUMMYFUNCTION("""COMPUTED_VALUE"""),43)</f>
        <v>43</v>
      </c>
      <c r="I338" s="1">
        <f ca="1">IFERROR(__xludf.DUMMYFUNCTION("""COMPUTED_VALUE"""),0)</f>
        <v>0</v>
      </c>
      <c r="J338" s="1">
        <f ca="1">IFERROR(__xludf.DUMMYFUNCTION("""COMPUTED_VALUE"""),43)</f>
        <v>43</v>
      </c>
      <c r="K338" s="1">
        <f ca="1">IFERROR(__xludf.DUMMYFUNCTION("""COMPUTED_VALUE"""),0)</f>
        <v>0</v>
      </c>
      <c r="L338" s="1">
        <f ca="1">IFERROR(__xludf.DUMMYFUNCTION("""COMPUTED_VALUE"""),0)</f>
        <v>0</v>
      </c>
      <c r="M338" s="1">
        <f ca="1">IFERROR(__xludf.DUMMYFUNCTION("""COMPUTED_VALUE"""),0)</f>
        <v>0</v>
      </c>
      <c r="N338" s="1">
        <f ca="1">IFERROR(__xludf.DUMMYFUNCTION("""COMPUTED_VALUE"""),3)</f>
        <v>3</v>
      </c>
      <c r="O338" s="1">
        <f ca="1">IFERROR(__xludf.DUMMYFUNCTION("""COMPUTED_VALUE"""),0)</f>
        <v>0</v>
      </c>
      <c r="P338" s="1">
        <f ca="1">IFERROR(__xludf.DUMMYFUNCTION("""COMPUTED_VALUE"""),3)</f>
        <v>3</v>
      </c>
      <c r="Q338" s="1">
        <f ca="1">IFERROR(__xludf.DUMMYFUNCTION("""COMPUTED_VALUE"""),2)</f>
        <v>2</v>
      </c>
      <c r="R338" s="1">
        <f ca="1">IFERROR(__xludf.DUMMYFUNCTION("""COMPUTED_VALUE"""),0)</f>
        <v>0</v>
      </c>
      <c r="S338" s="1">
        <f ca="1">IFERROR(__xludf.DUMMYFUNCTION("""COMPUTED_VALUE"""),2)</f>
        <v>2</v>
      </c>
      <c r="T338" s="1">
        <f ca="1">IFERROR(__xludf.DUMMYFUNCTION("""COMPUTED_VALUE"""),44305.5925925925)</f>
        <v>44305.592592592497</v>
      </c>
      <c r="U338" s="1" t="str">
        <f ca="1">IFERROR(__xludf.DUMMYFUNCTION("""COMPUTED_VALUE"""),"Nil")</f>
        <v>Nil</v>
      </c>
    </row>
    <row r="339" spans="1:21" ht="13" x14ac:dyDescent="0.15">
      <c r="A339" s="1" t="str">
        <f t="shared" ca="1" si="0"/>
        <v>SalemDeepam Speciality Hospital, Vazhapady</v>
      </c>
      <c r="B339" s="1">
        <f ca="1">IFERROR(__xludf.DUMMYFUNCTION("""COMPUTED_VALUE"""),338)</f>
        <v>338</v>
      </c>
      <c r="C339" s="1" t="str">
        <f ca="1">IFERROR(__xludf.DUMMYFUNCTION("""COMPUTED_VALUE"""),"Salem")</f>
        <v>Salem</v>
      </c>
      <c r="D339" s="1" t="str">
        <f ca="1">IFERROR(__xludf.DUMMYFUNCTION("""COMPUTED_VALUE"""),"Deepam Speciality Hospital, Vazhapady")</f>
        <v>Deepam Speciality Hospital, Vazhapady</v>
      </c>
      <c r="E339" s="1">
        <f ca="1">IFERROR(__xludf.DUMMYFUNCTION("""COMPUTED_VALUE"""),60)</f>
        <v>60</v>
      </c>
      <c r="F339" s="1">
        <f ca="1">IFERROR(__xludf.DUMMYFUNCTION("""COMPUTED_VALUE"""),0)</f>
        <v>0</v>
      </c>
      <c r="G339" s="1">
        <f ca="1">IFERROR(__xludf.DUMMYFUNCTION("""COMPUTED_VALUE"""),60)</f>
        <v>60</v>
      </c>
      <c r="H339" s="1">
        <f ca="1">IFERROR(__xludf.DUMMYFUNCTION("""COMPUTED_VALUE"""),60)</f>
        <v>60</v>
      </c>
      <c r="I339" s="1">
        <f ca="1">IFERROR(__xludf.DUMMYFUNCTION("""COMPUTED_VALUE"""),0)</f>
        <v>0</v>
      </c>
      <c r="J339" s="1">
        <f ca="1">IFERROR(__xludf.DUMMYFUNCTION("""COMPUTED_VALUE"""),60)</f>
        <v>60</v>
      </c>
      <c r="K339" s="1">
        <f ca="1">IFERROR(__xludf.DUMMYFUNCTION("""COMPUTED_VALUE"""),0)</f>
        <v>0</v>
      </c>
      <c r="L339" s="1">
        <f ca="1">IFERROR(__xludf.DUMMYFUNCTION("""COMPUTED_VALUE"""),0)</f>
        <v>0</v>
      </c>
      <c r="M339" s="1">
        <f ca="1">IFERROR(__xludf.DUMMYFUNCTION("""COMPUTED_VALUE"""),0)</f>
        <v>0</v>
      </c>
      <c r="N339" s="1">
        <f ca="1">IFERROR(__xludf.DUMMYFUNCTION("""COMPUTED_VALUE"""),12)</f>
        <v>12</v>
      </c>
      <c r="O339" s="1">
        <f ca="1">IFERROR(__xludf.DUMMYFUNCTION("""COMPUTED_VALUE"""),0)</f>
        <v>0</v>
      </c>
      <c r="P339" s="1">
        <f ca="1">IFERROR(__xludf.DUMMYFUNCTION("""COMPUTED_VALUE"""),12)</f>
        <v>12</v>
      </c>
      <c r="Q339" s="1">
        <f ca="1">IFERROR(__xludf.DUMMYFUNCTION("""COMPUTED_VALUE"""),3)</f>
        <v>3</v>
      </c>
      <c r="R339" s="1">
        <f ca="1">IFERROR(__xludf.DUMMYFUNCTION("""COMPUTED_VALUE"""),0)</f>
        <v>0</v>
      </c>
      <c r="S339" s="1">
        <f ca="1">IFERROR(__xludf.DUMMYFUNCTION("""COMPUTED_VALUE"""),3)</f>
        <v>3</v>
      </c>
      <c r="T339" s="1">
        <f ca="1">IFERROR(__xludf.DUMMYFUNCTION("""COMPUTED_VALUE"""),44305.503912037)</f>
        <v>44305.503912036998</v>
      </c>
      <c r="U339" s="1" t="str">
        <f ca="1">IFERROR(__xludf.DUMMYFUNCTION("""COMPUTED_VALUE"""),"Nil")</f>
        <v>Nil</v>
      </c>
    </row>
    <row r="340" spans="1:21" ht="13" x14ac:dyDescent="0.15">
      <c r="A340" s="1" t="str">
        <f t="shared" ca="1" si="0"/>
        <v>SalemGL Hospital, Swarnapuri</v>
      </c>
      <c r="B340" s="1">
        <f ca="1">IFERROR(__xludf.DUMMYFUNCTION("""COMPUTED_VALUE"""),339)</f>
        <v>339</v>
      </c>
      <c r="C340" s="1" t="str">
        <f ca="1">IFERROR(__xludf.DUMMYFUNCTION("""COMPUTED_VALUE"""),"Salem")</f>
        <v>Salem</v>
      </c>
      <c r="D340" s="1" t="str">
        <f ca="1">IFERROR(__xludf.DUMMYFUNCTION("""COMPUTED_VALUE"""),"GL Hospital, Swarnapuri")</f>
        <v>GL Hospital, Swarnapuri</v>
      </c>
      <c r="E340" s="1">
        <f ca="1">IFERROR(__xludf.DUMMYFUNCTION("""COMPUTED_VALUE"""),30)</f>
        <v>30</v>
      </c>
      <c r="F340" s="1">
        <f ca="1">IFERROR(__xludf.DUMMYFUNCTION("""COMPUTED_VALUE"""),7)</f>
        <v>7</v>
      </c>
      <c r="G340" s="1">
        <f ca="1">IFERROR(__xludf.DUMMYFUNCTION("""COMPUTED_VALUE"""),23)</f>
        <v>23</v>
      </c>
      <c r="H340" s="1">
        <f ca="1">IFERROR(__xludf.DUMMYFUNCTION("""COMPUTED_VALUE"""),30)</f>
        <v>30</v>
      </c>
      <c r="I340" s="1">
        <f ca="1">IFERROR(__xludf.DUMMYFUNCTION("""COMPUTED_VALUE"""),2)</f>
        <v>2</v>
      </c>
      <c r="J340" s="1">
        <f ca="1">IFERROR(__xludf.DUMMYFUNCTION("""COMPUTED_VALUE"""),28)</f>
        <v>28</v>
      </c>
      <c r="K340" s="1">
        <f ca="1">IFERROR(__xludf.DUMMYFUNCTION("""COMPUTED_VALUE"""),30)</f>
        <v>30</v>
      </c>
      <c r="L340" s="1">
        <f ca="1">IFERROR(__xludf.DUMMYFUNCTION("""COMPUTED_VALUE"""),0)</f>
        <v>0</v>
      </c>
      <c r="M340" s="1">
        <f ca="1">IFERROR(__xludf.DUMMYFUNCTION("""COMPUTED_VALUE"""),0)</f>
        <v>0</v>
      </c>
      <c r="N340" s="1">
        <f ca="1">IFERROR(__xludf.DUMMYFUNCTION("""COMPUTED_VALUE"""),6)</f>
        <v>6</v>
      </c>
      <c r="O340" s="1">
        <f ca="1">IFERROR(__xludf.DUMMYFUNCTION("""COMPUTED_VALUE"""),0)</f>
        <v>0</v>
      </c>
      <c r="P340" s="1">
        <f ca="1">IFERROR(__xludf.DUMMYFUNCTION("""COMPUTED_VALUE"""),6)</f>
        <v>6</v>
      </c>
      <c r="Q340" s="1">
        <f ca="1">IFERROR(__xludf.DUMMYFUNCTION("""COMPUTED_VALUE"""),2)</f>
        <v>2</v>
      </c>
      <c r="R340" s="1">
        <f ca="1">IFERROR(__xludf.DUMMYFUNCTION("""COMPUTED_VALUE"""),0)</f>
        <v>0</v>
      </c>
      <c r="S340" s="1">
        <f ca="1">IFERROR(__xludf.DUMMYFUNCTION("""COMPUTED_VALUE"""),2)</f>
        <v>2</v>
      </c>
      <c r="T340" s="1">
        <f ca="1">IFERROR(__xludf.DUMMYFUNCTION("""COMPUTED_VALUE"""),44305.7228703703)</f>
        <v>44305.7228703703</v>
      </c>
      <c r="U340" s="1" t="str">
        <f ca="1">IFERROR(__xludf.DUMMYFUNCTION("""COMPUTED_VALUE"""),"Nil")</f>
        <v>Nil</v>
      </c>
    </row>
    <row r="341" spans="1:21" ht="13" x14ac:dyDescent="0.15">
      <c r="A341" s="1" t="str">
        <f t="shared" ca="1" si="0"/>
        <v>SalemMohanraj Children\'s Hospital</v>
      </c>
      <c r="B341" s="1">
        <f ca="1">IFERROR(__xludf.DUMMYFUNCTION("""COMPUTED_VALUE"""),340)</f>
        <v>340</v>
      </c>
      <c r="C341" s="1" t="str">
        <f ca="1">IFERROR(__xludf.DUMMYFUNCTION("""COMPUTED_VALUE"""),"Salem")</f>
        <v>Salem</v>
      </c>
      <c r="D341" s="1" t="str">
        <f ca="1">IFERROR(__xludf.DUMMYFUNCTION("""COMPUTED_VALUE"""),"Mohanraj Children\'s Hospital")</f>
        <v>Mohanraj Children\'s Hospital</v>
      </c>
      <c r="E341" s="1">
        <f ca="1">IFERROR(__xludf.DUMMYFUNCTION("""COMPUTED_VALUE"""),70)</f>
        <v>70</v>
      </c>
      <c r="F341" s="1">
        <f ca="1">IFERROR(__xludf.DUMMYFUNCTION("""COMPUTED_VALUE"""),0)</f>
        <v>0</v>
      </c>
      <c r="G341" s="1">
        <f ca="1">IFERROR(__xludf.DUMMYFUNCTION("""COMPUTED_VALUE"""),70)</f>
        <v>70</v>
      </c>
      <c r="H341" s="1">
        <f ca="1">IFERROR(__xludf.DUMMYFUNCTION("""COMPUTED_VALUE"""),70)</f>
        <v>70</v>
      </c>
      <c r="I341" s="1">
        <f ca="1">IFERROR(__xludf.DUMMYFUNCTION("""COMPUTED_VALUE"""),0)</f>
        <v>0</v>
      </c>
      <c r="J341" s="1">
        <f ca="1">IFERROR(__xludf.DUMMYFUNCTION("""COMPUTED_VALUE"""),70)</f>
        <v>70</v>
      </c>
      <c r="K341" s="1">
        <f ca="1">IFERROR(__xludf.DUMMYFUNCTION("""COMPUTED_VALUE"""),0)</f>
        <v>0</v>
      </c>
      <c r="L341" s="1">
        <f ca="1">IFERROR(__xludf.DUMMYFUNCTION("""COMPUTED_VALUE"""),0)</f>
        <v>0</v>
      </c>
      <c r="M341" s="1">
        <f ca="1">IFERROR(__xludf.DUMMYFUNCTION("""COMPUTED_VALUE"""),0)</f>
        <v>0</v>
      </c>
      <c r="N341" s="1">
        <f ca="1">IFERROR(__xludf.DUMMYFUNCTION("""COMPUTED_VALUE"""),10)</f>
        <v>10</v>
      </c>
      <c r="O341" s="1">
        <f ca="1">IFERROR(__xludf.DUMMYFUNCTION("""COMPUTED_VALUE"""),3)</f>
        <v>3</v>
      </c>
      <c r="P341" s="1">
        <f ca="1">IFERROR(__xludf.DUMMYFUNCTION("""COMPUTED_VALUE"""),7)</f>
        <v>7</v>
      </c>
      <c r="Q341" s="1">
        <f ca="1">IFERROR(__xludf.DUMMYFUNCTION("""COMPUTED_VALUE"""),0)</f>
        <v>0</v>
      </c>
      <c r="R341" s="1">
        <f ca="1">IFERROR(__xludf.DUMMYFUNCTION("""COMPUTED_VALUE"""),0)</f>
        <v>0</v>
      </c>
      <c r="S341" s="1">
        <f ca="1">IFERROR(__xludf.DUMMYFUNCTION("""COMPUTED_VALUE"""),0)</f>
        <v>0</v>
      </c>
      <c r="T341" s="1">
        <f ca="1">IFERROR(__xludf.DUMMYFUNCTION("""COMPUTED_VALUE"""),44305.4353009259)</f>
        <v>44305.435300925899</v>
      </c>
      <c r="U341" s="1" t="str">
        <f ca="1">IFERROR(__xludf.DUMMYFUNCTION("""COMPUTED_VALUE"""),"Nil cases")</f>
        <v>Nil cases</v>
      </c>
    </row>
    <row r="342" spans="1:21" ht="13" x14ac:dyDescent="0.15">
      <c r="A342" s="1" t="str">
        <f t="shared" ca="1" si="0"/>
        <v>SalemNathan Super Speciaty Hosptial, Salem</v>
      </c>
      <c r="B342" s="1">
        <f ca="1">IFERROR(__xludf.DUMMYFUNCTION("""COMPUTED_VALUE"""),341)</f>
        <v>341</v>
      </c>
      <c r="C342" s="1" t="str">
        <f ca="1">IFERROR(__xludf.DUMMYFUNCTION("""COMPUTED_VALUE"""),"Salem")</f>
        <v>Salem</v>
      </c>
      <c r="D342" s="1" t="str">
        <f ca="1">IFERROR(__xludf.DUMMYFUNCTION("""COMPUTED_VALUE"""),"Nathan Super Speciaty Hosptial, Salem")</f>
        <v>Nathan Super Speciaty Hosptial, Salem</v>
      </c>
      <c r="E342" s="1">
        <f ca="1">IFERROR(__xludf.DUMMYFUNCTION("""COMPUTED_VALUE"""),40)</f>
        <v>40</v>
      </c>
      <c r="F342" s="1">
        <f ca="1">IFERROR(__xludf.DUMMYFUNCTION("""COMPUTED_VALUE"""),1)</f>
        <v>1</v>
      </c>
      <c r="G342" s="1">
        <f ca="1">IFERROR(__xludf.DUMMYFUNCTION("""COMPUTED_VALUE"""),39)</f>
        <v>39</v>
      </c>
      <c r="H342" s="1">
        <f ca="1">IFERROR(__xludf.DUMMYFUNCTION("""COMPUTED_VALUE"""),36)</f>
        <v>36</v>
      </c>
      <c r="I342" s="1">
        <f ca="1">IFERROR(__xludf.DUMMYFUNCTION("""COMPUTED_VALUE"""),1)</f>
        <v>1</v>
      </c>
      <c r="J342" s="1">
        <f ca="1">IFERROR(__xludf.DUMMYFUNCTION("""COMPUTED_VALUE"""),35)</f>
        <v>35</v>
      </c>
      <c r="K342" s="1">
        <f ca="1">IFERROR(__xludf.DUMMYFUNCTION("""COMPUTED_VALUE"""),4)</f>
        <v>4</v>
      </c>
      <c r="L342" s="1">
        <f ca="1">IFERROR(__xludf.DUMMYFUNCTION("""COMPUTED_VALUE"""),0)</f>
        <v>0</v>
      </c>
      <c r="M342" s="1">
        <f ca="1">IFERROR(__xludf.DUMMYFUNCTION("""COMPUTED_VALUE"""),4)</f>
        <v>4</v>
      </c>
      <c r="N342" s="1">
        <f ca="1">IFERROR(__xludf.DUMMYFUNCTION("""COMPUTED_VALUE"""),4)</f>
        <v>4</v>
      </c>
      <c r="O342" s="1">
        <f ca="1">IFERROR(__xludf.DUMMYFUNCTION("""COMPUTED_VALUE"""),0)</f>
        <v>0</v>
      </c>
      <c r="P342" s="1">
        <f ca="1">IFERROR(__xludf.DUMMYFUNCTION("""COMPUTED_VALUE"""),4)</f>
        <v>4</v>
      </c>
      <c r="Q342" s="1">
        <f ca="1">IFERROR(__xludf.DUMMYFUNCTION("""COMPUTED_VALUE"""),1)</f>
        <v>1</v>
      </c>
      <c r="R342" s="1">
        <f ca="1">IFERROR(__xludf.DUMMYFUNCTION("""COMPUTED_VALUE"""),0)</f>
        <v>0</v>
      </c>
      <c r="S342" s="1">
        <f ca="1">IFERROR(__xludf.DUMMYFUNCTION("""COMPUTED_VALUE"""),1)</f>
        <v>1</v>
      </c>
      <c r="T342" s="1">
        <f ca="1">IFERROR(__xludf.DUMMYFUNCTION("""COMPUTED_VALUE"""),44305.5031944444)</f>
        <v>44305.503194444398</v>
      </c>
      <c r="U342" s="1" t="str">
        <f ca="1">IFERROR(__xludf.DUMMYFUNCTION("""COMPUTED_VALUE"""),"Nil")</f>
        <v>Nil</v>
      </c>
    </row>
    <row r="343" spans="1:21" ht="13" x14ac:dyDescent="0.15">
      <c r="A343" s="1" t="str">
        <f t="shared" ca="1" si="0"/>
        <v>SalemSri Shellapha Hospital, Salem</v>
      </c>
      <c r="B343" s="1">
        <f ca="1">IFERROR(__xludf.DUMMYFUNCTION("""COMPUTED_VALUE"""),342)</f>
        <v>342</v>
      </c>
      <c r="C343" s="1" t="str">
        <f ca="1">IFERROR(__xludf.DUMMYFUNCTION("""COMPUTED_VALUE"""),"Salem")</f>
        <v>Salem</v>
      </c>
      <c r="D343" s="1" t="str">
        <f ca="1">IFERROR(__xludf.DUMMYFUNCTION("""COMPUTED_VALUE"""),"Sri Shellapha Hospital, Salem")</f>
        <v>Sri Shellapha Hospital, Salem</v>
      </c>
      <c r="E343" s="1">
        <f ca="1">IFERROR(__xludf.DUMMYFUNCTION("""COMPUTED_VALUE"""),70)</f>
        <v>70</v>
      </c>
      <c r="F343" s="1">
        <f ca="1">IFERROR(__xludf.DUMMYFUNCTION("""COMPUTED_VALUE"""),7)</f>
        <v>7</v>
      </c>
      <c r="G343" s="1">
        <f ca="1">IFERROR(__xludf.DUMMYFUNCTION("""COMPUTED_VALUE"""),63)</f>
        <v>63</v>
      </c>
      <c r="H343" s="1">
        <f ca="1">IFERROR(__xludf.DUMMYFUNCTION("""COMPUTED_VALUE"""),40)</f>
        <v>40</v>
      </c>
      <c r="I343" s="1">
        <f ca="1">IFERROR(__xludf.DUMMYFUNCTION("""COMPUTED_VALUE"""),7)</f>
        <v>7</v>
      </c>
      <c r="J343" s="1">
        <f ca="1">IFERROR(__xludf.DUMMYFUNCTION("""COMPUTED_VALUE"""),33)</f>
        <v>33</v>
      </c>
      <c r="K343" s="1">
        <f ca="1">IFERROR(__xludf.DUMMYFUNCTION("""COMPUTED_VALUE"""),35)</f>
        <v>35</v>
      </c>
      <c r="L343" s="1">
        <f ca="1">IFERROR(__xludf.DUMMYFUNCTION("""COMPUTED_VALUE"""),0)</f>
        <v>0</v>
      </c>
      <c r="M343" s="1">
        <f ca="1">IFERROR(__xludf.DUMMYFUNCTION("""COMPUTED_VALUE"""),35)</f>
        <v>35</v>
      </c>
      <c r="N343" s="1">
        <f ca="1">IFERROR(__xludf.DUMMYFUNCTION("""COMPUTED_VALUE"""),3)</f>
        <v>3</v>
      </c>
      <c r="O343" s="1">
        <f ca="1">IFERROR(__xludf.DUMMYFUNCTION("""COMPUTED_VALUE"""),0)</f>
        <v>0</v>
      </c>
      <c r="P343" s="1">
        <f ca="1">IFERROR(__xludf.DUMMYFUNCTION("""COMPUTED_VALUE"""),3)</f>
        <v>3</v>
      </c>
      <c r="Q343" s="1">
        <f ca="1">IFERROR(__xludf.DUMMYFUNCTION("""COMPUTED_VALUE"""),6)</f>
        <v>6</v>
      </c>
      <c r="R343" s="1">
        <f ca="1">IFERROR(__xludf.DUMMYFUNCTION("""COMPUTED_VALUE"""),0)</f>
        <v>0</v>
      </c>
      <c r="S343" s="1">
        <f ca="1">IFERROR(__xludf.DUMMYFUNCTION("""COMPUTED_VALUE"""),6)</f>
        <v>6</v>
      </c>
      <c r="T343" s="1">
        <f ca="1">IFERROR(__xludf.DUMMYFUNCTION("""COMPUTED_VALUE"""),44305.3746180555)</f>
        <v>44305.374618055503</v>
      </c>
      <c r="U343" s="1" t="str">
        <f ca="1">IFERROR(__xludf.DUMMYFUNCTION("""COMPUTED_VALUE"""),"Sent on 19.04.2021 at 09:00AM")</f>
        <v>Sent on 19.04.2021 at 09:00AM</v>
      </c>
    </row>
    <row r="344" spans="1:21" ht="13" x14ac:dyDescent="0.15">
      <c r="A344" s="1" t="str">
        <f t="shared" ca="1" si="0"/>
        <v>SalemThiru Neuro And MultiSpecility Salem</v>
      </c>
      <c r="B344" s="1">
        <f ca="1">IFERROR(__xludf.DUMMYFUNCTION("""COMPUTED_VALUE"""),343)</f>
        <v>343</v>
      </c>
      <c r="C344" s="1" t="str">
        <f ca="1">IFERROR(__xludf.DUMMYFUNCTION("""COMPUTED_VALUE"""),"Salem")</f>
        <v>Salem</v>
      </c>
      <c r="D344" s="1" t="str">
        <f ca="1">IFERROR(__xludf.DUMMYFUNCTION("""COMPUTED_VALUE"""),"Thiru Neuro And MultiSpecility Salem")</f>
        <v>Thiru Neuro And MultiSpecility Salem</v>
      </c>
      <c r="E344" s="1">
        <f ca="1">IFERROR(__xludf.DUMMYFUNCTION("""COMPUTED_VALUE"""),45)</f>
        <v>45</v>
      </c>
      <c r="F344" s="1">
        <f ca="1">IFERROR(__xludf.DUMMYFUNCTION("""COMPUTED_VALUE"""),13)</f>
        <v>13</v>
      </c>
      <c r="G344" s="1">
        <f ca="1">IFERROR(__xludf.DUMMYFUNCTION("""COMPUTED_VALUE"""),32)</f>
        <v>32</v>
      </c>
      <c r="H344" s="1">
        <f ca="1">IFERROR(__xludf.DUMMYFUNCTION("""COMPUTED_VALUE"""),40)</f>
        <v>40</v>
      </c>
      <c r="I344" s="1">
        <f ca="1">IFERROR(__xludf.DUMMYFUNCTION("""COMPUTED_VALUE"""),2)</f>
        <v>2</v>
      </c>
      <c r="J344" s="1">
        <f ca="1">IFERROR(__xludf.DUMMYFUNCTION("""COMPUTED_VALUE"""),38)</f>
        <v>38</v>
      </c>
      <c r="K344" s="1">
        <f ca="1">IFERROR(__xludf.DUMMYFUNCTION("""COMPUTED_VALUE"""),5)</f>
        <v>5</v>
      </c>
      <c r="L344" s="1">
        <f ca="1">IFERROR(__xludf.DUMMYFUNCTION("""COMPUTED_VALUE"""),0)</f>
        <v>0</v>
      </c>
      <c r="M344" s="1">
        <f ca="1">IFERROR(__xludf.DUMMYFUNCTION("""COMPUTED_VALUE"""),5)</f>
        <v>5</v>
      </c>
      <c r="N344" s="1">
        <f ca="1">IFERROR(__xludf.DUMMYFUNCTION("""COMPUTED_VALUE"""),10)</f>
        <v>10</v>
      </c>
      <c r="O344" s="1">
        <f ca="1">IFERROR(__xludf.DUMMYFUNCTION("""COMPUTED_VALUE"""),0)</f>
        <v>0</v>
      </c>
      <c r="P344" s="1">
        <f ca="1">IFERROR(__xludf.DUMMYFUNCTION("""COMPUTED_VALUE"""),10)</f>
        <v>10</v>
      </c>
      <c r="Q344" s="1">
        <f ca="1">IFERROR(__xludf.DUMMYFUNCTION("""COMPUTED_VALUE"""),2)</f>
        <v>2</v>
      </c>
      <c r="R344" s="1">
        <f ca="1">IFERROR(__xludf.DUMMYFUNCTION("""COMPUTED_VALUE"""),0)</f>
        <v>0</v>
      </c>
      <c r="S344" s="1">
        <f ca="1">IFERROR(__xludf.DUMMYFUNCTION("""COMPUTED_VALUE"""),2)</f>
        <v>2</v>
      </c>
      <c r="T344" s="1">
        <f ca="1">IFERROR(__xludf.DUMMYFUNCTION("""COMPUTED_VALUE"""),44305.5025810185)</f>
        <v>44305.502581018503</v>
      </c>
      <c r="U344" s="1" t="str">
        <f ca="1">IFERROR(__xludf.DUMMYFUNCTION("""COMPUTED_VALUE"""),"Nil")</f>
        <v>Nil</v>
      </c>
    </row>
    <row r="345" spans="1:21" ht="13" x14ac:dyDescent="0.15">
      <c r="A345" s="1" t="str">
        <f t="shared" ca="1" si="0"/>
        <v>ErodeErode multispeciality Hospital, Erode</v>
      </c>
      <c r="B345" s="1">
        <f ca="1">IFERROR(__xludf.DUMMYFUNCTION("""COMPUTED_VALUE"""),344)</f>
        <v>344</v>
      </c>
      <c r="C345" s="1" t="str">
        <f ca="1">IFERROR(__xludf.DUMMYFUNCTION("""COMPUTED_VALUE"""),"Erode")</f>
        <v>Erode</v>
      </c>
      <c r="D345" s="1" t="str">
        <f ca="1">IFERROR(__xludf.DUMMYFUNCTION("""COMPUTED_VALUE"""),"Erode multispeciality Hospital, Erode")</f>
        <v>Erode multispeciality Hospital, Erode</v>
      </c>
      <c r="E345" s="1">
        <f ca="1">IFERROR(__xludf.DUMMYFUNCTION("""COMPUTED_VALUE"""),25)</f>
        <v>25</v>
      </c>
      <c r="F345" s="1">
        <f ca="1">IFERROR(__xludf.DUMMYFUNCTION("""COMPUTED_VALUE"""),25)</f>
        <v>25</v>
      </c>
      <c r="G345" s="1">
        <f ca="1">IFERROR(__xludf.DUMMYFUNCTION("""COMPUTED_VALUE"""),0)</f>
        <v>0</v>
      </c>
      <c r="H345" s="1">
        <f ca="1">IFERROR(__xludf.DUMMYFUNCTION("""COMPUTED_VALUE"""),2)</f>
        <v>2</v>
      </c>
      <c r="I345" s="1">
        <f ca="1">IFERROR(__xludf.DUMMYFUNCTION("""COMPUTED_VALUE"""),0)</f>
        <v>0</v>
      </c>
      <c r="J345" s="1">
        <f ca="1">IFERROR(__xludf.DUMMYFUNCTION("""COMPUTED_VALUE"""),0)</f>
        <v>0</v>
      </c>
      <c r="K345" s="1">
        <f ca="1">IFERROR(__xludf.DUMMYFUNCTION("""COMPUTED_VALUE"""),20)</f>
        <v>20</v>
      </c>
      <c r="L345" s="1">
        <f ca="1">IFERROR(__xludf.DUMMYFUNCTION("""COMPUTED_VALUE"""),25)</f>
        <v>25</v>
      </c>
      <c r="M345" s="1">
        <f ca="1">IFERROR(__xludf.DUMMYFUNCTION("""COMPUTED_VALUE"""),0)</f>
        <v>0</v>
      </c>
      <c r="N345" s="1">
        <f ca="1">IFERROR(__xludf.DUMMYFUNCTION("""COMPUTED_VALUE"""),3)</f>
        <v>3</v>
      </c>
      <c r="O345" s="1">
        <f ca="1">IFERROR(__xludf.DUMMYFUNCTION("""COMPUTED_VALUE"""),0)</f>
        <v>0</v>
      </c>
      <c r="P345" s="1">
        <f ca="1">IFERROR(__xludf.DUMMYFUNCTION("""COMPUTED_VALUE"""),0)</f>
        <v>0</v>
      </c>
      <c r="Q345" s="1">
        <f ca="1">IFERROR(__xludf.DUMMYFUNCTION("""COMPUTED_VALUE"""),0)</f>
        <v>0</v>
      </c>
      <c r="R345" s="1">
        <f ca="1">IFERROR(__xludf.DUMMYFUNCTION("""COMPUTED_VALUE"""),0)</f>
        <v>0</v>
      </c>
      <c r="S345" s="1">
        <f ca="1">IFERROR(__xludf.DUMMYFUNCTION("""COMPUTED_VALUE"""),0)</f>
        <v>0</v>
      </c>
      <c r="T345" s="1">
        <f ca="1">IFERROR(__xludf.DUMMYFUNCTION("""COMPUTED_VALUE"""),44305.4158796296)</f>
        <v>44305.415879629603</v>
      </c>
      <c r="U345" s="1" t="str">
        <f ca="1">IFERROR(__xludf.DUMMYFUNCTION("""COMPUTED_VALUE"""),"NO")</f>
        <v>NO</v>
      </c>
    </row>
    <row r="346" spans="1:21" ht="13" x14ac:dyDescent="0.15">
      <c r="A346" s="1" t="str">
        <f t="shared" ca="1" si="0"/>
        <v>MaduraiVetri Siddha Hospital, Thaniciyam (Siddha)</v>
      </c>
      <c r="B346" s="1">
        <f ca="1">IFERROR(__xludf.DUMMYFUNCTION("""COMPUTED_VALUE"""),345)</f>
        <v>345</v>
      </c>
      <c r="C346" s="1" t="str">
        <f ca="1">IFERROR(__xludf.DUMMYFUNCTION("""COMPUTED_VALUE"""),"Madurai")</f>
        <v>Madurai</v>
      </c>
      <c r="D346" s="1" t="str">
        <f ca="1">IFERROR(__xludf.DUMMYFUNCTION("""COMPUTED_VALUE"""),"Vetri Siddha Hospital, Thaniciyam (Siddha)")</f>
        <v>Vetri Siddha Hospital, Thaniciyam (Siddha)</v>
      </c>
      <c r="E346" s="1">
        <f ca="1">IFERROR(__xludf.DUMMYFUNCTION("""COMPUTED_VALUE"""),60)</f>
        <v>60</v>
      </c>
      <c r="F346" s="1">
        <f ca="1">IFERROR(__xludf.DUMMYFUNCTION("""COMPUTED_VALUE"""),0)</f>
        <v>0</v>
      </c>
      <c r="G346" s="1">
        <f ca="1">IFERROR(__xludf.DUMMYFUNCTION("""COMPUTED_VALUE"""),60)</f>
        <v>60</v>
      </c>
      <c r="H346" s="1">
        <f ca="1">IFERROR(__xludf.DUMMYFUNCTION("""COMPUTED_VALUE"""),4)</f>
        <v>4</v>
      </c>
      <c r="I346" s="1">
        <f ca="1">IFERROR(__xludf.DUMMYFUNCTION("""COMPUTED_VALUE"""),0)</f>
        <v>0</v>
      </c>
      <c r="J346" s="1">
        <f ca="1">IFERROR(__xludf.DUMMYFUNCTION("""COMPUTED_VALUE"""),4)</f>
        <v>4</v>
      </c>
      <c r="K346" s="1">
        <f ca="1">IFERROR(__xludf.DUMMYFUNCTION("""COMPUTED_VALUE"""),56)</f>
        <v>56</v>
      </c>
      <c r="L346" s="1">
        <f ca="1">IFERROR(__xludf.DUMMYFUNCTION("""COMPUTED_VALUE"""),0)</f>
        <v>0</v>
      </c>
      <c r="M346" s="1">
        <f ca="1">IFERROR(__xludf.DUMMYFUNCTION("""COMPUTED_VALUE"""),56)</f>
        <v>56</v>
      </c>
      <c r="N346" s="1">
        <f ca="1">IFERROR(__xludf.DUMMYFUNCTION("""COMPUTED_VALUE"""),0)</f>
        <v>0</v>
      </c>
      <c r="O346" s="1">
        <f ca="1">IFERROR(__xludf.DUMMYFUNCTION("""COMPUTED_VALUE"""),0)</f>
        <v>0</v>
      </c>
      <c r="P346" s="1">
        <f ca="1">IFERROR(__xludf.DUMMYFUNCTION("""COMPUTED_VALUE"""),0)</f>
        <v>0</v>
      </c>
      <c r="Q346" s="1">
        <f ca="1">IFERROR(__xludf.DUMMYFUNCTION("""COMPUTED_VALUE"""),0)</f>
        <v>0</v>
      </c>
      <c r="R346" s="1">
        <f ca="1">IFERROR(__xludf.DUMMYFUNCTION("""COMPUTED_VALUE"""),0)</f>
        <v>0</v>
      </c>
      <c r="S346" s="1">
        <f ca="1">IFERROR(__xludf.DUMMYFUNCTION("""COMPUTED_VALUE"""),0)</f>
        <v>0</v>
      </c>
      <c r="T346" s="1">
        <f ca="1">IFERROR(__xludf.DUMMYFUNCTION("""COMPUTED_VALUE"""),44305.4142361111)</f>
        <v>44305.414236111101</v>
      </c>
      <c r="U346" s="1" t="str">
        <f ca="1">IFERROR(__xludf.DUMMYFUNCTION("""COMPUTED_VALUE"""),"updated 19.04.2021")</f>
        <v>updated 19.04.2021</v>
      </c>
    </row>
    <row r="347" spans="1:21" ht="13" x14ac:dyDescent="0.15">
      <c r="A347" s="1" t="str">
        <f t="shared" ca="1" si="0"/>
        <v>KarurAbishek Hospital, Karur Tn.</v>
      </c>
      <c r="B347" s="1">
        <f ca="1">IFERROR(__xludf.DUMMYFUNCTION("""COMPUTED_VALUE"""),346)</f>
        <v>346</v>
      </c>
      <c r="C347" s="1" t="str">
        <f ca="1">IFERROR(__xludf.DUMMYFUNCTION("""COMPUTED_VALUE"""),"Karur")</f>
        <v>Karur</v>
      </c>
      <c r="D347" s="1" t="str">
        <f ca="1">IFERROR(__xludf.DUMMYFUNCTION("""COMPUTED_VALUE"""),"Abishek Hospital, Karur Tn.")</f>
        <v>Abishek Hospital, Karur Tn.</v>
      </c>
      <c r="E347" s="1">
        <f ca="1">IFERROR(__xludf.DUMMYFUNCTION("""COMPUTED_VALUE"""),15)</f>
        <v>15</v>
      </c>
      <c r="F347" s="1">
        <f ca="1">IFERROR(__xludf.DUMMYFUNCTION("""COMPUTED_VALUE"""),0)</f>
        <v>0</v>
      </c>
      <c r="G347" s="1">
        <f ca="1">IFERROR(__xludf.DUMMYFUNCTION("""COMPUTED_VALUE"""),15)</f>
        <v>15</v>
      </c>
      <c r="H347" s="1">
        <f ca="1">IFERROR(__xludf.DUMMYFUNCTION("""COMPUTED_VALUE"""),5)</f>
        <v>5</v>
      </c>
      <c r="I347" s="1">
        <f ca="1">IFERROR(__xludf.DUMMYFUNCTION("""COMPUTED_VALUE"""),0)</f>
        <v>0</v>
      </c>
      <c r="J347" s="1">
        <f ca="1">IFERROR(__xludf.DUMMYFUNCTION("""COMPUTED_VALUE"""),5)</f>
        <v>5</v>
      </c>
      <c r="K347" s="1">
        <f ca="1">IFERROR(__xludf.DUMMYFUNCTION("""COMPUTED_VALUE"""),10)</f>
        <v>10</v>
      </c>
      <c r="L347" s="1">
        <f ca="1">IFERROR(__xludf.DUMMYFUNCTION("""COMPUTED_VALUE"""),0)</f>
        <v>0</v>
      </c>
      <c r="M347" s="1">
        <f ca="1">IFERROR(__xludf.DUMMYFUNCTION("""COMPUTED_VALUE"""),10)</f>
        <v>10</v>
      </c>
      <c r="N347" s="1">
        <f ca="1">IFERROR(__xludf.DUMMYFUNCTION("""COMPUTED_VALUE"""),6)</f>
        <v>6</v>
      </c>
      <c r="O347" s="1">
        <f ca="1">IFERROR(__xludf.DUMMYFUNCTION("""COMPUTED_VALUE"""),0)</f>
        <v>0</v>
      </c>
      <c r="P347" s="1">
        <f ca="1">IFERROR(__xludf.DUMMYFUNCTION("""COMPUTED_VALUE"""),6)</f>
        <v>6</v>
      </c>
      <c r="Q347" s="1">
        <f ca="1">IFERROR(__xludf.DUMMYFUNCTION("""COMPUTED_VALUE"""),1)</f>
        <v>1</v>
      </c>
      <c r="R347" s="1">
        <f ca="1">IFERROR(__xludf.DUMMYFUNCTION("""COMPUTED_VALUE"""),0)</f>
        <v>0</v>
      </c>
      <c r="S347" s="1">
        <f ca="1">IFERROR(__xludf.DUMMYFUNCTION("""COMPUTED_VALUE"""),1)</f>
        <v>1</v>
      </c>
      <c r="T347" s="1">
        <f ca="1">IFERROR(__xludf.DUMMYFUNCTION("""COMPUTED_VALUE"""),44305.3269791666)</f>
        <v>44305.326979166603</v>
      </c>
      <c r="U347" s="1" t="str">
        <f ca="1">IFERROR(__xludf.DUMMYFUNCTION("""COMPUTED_VALUE"""),"19-04-2021")</f>
        <v>19-04-2021</v>
      </c>
    </row>
    <row r="348" spans="1:21" ht="13" x14ac:dyDescent="0.15">
      <c r="A348" s="1" t="str">
        <f t="shared" ca="1" si="0"/>
        <v>NamakkalShree Akhshaya Hospital Namakkal, TN.</v>
      </c>
      <c r="B348" s="1">
        <f ca="1">IFERROR(__xludf.DUMMYFUNCTION("""COMPUTED_VALUE"""),347)</f>
        <v>347</v>
      </c>
      <c r="C348" s="1" t="str">
        <f ca="1">IFERROR(__xludf.DUMMYFUNCTION("""COMPUTED_VALUE"""),"Namakkal")</f>
        <v>Namakkal</v>
      </c>
      <c r="D348" s="1" t="str">
        <f ca="1">IFERROR(__xludf.DUMMYFUNCTION("""COMPUTED_VALUE"""),"Shree Akhshaya Hospital Namakkal, TN.")</f>
        <v>Shree Akhshaya Hospital Namakkal, TN.</v>
      </c>
      <c r="E348" s="1">
        <f ca="1">IFERROR(__xludf.DUMMYFUNCTION("""COMPUTED_VALUE"""),40)</f>
        <v>40</v>
      </c>
      <c r="F348" s="1">
        <f ca="1">IFERROR(__xludf.DUMMYFUNCTION("""COMPUTED_VALUE"""),12)</f>
        <v>12</v>
      </c>
      <c r="G348" s="1">
        <f ca="1">IFERROR(__xludf.DUMMYFUNCTION("""COMPUTED_VALUE"""),28)</f>
        <v>28</v>
      </c>
      <c r="H348" s="1">
        <f ca="1">IFERROR(__xludf.DUMMYFUNCTION("""COMPUTED_VALUE"""),25)</f>
        <v>25</v>
      </c>
      <c r="I348" s="1">
        <f ca="1">IFERROR(__xludf.DUMMYFUNCTION("""COMPUTED_VALUE"""),12)</f>
        <v>12</v>
      </c>
      <c r="J348" s="1">
        <f ca="1">IFERROR(__xludf.DUMMYFUNCTION("""COMPUTED_VALUE"""),13)</f>
        <v>13</v>
      </c>
      <c r="K348" s="1">
        <f ca="1">IFERROR(__xludf.DUMMYFUNCTION("""COMPUTED_VALUE"""),0)</f>
        <v>0</v>
      </c>
      <c r="L348" s="1">
        <f ca="1">IFERROR(__xludf.DUMMYFUNCTION("""COMPUTED_VALUE"""),0)</f>
        <v>0</v>
      </c>
      <c r="M348" s="1">
        <f ca="1">IFERROR(__xludf.DUMMYFUNCTION("""COMPUTED_VALUE"""),0)</f>
        <v>0</v>
      </c>
      <c r="N348" s="1">
        <f ca="1">IFERROR(__xludf.DUMMYFUNCTION("""COMPUTED_VALUE"""),8)</f>
        <v>8</v>
      </c>
      <c r="O348" s="1">
        <f ca="1">IFERROR(__xludf.DUMMYFUNCTION("""COMPUTED_VALUE"""),4)</f>
        <v>4</v>
      </c>
      <c r="P348" s="1">
        <f ca="1">IFERROR(__xludf.DUMMYFUNCTION("""COMPUTED_VALUE"""),4)</f>
        <v>4</v>
      </c>
      <c r="Q348" s="1">
        <f ca="1">IFERROR(__xludf.DUMMYFUNCTION("""COMPUTED_VALUE"""),4)</f>
        <v>4</v>
      </c>
      <c r="R348" s="1">
        <f ca="1">IFERROR(__xludf.DUMMYFUNCTION("""COMPUTED_VALUE"""),3)</f>
        <v>3</v>
      </c>
      <c r="S348" s="1">
        <f ca="1">IFERROR(__xludf.DUMMYFUNCTION("""COMPUTED_VALUE"""),0)</f>
        <v>0</v>
      </c>
      <c r="T348" s="1">
        <f ca="1">IFERROR(__xludf.DUMMYFUNCTION("""COMPUTED_VALUE"""),44305.2751851851)</f>
        <v>44305.275185185099</v>
      </c>
      <c r="U348" s="1" t="str">
        <f ca="1">IFERROR(__xludf.DUMMYFUNCTION("""COMPUTED_VALUE"""),"Report submitted on 19.04.2021")</f>
        <v>Report submitted on 19.04.2021</v>
      </c>
    </row>
    <row r="349" spans="1:21" ht="13" x14ac:dyDescent="0.15">
      <c r="A349" s="1" t="str">
        <f t="shared" ca="1" si="0"/>
        <v>NamakkalSoorya Multispechiality Hospitals, Namakkal TN.</v>
      </c>
      <c r="B349" s="1">
        <f ca="1">IFERROR(__xludf.DUMMYFUNCTION("""COMPUTED_VALUE"""),348)</f>
        <v>348</v>
      </c>
      <c r="C349" s="1" t="str">
        <f ca="1">IFERROR(__xludf.DUMMYFUNCTION("""COMPUTED_VALUE"""),"Namakkal")</f>
        <v>Namakkal</v>
      </c>
      <c r="D349" s="1" t="str">
        <f ca="1">IFERROR(__xludf.DUMMYFUNCTION("""COMPUTED_VALUE"""),"Soorya Multispechiality Hospitals, Namakkal TN.")</f>
        <v>Soorya Multispechiality Hospitals, Namakkal TN.</v>
      </c>
      <c r="E349" s="1">
        <f ca="1">IFERROR(__xludf.DUMMYFUNCTION("""COMPUTED_VALUE"""),30)</f>
        <v>30</v>
      </c>
      <c r="F349" s="1">
        <f ca="1">IFERROR(__xludf.DUMMYFUNCTION("""COMPUTED_VALUE"""),3)</f>
        <v>3</v>
      </c>
      <c r="G349" s="1">
        <f ca="1">IFERROR(__xludf.DUMMYFUNCTION("""COMPUTED_VALUE"""),27)</f>
        <v>27</v>
      </c>
      <c r="H349" s="1">
        <f ca="1">IFERROR(__xludf.DUMMYFUNCTION("""COMPUTED_VALUE"""),28)</f>
        <v>28</v>
      </c>
      <c r="I349" s="1">
        <f ca="1">IFERROR(__xludf.DUMMYFUNCTION("""COMPUTED_VALUE"""),3)</f>
        <v>3</v>
      </c>
      <c r="J349" s="1">
        <f ca="1">IFERROR(__xludf.DUMMYFUNCTION("""COMPUTED_VALUE"""),25)</f>
        <v>25</v>
      </c>
      <c r="K349" s="1">
        <f ca="1">IFERROR(__xludf.DUMMYFUNCTION("""COMPUTED_VALUE"""),0)</f>
        <v>0</v>
      </c>
      <c r="L349" s="1">
        <f ca="1">IFERROR(__xludf.DUMMYFUNCTION("""COMPUTED_VALUE"""),0)</f>
        <v>0</v>
      </c>
      <c r="M349" s="1">
        <f ca="1">IFERROR(__xludf.DUMMYFUNCTION("""COMPUTED_VALUE"""),0)</f>
        <v>0</v>
      </c>
      <c r="N349" s="1">
        <f ca="1">IFERROR(__xludf.DUMMYFUNCTION("""COMPUTED_VALUE"""),2)</f>
        <v>2</v>
      </c>
      <c r="O349" s="1">
        <f ca="1">IFERROR(__xludf.DUMMYFUNCTION("""COMPUTED_VALUE"""),0)</f>
        <v>0</v>
      </c>
      <c r="P349" s="1">
        <f ca="1">IFERROR(__xludf.DUMMYFUNCTION("""COMPUTED_VALUE"""),2)</f>
        <v>2</v>
      </c>
      <c r="Q349" s="1">
        <f ca="1">IFERROR(__xludf.DUMMYFUNCTION("""COMPUTED_VALUE"""),0)</f>
        <v>0</v>
      </c>
      <c r="R349" s="1">
        <f ca="1">IFERROR(__xludf.DUMMYFUNCTION("""COMPUTED_VALUE"""),0)</f>
        <v>0</v>
      </c>
      <c r="S349" s="1">
        <f ca="1">IFERROR(__xludf.DUMMYFUNCTION("""COMPUTED_VALUE"""),0)</f>
        <v>0</v>
      </c>
      <c r="T349" s="1">
        <f ca="1">IFERROR(__xludf.DUMMYFUNCTION("""COMPUTED_VALUE"""),44305.2567708333)</f>
        <v>44305.256770833301</v>
      </c>
      <c r="U349" s="1" t="str">
        <f ca="1">IFERROR(__xludf.DUMMYFUNCTION("""COMPUTED_VALUE"""),"REPORT SUBMITTED ON 19.04.2021")</f>
        <v>REPORT SUBMITTED ON 19.04.2021</v>
      </c>
    </row>
    <row r="350" spans="1:21" ht="13" x14ac:dyDescent="0.15">
      <c r="A350" s="1" t="str">
        <f t="shared" ca="1" si="0"/>
        <v>KarurGC Hospital, Karur Tn.</v>
      </c>
      <c r="B350" s="1">
        <f ca="1">IFERROR(__xludf.DUMMYFUNCTION("""COMPUTED_VALUE"""),349)</f>
        <v>349</v>
      </c>
      <c r="C350" s="1" t="str">
        <f ca="1">IFERROR(__xludf.DUMMYFUNCTION("""COMPUTED_VALUE"""),"Karur")</f>
        <v>Karur</v>
      </c>
      <c r="D350" s="1" t="str">
        <f ca="1">IFERROR(__xludf.DUMMYFUNCTION("""COMPUTED_VALUE"""),"GC Hospital, Karur Tn.")</f>
        <v>GC Hospital, Karur Tn.</v>
      </c>
      <c r="E350" s="1">
        <f ca="1">IFERROR(__xludf.DUMMYFUNCTION("""COMPUTED_VALUE"""),15)</f>
        <v>15</v>
      </c>
      <c r="F350" s="1">
        <f ca="1">IFERROR(__xludf.DUMMYFUNCTION("""COMPUTED_VALUE"""),1)</f>
        <v>1</v>
      </c>
      <c r="G350" s="1">
        <f ca="1">IFERROR(__xludf.DUMMYFUNCTION("""COMPUTED_VALUE"""),14)</f>
        <v>14</v>
      </c>
      <c r="H350" s="1">
        <f ca="1">IFERROR(__xludf.DUMMYFUNCTION("""COMPUTED_VALUE"""),8)</f>
        <v>8</v>
      </c>
      <c r="I350" s="1">
        <f ca="1">IFERROR(__xludf.DUMMYFUNCTION("""COMPUTED_VALUE"""),1)</f>
        <v>1</v>
      </c>
      <c r="J350" s="1">
        <f ca="1">IFERROR(__xludf.DUMMYFUNCTION("""COMPUTED_VALUE"""),7)</f>
        <v>7</v>
      </c>
      <c r="K350" s="1">
        <f ca="1">IFERROR(__xludf.DUMMYFUNCTION("""COMPUTED_VALUE"""),7)</f>
        <v>7</v>
      </c>
      <c r="L350" s="1">
        <f ca="1">IFERROR(__xludf.DUMMYFUNCTION("""COMPUTED_VALUE"""),0)</f>
        <v>0</v>
      </c>
      <c r="M350" s="1">
        <f ca="1">IFERROR(__xludf.DUMMYFUNCTION("""COMPUTED_VALUE"""),7)</f>
        <v>7</v>
      </c>
      <c r="N350" s="1">
        <f ca="1">IFERROR(__xludf.DUMMYFUNCTION("""COMPUTED_VALUE"""),0)</f>
        <v>0</v>
      </c>
      <c r="O350" s="1">
        <f ca="1">IFERROR(__xludf.DUMMYFUNCTION("""COMPUTED_VALUE"""),0)</f>
        <v>0</v>
      </c>
      <c r="P350" s="1">
        <f ca="1">IFERROR(__xludf.DUMMYFUNCTION("""COMPUTED_VALUE"""),0)</f>
        <v>0</v>
      </c>
      <c r="Q350" s="1">
        <f ca="1">IFERROR(__xludf.DUMMYFUNCTION("""COMPUTED_VALUE"""),5)</f>
        <v>5</v>
      </c>
      <c r="R350" s="1">
        <f ca="1">IFERROR(__xludf.DUMMYFUNCTION("""COMPUTED_VALUE"""),0)</f>
        <v>0</v>
      </c>
      <c r="S350" s="1">
        <f ca="1">IFERROR(__xludf.DUMMYFUNCTION("""COMPUTED_VALUE"""),5)</f>
        <v>5</v>
      </c>
      <c r="T350" s="1">
        <f ca="1">IFERROR(__xludf.DUMMYFUNCTION("""COMPUTED_VALUE"""),44305.3131481481)</f>
        <v>44305.313148148103</v>
      </c>
      <c r="U350" s="1" t="str">
        <f ca="1">IFERROR(__xludf.DUMMYFUNCTION("""COMPUTED_VALUE"""),"19.04.2021")</f>
        <v>19.04.2021</v>
      </c>
    </row>
    <row r="351" spans="1:21" ht="13" x14ac:dyDescent="0.15">
      <c r="A351" s="1" t="str">
        <f t="shared" ca="1" si="0"/>
        <v>ChennaiVivekananda Hospital,mylapore</v>
      </c>
      <c r="B351" s="1">
        <f ca="1">IFERROR(__xludf.DUMMYFUNCTION("""COMPUTED_VALUE"""),350)</f>
        <v>350</v>
      </c>
      <c r="C351" s="1" t="str">
        <f ca="1">IFERROR(__xludf.DUMMYFUNCTION("""COMPUTED_VALUE"""),"Chennai")</f>
        <v>Chennai</v>
      </c>
      <c r="D351" s="1" t="str">
        <f ca="1">IFERROR(__xludf.DUMMYFUNCTION("""COMPUTED_VALUE"""),"Vivekananda Hospital,mylapore")</f>
        <v>Vivekananda Hospital,mylapore</v>
      </c>
      <c r="E351" s="1">
        <f ca="1">IFERROR(__xludf.DUMMYFUNCTION("""COMPUTED_VALUE"""),25)</f>
        <v>25</v>
      </c>
      <c r="F351" s="1">
        <f ca="1">IFERROR(__xludf.DUMMYFUNCTION("""COMPUTED_VALUE"""),22)</f>
        <v>22</v>
      </c>
      <c r="G351" s="1">
        <f ca="1">IFERROR(__xludf.DUMMYFUNCTION("""COMPUTED_VALUE"""),3)</f>
        <v>3</v>
      </c>
      <c r="H351" s="1">
        <f ca="1">IFERROR(__xludf.DUMMYFUNCTION("""COMPUTED_VALUE"""),25)</f>
        <v>25</v>
      </c>
      <c r="I351" s="1">
        <f ca="1">IFERROR(__xludf.DUMMYFUNCTION("""COMPUTED_VALUE"""),22)</f>
        <v>22</v>
      </c>
      <c r="J351" s="1">
        <f ca="1">IFERROR(__xludf.DUMMYFUNCTION("""COMPUTED_VALUE"""),3)</f>
        <v>3</v>
      </c>
      <c r="K351" s="1">
        <f ca="1">IFERROR(__xludf.DUMMYFUNCTION("""COMPUTED_VALUE"""),15)</f>
        <v>15</v>
      </c>
      <c r="L351" s="1">
        <f ca="1">IFERROR(__xludf.DUMMYFUNCTION("""COMPUTED_VALUE"""),0)</f>
        <v>0</v>
      </c>
      <c r="M351" s="1">
        <f ca="1">IFERROR(__xludf.DUMMYFUNCTION("""COMPUTED_VALUE"""),0)</f>
        <v>0</v>
      </c>
      <c r="N351" s="1">
        <f ca="1">IFERROR(__xludf.DUMMYFUNCTION("""COMPUTED_VALUE"""),8)</f>
        <v>8</v>
      </c>
      <c r="O351" s="1">
        <f ca="1">IFERROR(__xludf.DUMMYFUNCTION("""COMPUTED_VALUE"""),6)</f>
        <v>6</v>
      </c>
      <c r="P351" s="1">
        <f ca="1">IFERROR(__xludf.DUMMYFUNCTION("""COMPUTED_VALUE"""),2)</f>
        <v>2</v>
      </c>
      <c r="Q351" s="1">
        <f ca="1">IFERROR(__xludf.DUMMYFUNCTION("""COMPUTED_VALUE"""),2)</f>
        <v>2</v>
      </c>
      <c r="R351" s="1">
        <f ca="1">IFERROR(__xludf.DUMMYFUNCTION("""COMPUTED_VALUE"""),0)</f>
        <v>0</v>
      </c>
      <c r="S351" s="1">
        <f ca="1">IFERROR(__xludf.DUMMYFUNCTION("""COMPUTED_VALUE"""),2)</f>
        <v>2</v>
      </c>
      <c r="T351" s="1">
        <f ca="1">IFERROR(__xludf.DUMMYFUNCTION("""COMPUTED_VALUE"""),44305.4476736111)</f>
        <v>44305.447673611103</v>
      </c>
      <c r="U351" s="1" t="str">
        <f ca="1">IFERROR(__xludf.DUMMYFUNCTION("""COMPUTED_VALUE"""),"19-04-21")</f>
        <v>19-04-21</v>
      </c>
    </row>
    <row r="352" spans="1:21" ht="13" x14ac:dyDescent="0.15">
      <c r="A352" s="1" t="str">
        <f t="shared" ca="1" si="0"/>
        <v>ChengalpattuDAISY HOSPITAL,CHROMPET</v>
      </c>
      <c r="B352" s="1">
        <f ca="1">IFERROR(__xludf.DUMMYFUNCTION("""COMPUTED_VALUE"""),351)</f>
        <v>351</v>
      </c>
      <c r="C352" s="1" t="str">
        <f ca="1">IFERROR(__xludf.DUMMYFUNCTION("""COMPUTED_VALUE"""),"Chengalpattu")</f>
        <v>Chengalpattu</v>
      </c>
      <c r="D352" s="1" t="str">
        <f ca="1">IFERROR(__xludf.DUMMYFUNCTION("""COMPUTED_VALUE"""),"DAISY HOSPITAL,CHROMPET")</f>
        <v>DAISY HOSPITAL,CHROMPET</v>
      </c>
      <c r="E352" s="1">
        <f ca="1">IFERROR(__xludf.DUMMYFUNCTION("""COMPUTED_VALUE"""),14)</f>
        <v>14</v>
      </c>
      <c r="F352" s="1">
        <f ca="1">IFERROR(__xludf.DUMMYFUNCTION("""COMPUTED_VALUE"""),14)</f>
        <v>14</v>
      </c>
      <c r="G352" s="1">
        <f ca="1">IFERROR(__xludf.DUMMYFUNCTION("""COMPUTED_VALUE"""),0)</f>
        <v>0</v>
      </c>
      <c r="H352" s="1">
        <f ca="1">IFERROR(__xludf.DUMMYFUNCTION("""COMPUTED_VALUE"""),14)</f>
        <v>14</v>
      </c>
      <c r="I352" s="1">
        <f ca="1">IFERROR(__xludf.DUMMYFUNCTION("""COMPUTED_VALUE"""),14)</f>
        <v>14</v>
      </c>
      <c r="J352" s="1">
        <f ca="1">IFERROR(__xludf.DUMMYFUNCTION("""COMPUTED_VALUE"""),0)</f>
        <v>0</v>
      </c>
      <c r="K352" s="1">
        <f ca="1">IFERROR(__xludf.DUMMYFUNCTION("""COMPUTED_VALUE"""),0)</f>
        <v>0</v>
      </c>
      <c r="L352" s="1">
        <f ca="1">IFERROR(__xludf.DUMMYFUNCTION("""COMPUTED_VALUE"""),0)</f>
        <v>0</v>
      </c>
      <c r="M352" s="1">
        <f ca="1">IFERROR(__xludf.DUMMYFUNCTION("""COMPUTED_VALUE"""),0)</f>
        <v>0</v>
      </c>
      <c r="N352" s="1">
        <f ca="1">IFERROR(__xludf.DUMMYFUNCTION("""COMPUTED_VALUE"""),3)</f>
        <v>3</v>
      </c>
      <c r="O352" s="1">
        <f ca="1">IFERROR(__xludf.DUMMYFUNCTION("""COMPUTED_VALUE"""),0)</f>
        <v>0</v>
      </c>
      <c r="P352" s="1">
        <f ca="1">IFERROR(__xludf.DUMMYFUNCTION("""COMPUTED_VALUE"""),3)</f>
        <v>3</v>
      </c>
      <c r="Q352" s="1">
        <f ca="1">IFERROR(__xludf.DUMMYFUNCTION("""COMPUTED_VALUE"""),2)</f>
        <v>2</v>
      </c>
      <c r="R352" s="1">
        <f ca="1">IFERROR(__xludf.DUMMYFUNCTION("""COMPUTED_VALUE"""),0)</f>
        <v>0</v>
      </c>
      <c r="S352" s="1">
        <f ca="1">IFERROR(__xludf.DUMMYFUNCTION("""COMPUTED_VALUE"""),2)</f>
        <v>2</v>
      </c>
      <c r="T352" s="1">
        <f ca="1">IFERROR(__xludf.DUMMYFUNCTION("""COMPUTED_VALUE"""),44305.3975694444)</f>
        <v>44305.397569444402</v>
      </c>
      <c r="U352" s="1" t="str">
        <f ca="1">IFERROR(__xludf.DUMMYFUNCTION("""COMPUTED_VALUE"""),"19/04/2021")</f>
        <v>19/04/2021</v>
      </c>
    </row>
    <row r="353" spans="1:21" ht="13" x14ac:dyDescent="0.15">
      <c r="A353" s="1" t="str">
        <f t="shared" ca="1" si="0"/>
        <v>ChengalpattuAAYUSHMAAN HOLISTIC HEALTH CENTRE</v>
      </c>
      <c r="B353" s="1">
        <f ca="1">IFERROR(__xludf.DUMMYFUNCTION("""COMPUTED_VALUE"""),352)</f>
        <v>352</v>
      </c>
      <c r="C353" s="1" t="str">
        <f ca="1">IFERROR(__xludf.DUMMYFUNCTION("""COMPUTED_VALUE"""),"Chengalpattu")</f>
        <v>Chengalpattu</v>
      </c>
      <c r="D353" s="1" t="str">
        <f ca="1">IFERROR(__xludf.DUMMYFUNCTION("""COMPUTED_VALUE"""),"AAYUSHMAAN HOLISTIC HEALTH CENTRE")</f>
        <v>AAYUSHMAAN HOLISTIC HEALTH CENTRE</v>
      </c>
      <c r="E353" s="1">
        <f ca="1">IFERROR(__xludf.DUMMYFUNCTION("""COMPUTED_VALUE"""),30)</f>
        <v>30</v>
      </c>
      <c r="F353" s="1">
        <f ca="1">IFERROR(__xludf.DUMMYFUNCTION("""COMPUTED_VALUE"""),27)</f>
        <v>27</v>
      </c>
      <c r="G353" s="1">
        <f ca="1">IFERROR(__xludf.DUMMYFUNCTION("""COMPUTED_VALUE"""),3)</f>
        <v>3</v>
      </c>
      <c r="H353" s="1">
        <f ca="1">IFERROR(__xludf.DUMMYFUNCTION("""COMPUTED_VALUE"""),5)</f>
        <v>5</v>
      </c>
      <c r="I353" s="1">
        <f ca="1">IFERROR(__xludf.DUMMYFUNCTION("""COMPUTED_VALUE"""),3)</f>
        <v>3</v>
      </c>
      <c r="J353" s="1">
        <f ca="1">IFERROR(__xludf.DUMMYFUNCTION("""COMPUTED_VALUE"""),2)</f>
        <v>2</v>
      </c>
      <c r="K353" s="1">
        <f ca="1">IFERROR(__xludf.DUMMYFUNCTION("""COMPUTED_VALUE"""),25)</f>
        <v>25</v>
      </c>
      <c r="L353" s="1">
        <f ca="1">IFERROR(__xludf.DUMMYFUNCTION("""COMPUTED_VALUE"""),25)</f>
        <v>25</v>
      </c>
      <c r="M353" s="1">
        <f ca="1">IFERROR(__xludf.DUMMYFUNCTION("""COMPUTED_VALUE"""),0)</f>
        <v>0</v>
      </c>
      <c r="N353" s="1">
        <f ca="1">IFERROR(__xludf.DUMMYFUNCTION("""COMPUTED_VALUE"""),0)</f>
        <v>0</v>
      </c>
      <c r="O353" s="1">
        <f ca="1">IFERROR(__xludf.DUMMYFUNCTION("""COMPUTED_VALUE"""),0)</f>
        <v>0</v>
      </c>
      <c r="P353" s="1">
        <f ca="1">IFERROR(__xludf.DUMMYFUNCTION("""COMPUTED_VALUE"""),0)</f>
        <v>0</v>
      </c>
      <c r="Q353" s="1">
        <f ca="1">IFERROR(__xludf.DUMMYFUNCTION("""COMPUTED_VALUE"""),0)</f>
        <v>0</v>
      </c>
      <c r="R353" s="1">
        <f ca="1">IFERROR(__xludf.DUMMYFUNCTION("""COMPUTED_VALUE"""),0)</f>
        <v>0</v>
      </c>
      <c r="S353" s="1">
        <f ca="1">IFERROR(__xludf.DUMMYFUNCTION("""COMPUTED_VALUE"""),0)</f>
        <v>0</v>
      </c>
      <c r="T353" s="1">
        <f ca="1">IFERROR(__xludf.DUMMYFUNCTION("""COMPUTED_VALUE"""),44304.4428587963)</f>
        <v>44304.442858796298</v>
      </c>
      <c r="U353" s="1" t="str">
        <f ca="1">IFERROR(__xludf.DUMMYFUNCTION("""COMPUTED_VALUE"""),"18.03-2021")</f>
        <v>18.03-2021</v>
      </c>
    </row>
    <row r="354" spans="1:21" ht="13" x14ac:dyDescent="0.15">
      <c r="A354" s="1" t="str">
        <f t="shared" ca="1" si="0"/>
        <v>KanyakumariCatherinebooth hospital,Nagercoil</v>
      </c>
      <c r="B354" s="1">
        <f ca="1">IFERROR(__xludf.DUMMYFUNCTION("""COMPUTED_VALUE"""),353)</f>
        <v>353</v>
      </c>
      <c r="C354" s="1" t="str">
        <f ca="1">IFERROR(__xludf.DUMMYFUNCTION("""COMPUTED_VALUE"""),"Kanyakumari")</f>
        <v>Kanyakumari</v>
      </c>
      <c r="D354" s="1" t="str">
        <f ca="1">IFERROR(__xludf.DUMMYFUNCTION("""COMPUTED_VALUE"""),"Catherinebooth hospital,Nagercoil")</f>
        <v>Catherinebooth hospital,Nagercoil</v>
      </c>
      <c r="E354" s="1">
        <f ca="1">IFERROR(__xludf.DUMMYFUNCTION("""COMPUTED_VALUE"""),44)</f>
        <v>44</v>
      </c>
      <c r="F354" s="1">
        <f ca="1">IFERROR(__xludf.DUMMYFUNCTION("""COMPUTED_VALUE"""),6)</f>
        <v>6</v>
      </c>
      <c r="G354" s="1">
        <f ca="1">IFERROR(__xludf.DUMMYFUNCTION("""COMPUTED_VALUE"""),38)</f>
        <v>38</v>
      </c>
      <c r="H354" s="1">
        <f ca="1">IFERROR(__xludf.DUMMYFUNCTION("""COMPUTED_VALUE"""),21)</f>
        <v>21</v>
      </c>
      <c r="I354" s="1">
        <f ca="1">IFERROR(__xludf.DUMMYFUNCTION("""COMPUTED_VALUE"""),0)</f>
        <v>0</v>
      </c>
      <c r="J354" s="1">
        <f ca="1">IFERROR(__xludf.DUMMYFUNCTION("""COMPUTED_VALUE"""),21)</f>
        <v>21</v>
      </c>
      <c r="K354" s="1">
        <f ca="1">IFERROR(__xludf.DUMMYFUNCTION("""COMPUTED_VALUE"""),17)</f>
        <v>17</v>
      </c>
      <c r="L354" s="1">
        <f ca="1">IFERROR(__xludf.DUMMYFUNCTION("""COMPUTED_VALUE"""),0)</f>
        <v>0</v>
      </c>
      <c r="M354" s="1">
        <f ca="1">IFERROR(__xludf.DUMMYFUNCTION("""COMPUTED_VALUE"""),11)</f>
        <v>11</v>
      </c>
      <c r="N354" s="1">
        <f ca="1">IFERROR(__xludf.DUMMYFUNCTION("""COMPUTED_VALUE"""),6)</f>
        <v>6</v>
      </c>
      <c r="O354" s="1">
        <f ca="1">IFERROR(__xludf.DUMMYFUNCTION("""COMPUTED_VALUE"""),0)</f>
        <v>0</v>
      </c>
      <c r="P354" s="1">
        <f ca="1">IFERROR(__xludf.DUMMYFUNCTION("""COMPUTED_VALUE"""),6)</f>
        <v>6</v>
      </c>
      <c r="Q354" s="1">
        <f ca="1">IFERROR(__xludf.DUMMYFUNCTION("""COMPUTED_VALUE"""),1)</f>
        <v>1</v>
      </c>
      <c r="R354" s="1">
        <f ca="1">IFERROR(__xludf.DUMMYFUNCTION("""COMPUTED_VALUE"""),0)</f>
        <v>0</v>
      </c>
      <c r="S354" s="1">
        <f ca="1">IFERROR(__xludf.DUMMYFUNCTION("""COMPUTED_VALUE"""),1)</f>
        <v>1</v>
      </c>
      <c r="T354" s="1">
        <f ca="1">IFERROR(__xludf.DUMMYFUNCTION("""COMPUTED_VALUE"""),44305.3185069444)</f>
        <v>44305.318506944401</v>
      </c>
      <c r="U354" s="1" t="str">
        <f ca="1">IFERROR(__xludf.DUMMYFUNCTION("""COMPUTED_VALUE"""),".")</f>
        <v>.</v>
      </c>
    </row>
    <row r="355" spans="1:21" ht="13" x14ac:dyDescent="0.15">
      <c r="A355" s="1" t="str">
        <f t="shared" ca="1" si="0"/>
        <v>TenkasiMathura Hospital, Surandai</v>
      </c>
      <c r="B355" s="1">
        <f ca="1">IFERROR(__xludf.DUMMYFUNCTION("""COMPUTED_VALUE"""),354)</f>
        <v>354</v>
      </c>
      <c r="C355" s="1" t="str">
        <f ca="1">IFERROR(__xludf.DUMMYFUNCTION("""COMPUTED_VALUE"""),"Tenkasi")</f>
        <v>Tenkasi</v>
      </c>
      <c r="D355" s="1" t="str">
        <f ca="1">IFERROR(__xludf.DUMMYFUNCTION("""COMPUTED_VALUE"""),"Mathura Hospital, Surandai")</f>
        <v>Mathura Hospital, Surandai</v>
      </c>
      <c r="E355" s="1">
        <f ca="1">IFERROR(__xludf.DUMMYFUNCTION("""COMPUTED_VALUE"""),0)</f>
        <v>0</v>
      </c>
      <c r="F355" s="1">
        <f ca="1">IFERROR(__xludf.DUMMYFUNCTION("""COMPUTED_VALUE"""),0)</f>
        <v>0</v>
      </c>
      <c r="G355" s="1">
        <f ca="1">IFERROR(__xludf.DUMMYFUNCTION("""COMPUTED_VALUE"""),0)</f>
        <v>0</v>
      </c>
      <c r="H355" s="1">
        <f ca="1">IFERROR(__xludf.DUMMYFUNCTION("""COMPUTED_VALUE"""),0)</f>
        <v>0</v>
      </c>
      <c r="I355" s="1">
        <f ca="1">IFERROR(__xludf.DUMMYFUNCTION("""COMPUTED_VALUE"""),0)</f>
        <v>0</v>
      </c>
      <c r="J355" s="1">
        <f ca="1">IFERROR(__xludf.DUMMYFUNCTION("""COMPUTED_VALUE"""),0)</f>
        <v>0</v>
      </c>
      <c r="K355" s="1">
        <f ca="1">IFERROR(__xludf.DUMMYFUNCTION("""COMPUTED_VALUE"""),0)</f>
        <v>0</v>
      </c>
      <c r="L355" s="1">
        <f ca="1">IFERROR(__xludf.DUMMYFUNCTION("""COMPUTED_VALUE"""),0)</f>
        <v>0</v>
      </c>
      <c r="M355" s="1">
        <f ca="1">IFERROR(__xludf.DUMMYFUNCTION("""COMPUTED_VALUE"""),0)</f>
        <v>0</v>
      </c>
      <c r="N355" s="1">
        <f ca="1">IFERROR(__xludf.DUMMYFUNCTION("""COMPUTED_VALUE"""),0)</f>
        <v>0</v>
      </c>
      <c r="O355" s="1">
        <f ca="1">IFERROR(__xludf.DUMMYFUNCTION("""COMPUTED_VALUE"""),0)</f>
        <v>0</v>
      </c>
      <c r="P355" s="1">
        <f ca="1">IFERROR(__xludf.DUMMYFUNCTION("""COMPUTED_VALUE"""),0)</f>
        <v>0</v>
      </c>
      <c r="Q355" s="1">
        <f ca="1">IFERROR(__xludf.DUMMYFUNCTION("""COMPUTED_VALUE"""),0)</f>
        <v>0</v>
      </c>
      <c r="R355" s="1">
        <f ca="1">IFERROR(__xludf.DUMMYFUNCTION("""COMPUTED_VALUE"""),0)</f>
        <v>0</v>
      </c>
      <c r="S355" s="1">
        <f ca="1">IFERROR(__xludf.DUMMYFUNCTION("""COMPUTED_VALUE"""),0)</f>
        <v>0</v>
      </c>
      <c r="T355" s="1">
        <f ca="1">IFERROR(__xludf.DUMMYFUNCTION("""COMPUTED_VALUE"""),44305.4013425925)</f>
        <v>44305.4013425925</v>
      </c>
      <c r="U355" s="1" t="str">
        <f ca="1">IFERROR(__xludf.DUMMYFUNCTION("""COMPUTED_VALUE"""),".")</f>
        <v>.</v>
      </c>
    </row>
    <row r="356" spans="1:21" ht="13" x14ac:dyDescent="0.15">
      <c r="A356" s="1" t="str">
        <f t="shared" ca="1" si="0"/>
        <v>ChennaiK.M Speciality Hospital, K.K Nagar</v>
      </c>
      <c r="B356" s="1">
        <f ca="1">IFERROR(__xludf.DUMMYFUNCTION("""COMPUTED_VALUE"""),355)</f>
        <v>355</v>
      </c>
      <c r="C356" s="1" t="str">
        <f ca="1">IFERROR(__xludf.DUMMYFUNCTION("""COMPUTED_VALUE"""),"Chennai")</f>
        <v>Chennai</v>
      </c>
      <c r="D356" s="1" t="str">
        <f ca="1">IFERROR(__xludf.DUMMYFUNCTION("""COMPUTED_VALUE"""),"K.M Speciality Hospital, K.K Nagar")</f>
        <v>K.M Speciality Hospital, K.K Nagar</v>
      </c>
      <c r="E356" s="1">
        <f ca="1">IFERROR(__xludf.DUMMYFUNCTION("""COMPUTED_VALUE"""),15)</f>
        <v>15</v>
      </c>
      <c r="F356" s="1">
        <f ca="1">IFERROR(__xludf.DUMMYFUNCTION("""COMPUTED_VALUE"""),23)</f>
        <v>23</v>
      </c>
      <c r="G356" s="1">
        <f ca="1">IFERROR(__xludf.DUMMYFUNCTION("""COMPUTED_VALUE"""),0)</f>
        <v>0</v>
      </c>
      <c r="H356" s="1">
        <f ca="1">IFERROR(__xludf.DUMMYFUNCTION("""COMPUTED_VALUE"""),15)</f>
        <v>15</v>
      </c>
      <c r="I356" s="1">
        <f ca="1">IFERROR(__xludf.DUMMYFUNCTION("""COMPUTED_VALUE"""),16)</f>
        <v>16</v>
      </c>
      <c r="J356" s="1">
        <f ca="1">IFERROR(__xludf.DUMMYFUNCTION("""COMPUTED_VALUE"""),0)</f>
        <v>0</v>
      </c>
      <c r="K356" s="1">
        <f ca="1">IFERROR(__xludf.DUMMYFUNCTION("""COMPUTED_VALUE"""),11)</f>
        <v>11</v>
      </c>
      <c r="L356" s="1">
        <f ca="1">IFERROR(__xludf.DUMMYFUNCTION("""COMPUTED_VALUE"""),9)</f>
        <v>9</v>
      </c>
      <c r="M356" s="1">
        <f ca="1">IFERROR(__xludf.DUMMYFUNCTION("""COMPUTED_VALUE"""),0)</f>
        <v>0</v>
      </c>
      <c r="N356" s="1">
        <f ca="1">IFERROR(__xludf.DUMMYFUNCTION("""COMPUTED_VALUE"""),0)</f>
        <v>0</v>
      </c>
      <c r="O356" s="1">
        <f ca="1">IFERROR(__xludf.DUMMYFUNCTION("""COMPUTED_VALUE"""),0)</f>
        <v>0</v>
      </c>
      <c r="P356" s="1">
        <f ca="1">IFERROR(__xludf.DUMMYFUNCTION("""COMPUTED_VALUE"""),0)</f>
        <v>0</v>
      </c>
      <c r="Q356" s="1">
        <f ca="1">IFERROR(__xludf.DUMMYFUNCTION("""COMPUTED_VALUE"""),0)</f>
        <v>0</v>
      </c>
      <c r="R356" s="1">
        <f ca="1">IFERROR(__xludf.DUMMYFUNCTION("""COMPUTED_VALUE"""),0)</f>
        <v>0</v>
      </c>
      <c r="S356" s="1">
        <f ca="1">IFERROR(__xludf.DUMMYFUNCTION("""COMPUTED_VALUE"""),0)</f>
        <v>0</v>
      </c>
      <c r="T356" s="1">
        <f ca="1">IFERROR(__xludf.DUMMYFUNCTION("""COMPUTED_VALUE"""),44305.6484375)</f>
        <v>44305.6484375</v>
      </c>
      <c r="U356" s="1" t="str">
        <f ca="1">IFERROR(__xludf.DUMMYFUNCTION("""COMPUTED_VALUE"""),"(19/4/2021)")</f>
        <v>(19/4/2021)</v>
      </c>
    </row>
    <row r="357" spans="1:21" ht="13" x14ac:dyDescent="0.15">
      <c r="A357" s="1" t="str">
        <f t="shared" ca="1" si="0"/>
        <v>TiruvallurSKS HOSPITAL</v>
      </c>
      <c r="B357" s="1">
        <f ca="1">IFERROR(__xludf.DUMMYFUNCTION("""COMPUTED_VALUE"""),356)</f>
        <v>356</v>
      </c>
      <c r="C357" s="1" t="str">
        <f ca="1">IFERROR(__xludf.DUMMYFUNCTION("""COMPUTED_VALUE"""),"Tiruvallur")</f>
        <v>Tiruvallur</v>
      </c>
      <c r="D357" s="1" t="str">
        <f ca="1">IFERROR(__xludf.DUMMYFUNCTION("""COMPUTED_VALUE"""),"SKS HOSPITAL")</f>
        <v>SKS HOSPITAL</v>
      </c>
      <c r="E357" s="1">
        <f ca="1">IFERROR(__xludf.DUMMYFUNCTION("""COMPUTED_VALUE"""),15)</f>
        <v>15</v>
      </c>
      <c r="F357" s="1">
        <f ca="1">IFERROR(__xludf.DUMMYFUNCTION("""COMPUTED_VALUE"""),14)</f>
        <v>14</v>
      </c>
      <c r="G357" s="1">
        <f ca="1">IFERROR(__xludf.DUMMYFUNCTION("""COMPUTED_VALUE"""),1)</f>
        <v>1</v>
      </c>
      <c r="H357" s="1">
        <f ca="1">IFERROR(__xludf.DUMMYFUNCTION("""COMPUTED_VALUE"""),15)</f>
        <v>15</v>
      </c>
      <c r="I357" s="1">
        <f ca="1">IFERROR(__xludf.DUMMYFUNCTION("""COMPUTED_VALUE"""),14)</f>
        <v>14</v>
      </c>
      <c r="J357" s="1">
        <f ca="1">IFERROR(__xludf.DUMMYFUNCTION("""COMPUTED_VALUE"""),1)</f>
        <v>1</v>
      </c>
      <c r="K357" s="1">
        <f ca="1">IFERROR(__xludf.DUMMYFUNCTION("""COMPUTED_VALUE"""),0)</f>
        <v>0</v>
      </c>
      <c r="L357" s="1">
        <f ca="1">IFERROR(__xludf.DUMMYFUNCTION("""COMPUTED_VALUE"""),0)</f>
        <v>0</v>
      </c>
      <c r="M357" s="1">
        <f ca="1">IFERROR(__xludf.DUMMYFUNCTION("""COMPUTED_VALUE"""),0)</f>
        <v>0</v>
      </c>
      <c r="N357" s="1">
        <f ca="1">IFERROR(__xludf.DUMMYFUNCTION("""COMPUTED_VALUE"""),3)</f>
        <v>3</v>
      </c>
      <c r="O357" s="1">
        <f ca="1">IFERROR(__xludf.DUMMYFUNCTION("""COMPUTED_VALUE"""),0)</f>
        <v>0</v>
      </c>
      <c r="P357" s="1">
        <f ca="1">IFERROR(__xludf.DUMMYFUNCTION("""COMPUTED_VALUE"""),3)</f>
        <v>3</v>
      </c>
      <c r="Q357" s="1">
        <f ca="1">IFERROR(__xludf.DUMMYFUNCTION("""COMPUTED_VALUE"""),3)</f>
        <v>3</v>
      </c>
      <c r="R357" s="1">
        <f ca="1">IFERROR(__xludf.DUMMYFUNCTION("""COMPUTED_VALUE"""),0)</f>
        <v>0</v>
      </c>
      <c r="S357" s="1">
        <f ca="1">IFERROR(__xludf.DUMMYFUNCTION("""COMPUTED_VALUE"""),3)</f>
        <v>3</v>
      </c>
      <c r="T357" s="1">
        <f ca="1">IFERROR(__xludf.DUMMYFUNCTION("""COMPUTED_VALUE"""),44305.3070138888)</f>
        <v>44305.3070138888</v>
      </c>
      <c r="U357" s="1" t="str">
        <f ca="1">IFERROR(__xludf.DUMMYFUNCTION("""COMPUTED_VALUE"""),"19.04.2021")</f>
        <v>19.04.2021</v>
      </c>
    </row>
    <row r="358" spans="1:21" ht="13" x14ac:dyDescent="0.15">
      <c r="A358" s="1" t="str">
        <f t="shared" ca="1" si="0"/>
        <v>ThiruvarurP.K.T Nursing Home, Thiruthuraipoondi</v>
      </c>
      <c r="B358" s="1">
        <f ca="1">IFERROR(__xludf.DUMMYFUNCTION("""COMPUTED_VALUE"""),357)</f>
        <v>357</v>
      </c>
      <c r="C358" s="1" t="str">
        <f ca="1">IFERROR(__xludf.DUMMYFUNCTION("""COMPUTED_VALUE"""),"Thiruvarur")</f>
        <v>Thiruvarur</v>
      </c>
      <c r="D358" s="1" t="str">
        <f ca="1">IFERROR(__xludf.DUMMYFUNCTION("""COMPUTED_VALUE"""),"P.K.T Nursing Home, Thiruthuraipoondi")</f>
        <v>P.K.T Nursing Home, Thiruthuraipoondi</v>
      </c>
      <c r="E358" s="1">
        <f ca="1">IFERROR(__xludf.DUMMYFUNCTION("""COMPUTED_VALUE"""),15)</f>
        <v>15</v>
      </c>
      <c r="F358" s="1">
        <f ca="1">IFERROR(__xludf.DUMMYFUNCTION("""COMPUTED_VALUE"""),0)</f>
        <v>0</v>
      </c>
      <c r="G358" s="1">
        <f ca="1">IFERROR(__xludf.DUMMYFUNCTION("""COMPUTED_VALUE"""),15)</f>
        <v>15</v>
      </c>
      <c r="H358" s="1">
        <f ca="1">IFERROR(__xludf.DUMMYFUNCTION("""COMPUTED_VALUE"""),15)</f>
        <v>15</v>
      </c>
      <c r="I358" s="1">
        <f ca="1">IFERROR(__xludf.DUMMYFUNCTION("""COMPUTED_VALUE"""),0)</f>
        <v>0</v>
      </c>
      <c r="J358" s="1">
        <f ca="1">IFERROR(__xludf.DUMMYFUNCTION("""COMPUTED_VALUE"""),15)</f>
        <v>15</v>
      </c>
      <c r="K358" s="1">
        <f ca="1">IFERROR(__xludf.DUMMYFUNCTION("""COMPUTED_VALUE"""),0)</f>
        <v>0</v>
      </c>
      <c r="L358" s="1">
        <f ca="1">IFERROR(__xludf.DUMMYFUNCTION("""COMPUTED_VALUE"""),0)</f>
        <v>0</v>
      </c>
      <c r="M358" s="1">
        <f ca="1">IFERROR(__xludf.DUMMYFUNCTION("""COMPUTED_VALUE"""),0)</f>
        <v>0</v>
      </c>
      <c r="N358" s="1">
        <f ca="1">IFERROR(__xludf.DUMMYFUNCTION("""COMPUTED_VALUE"""),4)</f>
        <v>4</v>
      </c>
      <c r="O358" s="1">
        <f ca="1">IFERROR(__xludf.DUMMYFUNCTION("""COMPUTED_VALUE"""),0)</f>
        <v>0</v>
      </c>
      <c r="P358" s="1">
        <f ca="1">IFERROR(__xludf.DUMMYFUNCTION("""COMPUTED_VALUE"""),4)</f>
        <v>4</v>
      </c>
      <c r="Q358" s="1">
        <f ca="1">IFERROR(__xludf.DUMMYFUNCTION("""COMPUTED_VALUE"""),0)</f>
        <v>0</v>
      </c>
      <c r="R358" s="1">
        <f ca="1">IFERROR(__xludf.DUMMYFUNCTION("""COMPUTED_VALUE"""),0)</f>
        <v>0</v>
      </c>
      <c r="S358" s="1">
        <f ca="1">IFERROR(__xludf.DUMMYFUNCTION("""COMPUTED_VALUE"""),0)</f>
        <v>0</v>
      </c>
      <c r="T358" s="1">
        <f ca="1">IFERROR(__xludf.DUMMYFUNCTION("""COMPUTED_VALUE"""),44305.3664236111)</f>
        <v>44305.3664236111</v>
      </c>
      <c r="U358" s="1" t="str">
        <f ca="1">IFERROR(__xludf.DUMMYFUNCTION("""COMPUTED_VALUE"""),"updated 19.04.2021")</f>
        <v>updated 19.04.2021</v>
      </c>
    </row>
    <row r="359" spans="1:21" ht="13" x14ac:dyDescent="0.15">
      <c r="A359" s="1" t="str">
        <f t="shared" ca="1" si="0"/>
        <v>DindigulVadamalayan Hospital</v>
      </c>
      <c r="B359" s="1">
        <f ca="1">IFERROR(__xludf.DUMMYFUNCTION("""COMPUTED_VALUE"""),358)</f>
        <v>358</v>
      </c>
      <c r="C359" s="1" t="str">
        <f ca="1">IFERROR(__xludf.DUMMYFUNCTION("""COMPUTED_VALUE"""),"Dindigul")</f>
        <v>Dindigul</v>
      </c>
      <c r="D359" s="1" t="str">
        <f ca="1">IFERROR(__xludf.DUMMYFUNCTION("""COMPUTED_VALUE"""),"Vadamalayan Hospital")</f>
        <v>Vadamalayan Hospital</v>
      </c>
      <c r="E359" s="1">
        <f ca="1">IFERROR(__xludf.DUMMYFUNCTION("""COMPUTED_VALUE"""),37)</f>
        <v>37</v>
      </c>
      <c r="F359" s="1">
        <f ca="1">IFERROR(__xludf.DUMMYFUNCTION("""COMPUTED_VALUE"""),20)</f>
        <v>20</v>
      </c>
      <c r="G359" s="1">
        <f ca="1">IFERROR(__xludf.DUMMYFUNCTION("""COMPUTED_VALUE"""),17)</f>
        <v>17</v>
      </c>
      <c r="H359" s="1">
        <f ca="1">IFERROR(__xludf.DUMMYFUNCTION("""COMPUTED_VALUE"""),32)</f>
        <v>32</v>
      </c>
      <c r="I359" s="1">
        <f ca="1">IFERROR(__xludf.DUMMYFUNCTION("""COMPUTED_VALUE"""),18)</f>
        <v>18</v>
      </c>
      <c r="J359" s="1">
        <f ca="1">IFERROR(__xludf.DUMMYFUNCTION("""COMPUTED_VALUE"""),14)</f>
        <v>14</v>
      </c>
      <c r="K359" s="1">
        <f ca="1">IFERROR(__xludf.DUMMYFUNCTION("""COMPUTED_VALUE"""),0)</f>
        <v>0</v>
      </c>
      <c r="L359" s="1">
        <f ca="1">IFERROR(__xludf.DUMMYFUNCTION("""COMPUTED_VALUE"""),0)</f>
        <v>0</v>
      </c>
      <c r="M359" s="1">
        <f ca="1">IFERROR(__xludf.DUMMYFUNCTION("""COMPUTED_VALUE"""),0)</f>
        <v>0</v>
      </c>
      <c r="N359" s="1">
        <f ca="1">IFERROR(__xludf.DUMMYFUNCTION("""COMPUTED_VALUE"""),5)</f>
        <v>5</v>
      </c>
      <c r="O359" s="1">
        <f ca="1">IFERROR(__xludf.DUMMYFUNCTION("""COMPUTED_VALUE"""),2)</f>
        <v>2</v>
      </c>
      <c r="P359" s="1">
        <f ca="1">IFERROR(__xludf.DUMMYFUNCTION("""COMPUTED_VALUE"""),3)</f>
        <v>3</v>
      </c>
      <c r="Q359" s="1">
        <f ca="1">IFERROR(__xludf.DUMMYFUNCTION("""COMPUTED_VALUE"""),5)</f>
        <v>5</v>
      </c>
      <c r="R359" s="1">
        <f ca="1">IFERROR(__xludf.DUMMYFUNCTION("""COMPUTED_VALUE"""),0)</f>
        <v>0</v>
      </c>
      <c r="S359" s="1">
        <f ca="1">IFERROR(__xludf.DUMMYFUNCTION("""COMPUTED_VALUE"""),5)</f>
        <v>5</v>
      </c>
      <c r="T359" s="1">
        <f ca="1">IFERROR(__xludf.DUMMYFUNCTION("""COMPUTED_VALUE"""),44305.2993055555)</f>
        <v>44305.299305555498</v>
      </c>
      <c r="U359" s="1" t="str">
        <f ca="1">IFERROR(__xludf.DUMMYFUNCTION("""COMPUTED_VALUE"""),"updated 19-04-2021")</f>
        <v>updated 19-04-2021</v>
      </c>
    </row>
    <row r="360" spans="1:21" ht="13" x14ac:dyDescent="0.15">
      <c r="A360" s="1" t="str">
        <f t="shared" ca="1" si="0"/>
        <v>ChennaiMOHAN NURSING HOME, VILLIVAKKAM</v>
      </c>
      <c r="B360" s="1">
        <f ca="1">IFERROR(__xludf.DUMMYFUNCTION("""COMPUTED_VALUE"""),359)</f>
        <v>359</v>
      </c>
      <c r="C360" s="1" t="str">
        <f ca="1">IFERROR(__xludf.DUMMYFUNCTION("""COMPUTED_VALUE"""),"Chennai")</f>
        <v>Chennai</v>
      </c>
      <c r="D360" s="1" t="str">
        <f ca="1">IFERROR(__xludf.DUMMYFUNCTION("""COMPUTED_VALUE"""),"MOHAN NURSING HOME, VILLIVAKKAM")</f>
        <v>MOHAN NURSING HOME, VILLIVAKKAM</v>
      </c>
      <c r="E360" s="1">
        <f ca="1">IFERROR(__xludf.DUMMYFUNCTION("""COMPUTED_VALUE"""),8)</f>
        <v>8</v>
      </c>
      <c r="F360" s="1">
        <f ca="1">IFERROR(__xludf.DUMMYFUNCTION("""COMPUTED_VALUE"""),0)</f>
        <v>0</v>
      </c>
      <c r="G360" s="1">
        <f ca="1">IFERROR(__xludf.DUMMYFUNCTION("""COMPUTED_VALUE"""),8)</f>
        <v>8</v>
      </c>
      <c r="H360" s="1">
        <f ca="1">IFERROR(__xludf.DUMMYFUNCTION("""COMPUTED_VALUE"""),4)</f>
        <v>4</v>
      </c>
      <c r="I360" s="1">
        <f ca="1">IFERROR(__xludf.DUMMYFUNCTION("""COMPUTED_VALUE"""),0)</f>
        <v>0</v>
      </c>
      <c r="J360" s="1">
        <f ca="1">IFERROR(__xludf.DUMMYFUNCTION("""COMPUTED_VALUE"""),4)</f>
        <v>4</v>
      </c>
      <c r="K360" s="1">
        <f ca="1">IFERROR(__xludf.DUMMYFUNCTION("""COMPUTED_VALUE"""),4)</f>
        <v>4</v>
      </c>
      <c r="L360" s="1">
        <f ca="1">IFERROR(__xludf.DUMMYFUNCTION("""COMPUTED_VALUE"""),0)</f>
        <v>0</v>
      </c>
      <c r="M360" s="1">
        <f ca="1">IFERROR(__xludf.DUMMYFUNCTION("""COMPUTED_VALUE"""),4)</f>
        <v>4</v>
      </c>
      <c r="N360" s="1">
        <f ca="1">IFERROR(__xludf.DUMMYFUNCTION("""COMPUTED_VALUE"""),0)</f>
        <v>0</v>
      </c>
      <c r="O360" s="1">
        <f ca="1">IFERROR(__xludf.DUMMYFUNCTION("""COMPUTED_VALUE"""),0)</f>
        <v>0</v>
      </c>
      <c r="P360" s="1">
        <f ca="1">IFERROR(__xludf.DUMMYFUNCTION("""COMPUTED_VALUE"""),0)</f>
        <v>0</v>
      </c>
      <c r="Q360" s="1">
        <f ca="1">IFERROR(__xludf.DUMMYFUNCTION("""COMPUTED_VALUE"""),0)</f>
        <v>0</v>
      </c>
      <c r="R360" s="1">
        <f ca="1">IFERROR(__xludf.DUMMYFUNCTION("""COMPUTED_VALUE"""),0)</f>
        <v>0</v>
      </c>
      <c r="S360" s="1">
        <f ca="1">IFERROR(__xludf.DUMMYFUNCTION("""COMPUTED_VALUE"""),0)</f>
        <v>0</v>
      </c>
      <c r="T360" s="1">
        <f ca="1">IFERROR(__xludf.DUMMYFUNCTION("""COMPUTED_VALUE"""),44305.221261574)</f>
        <v>44305.221261573999</v>
      </c>
      <c r="U360" s="1">
        <f ca="1">IFERROR(__xludf.DUMMYFUNCTION("""COMPUTED_VALUE"""),0.817835648148148)</f>
        <v>0.81783564814814802</v>
      </c>
    </row>
    <row r="361" spans="1:21" ht="13" x14ac:dyDescent="0.15">
      <c r="A361" s="1" t="str">
        <f t="shared" ca="1" si="0"/>
        <v>ChennaiBest Hospitals,Kodambakkam</v>
      </c>
      <c r="B361" s="1">
        <f ca="1">IFERROR(__xludf.DUMMYFUNCTION("""COMPUTED_VALUE"""),360)</f>
        <v>360</v>
      </c>
      <c r="C361" s="1" t="str">
        <f ca="1">IFERROR(__xludf.DUMMYFUNCTION("""COMPUTED_VALUE"""),"Chennai")</f>
        <v>Chennai</v>
      </c>
      <c r="D361" s="1" t="str">
        <f ca="1">IFERROR(__xludf.DUMMYFUNCTION("""COMPUTED_VALUE"""),"Best Hospitals,Kodambakkam")</f>
        <v>Best Hospitals,Kodambakkam</v>
      </c>
      <c r="E361" s="1">
        <f ca="1">IFERROR(__xludf.DUMMYFUNCTION("""COMPUTED_VALUE"""),30)</f>
        <v>30</v>
      </c>
      <c r="F361" s="1">
        <f ca="1">IFERROR(__xludf.DUMMYFUNCTION("""COMPUTED_VALUE"""),24)</f>
        <v>24</v>
      </c>
      <c r="G361" s="1">
        <f ca="1">IFERROR(__xludf.DUMMYFUNCTION("""COMPUTED_VALUE"""),6)</f>
        <v>6</v>
      </c>
      <c r="H361" s="1">
        <f ca="1">IFERROR(__xludf.DUMMYFUNCTION("""COMPUTED_VALUE"""),15)</f>
        <v>15</v>
      </c>
      <c r="I361" s="1">
        <f ca="1">IFERROR(__xludf.DUMMYFUNCTION("""COMPUTED_VALUE"""),5)</f>
        <v>5</v>
      </c>
      <c r="J361" s="1">
        <f ca="1">IFERROR(__xludf.DUMMYFUNCTION("""COMPUTED_VALUE"""),10)</f>
        <v>10</v>
      </c>
      <c r="K361" s="1">
        <f ca="1">IFERROR(__xludf.DUMMYFUNCTION("""COMPUTED_VALUE"""),0)</f>
        <v>0</v>
      </c>
      <c r="L361" s="1">
        <f ca="1">IFERROR(__xludf.DUMMYFUNCTION("""COMPUTED_VALUE"""),0)</f>
        <v>0</v>
      </c>
      <c r="M361" s="1">
        <f ca="1">IFERROR(__xludf.DUMMYFUNCTION("""COMPUTED_VALUE"""),0)</f>
        <v>0</v>
      </c>
      <c r="N361" s="1">
        <f ca="1">IFERROR(__xludf.DUMMYFUNCTION("""COMPUTED_VALUE"""),15)</f>
        <v>15</v>
      </c>
      <c r="O361" s="1">
        <f ca="1">IFERROR(__xludf.DUMMYFUNCTION("""COMPUTED_VALUE"""),3)</f>
        <v>3</v>
      </c>
      <c r="P361" s="1">
        <f ca="1">IFERROR(__xludf.DUMMYFUNCTION("""COMPUTED_VALUE"""),12)</f>
        <v>12</v>
      </c>
      <c r="Q361" s="1">
        <f ca="1">IFERROR(__xludf.DUMMYFUNCTION("""COMPUTED_VALUE"""),2)</f>
        <v>2</v>
      </c>
      <c r="R361" s="1">
        <f ca="1">IFERROR(__xludf.DUMMYFUNCTION("""COMPUTED_VALUE"""),0)</f>
        <v>0</v>
      </c>
      <c r="S361" s="1">
        <f ca="1">IFERROR(__xludf.DUMMYFUNCTION("""COMPUTED_VALUE"""),2)</f>
        <v>2</v>
      </c>
      <c r="T361" s="1">
        <f ca="1">IFERROR(__xludf.DUMMYFUNCTION("""COMPUTED_VALUE"""),44305.4313541666)</f>
        <v>44305.431354166598</v>
      </c>
      <c r="U361" s="1" t="str">
        <f ca="1">IFERROR(__xludf.DUMMYFUNCTION("""COMPUTED_VALUE"""),"19.04.2021")</f>
        <v>19.04.2021</v>
      </c>
    </row>
    <row r="362" spans="1:21" ht="13" x14ac:dyDescent="0.15">
      <c r="A362" s="1" t="str">
        <f t="shared" ca="1" si="0"/>
        <v>ThiruvarurRaj Hospital, Mannargudi</v>
      </c>
      <c r="B362" s="1">
        <f ca="1">IFERROR(__xludf.DUMMYFUNCTION("""COMPUTED_VALUE"""),361)</f>
        <v>361</v>
      </c>
      <c r="C362" s="1" t="str">
        <f ca="1">IFERROR(__xludf.DUMMYFUNCTION("""COMPUTED_VALUE"""),"Thiruvarur")</f>
        <v>Thiruvarur</v>
      </c>
      <c r="D362" s="1" t="str">
        <f ca="1">IFERROR(__xludf.DUMMYFUNCTION("""COMPUTED_VALUE"""),"Raj Hospital, Mannargudi")</f>
        <v>Raj Hospital, Mannargudi</v>
      </c>
      <c r="E362" s="1">
        <f ca="1">IFERROR(__xludf.DUMMYFUNCTION("""COMPUTED_VALUE"""),15)</f>
        <v>15</v>
      </c>
      <c r="F362" s="1">
        <f ca="1">IFERROR(__xludf.DUMMYFUNCTION("""COMPUTED_VALUE"""),7)</f>
        <v>7</v>
      </c>
      <c r="G362" s="1">
        <f ca="1">IFERROR(__xludf.DUMMYFUNCTION("""COMPUTED_VALUE"""),8)</f>
        <v>8</v>
      </c>
      <c r="H362" s="1">
        <f ca="1">IFERROR(__xludf.DUMMYFUNCTION("""COMPUTED_VALUE"""),15)</f>
        <v>15</v>
      </c>
      <c r="I362" s="1">
        <f ca="1">IFERROR(__xludf.DUMMYFUNCTION("""COMPUTED_VALUE"""),1)</f>
        <v>1</v>
      </c>
      <c r="J362" s="1">
        <f ca="1">IFERROR(__xludf.DUMMYFUNCTION("""COMPUTED_VALUE"""),14)</f>
        <v>14</v>
      </c>
      <c r="K362" s="1">
        <f ca="1">IFERROR(__xludf.DUMMYFUNCTION("""COMPUTED_VALUE"""),0)</f>
        <v>0</v>
      </c>
      <c r="L362" s="1">
        <f ca="1">IFERROR(__xludf.DUMMYFUNCTION("""COMPUTED_VALUE"""),0)</f>
        <v>0</v>
      </c>
      <c r="M362" s="1">
        <f ca="1">IFERROR(__xludf.DUMMYFUNCTION("""COMPUTED_VALUE"""),0)</f>
        <v>0</v>
      </c>
      <c r="N362" s="1">
        <f ca="1">IFERROR(__xludf.DUMMYFUNCTION("""COMPUTED_VALUE"""),0)</f>
        <v>0</v>
      </c>
      <c r="O362" s="1">
        <f ca="1">IFERROR(__xludf.DUMMYFUNCTION("""COMPUTED_VALUE"""),0)</f>
        <v>0</v>
      </c>
      <c r="P362" s="1">
        <f ca="1">IFERROR(__xludf.DUMMYFUNCTION("""COMPUTED_VALUE"""),0)</f>
        <v>0</v>
      </c>
      <c r="Q362" s="1">
        <f ca="1">IFERROR(__xludf.DUMMYFUNCTION("""COMPUTED_VALUE"""),0)</f>
        <v>0</v>
      </c>
      <c r="R362" s="1">
        <f ca="1">IFERROR(__xludf.DUMMYFUNCTION("""COMPUTED_VALUE"""),0)</f>
        <v>0</v>
      </c>
      <c r="S362" s="1">
        <f ca="1">IFERROR(__xludf.DUMMYFUNCTION("""COMPUTED_VALUE"""),0)</f>
        <v>0</v>
      </c>
      <c r="T362" s="1">
        <f ca="1">IFERROR(__xludf.DUMMYFUNCTION("""COMPUTED_VALUE"""),44305.3268518518)</f>
        <v>44305.326851851802</v>
      </c>
      <c r="U362" s="1" t="str">
        <f ca="1">IFERROR(__xludf.DUMMYFUNCTION("""COMPUTED_VALUE"""),"19.04.2021")</f>
        <v>19.04.2021</v>
      </c>
    </row>
    <row r="363" spans="1:21" ht="13" x14ac:dyDescent="0.15">
      <c r="A363" s="1" t="str">
        <f t="shared" ca="1" si="0"/>
        <v>ChengalpattuKasthuri Hospital , Thambaram</v>
      </c>
      <c r="B363" s="1">
        <f ca="1">IFERROR(__xludf.DUMMYFUNCTION("""COMPUTED_VALUE"""),362)</f>
        <v>362</v>
      </c>
      <c r="C363" s="1" t="str">
        <f ca="1">IFERROR(__xludf.DUMMYFUNCTION("""COMPUTED_VALUE"""),"Chengalpattu")</f>
        <v>Chengalpattu</v>
      </c>
      <c r="D363" s="1" t="str">
        <f ca="1">IFERROR(__xludf.DUMMYFUNCTION("""COMPUTED_VALUE"""),"Kasthuri Hospital , Thambaram")</f>
        <v>Kasthuri Hospital , Thambaram</v>
      </c>
      <c r="E363" s="1">
        <f ca="1">IFERROR(__xludf.DUMMYFUNCTION("""COMPUTED_VALUE"""),29)</f>
        <v>29</v>
      </c>
      <c r="F363" s="1">
        <f ca="1">IFERROR(__xludf.DUMMYFUNCTION("""COMPUTED_VALUE"""),29)</f>
        <v>29</v>
      </c>
      <c r="G363" s="1">
        <f ca="1">IFERROR(__xludf.DUMMYFUNCTION("""COMPUTED_VALUE"""),0)</f>
        <v>0</v>
      </c>
      <c r="H363" s="1">
        <f ca="1">IFERROR(__xludf.DUMMYFUNCTION("""COMPUTED_VALUE"""),26)</f>
        <v>26</v>
      </c>
      <c r="I363" s="1">
        <f ca="1">IFERROR(__xludf.DUMMYFUNCTION("""COMPUTED_VALUE"""),26)</f>
        <v>26</v>
      </c>
      <c r="J363" s="1">
        <f ca="1">IFERROR(__xludf.DUMMYFUNCTION("""COMPUTED_VALUE"""),0)</f>
        <v>0</v>
      </c>
      <c r="K363" s="1">
        <f ca="1">IFERROR(__xludf.DUMMYFUNCTION("""COMPUTED_VALUE"""),0)</f>
        <v>0</v>
      </c>
      <c r="L363" s="1">
        <f ca="1">IFERROR(__xludf.DUMMYFUNCTION("""COMPUTED_VALUE"""),0)</f>
        <v>0</v>
      </c>
      <c r="M363" s="1">
        <f ca="1">IFERROR(__xludf.DUMMYFUNCTION("""COMPUTED_VALUE"""),0)</f>
        <v>0</v>
      </c>
      <c r="N363" s="1">
        <f ca="1">IFERROR(__xludf.DUMMYFUNCTION("""COMPUTED_VALUE"""),3)</f>
        <v>3</v>
      </c>
      <c r="O363" s="1">
        <f ca="1">IFERROR(__xludf.DUMMYFUNCTION("""COMPUTED_VALUE"""),3)</f>
        <v>3</v>
      </c>
      <c r="P363" s="1">
        <f ca="1">IFERROR(__xludf.DUMMYFUNCTION("""COMPUTED_VALUE"""),0)</f>
        <v>0</v>
      </c>
      <c r="Q363" s="1">
        <f ca="1">IFERROR(__xludf.DUMMYFUNCTION("""COMPUTED_VALUE"""),3)</f>
        <v>3</v>
      </c>
      <c r="R363" s="1">
        <f ca="1">IFERROR(__xludf.DUMMYFUNCTION("""COMPUTED_VALUE"""),0)</f>
        <v>0</v>
      </c>
      <c r="S363" s="1">
        <f ca="1">IFERROR(__xludf.DUMMYFUNCTION("""COMPUTED_VALUE"""),3)</f>
        <v>3</v>
      </c>
      <c r="T363" s="1">
        <f ca="1">IFERROR(__xludf.DUMMYFUNCTION("""COMPUTED_VALUE"""),44304.4550925925)</f>
        <v>44304.4550925925</v>
      </c>
      <c r="U363" s="1" t="str">
        <f ca="1">IFERROR(__xludf.DUMMYFUNCTION("""COMPUTED_VALUE"""),"18-04-2021")</f>
        <v>18-04-2021</v>
      </c>
    </row>
    <row r="364" spans="1:21" ht="13" x14ac:dyDescent="0.15">
      <c r="A364" s="1" t="str">
        <f t="shared" ca="1" si="0"/>
        <v>ChennaiSri Singhvi Health Centre, Purasaivakkam</v>
      </c>
      <c r="B364" s="1">
        <f ca="1">IFERROR(__xludf.DUMMYFUNCTION("""COMPUTED_VALUE"""),363)</f>
        <v>363</v>
      </c>
      <c r="C364" s="1" t="str">
        <f ca="1">IFERROR(__xludf.DUMMYFUNCTION("""COMPUTED_VALUE"""),"Chennai")</f>
        <v>Chennai</v>
      </c>
      <c r="D364" s="1" t="str">
        <f ca="1">IFERROR(__xludf.DUMMYFUNCTION("""COMPUTED_VALUE"""),"Sri Singhvi Health Centre, Purasaivakkam")</f>
        <v>Sri Singhvi Health Centre, Purasaivakkam</v>
      </c>
      <c r="E364" s="1">
        <f ca="1">IFERROR(__xludf.DUMMYFUNCTION("""COMPUTED_VALUE"""),20)</f>
        <v>20</v>
      </c>
      <c r="F364" s="1">
        <f ca="1">IFERROR(__xludf.DUMMYFUNCTION("""COMPUTED_VALUE"""),19)</f>
        <v>19</v>
      </c>
      <c r="G364" s="1">
        <f ca="1">IFERROR(__xludf.DUMMYFUNCTION("""COMPUTED_VALUE"""),1)</f>
        <v>1</v>
      </c>
      <c r="H364" s="1">
        <f ca="1">IFERROR(__xludf.DUMMYFUNCTION("""COMPUTED_VALUE"""),15)</f>
        <v>15</v>
      </c>
      <c r="I364" s="1">
        <f ca="1">IFERROR(__xludf.DUMMYFUNCTION("""COMPUTED_VALUE"""),11)</f>
        <v>11</v>
      </c>
      <c r="J364" s="1">
        <f ca="1">IFERROR(__xludf.DUMMYFUNCTION("""COMPUTED_VALUE"""),4)</f>
        <v>4</v>
      </c>
      <c r="K364" s="1">
        <f ca="1">IFERROR(__xludf.DUMMYFUNCTION("""COMPUTED_VALUE"""),5)</f>
        <v>5</v>
      </c>
      <c r="L364" s="1">
        <f ca="1">IFERROR(__xludf.DUMMYFUNCTION("""COMPUTED_VALUE"""),2)</f>
        <v>2</v>
      </c>
      <c r="M364" s="1">
        <f ca="1">IFERROR(__xludf.DUMMYFUNCTION("""COMPUTED_VALUE"""),3)</f>
        <v>3</v>
      </c>
      <c r="N364" s="1">
        <f ca="1">IFERROR(__xludf.DUMMYFUNCTION("""COMPUTED_VALUE"""),0)</f>
        <v>0</v>
      </c>
      <c r="O364" s="1">
        <f ca="1">IFERROR(__xludf.DUMMYFUNCTION("""COMPUTED_VALUE"""),0)</f>
        <v>0</v>
      </c>
      <c r="P364" s="1">
        <f ca="1">IFERROR(__xludf.DUMMYFUNCTION("""COMPUTED_VALUE"""),0)</f>
        <v>0</v>
      </c>
      <c r="Q364" s="1">
        <f ca="1">IFERROR(__xludf.DUMMYFUNCTION("""COMPUTED_VALUE"""),0)</f>
        <v>0</v>
      </c>
      <c r="R364" s="1">
        <f ca="1">IFERROR(__xludf.DUMMYFUNCTION("""COMPUTED_VALUE"""),0)</f>
        <v>0</v>
      </c>
      <c r="S364" s="1">
        <f ca="1">IFERROR(__xludf.DUMMYFUNCTION("""COMPUTED_VALUE"""),0)</f>
        <v>0</v>
      </c>
      <c r="T364" s="1">
        <f ca="1">IFERROR(__xludf.DUMMYFUNCTION("""COMPUTED_VALUE"""),44305.324537037)</f>
        <v>44305.324537036999</v>
      </c>
      <c r="U364" s="1" t="str">
        <f ca="1">IFERROR(__xludf.DUMMYFUNCTION("""COMPUTED_VALUE"""),"19.04.2021")</f>
        <v>19.04.2021</v>
      </c>
    </row>
    <row r="365" spans="1:21" ht="13" x14ac:dyDescent="0.15">
      <c r="A365" s="1" t="str">
        <f t="shared" ca="1" si="0"/>
        <v>NamakkalVisaalam Hospital</v>
      </c>
      <c r="B365" s="1">
        <f ca="1">IFERROR(__xludf.DUMMYFUNCTION("""COMPUTED_VALUE"""),364)</f>
        <v>364</v>
      </c>
      <c r="C365" s="1" t="str">
        <f ca="1">IFERROR(__xludf.DUMMYFUNCTION("""COMPUTED_VALUE"""),"Namakkal")</f>
        <v>Namakkal</v>
      </c>
      <c r="D365" s="1" t="str">
        <f ca="1">IFERROR(__xludf.DUMMYFUNCTION("""COMPUTED_VALUE"""),"Visaalam Hospital")</f>
        <v>Visaalam Hospital</v>
      </c>
      <c r="E365" s="1">
        <f ca="1">IFERROR(__xludf.DUMMYFUNCTION("""COMPUTED_VALUE"""),20)</f>
        <v>20</v>
      </c>
      <c r="F365" s="1">
        <f ca="1">IFERROR(__xludf.DUMMYFUNCTION("""COMPUTED_VALUE"""),11)</f>
        <v>11</v>
      </c>
      <c r="G365" s="1">
        <f ca="1">IFERROR(__xludf.DUMMYFUNCTION("""COMPUTED_VALUE"""),9)</f>
        <v>9</v>
      </c>
      <c r="H365" s="1">
        <f ca="1">IFERROR(__xludf.DUMMYFUNCTION("""COMPUTED_VALUE"""),7)</f>
        <v>7</v>
      </c>
      <c r="I365" s="1">
        <f ca="1">IFERROR(__xludf.DUMMYFUNCTION("""COMPUTED_VALUE"""),7)</f>
        <v>7</v>
      </c>
      <c r="J365" s="1">
        <f ca="1">IFERROR(__xludf.DUMMYFUNCTION("""COMPUTED_VALUE"""),0)</f>
        <v>0</v>
      </c>
      <c r="K365" s="1">
        <f ca="1">IFERROR(__xludf.DUMMYFUNCTION("""COMPUTED_VALUE"""),13)</f>
        <v>13</v>
      </c>
      <c r="L365" s="1">
        <f ca="1">IFERROR(__xludf.DUMMYFUNCTION("""COMPUTED_VALUE"""),4)</f>
        <v>4</v>
      </c>
      <c r="M365" s="1">
        <f ca="1">IFERROR(__xludf.DUMMYFUNCTION("""COMPUTED_VALUE"""),9)</f>
        <v>9</v>
      </c>
      <c r="N365" s="1">
        <f ca="1">IFERROR(__xludf.DUMMYFUNCTION("""COMPUTED_VALUE"""),5)</f>
        <v>5</v>
      </c>
      <c r="O365" s="1">
        <f ca="1">IFERROR(__xludf.DUMMYFUNCTION("""COMPUTED_VALUE"""),0)</f>
        <v>0</v>
      </c>
      <c r="P365" s="1">
        <f ca="1">IFERROR(__xludf.DUMMYFUNCTION("""COMPUTED_VALUE"""),5)</f>
        <v>5</v>
      </c>
      <c r="Q365" s="1">
        <f ca="1">IFERROR(__xludf.DUMMYFUNCTION("""COMPUTED_VALUE"""),1)</f>
        <v>1</v>
      </c>
      <c r="R365" s="1">
        <f ca="1">IFERROR(__xludf.DUMMYFUNCTION("""COMPUTED_VALUE"""),0)</f>
        <v>0</v>
      </c>
      <c r="S365" s="1">
        <f ca="1">IFERROR(__xludf.DUMMYFUNCTION("""COMPUTED_VALUE"""),1)</f>
        <v>1</v>
      </c>
      <c r="T365" s="1">
        <f ca="1">IFERROR(__xludf.DUMMYFUNCTION("""COMPUTED_VALUE"""),44304.3078472222)</f>
        <v>44304.307847222197</v>
      </c>
      <c r="U365" s="1" t="str">
        <f ca="1">IFERROR(__xludf.DUMMYFUNCTION("""COMPUTED_VALUE"""),"Report Submitted on 18. 04.2021")</f>
        <v>Report Submitted on 18. 04.2021</v>
      </c>
    </row>
    <row r="366" spans="1:21" ht="13" x14ac:dyDescent="0.15">
      <c r="A366" s="1" t="str">
        <f t="shared" ca="1" si="0"/>
        <v>KrishnagiriGunam super speciality hospital,Hosur</v>
      </c>
      <c r="B366" s="1">
        <f ca="1">IFERROR(__xludf.DUMMYFUNCTION("""COMPUTED_VALUE"""),365)</f>
        <v>365</v>
      </c>
      <c r="C366" s="1" t="str">
        <f ca="1">IFERROR(__xludf.DUMMYFUNCTION("""COMPUTED_VALUE"""),"Krishnagiri")</f>
        <v>Krishnagiri</v>
      </c>
      <c r="D366" s="1" t="str">
        <f ca="1">IFERROR(__xludf.DUMMYFUNCTION("""COMPUTED_VALUE"""),"Gunam super speciality hospital,Hosur")</f>
        <v>Gunam super speciality hospital,Hosur</v>
      </c>
      <c r="E366" s="1">
        <f ca="1">IFERROR(__xludf.DUMMYFUNCTION("""COMPUTED_VALUE"""),50)</f>
        <v>50</v>
      </c>
      <c r="F366" s="1">
        <f ca="1">IFERROR(__xludf.DUMMYFUNCTION("""COMPUTED_VALUE"""),34)</f>
        <v>34</v>
      </c>
      <c r="G366" s="1">
        <f ca="1">IFERROR(__xludf.DUMMYFUNCTION("""COMPUTED_VALUE"""),16)</f>
        <v>16</v>
      </c>
      <c r="H366" s="1">
        <f ca="1">IFERROR(__xludf.DUMMYFUNCTION("""COMPUTED_VALUE"""),0)</f>
        <v>0</v>
      </c>
      <c r="I366" s="1">
        <f ca="1">IFERROR(__xludf.DUMMYFUNCTION("""COMPUTED_VALUE"""),0)</f>
        <v>0</v>
      </c>
      <c r="J366" s="1">
        <f ca="1">IFERROR(__xludf.DUMMYFUNCTION("""COMPUTED_VALUE"""),0)</f>
        <v>0</v>
      </c>
      <c r="K366" s="1">
        <f ca="1">IFERROR(__xludf.DUMMYFUNCTION("""COMPUTED_VALUE"""),0)</f>
        <v>0</v>
      </c>
      <c r="L366" s="1">
        <f ca="1">IFERROR(__xludf.DUMMYFUNCTION("""COMPUTED_VALUE"""),0)</f>
        <v>0</v>
      </c>
      <c r="M366" s="1">
        <f ca="1">IFERROR(__xludf.DUMMYFUNCTION("""COMPUTED_VALUE"""),0)</f>
        <v>0</v>
      </c>
      <c r="N366" s="1">
        <f ca="1">IFERROR(__xludf.DUMMYFUNCTION("""COMPUTED_VALUE"""),0)</f>
        <v>0</v>
      </c>
      <c r="O366" s="1">
        <f ca="1">IFERROR(__xludf.DUMMYFUNCTION("""COMPUTED_VALUE"""),0)</f>
        <v>0</v>
      </c>
      <c r="P366" s="1">
        <f ca="1">IFERROR(__xludf.DUMMYFUNCTION("""COMPUTED_VALUE"""),0)</f>
        <v>0</v>
      </c>
      <c r="Q366" s="1">
        <f ca="1">IFERROR(__xludf.DUMMYFUNCTION("""COMPUTED_VALUE"""),0)</f>
        <v>0</v>
      </c>
      <c r="R366" s="1">
        <f ca="1">IFERROR(__xludf.DUMMYFUNCTION("""COMPUTED_VALUE"""),0)</f>
        <v>0</v>
      </c>
      <c r="S366" s="1">
        <f ca="1">IFERROR(__xludf.DUMMYFUNCTION("""COMPUTED_VALUE"""),0)</f>
        <v>0</v>
      </c>
      <c r="T366" s="1">
        <f ca="1">IFERROR(__xludf.DUMMYFUNCTION("""COMPUTED_VALUE"""),44305.435162037)</f>
        <v>44305.435162037</v>
      </c>
      <c r="U366" s="1" t="str">
        <f ca="1">IFERROR(__xludf.DUMMYFUNCTION("""COMPUTED_VALUE"""),"Nil")</f>
        <v>Nil</v>
      </c>
    </row>
    <row r="367" spans="1:21" ht="13" x14ac:dyDescent="0.15">
      <c r="A367" s="1" t="str">
        <f t="shared" ca="1" si="0"/>
        <v>SalemSree jeyam ortho &amp; multispeciality Hospital</v>
      </c>
      <c r="B367" s="1">
        <f ca="1">IFERROR(__xludf.DUMMYFUNCTION("""COMPUTED_VALUE"""),366)</f>
        <v>366</v>
      </c>
      <c r="C367" s="1" t="str">
        <f ca="1">IFERROR(__xludf.DUMMYFUNCTION("""COMPUTED_VALUE"""),"Salem")</f>
        <v>Salem</v>
      </c>
      <c r="D367" s="1" t="str">
        <f ca="1">IFERROR(__xludf.DUMMYFUNCTION("""COMPUTED_VALUE"""),"Sree jeyam ortho &amp; multispeciality Hospital")</f>
        <v>Sree jeyam ortho &amp; multispeciality Hospital</v>
      </c>
      <c r="E367" s="1">
        <f ca="1">IFERROR(__xludf.DUMMYFUNCTION("""COMPUTED_VALUE"""),6)</f>
        <v>6</v>
      </c>
      <c r="F367" s="1">
        <f ca="1">IFERROR(__xludf.DUMMYFUNCTION("""COMPUTED_VALUE"""),3)</f>
        <v>3</v>
      </c>
      <c r="G367" s="1">
        <f ca="1">IFERROR(__xludf.DUMMYFUNCTION("""COMPUTED_VALUE"""),0)</f>
        <v>0</v>
      </c>
      <c r="H367" s="1">
        <f ca="1">IFERROR(__xludf.DUMMYFUNCTION("""COMPUTED_VALUE"""),0)</f>
        <v>0</v>
      </c>
      <c r="I367" s="1">
        <f ca="1">IFERROR(__xludf.DUMMYFUNCTION("""COMPUTED_VALUE"""),0)</f>
        <v>0</v>
      </c>
      <c r="J367" s="1">
        <f ca="1">IFERROR(__xludf.DUMMYFUNCTION("""COMPUTED_VALUE"""),0)</f>
        <v>0</v>
      </c>
      <c r="K367" s="1">
        <f ca="1">IFERROR(__xludf.DUMMYFUNCTION("""COMPUTED_VALUE"""),0)</f>
        <v>0</v>
      </c>
      <c r="L367" s="1">
        <f ca="1">IFERROR(__xludf.DUMMYFUNCTION("""COMPUTED_VALUE"""),0)</f>
        <v>0</v>
      </c>
      <c r="M367" s="1">
        <f ca="1">IFERROR(__xludf.DUMMYFUNCTION("""COMPUTED_VALUE"""),0)</f>
        <v>0</v>
      </c>
      <c r="N367" s="1">
        <f ca="1">IFERROR(__xludf.DUMMYFUNCTION("""COMPUTED_VALUE"""),0)</f>
        <v>0</v>
      </c>
      <c r="O367" s="1">
        <f ca="1">IFERROR(__xludf.DUMMYFUNCTION("""COMPUTED_VALUE"""),0)</f>
        <v>0</v>
      </c>
      <c r="P367" s="1">
        <f ca="1">IFERROR(__xludf.DUMMYFUNCTION("""COMPUTED_VALUE"""),0)</f>
        <v>0</v>
      </c>
      <c r="Q367" s="1">
        <f ca="1">IFERROR(__xludf.DUMMYFUNCTION("""COMPUTED_VALUE"""),0)</f>
        <v>0</v>
      </c>
      <c r="R367" s="1">
        <f ca="1">IFERROR(__xludf.DUMMYFUNCTION("""COMPUTED_VALUE"""),0)</f>
        <v>0</v>
      </c>
      <c r="S367" s="1">
        <f ca="1">IFERROR(__xludf.DUMMYFUNCTION("""COMPUTED_VALUE"""),0)</f>
        <v>0</v>
      </c>
      <c r="T367" s="1">
        <f ca="1">IFERROR(__xludf.DUMMYFUNCTION("""COMPUTED_VALUE"""),44305.5028587962)</f>
        <v>44305.502858796201</v>
      </c>
      <c r="U367" s="1" t="str">
        <f ca="1">IFERROR(__xludf.DUMMYFUNCTION("""COMPUTED_VALUE"""),"Nil.")</f>
        <v>Nil.</v>
      </c>
    </row>
    <row r="368" spans="1:21" ht="13" x14ac:dyDescent="0.15">
      <c r="A368" s="1" t="str">
        <f t="shared" ca="1" si="0"/>
        <v>KrishnagiriSt.Louis Hospital</v>
      </c>
      <c r="B368" s="1">
        <f ca="1">IFERROR(__xludf.DUMMYFUNCTION("""COMPUTED_VALUE"""),367)</f>
        <v>367</v>
      </c>
      <c r="C368" s="1" t="str">
        <f ca="1">IFERROR(__xludf.DUMMYFUNCTION("""COMPUTED_VALUE"""),"Krishnagiri")</f>
        <v>Krishnagiri</v>
      </c>
      <c r="D368" s="1" t="str">
        <f ca="1">IFERROR(__xludf.DUMMYFUNCTION("""COMPUTED_VALUE"""),"St.Louis Hospital")</f>
        <v>St.Louis Hospital</v>
      </c>
      <c r="E368" s="1">
        <f ca="1">IFERROR(__xludf.DUMMYFUNCTION("""COMPUTED_VALUE"""),40)</f>
        <v>40</v>
      </c>
      <c r="F368" s="1">
        <f ca="1">IFERROR(__xludf.DUMMYFUNCTION("""COMPUTED_VALUE"""),3)</f>
        <v>3</v>
      </c>
      <c r="G368" s="1">
        <f ca="1">IFERROR(__xludf.DUMMYFUNCTION("""COMPUTED_VALUE"""),37)</f>
        <v>37</v>
      </c>
      <c r="H368" s="1">
        <f ca="1">IFERROR(__xludf.DUMMYFUNCTION("""COMPUTED_VALUE"""),40)</f>
        <v>40</v>
      </c>
      <c r="I368" s="1">
        <f ca="1">IFERROR(__xludf.DUMMYFUNCTION("""COMPUTED_VALUE"""),3)</f>
        <v>3</v>
      </c>
      <c r="J368" s="1">
        <f ca="1">IFERROR(__xludf.DUMMYFUNCTION("""COMPUTED_VALUE"""),37)</f>
        <v>37</v>
      </c>
      <c r="K368" s="1">
        <f ca="1">IFERROR(__xludf.DUMMYFUNCTION("""COMPUTED_VALUE"""),0)</f>
        <v>0</v>
      </c>
      <c r="L368" s="1">
        <f ca="1">IFERROR(__xludf.DUMMYFUNCTION("""COMPUTED_VALUE"""),0)</f>
        <v>0</v>
      </c>
      <c r="M368" s="1">
        <f ca="1">IFERROR(__xludf.DUMMYFUNCTION("""COMPUTED_VALUE"""),0)</f>
        <v>0</v>
      </c>
      <c r="N368" s="1">
        <f ca="1">IFERROR(__xludf.DUMMYFUNCTION("""COMPUTED_VALUE"""),0)</f>
        <v>0</v>
      </c>
      <c r="O368" s="1">
        <f ca="1">IFERROR(__xludf.DUMMYFUNCTION("""COMPUTED_VALUE"""),0)</f>
        <v>0</v>
      </c>
      <c r="P368" s="1">
        <f ca="1">IFERROR(__xludf.DUMMYFUNCTION("""COMPUTED_VALUE"""),0)</f>
        <v>0</v>
      </c>
      <c r="Q368" s="1">
        <f ca="1">IFERROR(__xludf.DUMMYFUNCTION("""COMPUTED_VALUE"""),0)</f>
        <v>0</v>
      </c>
      <c r="R368" s="1">
        <f ca="1">IFERROR(__xludf.DUMMYFUNCTION("""COMPUTED_VALUE"""),0)</f>
        <v>0</v>
      </c>
      <c r="S368" s="1">
        <f ca="1">IFERROR(__xludf.DUMMYFUNCTION("""COMPUTED_VALUE"""),0)</f>
        <v>0</v>
      </c>
      <c r="T368" s="1">
        <f ca="1">IFERROR(__xludf.DUMMYFUNCTION("""COMPUTED_VALUE"""),44172.3707060185)</f>
        <v>44172.370706018497</v>
      </c>
      <c r="U368" s="1" t="str">
        <f ca="1">IFERROR(__xludf.DUMMYFUNCTION("""COMPUTED_VALUE"""),"Nil")</f>
        <v>Nil</v>
      </c>
    </row>
    <row r="369" spans="1:21" ht="13" x14ac:dyDescent="0.15">
      <c r="A369" s="1" t="str">
        <f t="shared" ca="1" si="0"/>
        <v>VelloreNaruvi Hospitals(A Unit of m/s.Sanco )</v>
      </c>
      <c r="B369" s="1">
        <f ca="1">IFERROR(__xludf.DUMMYFUNCTION("""COMPUTED_VALUE"""),368)</f>
        <v>368</v>
      </c>
      <c r="C369" s="1" t="str">
        <f ca="1">IFERROR(__xludf.DUMMYFUNCTION("""COMPUTED_VALUE"""),"Vellore")</f>
        <v>Vellore</v>
      </c>
      <c r="D369" s="1" t="str">
        <f ca="1">IFERROR(__xludf.DUMMYFUNCTION("""COMPUTED_VALUE"""),"Naruvi Hospitals(A Unit of m/s.Sanco )")</f>
        <v>Naruvi Hospitals(A Unit of m/s.Sanco )</v>
      </c>
      <c r="E369" s="1">
        <f ca="1">IFERROR(__xludf.DUMMYFUNCTION("""COMPUTED_VALUE"""),142)</f>
        <v>142</v>
      </c>
      <c r="F369" s="1">
        <f ca="1">IFERROR(__xludf.DUMMYFUNCTION("""COMPUTED_VALUE"""),132)</f>
        <v>132</v>
      </c>
      <c r="G369" s="1">
        <f ca="1">IFERROR(__xludf.DUMMYFUNCTION("""COMPUTED_VALUE"""),10)</f>
        <v>10</v>
      </c>
      <c r="H369" s="1">
        <f ca="1">IFERROR(__xludf.DUMMYFUNCTION("""COMPUTED_VALUE"""),117)</f>
        <v>117</v>
      </c>
      <c r="I369" s="1">
        <f ca="1">IFERROR(__xludf.DUMMYFUNCTION("""COMPUTED_VALUE"""),108)</f>
        <v>108</v>
      </c>
      <c r="J369" s="1">
        <f ca="1">IFERROR(__xludf.DUMMYFUNCTION("""COMPUTED_VALUE"""),9)</f>
        <v>9</v>
      </c>
      <c r="K369" s="1">
        <f ca="1">IFERROR(__xludf.DUMMYFUNCTION("""COMPUTED_VALUE"""),0)</f>
        <v>0</v>
      </c>
      <c r="L369" s="1">
        <f ca="1">IFERROR(__xludf.DUMMYFUNCTION("""COMPUTED_VALUE"""),0)</f>
        <v>0</v>
      </c>
      <c r="M369" s="1">
        <f ca="1">IFERROR(__xludf.DUMMYFUNCTION("""COMPUTED_VALUE"""),0)</f>
        <v>0</v>
      </c>
      <c r="N369" s="1">
        <f ca="1">IFERROR(__xludf.DUMMYFUNCTION("""COMPUTED_VALUE"""),25)</f>
        <v>25</v>
      </c>
      <c r="O369" s="1">
        <f ca="1">IFERROR(__xludf.DUMMYFUNCTION("""COMPUTED_VALUE"""),24)</f>
        <v>24</v>
      </c>
      <c r="P369" s="1">
        <f ca="1">IFERROR(__xludf.DUMMYFUNCTION("""COMPUTED_VALUE"""),1)</f>
        <v>1</v>
      </c>
      <c r="Q369" s="1">
        <f ca="1">IFERROR(__xludf.DUMMYFUNCTION("""COMPUTED_VALUE"""),25)</f>
        <v>25</v>
      </c>
      <c r="R369" s="1">
        <f ca="1">IFERROR(__xludf.DUMMYFUNCTION("""COMPUTED_VALUE"""),10)</f>
        <v>10</v>
      </c>
      <c r="S369" s="1">
        <f ca="1">IFERROR(__xludf.DUMMYFUNCTION("""COMPUTED_VALUE"""),15)</f>
        <v>15</v>
      </c>
      <c r="T369" s="1">
        <f ca="1">IFERROR(__xludf.DUMMYFUNCTION("""COMPUTED_VALUE"""),44305.4107291666)</f>
        <v>44305.410729166601</v>
      </c>
      <c r="U369" s="1" t="str">
        <f ca="1">IFERROR(__xludf.DUMMYFUNCTION("""COMPUTED_VALUE"""),"updated on 19/04/2021")</f>
        <v>updated on 19/04/2021</v>
      </c>
    </row>
    <row r="370" spans="1:21" ht="13" x14ac:dyDescent="0.15">
      <c r="A370" s="1" t="str">
        <f t="shared" ca="1" si="0"/>
        <v>KrishnagiriNathan’s Speciality Hospital</v>
      </c>
      <c r="B370" s="1">
        <f ca="1">IFERROR(__xludf.DUMMYFUNCTION("""COMPUTED_VALUE"""),369)</f>
        <v>369</v>
      </c>
      <c r="C370" s="1" t="str">
        <f ca="1">IFERROR(__xludf.DUMMYFUNCTION("""COMPUTED_VALUE"""),"Krishnagiri")</f>
        <v>Krishnagiri</v>
      </c>
      <c r="D370" s="1" t="str">
        <f ca="1">IFERROR(__xludf.DUMMYFUNCTION("""COMPUTED_VALUE"""),"Nathan’s Speciality Hospital")</f>
        <v>Nathan’s Speciality Hospital</v>
      </c>
      <c r="E370" s="1">
        <f ca="1">IFERROR(__xludf.DUMMYFUNCTION("""COMPUTED_VALUE"""),30)</f>
        <v>30</v>
      </c>
      <c r="F370" s="1">
        <f ca="1">IFERROR(__xludf.DUMMYFUNCTION("""COMPUTED_VALUE"""),0)</f>
        <v>0</v>
      </c>
      <c r="G370" s="1">
        <f ca="1">IFERROR(__xludf.DUMMYFUNCTION("""COMPUTED_VALUE"""),30)</f>
        <v>30</v>
      </c>
      <c r="H370" s="1">
        <f ca="1">IFERROR(__xludf.DUMMYFUNCTION("""COMPUTED_VALUE"""),20)</f>
        <v>20</v>
      </c>
      <c r="I370" s="1">
        <f ca="1">IFERROR(__xludf.DUMMYFUNCTION("""COMPUTED_VALUE"""),7)</f>
        <v>7</v>
      </c>
      <c r="J370" s="1">
        <f ca="1">IFERROR(__xludf.DUMMYFUNCTION("""COMPUTED_VALUE"""),13)</f>
        <v>13</v>
      </c>
      <c r="K370" s="1">
        <f ca="1">IFERROR(__xludf.DUMMYFUNCTION("""COMPUTED_VALUE"""),10)</f>
        <v>10</v>
      </c>
      <c r="L370" s="1">
        <f ca="1">IFERROR(__xludf.DUMMYFUNCTION("""COMPUTED_VALUE"""),3)</f>
        <v>3</v>
      </c>
      <c r="M370" s="1">
        <f ca="1">IFERROR(__xludf.DUMMYFUNCTION("""COMPUTED_VALUE"""),7)</f>
        <v>7</v>
      </c>
      <c r="N370" s="1">
        <f ca="1">IFERROR(__xludf.DUMMYFUNCTION("""COMPUTED_VALUE"""),0)</f>
        <v>0</v>
      </c>
      <c r="O370" s="1">
        <f ca="1">IFERROR(__xludf.DUMMYFUNCTION("""COMPUTED_VALUE"""),0)</f>
        <v>0</v>
      </c>
      <c r="P370" s="1">
        <f ca="1">IFERROR(__xludf.DUMMYFUNCTION("""COMPUTED_VALUE"""),0)</f>
        <v>0</v>
      </c>
      <c r="Q370" s="1">
        <f ca="1">IFERROR(__xludf.DUMMYFUNCTION("""COMPUTED_VALUE"""),1)</f>
        <v>1</v>
      </c>
      <c r="R370" s="1">
        <f ca="1">IFERROR(__xludf.DUMMYFUNCTION("""COMPUTED_VALUE"""),0)</f>
        <v>0</v>
      </c>
      <c r="S370" s="1">
        <f ca="1">IFERROR(__xludf.DUMMYFUNCTION("""COMPUTED_VALUE"""),1)</f>
        <v>1</v>
      </c>
      <c r="T370" s="1">
        <f ca="1">IFERROR(__xludf.DUMMYFUNCTION("""COMPUTED_VALUE"""),44301.4189236111)</f>
        <v>44301.418923611098</v>
      </c>
      <c r="U370" s="1" t="str">
        <f ca="1">IFERROR(__xludf.DUMMYFUNCTION("""COMPUTED_VALUE"""),"NIL nil. NIL")</f>
        <v>NIL nil. NIL</v>
      </c>
    </row>
    <row r="371" spans="1:21" ht="13" x14ac:dyDescent="0.15">
      <c r="A371" s="1" t="str">
        <f t="shared" ca="1" si="0"/>
        <v>ChennaiSudha Hospital, Royapuram</v>
      </c>
      <c r="B371" s="1">
        <f ca="1">IFERROR(__xludf.DUMMYFUNCTION("""COMPUTED_VALUE"""),370)</f>
        <v>370</v>
      </c>
      <c r="C371" s="1" t="str">
        <f ca="1">IFERROR(__xludf.DUMMYFUNCTION("""COMPUTED_VALUE"""),"Chennai")</f>
        <v>Chennai</v>
      </c>
      <c r="D371" s="1" t="str">
        <f ca="1">IFERROR(__xludf.DUMMYFUNCTION("""COMPUTED_VALUE"""),"Sudha Hospital, Royapuram")</f>
        <v>Sudha Hospital, Royapuram</v>
      </c>
      <c r="E371" s="1">
        <f ca="1">IFERROR(__xludf.DUMMYFUNCTION("""COMPUTED_VALUE"""),8)</f>
        <v>8</v>
      </c>
      <c r="F371" s="1">
        <f ca="1">IFERROR(__xludf.DUMMYFUNCTION("""COMPUTED_VALUE"""),8)</f>
        <v>8</v>
      </c>
      <c r="G371" s="1">
        <f ca="1">IFERROR(__xludf.DUMMYFUNCTION("""COMPUTED_VALUE"""),0)</f>
        <v>0</v>
      </c>
      <c r="H371" s="1">
        <f ca="1">IFERROR(__xludf.DUMMYFUNCTION("""COMPUTED_VALUE"""),4)</f>
        <v>4</v>
      </c>
      <c r="I371" s="1">
        <f ca="1">IFERROR(__xludf.DUMMYFUNCTION("""COMPUTED_VALUE"""),4)</f>
        <v>4</v>
      </c>
      <c r="J371" s="1">
        <f ca="1">IFERROR(__xludf.DUMMYFUNCTION("""COMPUTED_VALUE"""),0)</f>
        <v>0</v>
      </c>
      <c r="K371" s="1">
        <f ca="1">IFERROR(__xludf.DUMMYFUNCTION("""COMPUTED_VALUE"""),2)</f>
        <v>2</v>
      </c>
      <c r="L371" s="1">
        <f ca="1">IFERROR(__xludf.DUMMYFUNCTION("""COMPUTED_VALUE"""),2)</f>
        <v>2</v>
      </c>
      <c r="M371" s="1">
        <f ca="1">IFERROR(__xludf.DUMMYFUNCTION("""COMPUTED_VALUE"""),0)</f>
        <v>0</v>
      </c>
      <c r="N371" s="1">
        <f ca="1">IFERROR(__xludf.DUMMYFUNCTION("""COMPUTED_VALUE"""),2)</f>
        <v>2</v>
      </c>
      <c r="O371" s="1">
        <f ca="1">IFERROR(__xludf.DUMMYFUNCTION("""COMPUTED_VALUE"""),2)</f>
        <v>2</v>
      </c>
      <c r="P371" s="1">
        <f ca="1">IFERROR(__xludf.DUMMYFUNCTION("""COMPUTED_VALUE"""),0)</f>
        <v>0</v>
      </c>
      <c r="Q371" s="1">
        <f ca="1">IFERROR(__xludf.DUMMYFUNCTION("""COMPUTED_VALUE"""),1)</f>
        <v>1</v>
      </c>
      <c r="R371" s="1">
        <f ca="1">IFERROR(__xludf.DUMMYFUNCTION("""COMPUTED_VALUE"""),0)</f>
        <v>0</v>
      </c>
      <c r="S371" s="1">
        <f ca="1">IFERROR(__xludf.DUMMYFUNCTION("""COMPUTED_VALUE"""),1)</f>
        <v>1</v>
      </c>
      <c r="T371" s="1">
        <f ca="1">IFERROR(__xludf.DUMMYFUNCTION("""COMPUTED_VALUE"""),44305.4318518518)</f>
        <v>44305.431851851798</v>
      </c>
      <c r="U371" s="1" t="str">
        <f ca="1">IFERROR(__xludf.DUMMYFUNCTION("""COMPUTED_VALUE"""),"19/04/2021")</f>
        <v>19/04/2021</v>
      </c>
    </row>
    <row r="372" spans="1:21" ht="13" x14ac:dyDescent="0.15">
      <c r="A372" s="1" t="str">
        <f t="shared" ca="1" si="0"/>
        <v>TirunelveliPeace Health Centre</v>
      </c>
      <c r="B372" s="1">
        <f ca="1">IFERROR(__xludf.DUMMYFUNCTION("""COMPUTED_VALUE"""),371)</f>
        <v>371</v>
      </c>
      <c r="C372" s="1" t="str">
        <f ca="1">IFERROR(__xludf.DUMMYFUNCTION("""COMPUTED_VALUE"""),"Tirunelveli")</f>
        <v>Tirunelveli</v>
      </c>
      <c r="D372" s="1" t="str">
        <f ca="1">IFERROR(__xludf.DUMMYFUNCTION("""COMPUTED_VALUE"""),"Peace Health Centre")</f>
        <v>Peace Health Centre</v>
      </c>
      <c r="E372" s="1">
        <f ca="1">IFERROR(__xludf.DUMMYFUNCTION("""COMPUTED_VALUE"""),14)</f>
        <v>14</v>
      </c>
      <c r="F372" s="1">
        <f ca="1">IFERROR(__xludf.DUMMYFUNCTION("""COMPUTED_VALUE"""),14)</f>
        <v>14</v>
      </c>
      <c r="G372" s="1">
        <f ca="1">IFERROR(__xludf.DUMMYFUNCTION("""COMPUTED_VALUE"""),0)</f>
        <v>0</v>
      </c>
      <c r="H372" s="1">
        <f ca="1">IFERROR(__xludf.DUMMYFUNCTION("""COMPUTED_VALUE"""),8)</f>
        <v>8</v>
      </c>
      <c r="I372" s="1">
        <f ca="1">IFERROR(__xludf.DUMMYFUNCTION("""COMPUTED_VALUE"""),8)</f>
        <v>8</v>
      </c>
      <c r="J372" s="1">
        <f ca="1">IFERROR(__xludf.DUMMYFUNCTION("""COMPUTED_VALUE"""),0)</f>
        <v>0</v>
      </c>
      <c r="K372" s="1">
        <f ca="1">IFERROR(__xludf.DUMMYFUNCTION("""COMPUTED_VALUE"""),0)</f>
        <v>0</v>
      </c>
      <c r="L372" s="1">
        <f ca="1">IFERROR(__xludf.DUMMYFUNCTION("""COMPUTED_VALUE"""),0)</f>
        <v>0</v>
      </c>
      <c r="M372" s="1">
        <f ca="1">IFERROR(__xludf.DUMMYFUNCTION("""COMPUTED_VALUE"""),0)</f>
        <v>0</v>
      </c>
      <c r="N372" s="1">
        <f ca="1">IFERROR(__xludf.DUMMYFUNCTION("""COMPUTED_VALUE"""),6)</f>
        <v>6</v>
      </c>
      <c r="O372" s="1">
        <f ca="1">IFERROR(__xludf.DUMMYFUNCTION("""COMPUTED_VALUE"""),4)</f>
        <v>4</v>
      </c>
      <c r="P372" s="1">
        <f ca="1">IFERROR(__xludf.DUMMYFUNCTION("""COMPUTED_VALUE"""),2)</f>
        <v>2</v>
      </c>
      <c r="Q372" s="1">
        <f ca="1">IFERROR(__xludf.DUMMYFUNCTION("""COMPUTED_VALUE"""),1)</f>
        <v>1</v>
      </c>
      <c r="R372" s="1">
        <f ca="1">IFERROR(__xludf.DUMMYFUNCTION("""COMPUTED_VALUE"""),0)</f>
        <v>0</v>
      </c>
      <c r="S372" s="1">
        <f ca="1">IFERROR(__xludf.DUMMYFUNCTION("""COMPUTED_VALUE"""),1)</f>
        <v>1</v>
      </c>
      <c r="T372" s="1">
        <f ca="1">IFERROR(__xludf.DUMMYFUNCTION("""COMPUTED_VALUE"""),44305.4875347222)</f>
        <v>44305.487534722197</v>
      </c>
      <c r="U372" s="1"/>
    </row>
    <row r="373" spans="1:21" ht="13" x14ac:dyDescent="0.15">
      <c r="A373" s="1" t="str">
        <f t="shared" ca="1" si="0"/>
        <v>ChennaiJolen Hospital</v>
      </c>
      <c r="B373" s="1">
        <f ca="1">IFERROR(__xludf.DUMMYFUNCTION("""COMPUTED_VALUE"""),372)</f>
        <v>372</v>
      </c>
      <c r="C373" s="1" t="str">
        <f ca="1">IFERROR(__xludf.DUMMYFUNCTION("""COMPUTED_VALUE"""),"Chennai")</f>
        <v>Chennai</v>
      </c>
      <c r="D373" s="1" t="str">
        <f ca="1">IFERROR(__xludf.DUMMYFUNCTION("""COMPUTED_VALUE"""),"Jolen Hospital")</f>
        <v>Jolen Hospital</v>
      </c>
      <c r="E373" s="1">
        <f ca="1">IFERROR(__xludf.DUMMYFUNCTION("""COMPUTED_VALUE"""),15)</f>
        <v>15</v>
      </c>
      <c r="F373" s="1">
        <f ca="1">IFERROR(__xludf.DUMMYFUNCTION("""COMPUTED_VALUE"""),15)</f>
        <v>15</v>
      </c>
      <c r="G373" s="1">
        <f ca="1">IFERROR(__xludf.DUMMYFUNCTION("""COMPUTED_VALUE"""),0)</f>
        <v>0</v>
      </c>
      <c r="H373" s="1">
        <f ca="1">IFERROR(__xludf.DUMMYFUNCTION("""COMPUTED_VALUE"""),15)</f>
        <v>15</v>
      </c>
      <c r="I373" s="1">
        <f ca="1">IFERROR(__xludf.DUMMYFUNCTION("""COMPUTED_VALUE"""),3)</f>
        <v>3</v>
      </c>
      <c r="J373" s="1">
        <f ca="1">IFERROR(__xludf.DUMMYFUNCTION("""COMPUTED_VALUE"""),12)</f>
        <v>12</v>
      </c>
      <c r="K373" s="1">
        <f ca="1">IFERROR(__xludf.DUMMYFUNCTION("""COMPUTED_VALUE"""),0)</f>
        <v>0</v>
      </c>
      <c r="L373" s="1">
        <f ca="1">IFERROR(__xludf.DUMMYFUNCTION("""COMPUTED_VALUE"""),0)</f>
        <v>0</v>
      </c>
      <c r="M373" s="1">
        <f ca="1">IFERROR(__xludf.DUMMYFUNCTION("""COMPUTED_VALUE"""),0)</f>
        <v>0</v>
      </c>
      <c r="N373" s="1">
        <f ca="1">IFERROR(__xludf.DUMMYFUNCTION("""COMPUTED_VALUE"""),5)</f>
        <v>5</v>
      </c>
      <c r="O373" s="1">
        <f ca="1">IFERROR(__xludf.DUMMYFUNCTION("""COMPUTED_VALUE"""),4)</f>
        <v>4</v>
      </c>
      <c r="P373" s="1">
        <f ca="1">IFERROR(__xludf.DUMMYFUNCTION("""COMPUTED_VALUE"""),1)</f>
        <v>1</v>
      </c>
      <c r="Q373" s="1">
        <f ca="1">IFERROR(__xludf.DUMMYFUNCTION("""COMPUTED_VALUE"""),0)</f>
        <v>0</v>
      </c>
      <c r="R373" s="1">
        <f ca="1">IFERROR(__xludf.DUMMYFUNCTION("""COMPUTED_VALUE"""),0)</f>
        <v>0</v>
      </c>
      <c r="S373" s="1">
        <f ca="1">IFERROR(__xludf.DUMMYFUNCTION("""COMPUTED_VALUE"""),0)</f>
        <v>0</v>
      </c>
      <c r="T373" s="1">
        <f ca="1">IFERROR(__xludf.DUMMYFUNCTION("""COMPUTED_VALUE"""),44305.3829976851)</f>
        <v>44305.382997685098</v>
      </c>
      <c r="U373" s="1" t="str">
        <f ca="1">IFERROR(__xludf.DUMMYFUNCTION("""COMPUTED_VALUE"""),"19/04/2021")</f>
        <v>19/04/2021</v>
      </c>
    </row>
    <row r="374" spans="1:21" ht="13" x14ac:dyDescent="0.15">
      <c r="A374" s="1" t="str">
        <f t="shared" ca="1" si="0"/>
        <v>ChennaiSen Hospital</v>
      </c>
      <c r="B374" s="1">
        <f ca="1">IFERROR(__xludf.DUMMYFUNCTION("""COMPUTED_VALUE"""),373)</f>
        <v>373</v>
      </c>
      <c r="C374" s="1" t="str">
        <f ca="1">IFERROR(__xludf.DUMMYFUNCTION("""COMPUTED_VALUE"""),"Chennai")</f>
        <v>Chennai</v>
      </c>
      <c r="D374" s="1" t="str">
        <f ca="1">IFERROR(__xludf.DUMMYFUNCTION("""COMPUTED_VALUE"""),"Sen Hospital")</f>
        <v>Sen Hospital</v>
      </c>
      <c r="E374" s="1">
        <f ca="1">IFERROR(__xludf.DUMMYFUNCTION("""COMPUTED_VALUE"""),25)</f>
        <v>25</v>
      </c>
      <c r="F374" s="1">
        <f ca="1">IFERROR(__xludf.DUMMYFUNCTION("""COMPUTED_VALUE"""),13)</f>
        <v>13</v>
      </c>
      <c r="G374" s="1">
        <f ca="1">IFERROR(__xludf.DUMMYFUNCTION("""COMPUTED_VALUE"""),12)</f>
        <v>12</v>
      </c>
      <c r="H374" s="1">
        <f ca="1">IFERROR(__xludf.DUMMYFUNCTION("""COMPUTED_VALUE"""),25)</f>
        <v>25</v>
      </c>
      <c r="I374" s="1">
        <f ca="1">IFERROR(__xludf.DUMMYFUNCTION("""COMPUTED_VALUE"""),13)</f>
        <v>13</v>
      </c>
      <c r="J374" s="1">
        <f ca="1">IFERROR(__xludf.DUMMYFUNCTION("""COMPUTED_VALUE"""),12)</f>
        <v>12</v>
      </c>
      <c r="K374" s="1">
        <f ca="1">IFERROR(__xludf.DUMMYFUNCTION("""COMPUTED_VALUE"""),0)</f>
        <v>0</v>
      </c>
      <c r="L374" s="1">
        <f ca="1">IFERROR(__xludf.DUMMYFUNCTION("""COMPUTED_VALUE"""),0)</f>
        <v>0</v>
      </c>
      <c r="M374" s="1">
        <f ca="1">IFERROR(__xludf.DUMMYFUNCTION("""COMPUTED_VALUE"""),0)</f>
        <v>0</v>
      </c>
      <c r="N374" s="1">
        <f ca="1">IFERROR(__xludf.DUMMYFUNCTION("""COMPUTED_VALUE"""),6)</f>
        <v>6</v>
      </c>
      <c r="O374" s="1">
        <f ca="1">IFERROR(__xludf.DUMMYFUNCTION("""COMPUTED_VALUE"""),6)</f>
        <v>6</v>
      </c>
      <c r="P374" s="1">
        <f ca="1">IFERROR(__xludf.DUMMYFUNCTION("""COMPUTED_VALUE"""),0)</f>
        <v>0</v>
      </c>
      <c r="Q374" s="1">
        <f ca="1">IFERROR(__xludf.DUMMYFUNCTION("""COMPUTED_VALUE"""),2)</f>
        <v>2</v>
      </c>
      <c r="R374" s="1">
        <f ca="1">IFERROR(__xludf.DUMMYFUNCTION("""COMPUTED_VALUE"""),0)</f>
        <v>0</v>
      </c>
      <c r="S374" s="1">
        <f ca="1">IFERROR(__xludf.DUMMYFUNCTION("""COMPUTED_VALUE"""),0)</f>
        <v>0</v>
      </c>
      <c r="T374" s="1">
        <f ca="1">IFERROR(__xludf.DUMMYFUNCTION("""COMPUTED_VALUE"""),44305.6655439814)</f>
        <v>44305.665543981399</v>
      </c>
      <c r="U374" s="1"/>
    </row>
    <row r="375" spans="1:21" ht="13" x14ac:dyDescent="0.15">
      <c r="A375" s="1" t="str">
        <f t="shared" ca="1" si="0"/>
        <v>Chennaist. Isabels hospital, Maylapore</v>
      </c>
      <c r="B375" s="1">
        <f ca="1">IFERROR(__xludf.DUMMYFUNCTION("""COMPUTED_VALUE"""),374)</f>
        <v>374</v>
      </c>
      <c r="C375" s="1" t="str">
        <f ca="1">IFERROR(__xludf.DUMMYFUNCTION("""COMPUTED_VALUE"""),"Chennai")</f>
        <v>Chennai</v>
      </c>
      <c r="D375" s="1" t="str">
        <f ca="1">IFERROR(__xludf.DUMMYFUNCTION("""COMPUTED_VALUE"""),"st. Isabels hospital, Maylapore")</f>
        <v>st. Isabels hospital, Maylapore</v>
      </c>
      <c r="E375" s="1">
        <f ca="1">IFERROR(__xludf.DUMMYFUNCTION("""COMPUTED_VALUE"""),23)</f>
        <v>23</v>
      </c>
      <c r="F375" s="1">
        <f ca="1">IFERROR(__xludf.DUMMYFUNCTION("""COMPUTED_VALUE"""),20)</f>
        <v>20</v>
      </c>
      <c r="G375" s="1">
        <f ca="1">IFERROR(__xludf.DUMMYFUNCTION("""COMPUTED_VALUE"""),3)</f>
        <v>3</v>
      </c>
      <c r="H375" s="1">
        <f ca="1">IFERROR(__xludf.DUMMYFUNCTION("""COMPUTED_VALUE"""),23)</f>
        <v>23</v>
      </c>
      <c r="I375" s="1">
        <f ca="1">IFERROR(__xludf.DUMMYFUNCTION("""COMPUTED_VALUE"""),9)</f>
        <v>9</v>
      </c>
      <c r="J375" s="1">
        <f ca="1">IFERROR(__xludf.DUMMYFUNCTION("""COMPUTED_VALUE"""),14)</f>
        <v>14</v>
      </c>
      <c r="K375" s="1">
        <f ca="1">IFERROR(__xludf.DUMMYFUNCTION("""COMPUTED_VALUE"""),23)</f>
        <v>23</v>
      </c>
      <c r="L375" s="1">
        <f ca="1">IFERROR(__xludf.DUMMYFUNCTION("""COMPUTED_VALUE"""),0)</f>
        <v>0</v>
      </c>
      <c r="M375" s="1">
        <f ca="1">IFERROR(__xludf.DUMMYFUNCTION("""COMPUTED_VALUE"""),0)</f>
        <v>0</v>
      </c>
      <c r="N375" s="1">
        <f ca="1">IFERROR(__xludf.DUMMYFUNCTION("""COMPUTED_VALUE"""),8)</f>
        <v>8</v>
      </c>
      <c r="O375" s="1">
        <f ca="1">IFERROR(__xludf.DUMMYFUNCTION("""COMPUTED_VALUE"""),6)</f>
        <v>6</v>
      </c>
      <c r="P375" s="1">
        <f ca="1">IFERROR(__xludf.DUMMYFUNCTION("""COMPUTED_VALUE"""),2)</f>
        <v>2</v>
      </c>
      <c r="Q375" s="1">
        <f ca="1">IFERROR(__xludf.DUMMYFUNCTION("""COMPUTED_VALUE"""),2)</f>
        <v>2</v>
      </c>
      <c r="R375" s="1">
        <f ca="1">IFERROR(__xludf.DUMMYFUNCTION("""COMPUTED_VALUE"""),2)</f>
        <v>2</v>
      </c>
      <c r="S375" s="1">
        <f ca="1">IFERROR(__xludf.DUMMYFUNCTION("""COMPUTED_VALUE"""),0)</f>
        <v>0</v>
      </c>
      <c r="T375" s="1">
        <f ca="1">IFERROR(__xludf.DUMMYFUNCTION("""COMPUTED_VALUE"""),44305.674537037)</f>
        <v>44305.674537036997</v>
      </c>
      <c r="U375" s="1" t="str">
        <f ca="1">IFERROR(__xludf.DUMMYFUNCTION("""COMPUTED_VALUE"""),"Positive cases- 20")</f>
        <v>Positive cases- 20</v>
      </c>
    </row>
    <row r="376" spans="1:21" ht="13" x14ac:dyDescent="0.15">
      <c r="A376" s="1" t="str">
        <f t="shared" ca="1" si="0"/>
        <v>ChennaiSri Balaji Hospital, guindy</v>
      </c>
      <c r="B376" s="1">
        <f ca="1">IFERROR(__xludf.DUMMYFUNCTION("""COMPUTED_VALUE"""),375)</f>
        <v>375</v>
      </c>
      <c r="C376" s="1" t="str">
        <f ca="1">IFERROR(__xludf.DUMMYFUNCTION("""COMPUTED_VALUE"""),"Chennai")</f>
        <v>Chennai</v>
      </c>
      <c r="D376" s="1" t="str">
        <f ca="1">IFERROR(__xludf.DUMMYFUNCTION("""COMPUTED_VALUE"""),"Sri Balaji Hospital, guindy")</f>
        <v>Sri Balaji Hospital, guindy</v>
      </c>
      <c r="E376" s="1">
        <f ca="1">IFERROR(__xludf.DUMMYFUNCTION("""COMPUTED_VALUE"""),6)</f>
        <v>6</v>
      </c>
      <c r="F376" s="1">
        <f ca="1">IFERROR(__xludf.DUMMYFUNCTION("""COMPUTED_VALUE"""),5)</f>
        <v>5</v>
      </c>
      <c r="G376" s="1">
        <f ca="1">IFERROR(__xludf.DUMMYFUNCTION("""COMPUTED_VALUE"""),1)</f>
        <v>1</v>
      </c>
      <c r="H376" s="1">
        <f ca="1">IFERROR(__xludf.DUMMYFUNCTION("""COMPUTED_VALUE"""),4)</f>
        <v>4</v>
      </c>
      <c r="I376" s="1">
        <f ca="1">IFERROR(__xludf.DUMMYFUNCTION("""COMPUTED_VALUE"""),2)</f>
        <v>2</v>
      </c>
      <c r="J376" s="1">
        <f ca="1">IFERROR(__xludf.DUMMYFUNCTION("""COMPUTED_VALUE"""),1)</f>
        <v>1</v>
      </c>
      <c r="K376" s="1">
        <f ca="1">IFERROR(__xludf.DUMMYFUNCTION("""COMPUTED_VALUE"""),2)</f>
        <v>2</v>
      </c>
      <c r="L376" s="1">
        <f ca="1">IFERROR(__xludf.DUMMYFUNCTION("""COMPUTED_VALUE"""),0)</f>
        <v>0</v>
      </c>
      <c r="M376" s="1">
        <f ca="1">IFERROR(__xludf.DUMMYFUNCTION("""COMPUTED_VALUE"""),1)</f>
        <v>1</v>
      </c>
      <c r="N376" s="1">
        <f ca="1">IFERROR(__xludf.DUMMYFUNCTION("""COMPUTED_VALUE"""),4)</f>
        <v>4</v>
      </c>
      <c r="O376" s="1">
        <f ca="1">IFERROR(__xludf.DUMMYFUNCTION("""COMPUTED_VALUE"""),0)</f>
        <v>0</v>
      </c>
      <c r="P376" s="1">
        <f ca="1">IFERROR(__xludf.DUMMYFUNCTION("""COMPUTED_VALUE"""),0)</f>
        <v>0</v>
      </c>
      <c r="Q376" s="1">
        <f ca="1">IFERROR(__xludf.DUMMYFUNCTION("""COMPUTED_VALUE"""),0)</f>
        <v>0</v>
      </c>
      <c r="R376" s="1">
        <f ca="1">IFERROR(__xludf.DUMMYFUNCTION("""COMPUTED_VALUE"""),0)</f>
        <v>0</v>
      </c>
      <c r="S376" s="1">
        <f ca="1">IFERROR(__xludf.DUMMYFUNCTION("""COMPUTED_VALUE"""),0)</f>
        <v>0</v>
      </c>
      <c r="T376" s="1">
        <f ca="1">IFERROR(__xludf.DUMMYFUNCTION("""COMPUTED_VALUE"""),44299.6319675925)</f>
        <v>44299.631967592497</v>
      </c>
      <c r="U376" s="1" t="str">
        <f ca="1">IFERROR(__xludf.DUMMYFUNCTION("""COMPUTED_VALUE"""),"Daily Data Base")</f>
        <v>Daily Data Base</v>
      </c>
    </row>
    <row r="377" spans="1:21" ht="13" x14ac:dyDescent="0.15">
      <c r="A377" s="1" t="str">
        <f t="shared" ca="1" si="0"/>
        <v>ChennaiRadha Rajendran Hospital, Alandur</v>
      </c>
      <c r="B377" s="1">
        <f ca="1">IFERROR(__xludf.DUMMYFUNCTION("""COMPUTED_VALUE"""),376)</f>
        <v>376</v>
      </c>
      <c r="C377" s="1" t="str">
        <f ca="1">IFERROR(__xludf.DUMMYFUNCTION("""COMPUTED_VALUE"""),"Chennai")</f>
        <v>Chennai</v>
      </c>
      <c r="D377" s="1" t="str">
        <f ca="1">IFERROR(__xludf.DUMMYFUNCTION("""COMPUTED_VALUE"""),"Radha Rajendran Hospital, Alandur")</f>
        <v>Radha Rajendran Hospital, Alandur</v>
      </c>
      <c r="E377" s="1">
        <f ca="1">IFERROR(__xludf.DUMMYFUNCTION("""COMPUTED_VALUE"""),12)</f>
        <v>12</v>
      </c>
      <c r="F377" s="1">
        <f ca="1">IFERROR(__xludf.DUMMYFUNCTION("""COMPUTED_VALUE"""),12)</f>
        <v>12</v>
      </c>
      <c r="G377" s="1">
        <f ca="1">IFERROR(__xludf.DUMMYFUNCTION("""COMPUTED_VALUE"""),0)</f>
        <v>0</v>
      </c>
      <c r="H377" s="1">
        <f ca="1">IFERROR(__xludf.DUMMYFUNCTION("""COMPUTED_VALUE"""),12)</f>
        <v>12</v>
      </c>
      <c r="I377" s="1">
        <f ca="1">IFERROR(__xludf.DUMMYFUNCTION("""COMPUTED_VALUE"""),0)</f>
        <v>0</v>
      </c>
      <c r="J377" s="1">
        <f ca="1">IFERROR(__xludf.DUMMYFUNCTION("""COMPUTED_VALUE"""),0)</f>
        <v>0</v>
      </c>
      <c r="K377" s="1">
        <f ca="1">IFERROR(__xludf.DUMMYFUNCTION("""COMPUTED_VALUE"""),0)</f>
        <v>0</v>
      </c>
      <c r="L377" s="1">
        <f ca="1">IFERROR(__xludf.DUMMYFUNCTION("""COMPUTED_VALUE"""),12)</f>
        <v>12</v>
      </c>
      <c r="M377" s="1">
        <f ca="1">IFERROR(__xludf.DUMMYFUNCTION("""COMPUTED_VALUE"""),0)</f>
        <v>0</v>
      </c>
      <c r="N377" s="1">
        <f ca="1">IFERROR(__xludf.DUMMYFUNCTION("""COMPUTED_VALUE"""),0)</f>
        <v>0</v>
      </c>
      <c r="O377" s="1">
        <f ca="1">IFERROR(__xludf.DUMMYFUNCTION("""COMPUTED_VALUE"""),0)</f>
        <v>0</v>
      </c>
      <c r="P377" s="1">
        <f ca="1">IFERROR(__xludf.DUMMYFUNCTION("""COMPUTED_VALUE"""),0)</f>
        <v>0</v>
      </c>
      <c r="Q377" s="1">
        <f ca="1">IFERROR(__xludf.DUMMYFUNCTION("""COMPUTED_VALUE"""),0)</f>
        <v>0</v>
      </c>
      <c r="R377" s="1">
        <f ca="1">IFERROR(__xludf.DUMMYFUNCTION("""COMPUTED_VALUE"""),0)</f>
        <v>0</v>
      </c>
      <c r="S377" s="1">
        <f ca="1">IFERROR(__xludf.DUMMYFUNCTION("""COMPUTED_VALUE"""),0)</f>
        <v>0</v>
      </c>
      <c r="T377" s="1">
        <f ca="1">IFERROR(__xludf.DUMMYFUNCTION("""COMPUTED_VALUE"""),44302.5250694444)</f>
        <v>44302.525069444397</v>
      </c>
      <c r="U377" s="1"/>
    </row>
    <row r="378" spans="1:21" ht="13" x14ac:dyDescent="0.15">
      <c r="A378" s="1" t="str">
        <f t="shared" ca="1" si="0"/>
        <v>ChennaiOne health hospital, Vandalur</v>
      </c>
      <c r="B378" s="1">
        <f ca="1">IFERROR(__xludf.DUMMYFUNCTION("""COMPUTED_VALUE"""),377)</f>
        <v>377</v>
      </c>
      <c r="C378" s="1" t="str">
        <f ca="1">IFERROR(__xludf.DUMMYFUNCTION("""COMPUTED_VALUE"""),"Chennai")</f>
        <v>Chennai</v>
      </c>
      <c r="D378" s="1" t="str">
        <f ca="1">IFERROR(__xludf.DUMMYFUNCTION("""COMPUTED_VALUE"""),"One health hospital, Vandalur")</f>
        <v>One health hospital, Vandalur</v>
      </c>
      <c r="E378" s="1">
        <f ca="1">IFERROR(__xludf.DUMMYFUNCTION("""COMPUTED_VALUE"""),15)</f>
        <v>15</v>
      </c>
      <c r="F378" s="1">
        <f ca="1">IFERROR(__xludf.DUMMYFUNCTION("""COMPUTED_VALUE"""),10)</f>
        <v>10</v>
      </c>
      <c r="G378" s="1">
        <f ca="1">IFERROR(__xludf.DUMMYFUNCTION("""COMPUTED_VALUE"""),5)</f>
        <v>5</v>
      </c>
      <c r="H378" s="1">
        <f ca="1">IFERROR(__xludf.DUMMYFUNCTION("""COMPUTED_VALUE"""),10)</f>
        <v>10</v>
      </c>
      <c r="I378" s="1">
        <f ca="1">IFERROR(__xludf.DUMMYFUNCTION("""COMPUTED_VALUE"""),7)</f>
        <v>7</v>
      </c>
      <c r="J378" s="1">
        <f ca="1">IFERROR(__xludf.DUMMYFUNCTION("""COMPUTED_VALUE"""),3)</f>
        <v>3</v>
      </c>
      <c r="K378" s="1">
        <f ca="1">IFERROR(__xludf.DUMMYFUNCTION("""COMPUTED_VALUE"""),6)</f>
        <v>6</v>
      </c>
      <c r="L378" s="1">
        <f ca="1">IFERROR(__xludf.DUMMYFUNCTION("""COMPUTED_VALUE"""),3)</f>
        <v>3</v>
      </c>
      <c r="M378" s="1">
        <f ca="1">IFERROR(__xludf.DUMMYFUNCTION("""COMPUTED_VALUE"""),3)</f>
        <v>3</v>
      </c>
      <c r="N378" s="1">
        <f ca="1">IFERROR(__xludf.DUMMYFUNCTION("""COMPUTED_VALUE"""),5)</f>
        <v>5</v>
      </c>
      <c r="O378" s="1">
        <f ca="1">IFERROR(__xludf.DUMMYFUNCTION("""COMPUTED_VALUE"""),2)</f>
        <v>2</v>
      </c>
      <c r="P378" s="1">
        <f ca="1">IFERROR(__xludf.DUMMYFUNCTION("""COMPUTED_VALUE"""),3)</f>
        <v>3</v>
      </c>
      <c r="Q378" s="1">
        <f ca="1">IFERROR(__xludf.DUMMYFUNCTION("""COMPUTED_VALUE"""),4)</f>
        <v>4</v>
      </c>
      <c r="R378" s="1">
        <f ca="1">IFERROR(__xludf.DUMMYFUNCTION("""COMPUTED_VALUE"""),0)</f>
        <v>0</v>
      </c>
      <c r="S378" s="1">
        <f ca="1">IFERROR(__xludf.DUMMYFUNCTION("""COMPUTED_VALUE"""),0)</f>
        <v>0</v>
      </c>
      <c r="T378" s="1">
        <f ca="1">IFERROR(__xludf.DUMMYFUNCTION("""COMPUTED_VALUE"""),44305.7139699074)</f>
        <v>44305.713969907403</v>
      </c>
      <c r="U378" s="1"/>
    </row>
    <row r="379" spans="1:21" ht="13" x14ac:dyDescent="0.15">
      <c r="A379" s="1" t="str">
        <f t="shared" ca="1" si="0"/>
        <v>ChennaiSrinivasa Hospital, Kodampakkam</v>
      </c>
      <c r="B379" s="1">
        <f ca="1">IFERROR(__xludf.DUMMYFUNCTION("""COMPUTED_VALUE"""),378)</f>
        <v>378</v>
      </c>
      <c r="C379" s="1" t="str">
        <f ca="1">IFERROR(__xludf.DUMMYFUNCTION("""COMPUTED_VALUE"""),"Chennai")</f>
        <v>Chennai</v>
      </c>
      <c r="D379" s="1" t="str">
        <f ca="1">IFERROR(__xludf.DUMMYFUNCTION("""COMPUTED_VALUE"""),"Srinivasa Hospital, Kodampakkam")</f>
        <v>Srinivasa Hospital, Kodampakkam</v>
      </c>
      <c r="E379" s="1">
        <f ca="1">IFERROR(__xludf.DUMMYFUNCTION("""COMPUTED_VALUE"""),54)</f>
        <v>54</v>
      </c>
      <c r="F379" s="1">
        <f ca="1">IFERROR(__xludf.DUMMYFUNCTION("""COMPUTED_VALUE"""),26)</f>
        <v>26</v>
      </c>
      <c r="G379" s="1">
        <f ca="1">IFERROR(__xludf.DUMMYFUNCTION("""COMPUTED_VALUE"""),28)</f>
        <v>28</v>
      </c>
      <c r="H379" s="1">
        <f ca="1">IFERROR(__xludf.DUMMYFUNCTION("""COMPUTED_VALUE"""),31)</f>
        <v>31</v>
      </c>
      <c r="I379" s="1">
        <f ca="1">IFERROR(__xludf.DUMMYFUNCTION("""COMPUTED_VALUE"""),16)</f>
        <v>16</v>
      </c>
      <c r="J379" s="1">
        <f ca="1">IFERROR(__xludf.DUMMYFUNCTION("""COMPUTED_VALUE"""),15)</f>
        <v>15</v>
      </c>
      <c r="K379" s="1">
        <f ca="1">IFERROR(__xludf.DUMMYFUNCTION("""COMPUTED_VALUE"""),13)</f>
        <v>13</v>
      </c>
      <c r="L379" s="1">
        <f ca="1">IFERROR(__xludf.DUMMYFUNCTION("""COMPUTED_VALUE"""),0)</f>
        <v>0</v>
      </c>
      <c r="M379" s="1">
        <f ca="1">IFERROR(__xludf.DUMMYFUNCTION("""COMPUTED_VALUE"""),13)</f>
        <v>13</v>
      </c>
      <c r="N379" s="1">
        <f ca="1">IFERROR(__xludf.DUMMYFUNCTION("""COMPUTED_VALUE"""),10)</f>
        <v>10</v>
      </c>
      <c r="O379" s="1">
        <f ca="1">IFERROR(__xludf.DUMMYFUNCTION("""COMPUTED_VALUE"""),9)</f>
        <v>9</v>
      </c>
      <c r="P379" s="1">
        <f ca="1">IFERROR(__xludf.DUMMYFUNCTION("""COMPUTED_VALUE"""),1)</f>
        <v>1</v>
      </c>
      <c r="Q379" s="1">
        <f ca="1">IFERROR(__xludf.DUMMYFUNCTION("""COMPUTED_VALUE"""),2)</f>
        <v>2</v>
      </c>
      <c r="R379" s="1">
        <f ca="1">IFERROR(__xludf.DUMMYFUNCTION("""COMPUTED_VALUE"""),1)</f>
        <v>1</v>
      </c>
      <c r="S379" s="1">
        <f ca="1">IFERROR(__xludf.DUMMYFUNCTION("""COMPUTED_VALUE"""),1)</f>
        <v>1</v>
      </c>
      <c r="T379" s="1">
        <f ca="1">IFERROR(__xludf.DUMMYFUNCTION("""COMPUTED_VALUE"""),44298.7645138888)</f>
        <v>44298.764513888797</v>
      </c>
      <c r="U379" s="1"/>
    </row>
    <row r="380" spans="1:21" ht="13" x14ac:dyDescent="0.15">
      <c r="A380" s="1" t="str">
        <f t="shared" ca="1" si="0"/>
        <v>KanyakumariPPK hospital, Marthandam</v>
      </c>
      <c r="B380" s="1">
        <f ca="1">IFERROR(__xludf.DUMMYFUNCTION("""COMPUTED_VALUE"""),379)</f>
        <v>379</v>
      </c>
      <c r="C380" s="1" t="str">
        <f ca="1">IFERROR(__xludf.DUMMYFUNCTION("""COMPUTED_VALUE"""),"Kanyakumari")</f>
        <v>Kanyakumari</v>
      </c>
      <c r="D380" s="1" t="str">
        <f ca="1">IFERROR(__xludf.DUMMYFUNCTION("""COMPUTED_VALUE"""),"PPK hospital, Marthandam")</f>
        <v>PPK hospital, Marthandam</v>
      </c>
      <c r="E380" s="1">
        <f ca="1">IFERROR(__xludf.DUMMYFUNCTION("""COMPUTED_VALUE"""),29)</f>
        <v>29</v>
      </c>
      <c r="F380" s="1">
        <f ca="1">IFERROR(__xludf.DUMMYFUNCTION("""COMPUTED_VALUE"""),3)</f>
        <v>3</v>
      </c>
      <c r="G380" s="1">
        <f ca="1">IFERROR(__xludf.DUMMYFUNCTION("""COMPUTED_VALUE"""),26)</f>
        <v>26</v>
      </c>
      <c r="H380" s="1">
        <f ca="1">IFERROR(__xludf.DUMMYFUNCTION("""COMPUTED_VALUE"""),25)</f>
        <v>25</v>
      </c>
      <c r="I380" s="1">
        <f ca="1">IFERROR(__xludf.DUMMYFUNCTION("""COMPUTED_VALUE"""),3)</f>
        <v>3</v>
      </c>
      <c r="J380" s="1">
        <f ca="1">IFERROR(__xludf.DUMMYFUNCTION("""COMPUTED_VALUE"""),22)</f>
        <v>22</v>
      </c>
      <c r="K380" s="1">
        <f ca="1">IFERROR(__xludf.DUMMYFUNCTION("""COMPUTED_VALUE"""),4)</f>
        <v>4</v>
      </c>
      <c r="L380" s="1">
        <f ca="1">IFERROR(__xludf.DUMMYFUNCTION("""COMPUTED_VALUE"""),0)</f>
        <v>0</v>
      </c>
      <c r="M380" s="1">
        <f ca="1">IFERROR(__xludf.DUMMYFUNCTION("""COMPUTED_VALUE"""),0)</f>
        <v>0</v>
      </c>
      <c r="N380" s="1">
        <f ca="1">IFERROR(__xludf.DUMMYFUNCTION("""COMPUTED_VALUE"""),7)</f>
        <v>7</v>
      </c>
      <c r="O380" s="1">
        <f ca="1">IFERROR(__xludf.DUMMYFUNCTION("""COMPUTED_VALUE"""),0)</f>
        <v>0</v>
      </c>
      <c r="P380" s="1">
        <f ca="1">IFERROR(__xludf.DUMMYFUNCTION("""COMPUTED_VALUE"""),0)</f>
        <v>0</v>
      </c>
      <c r="Q380" s="1">
        <f ca="1">IFERROR(__xludf.DUMMYFUNCTION("""COMPUTED_VALUE"""),3)</f>
        <v>3</v>
      </c>
      <c r="R380" s="1">
        <f ca="1">IFERROR(__xludf.DUMMYFUNCTION("""COMPUTED_VALUE"""),0)</f>
        <v>0</v>
      </c>
      <c r="S380" s="1">
        <f ca="1">IFERROR(__xludf.DUMMYFUNCTION("""COMPUTED_VALUE"""),0)</f>
        <v>0</v>
      </c>
      <c r="T380" s="1">
        <f ca="1">IFERROR(__xludf.DUMMYFUNCTION("""COMPUTED_VALUE"""),44305.3187384259)</f>
        <v>44305.3187384259</v>
      </c>
      <c r="U380" s="1"/>
    </row>
    <row r="381" spans="1:21" ht="13" x14ac:dyDescent="0.15">
      <c r="A381" s="1" t="str">
        <f t="shared" ca="1" si="0"/>
        <v>SalemRK hospital</v>
      </c>
      <c r="B381" s="1">
        <f ca="1">IFERROR(__xludf.DUMMYFUNCTION("""COMPUTED_VALUE"""),380)</f>
        <v>380</v>
      </c>
      <c r="C381" s="1" t="str">
        <f ca="1">IFERROR(__xludf.DUMMYFUNCTION("""COMPUTED_VALUE"""),"Salem")</f>
        <v>Salem</v>
      </c>
      <c r="D381" s="1" t="str">
        <f ca="1">IFERROR(__xludf.DUMMYFUNCTION("""COMPUTED_VALUE"""),"RK hospital")</f>
        <v>RK hospital</v>
      </c>
      <c r="E381" s="1">
        <f ca="1">IFERROR(__xludf.DUMMYFUNCTION("""COMPUTED_VALUE"""),12)</f>
        <v>12</v>
      </c>
      <c r="F381" s="1">
        <f ca="1">IFERROR(__xludf.DUMMYFUNCTION("""COMPUTED_VALUE"""),3)</f>
        <v>3</v>
      </c>
      <c r="G381" s="1">
        <f ca="1">IFERROR(__xludf.DUMMYFUNCTION("""COMPUTED_VALUE"""),9)</f>
        <v>9</v>
      </c>
      <c r="H381" s="1">
        <f ca="1">IFERROR(__xludf.DUMMYFUNCTION("""COMPUTED_VALUE"""),10)</f>
        <v>10</v>
      </c>
      <c r="I381" s="1">
        <f ca="1">IFERROR(__xludf.DUMMYFUNCTION("""COMPUTED_VALUE"""),0)</f>
        <v>0</v>
      </c>
      <c r="J381" s="1">
        <f ca="1">IFERROR(__xludf.DUMMYFUNCTION("""COMPUTED_VALUE"""),10)</f>
        <v>10</v>
      </c>
      <c r="K381" s="1">
        <f ca="1">IFERROR(__xludf.DUMMYFUNCTION("""COMPUTED_VALUE"""),3)</f>
        <v>3</v>
      </c>
      <c r="L381" s="1">
        <f ca="1">IFERROR(__xludf.DUMMYFUNCTION("""COMPUTED_VALUE"""),0)</f>
        <v>0</v>
      </c>
      <c r="M381" s="1">
        <f ca="1">IFERROR(__xludf.DUMMYFUNCTION("""COMPUTED_VALUE"""),3)</f>
        <v>3</v>
      </c>
      <c r="N381" s="1">
        <f ca="1">IFERROR(__xludf.DUMMYFUNCTION("""COMPUTED_VALUE"""),2)</f>
        <v>2</v>
      </c>
      <c r="O381" s="1">
        <f ca="1">IFERROR(__xludf.DUMMYFUNCTION("""COMPUTED_VALUE"""),0)</f>
        <v>0</v>
      </c>
      <c r="P381" s="1">
        <f ca="1">IFERROR(__xludf.DUMMYFUNCTION("""COMPUTED_VALUE"""),2)</f>
        <v>2</v>
      </c>
      <c r="Q381" s="1">
        <f ca="1">IFERROR(__xludf.DUMMYFUNCTION("""COMPUTED_VALUE"""),2)</f>
        <v>2</v>
      </c>
      <c r="R381" s="1">
        <f ca="1">IFERROR(__xludf.DUMMYFUNCTION("""COMPUTED_VALUE"""),0)</f>
        <v>0</v>
      </c>
      <c r="S381" s="1">
        <f ca="1">IFERROR(__xludf.DUMMYFUNCTION("""COMPUTED_VALUE"""),2)</f>
        <v>2</v>
      </c>
      <c r="T381" s="1">
        <f ca="1">IFERROR(__xludf.DUMMYFUNCTION("""COMPUTED_VALUE"""),44305.4745833333)</f>
        <v>44305.4745833333</v>
      </c>
      <c r="U381" s="1" t="str">
        <f ca="1">IFERROR(__xludf.DUMMYFUNCTION("""COMPUTED_VALUE"""),"Here with Updating our Hospital bed details")</f>
        <v>Here with Updating our Hospital bed details</v>
      </c>
    </row>
    <row r="382" spans="1:21" ht="13" x14ac:dyDescent="0.15">
      <c r="A382" s="1" t="str">
        <f t="shared" ca="1" si="0"/>
        <v>KarurNachimuthu hospital</v>
      </c>
      <c r="B382" s="1">
        <f ca="1">IFERROR(__xludf.DUMMYFUNCTION("""COMPUTED_VALUE"""),381)</f>
        <v>381</v>
      </c>
      <c r="C382" s="1" t="str">
        <f ca="1">IFERROR(__xludf.DUMMYFUNCTION("""COMPUTED_VALUE"""),"Karur")</f>
        <v>Karur</v>
      </c>
      <c r="D382" s="1" t="str">
        <f ca="1">IFERROR(__xludf.DUMMYFUNCTION("""COMPUTED_VALUE"""),"Nachimuthu hospital")</f>
        <v>Nachimuthu hospital</v>
      </c>
      <c r="E382" s="1">
        <f ca="1">IFERROR(__xludf.DUMMYFUNCTION("""COMPUTED_VALUE"""),10)</f>
        <v>10</v>
      </c>
      <c r="F382" s="1">
        <f ca="1">IFERROR(__xludf.DUMMYFUNCTION("""COMPUTED_VALUE"""),1)</f>
        <v>1</v>
      </c>
      <c r="G382" s="1">
        <f ca="1">IFERROR(__xludf.DUMMYFUNCTION("""COMPUTED_VALUE"""),9)</f>
        <v>9</v>
      </c>
      <c r="H382" s="1">
        <f ca="1">IFERROR(__xludf.DUMMYFUNCTION("""COMPUTED_VALUE"""),6)</f>
        <v>6</v>
      </c>
      <c r="I382" s="1">
        <f ca="1">IFERROR(__xludf.DUMMYFUNCTION("""COMPUTED_VALUE"""),1)</f>
        <v>1</v>
      </c>
      <c r="J382" s="1">
        <f ca="1">IFERROR(__xludf.DUMMYFUNCTION("""COMPUTED_VALUE"""),5)</f>
        <v>5</v>
      </c>
      <c r="K382" s="1">
        <f ca="1">IFERROR(__xludf.DUMMYFUNCTION("""COMPUTED_VALUE"""),0)</f>
        <v>0</v>
      </c>
      <c r="L382" s="1">
        <f ca="1">IFERROR(__xludf.DUMMYFUNCTION("""COMPUTED_VALUE"""),0)</f>
        <v>0</v>
      </c>
      <c r="M382" s="1">
        <f ca="1">IFERROR(__xludf.DUMMYFUNCTION("""COMPUTED_VALUE"""),0)</f>
        <v>0</v>
      </c>
      <c r="N382" s="1">
        <f ca="1">IFERROR(__xludf.DUMMYFUNCTION("""COMPUTED_VALUE"""),3)</f>
        <v>3</v>
      </c>
      <c r="O382" s="1">
        <f ca="1">IFERROR(__xludf.DUMMYFUNCTION("""COMPUTED_VALUE"""),0)</f>
        <v>0</v>
      </c>
      <c r="P382" s="1">
        <f ca="1">IFERROR(__xludf.DUMMYFUNCTION("""COMPUTED_VALUE"""),3)</f>
        <v>3</v>
      </c>
      <c r="Q382" s="1">
        <f ca="1">IFERROR(__xludf.DUMMYFUNCTION("""COMPUTED_VALUE"""),1)</f>
        <v>1</v>
      </c>
      <c r="R382" s="1">
        <f ca="1">IFERROR(__xludf.DUMMYFUNCTION("""COMPUTED_VALUE"""),0)</f>
        <v>0</v>
      </c>
      <c r="S382" s="1">
        <f ca="1">IFERROR(__xludf.DUMMYFUNCTION("""COMPUTED_VALUE"""),1)</f>
        <v>1</v>
      </c>
      <c r="T382" s="1">
        <f ca="1">IFERROR(__xludf.DUMMYFUNCTION("""COMPUTED_VALUE"""),44305.3090509259)</f>
        <v>44305.309050925898</v>
      </c>
      <c r="U382" s="1" t="str">
        <f ca="1">IFERROR(__xludf.DUMMYFUNCTION("""COMPUTED_VALUE"""),"19.04.2021")</f>
        <v>19.04.2021</v>
      </c>
    </row>
    <row r="383" spans="1:21" ht="13" x14ac:dyDescent="0.15">
      <c r="A383" s="1" t="str">
        <f t="shared" ca="1" si="0"/>
        <v>VirudhunagarAmar hospital</v>
      </c>
      <c r="B383" s="1">
        <f ca="1">IFERROR(__xludf.DUMMYFUNCTION("""COMPUTED_VALUE"""),382)</f>
        <v>382</v>
      </c>
      <c r="C383" s="1" t="str">
        <f ca="1">IFERROR(__xludf.DUMMYFUNCTION("""COMPUTED_VALUE"""),"Virudhunagar")</f>
        <v>Virudhunagar</v>
      </c>
      <c r="D383" s="1" t="str">
        <f ca="1">IFERROR(__xludf.DUMMYFUNCTION("""COMPUTED_VALUE"""),"Amar hospital")</f>
        <v>Amar hospital</v>
      </c>
      <c r="E383" s="1">
        <f ca="1">IFERROR(__xludf.DUMMYFUNCTION("""COMPUTED_VALUE"""),27)</f>
        <v>27</v>
      </c>
      <c r="F383" s="1">
        <f ca="1">IFERROR(__xludf.DUMMYFUNCTION("""COMPUTED_VALUE"""),13)</f>
        <v>13</v>
      </c>
      <c r="G383" s="1">
        <f ca="1">IFERROR(__xludf.DUMMYFUNCTION("""COMPUTED_VALUE"""),14)</f>
        <v>14</v>
      </c>
      <c r="H383" s="1">
        <f ca="1">IFERROR(__xludf.DUMMYFUNCTION("""COMPUTED_VALUE"""),27)</f>
        <v>27</v>
      </c>
      <c r="I383" s="1">
        <f ca="1">IFERROR(__xludf.DUMMYFUNCTION("""COMPUTED_VALUE"""),3)</f>
        <v>3</v>
      </c>
      <c r="J383" s="1">
        <f ca="1">IFERROR(__xludf.DUMMYFUNCTION("""COMPUTED_VALUE"""),24)</f>
        <v>24</v>
      </c>
      <c r="K383" s="1">
        <f ca="1">IFERROR(__xludf.DUMMYFUNCTION("""COMPUTED_VALUE"""),0)</f>
        <v>0</v>
      </c>
      <c r="L383" s="1">
        <f ca="1">IFERROR(__xludf.DUMMYFUNCTION("""COMPUTED_VALUE"""),0)</f>
        <v>0</v>
      </c>
      <c r="M383" s="1">
        <f ca="1">IFERROR(__xludf.DUMMYFUNCTION("""COMPUTED_VALUE"""),0)</f>
        <v>0</v>
      </c>
      <c r="N383" s="1">
        <f ca="1">IFERROR(__xludf.DUMMYFUNCTION("""COMPUTED_VALUE"""),5)</f>
        <v>5</v>
      </c>
      <c r="O383" s="1">
        <f ca="1">IFERROR(__xludf.DUMMYFUNCTION("""COMPUTED_VALUE"""),0)</f>
        <v>0</v>
      </c>
      <c r="P383" s="1">
        <f ca="1">IFERROR(__xludf.DUMMYFUNCTION("""COMPUTED_VALUE"""),5)</f>
        <v>5</v>
      </c>
      <c r="Q383" s="1">
        <f ca="1">IFERROR(__xludf.DUMMYFUNCTION("""COMPUTED_VALUE"""),2)</f>
        <v>2</v>
      </c>
      <c r="R383" s="1">
        <f ca="1">IFERROR(__xludf.DUMMYFUNCTION("""COMPUTED_VALUE"""),0)</f>
        <v>0</v>
      </c>
      <c r="S383" s="1">
        <f ca="1">IFERROR(__xludf.DUMMYFUNCTION("""COMPUTED_VALUE"""),2)</f>
        <v>2</v>
      </c>
      <c r="T383" s="1">
        <f ca="1">IFERROR(__xludf.DUMMYFUNCTION("""COMPUTED_VALUE"""),44305.7960763888)</f>
        <v>44305.796076388797</v>
      </c>
      <c r="U383" s="1" t="str">
        <f ca="1">IFERROR(__xludf.DUMMYFUNCTION("""COMPUTED_VALUE"""),"19/04/2021 19.06 Pm")</f>
        <v>19/04/2021 19.06 Pm</v>
      </c>
    </row>
    <row r="384" spans="1:21" ht="13" x14ac:dyDescent="0.15">
      <c r="A384" s="1" t="str">
        <f t="shared" ca="1" si="0"/>
        <v>KrishnagiriUma Kumar Hospital, Hosur</v>
      </c>
      <c r="B384" s="1">
        <f ca="1">IFERROR(__xludf.DUMMYFUNCTION("""COMPUTED_VALUE"""),383)</f>
        <v>383</v>
      </c>
      <c r="C384" s="1" t="str">
        <f ca="1">IFERROR(__xludf.DUMMYFUNCTION("""COMPUTED_VALUE"""),"Krishnagiri")</f>
        <v>Krishnagiri</v>
      </c>
      <c r="D384" s="1" t="str">
        <f ca="1">IFERROR(__xludf.DUMMYFUNCTION("""COMPUTED_VALUE"""),"Uma Kumar Hospital, Hosur")</f>
        <v>Uma Kumar Hospital, Hosur</v>
      </c>
      <c r="E384" s="1">
        <f ca="1">IFERROR(__xludf.DUMMYFUNCTION("""COMPUTED_VALUE"""),0)</f>
        <v>0</v>
      </c>
      <c r="F384" s="1">
        <f ca="1">IFERROR(__xludf.DUMMYFUNCTION("""COMPUTED_VALUE"""),0)</f>
        <v>0</v>
      </c>
      <c r="G384" s="1">
        <f ca="1">IFERROR(__xludf.DUMMYFUNCTION("""COMPUTED_VALUE"""),0)</f>
        <v>0</v>
      </c>
      <c r="H384" s="1">
        <f ca="1">IFERROR(__xludf.DUMMYFUNCTION("""COMPUTED_VALUE"""),0)</f>
        <v>0</v>
      </c>
      <c r="I384" s="1">
        <f ca="1">IFERROR(__xludf.DUMMYFUNCTION("""COMPUTED_VALUE"""),0)</f>
        <v>0</v>
      </c>
      <c r="J384" s="1">
        <f ca="1">IFERROR(__xludf.DUMMYFUNCTION("""COMPUTED_VALUE"""),0)</f>
        <v>0</v>
      </c>
      <c r="K384" s="1">
        <f ca="1">IFERROR(__xludf.DUMMYFUNCTION("""COMPUTED_VALUE"""),0)</f>
        <v>0</v>
      </c>
      <c r="L384" s="1">
        <f ca="1">IFERROR(__xludf.DUMMYFUNCTION("""COMPUTED_VALUE"""),0)</f>
        <v>0</v>
      </c>
      <c r="M384" s="1">
        <f ca="1">IFERROR(__xludf.DUMMYFUNCTION("""COMPUTED_VALUE"""),0)</f>
        <v>0</v>
      </c>
      <c r="N384" s="1">
        <f ca="1">IFERROR(__xludf.DUMMYFUNCTION("""COMPUTED_VALUE"""),0)</f>
        <v>0</v>
      </c>
      <c r="O384" s="1">
        <f ca="1">IFERROR(__xludf.DUMMYFUNCTION("""COMPUTED_VALUE"""),0)</f>
        <v>0</v>
      </c>
      <c r="P384" s="1">
        <f ca="1">IFERROR(__xludf.DUMMYFUNCTION("""COMPUTED_VALUE"""),0)</f>
        <v>0</v>
      </c>
      <c r="Q384" s="1">
        <f ca="1">IFERROR(__xludf.DUMMYFUNCTION("""COMPUTED_VALUE"""),0)</f>
        <v>0</v>
      </c>
      <c r="R384" s="1">
        <f ca="1">IFERROR(__xludf.DUMMYFUNCTION("""COMPUTED_VALUE"""),0)</f>
        <v>0</v>
      </c>
      <c r="S384" s="1">
        <f ca="1">IFERROR(__xludf.DUMMYFUNCTION("""COMPUTED_VALUE"""),0)</f>
        <v>0</v>
      </c>
      <c r="T384" s="1">
        <f ca="1">IFERROR(__xludf.DUMMYFUNCTION("""COMPUTED_VALUE"""),44301.5397337962)</f>
        <v>44301.539733796199</v>
      </c>
      <c r="U384" s="1"/>
    </row>
    <row r="385" spans="1:21" ht="13" x14ac:dyDescent="0.15">
      <c r="A385" s="1" t="str">
        <f t="shared" ca="1" si="0"/>
        <v>TirunelveliVJ Hospital</v>
      </c>
      <c r="B385" s="1">
        <f ca="1">IFERROR(__xludf.DUMMYFUNCTION("""COMPUTED_VALUE"""),384)</f>
        <v>384</v>
      </c>
      <c r="C385" s="1" t="str">
        <f ca="1">IFERROR(__xludf.DUMMYFUNCTION("""COMPUTED_VALUE"""),"Tirunelveli")</f>
        <v>Tirunelveli</v>
      </c>
      <c r="D385" s="1" t="str">
        <f ca="1">IFERROR(__xludf.DUMMYFUNCTION("""COMPUTED_VALUE"""),"VJ Hospital")</f>
        <v>VJ Hospital</v>
      </c>
      <c r="E385" s="1">
        <f ca="1">IFERROR(__xludf.DUMMYFUNCTION("""COMPUTED_VALUE"""),13)</f>
        <v>13</v>
      </c>
      <c r="F385" s="1">
        <f ca="1">IFERROR(__xludf.DUMMYFUNCTION("""COMPUTED_VALUE"""),11)</f>
        <v>11</v>
      </c>
      <c r="G385" s="1">
        <f ca="1">IFERROR(__xludf.DUMMYFUNCTION("""COMPUTED_VALUE"""),2)</f>
        <v>2</v>
      </c>
      <c r="H385" s="1">
        <f ca="1">IFERROR(__xludf.DUMMYFUNCTION("""COMPUTED_VALUE"""),10)</f>
        <v>10</v>
      </c>
      <c r="I385" s="1">
        <f ca="1">IFERROR(__xludf.DUMMYFUNCTION("""COMPUTED_VALUE"""),5)</f>
        <v>5</v>
      </c>
      <c r="J385" s="1">
        <f ca="1">IFERROR(__xludf.DUMMYFUNCTION("""COMPUTED_VALUE"""),5)</f>
        <v>5</v>
      </c>
      <c r="K385" s="1">
        <f ca="1">IFERROR(__xludf.DUMMYFUNCTION("""COMPUTED_VALUE"""),3)</f>
        <v>3</v>
      </c>
      <c r="L385" s="1">
        <f ca="1">IFERROR(__xludf.DUMMYFUNCTION("""COMPUTED_VALUE"""),3)</f>
        <v>3</v>
      </c>
      <c r="M385" s="1">
        <f ca="1">IFERROR(__xludf.DUMMYFUNCTION("""COMPUTED_VALUE"""),0)</f>
        <v>0</v>
      </c>
      <c r="N385" s="1">
        <f ca="1">IFERROR(__xludf.DUMMYFUNCTION("""COMPUTED_VALUE"""),5)</f>
        <v>5</v>
      </c>
      <c r="O385" s="1">
        <f ca="1">IFERROR(__xludf.DUMMYFUNCTION("""COMPUTED_VALUE"""),2)</f>
        <v>2</v>
      </c>
      <c r="P385" s="1">
        <f ca="1">IFERROR(__xludf.DUMMYFUNCTION("""COMPUTED_VALUE"""),3)</f>
        <v>3</v>
      </c>
      <c r="Q385" s="1">
        <f ca="1">IFERROR(__xludf.DUMMYFUNCTION("""COMPUTED_VALUE"""),5)</f>
        <v>5</v>
      </c>
      <c r="R385" s="1">
        <f ca="1">IFERROR(__xludf.DUMMYFUNCTION("""COMPUTED_VALUE"""),0)</f>
        <v>0</v>
      </c>
      <c r="S385" s="1">
        <f ca="1">IFERROR(__xludf.DUMMYFUNCTION("""COMPUTED_VALUE"""),5)</f>
        <v>5</v>
      </c>
      <c r="T385" s="1">
        <f ca="1">IFERROR(__xludf.DUMMYFUNCTION("""COMPUTED_VALUE"""),44305.72)</f>
        <v>44305.72</v>
      </c>
      <c r="U385" s="1" t="str">
        <f ca="1">IFERROR(__xludf.DUMMYFUNCTION("""COMPUTED_VALUE"""),"11 Active cases")</f>
        <v>11 Active cases</v>
      </c>
    </row>
    <row r="386" spans="1:21" ht="13" x14ac:dyDescent="0.15">
      <c r="A386" s="1" t="str">
        <f t="shared" ca="1" si="0"/>
        <v>ThiruchirappalliAtlas Hospital</v>
      </c>
      <c r="B386" s="1">
        <f ca="1">IFERROR(__xludf.DUMMYFUNCTION("""COMPUTED_VALUE"""),385)</f>
        <v>385</v>
      </c>
      <c r="C386" s="1" t="str">
        <f ca="1">IFERROR(__xludf.DUMMYFUNCTION("""COMPUTED_VALUE"""),"Thiruchirappalli")</f>
        <v>Thiruchirappalli</v>
      </c>
      <c r="D386" s="1" t="str">
        <f ca="1">IFERROR(__xludf.DUMMYFUNCTION("""COMPUTED_VALUE"""),"Atlas Hospital")</f>
        <v>Atlas Hospital</v>
      </c>
      <c r="E386" s="1">
        <f ca="1">IFERROR(__xludf.DUMMYFUNCTION("""COMPUTED_VALUE"""),20)</f>
        <v>20</v>
      </c>
      <c r="F386" s="1">
        <f ca="1">IFERROR(__xludf.DUMMYFUNCTION("""COMPUTED_VALUE"""),3)</f>
        <v>3</v>
      </c>
      <c r="G386" s="1">
        <f ca="1">IFERROR(__xludf.DUMMYFUNCTION("""COMPUTED_VALUE"""),11)</f>
        <v>11</v>
      </c>
      <c r="H386" s="1">
        <f ca="1">IFERROR(__xludf.DUMMYFUNCTION("""COMPUTED_VALUE"""),12)</f>
        <v>12</v>
      </c>
      <c r="I386" s="1">
        <f ca="1">IFERROR(__xludf.DUMMYFUNCTION("""COMPUTED_VALUE"""),3)</f>
        <v>3</v>
      </c>
      <c r="J386" s="1">
        <f ca="1">IFERROR(__xludf.DUMMYFUNCTION("""COMPUTED_VALUE"""),9)</f>
        <v>9</v>
      </c>
      <c r="K386" s="1">
        <f ca="1">IFERROR(__xludf.DUMMYFUNCTION("""COMPUTED_VALUE"""),2)</f>
        <v>2</v>
      </c>
      <c r="L386" s="1">
        <f ca="1">IFERROR(__xludf.DUMMYFUNCTION("""COMPUTED_VALUE"""),0)</f>
        <v>0</v>
      </c>
      <c r="M386" s="1">
        <f ca="1">IFERROR(__xludf.DUMMYFUNCTION("""COMPUTED_VALUE"""),2)</f>
        <v>2</v>
      </c>
      <c r="N386" s="1">
        <f ca="1">IFERROR(__xludf.DUMMYFUNCTION("""COMPUTED_VALUE"""),6)</f>
        <v>6</v>
      </c>
      <c r="O386" s="1">
        <f ca="1">IFERROR(__xludf.DUMMYFUNCTION("""COMPUTED_VALUE"""),0)</f>
        <v>0</v>
      </c>
      <c r="P386" s="1">
        <f ca="1">IFERROR(__xludf.DUMMYFUNCTION("""COMPUTED_VALUE"""),6)</f>
        <v>6</v>
      </c>
      <c r="Q386" s="1">
        <f ca="1">IFERROR(__xludf.DUMMYFUNCTION("""COMPUTED_VALUE"""),1)</f>
        <v>1</v>
      </c>
      <c r="R386" s="1">
        <f ca="1">IFERROR(__xludf.DUMMYFUNCTION("""COMPUTED_VALUE"""),0)</f>
        <v>0</v>
      </c>
      <c r="S386" s="1">
        <f ca="1">IFERROR(__xludf.DUMMYFUNCTION("""COMPUTED_VALUE"""),1)</f>
        <v>1</v>
      </c>
      <c r="T386" s="1">
        <f ca="1">IFERROR(__xludf.DUMMYFUNCTION("""COMPUTED_VALUE"""),44305.4816087963)</f>
        <v>44305.481608796297</v>
      </c>
      <c r="U386" s="1" t="str">
        <f ca="1">IFERROR(__xludf.DUMMYFUNCTION("""COMPUTED_VALUE"""),"COVID-19-3 Sari, Ili &amp; Ct Chest Positive -6.")</f>
        <v>COVID-19-3 Sari, Ili &amp; Ct Chest Positive -6.</v>
      </c>
    </row>
    <row r="387" spans="1:21" ht="13" x14ac:dyDescent="0.15">
      <c r="A387" s="1" t="str">
        <f t="shared" ca="1" si="0"/>
        <v>TiruppurVelan Hospital</v>
      </c>
      <c r="B387" s="1">
        <f ca="1">IFERROR(__xludf.DUMMYFUNCTION("""COMPUTED_VALUE"""),386)</f>
        <v>386</v>
      </c>
      <c r="C387" s="1" t="str">
        <f ca="1">IFERROR(__xludf.DUMMYFUNCTION("""COMPUTED_VALUE"""),"Tiruppur")</f>
        <v>Tiruppur</v>
      </c>
      <c r="D387" s="1" t="str">
        <f ca="1">IFERROR(__xludf.DUMMYFUNCTION("""COMPUTED_VALUE"""),"Velan Hospital")</f>
        <v>Velan Hospital</v>
      </c>
      <c r="E387" s="1">
        <f ca="1">IFERROR(__xludf.DUMMYFUNCTION("""COMPUTED_VALUE"""),30)</f>
        <v>30</v>
      </c>
      <c r="F387" s="1">
        <f ca="1">IFERROR(__xludf.DUMMYFUNCTION("""COMPUTED_VALUE"""),11)</f>
        <v>11</v>
      </c>
      <c r="G387" s="1">
        <f ca="1">IFERROR(__xludf.DUMMYFUNCTION("""COMPUTED_VALUE"""),19)</f>
        <v>19</v>
      </c>
      <c r="H387" s="1">
        <f ca="1">IFERROR(__xludf.DUMMYFUNCTION("""COMPUTED_VALUE"""),18)</f>
        <v>18</v>
      </c>
      <c r="I387" s="1">
        <f ca="1">IFERROR(__xludf.DUMMYFUNCTION("""COMPUTED_VALUE"""),0)</f>
        <v>0</v>
      </c>
      <c r="J387" s="1">
        <f ca="1">IFERROR(__xludf.DUMMYFUNCTION("""COMPUTED_VALUE"""),10)</f>
        <v>10</v>
      </c>
      <c r="K387" s="1">
        <f ca="1">IFERROR(__xludf.DUMMYFUNCTION("""COMPUTED_VALUE"""),0)</f>
        <v>0</v>
      </c>
      <c r="L387" s="1">
        <f ca="1">IFERROR(__xludf.DUMMYFUNCTION("""COMPUTED_VALUE"""),0)</f>
        <v>0</v>
      </c>
      <c r="M387" s="1">
        <f ca="1">IFERROR(__xludf.DUMMYFUNCTION("""COMPUTED_VALUE"""),0)</f>
        <v>0</v>
      </c>
      <c r="N387" s="1">
        <f ca="1">IFERROR(__xludf.DUMMYFUNCTION("""COMPUTED_VALUE"""),8)</f>
        <v>8</v>
      </c>
      <c r="O387" s="1">
        <f ca="1">IFERROR(__xludf.DUMMYFUNCTION("""COMPUTED_VALUE"""),4)</f>
        <v>4</v>
      </c>
      <c r="P387" s="1">
        <f ca="1">IFERROR(__xludf.DUMMYFUNCTION("""COMPUTED_VALUE"""),4)</f>
        <v>4</v>
      </c>
      <c r="Q387" s="1">
        <f ca="1">IFERROR(__xludf.DUMMYFUNCTION("""COMPUTED_VALUE"""),3)</f>
        <v>3</v>
      </c>
      <c r="R387" s="1">
        <f ca="1">IFERROR(__xludf.DUMMYFUNCTION("""COMPUTED_VALUE"""),0)</f>
        <v>0</v>
      </c>
      <c r="S387" s="1">
        <f ca="1">IFERROR(__xludf.DUMMYFUNCTION("""COMPUTED_VALUE"""),3)</f>
        <v>3</v>
      </c>
      <c r="T387" s="1">
        <f ca="1">IFERROR(__xludf.DUMMYFUNCTION("""COMPUTED_VALUE"""),44305.6531597222)</f>
        <v>44305.653159722198</v>
      </c>
      <c r="U387" s="1"/>
    </row>
    <row r="388" spans="1:21" ht="13" x14ac:dyDescent="0.15">
      <c r="A388" s="1" t="str">
        <f t="shared" ca="1" si="0"/>
        <v>DindigulSakthi Vinayagar Multispeciality Hospital, Guziliamparai</v>
      </c>
      <c r="B388" s="1">
        <f ca="1">IFERROR(__xludf.DUMMYFUNCTION("""COMPUTED_VALUE"""),387)</f>
        <v>387</v>
      </c>
      <c r="C388" s="1" t="str">
        <f ca="1">IFERROR(__xludf.DUMMYFUNCTION("""COMPUTED_VALUE"""),"Dindigul")</f>
        <v>Dindigul</v>
      </c>
      <c r="D388" s="1" t="str">
        <f ca="1">IFERROR(__xludf.DUMMYFUNCTION("""COMPUTED_VALUE"""),"Sakthi Vinayagar Multispeciality Hospital, Guziliamparai")</f>
        <v>Sakthi Vinayagar Multispeciality Hospital, Guziliamparai</v>
      </c>
      <c r="E388" s="1">
        <f ca="1">IFERROR(__xludf.DUMMYFUNCTION("""COMPUTED_VALUE"""),28)</f>
        <v>28</v>
      </c>
      <c r="F388" s="1">
        <f ca="1">IFERROR(__xludf.DUMMYFUNCTION("""COMPUTED_VALUE"""),4)</f>
        <v>4</v>
      </c>
      <c r="G388" s="1">
        <f ca="1">IFERROR(__xludf.DUMMYFUNCTION("""COMPUTED_VALUE"""),24)</f>
        <v>24</v>
      </c>
      <c r="H388" s="1">
        <f ca="1">IFERROR(__xludf.DUMMYFUNCTION("""COMPUTED_VALUE"""),14)</f>
        <v>14</v>
      </c>
      <c r="I388" s="1">
        <f ca="1">IFERROR(__xludf.DUMMYFUNCTION("""COMPUTED_VALUE"""),2)</f>
        <v>2</v>
      </c>
      <c r="J388" s="1">
        <f ca="1">IFERROR(__xludf.DUMMYFUNCTION("""COMPUTED_VALUE"""),12)</f>
        <v>12</v>
      </c>
      <c r="K388" s="1">
        <f ca="1">IFERROR(__xludf.DUMMYFUNCTION("""COMPUTED_VALUE"""),5)</f>
        <v>5</v>
      </c>
      <c r="L388" s="1">
        <f ca="1">IFERROR(__xludf.DUMMYFUNCTION("""COMPUTED_VALUE"""),2)</f>
        <v>2</v>
      </c>
      <c r="M388" s="1">
        <f ca="1">IFERROR(__xludf.DUMMYFUNCTION("""COMPUTED_VALUE"""),2)</f>
        <v>2</v>
      </c>
      <c r="N388" s="1">
        <f ca="1">IFERROR(__xludf.DUMMYFUNCTION("""COMPUTED_VALUE"""),10)</f>
        <v>10</v>
      </c>
      <c r="O388" s="1">
        <f ca="1">IFERROR(__xludf.DUMMYFUNCTION("""COMPUTED_VALUE"""),2)</f>
        <v>2</v>
      </c>
      <c r="P388" s="1">
        <f ca="1">IFERROR(__xludf.DUMMYFUNCTION("""COMPUTED_VALUE"""),8)</f>
        <v>8</v>
      </c>
      <c r="Q388" s="1">
        <f ca="1">IFERROR(__xludf.DUMMYFUNCTION("""COMPUTED_VALUE"""),5)</f>
        <v>5</v>
      </c>
      <c r="R388" s="1">
        <f ca="1">IFERROR(__xludf.DUMMYFUNCTION("""COMPUTED_VALUE"""),2)</f>
        <v>2</v>
      </c>
      <c r="S388" s="1">
        <f ca="1">IFERROR(__xludf.DUMMYFUNCTION("""COMPUTED_VALUE"""),3)</f>
        <v>3</v>
      </c>
      <c r="T388" s="1">
        <f ca="1">IFERROR(__xludf.DUMMYFUNCTION("""COMPUTED_VALUE"""),44305.3474884259)</f>
        <v>44305.347488425898</v>
      </c>
      <c r="U388" s="1" t="str">
        <f ca="1">IFERROR(__xludf.DUMMYFUNCTION("""COMPUTED_VALUE"""),"19.04.2021")</f>
        <v>19.04.2021</v>
      </c>
    </row>
    <row r="389" spans="1:21" ht="13" x14ac:dyDescent="0.15">
      <c r="A389" s="1" t="str">
        <f t="shared" ca="1" si="0"/>
        <v>ChennaiBe well hospital T.Nagar</v>
      </c>
      <c r="B389" s="1">
        <f ca="1">IFERROR(__xludf.DUMMYFUNCTION("""COMPUTED_VALUE"""),388)</f>
        <v>388</v>
      </c>
      <c r="C389" s="1" t="str">
        <f ca="1">IFERROR(__xludf.DUMMYFUNCTION("""COMPUTED_VALUE"""),"Chennai")</f>
        <v>Chennai</v>
      </c>
      <c r="D389" s="1" t="str">
        <f ca="1">IFERROR(__xludf.DUMMYFUNCTION("""COMPUTED_VALUE"""),"Be well hospital T.Nagar")</f>
        <v>Be well hospital T.Nagar</v>
      </c>
      <c r="E389" s="1">
        <f ca="1">IFERROR(__xludf.DUMMYFUNCTION("""COMPUTED_VALUE"""),18)</f>
        <v>18</v>
      </c>
      <c r="F389" s="1">
        <f ca="1">IFERROR(__xludf.DUMMYFUNCTION("""COMPUTED_VALUE"""),18)</f>
        <v>18</v>
      </c>
      <c r="G389" s="1">
        <f ca="1">IFERROR(__xludf.DUMMYFUNCTION("""COMPUTED_VALUE"""),0)</f>
        <v>0</v>
      </c>
      <c r="H389" s="1">
        <f ca="1">IFERROR(__xludf.DUMMYFUNCTION("""COMPUTED_VALUE"""),18)</f>
        <v>18</v>
      </c>
      <c r="I389" s="1">
        <f ca="1">IFERROR(__xludf.DUMMYFUNCTION("""COMPUTED_VALUE"""),18)</f>
        <v>18</v>
      </c>
      <c r="J389" s="1">
        <f ca="1">IFERROR(__xludf.DUMMYFUNCTION("""COMPUTED_VALUE"""),0)</f>
        <v>0</v>
      </c>
      <c r="K389" s="1">
        <f ca="1">IFERROR(__xludf.DUMMYFUNCTION("""COMPUTED_VALUE"""),18)</f>
        <v>18</v>
      </c>
      <c r="L389" s="1">
        <f ca="1">IFERROR(__xludf.DUMMYFUNCTION("""COMPUTED_VALUE"""),0)</f>
        <v>0</v>
      </c>
      <c r="M389" s="1">
        <f ca="1">IFERROR(__xludf.DUMMYFUNCTION("""COMPUTED_VALUE"""),0)</f>
        <v>0</v>
      </c>
      <c r="N389" s="1">
        <f ca="1">IFERROR(__xludf.DUMMYFUNCTION("""COMPUTED_VALUE"""),0)</f>
        <v>0</v>
      </c>
      <c r="O389" s="1">
        <f ca="1">IFERROR(__xludf.DUMMYFUNCTION("""COMPUTED_VALUE"""),0)</f>
        <v>0</v>
      </c>
      <c r="P389" s="1">
        <f ca="1">IFERROR(__xludf.DUMMYFUNCTION("""COMPUTED_VALUE"""),0)</f>
        <v>0</v>
      </c>
      <c r="Q389" s="1">
        <f ca="1">IFERROR(__xludf.DUMMYFUNCTION("""COMPUTED_VALUE"""),0)</f>
        <v>0</v>
      </c>
      <c r="R389" s="1">
        <f ca="1">IFERROR(__xludf.DUMMYFUNCTION("""COMPUTED_VALUE"""),0)</f>
        <v>0</v>
      </c>
      <c r="S389" s="1">
        <f ca="1">IFERROR(__xludf.DUMMYFUNCTION("""COMPUTED_VALUE"""),0)</f>
        <v>0</v>
      </c>
      <c r="T389" s="1">
        <f ca="1">IFERROR(__xludf.DUMMYFUNCTION("""COMPUTED_VALUE"""),44305.3781018518)</f>
        <v>44305.378101851798</v>
      </c>
      <c r="U389" s="1"/>
    </row>
    <row r="390" spans="1:21" ht="13" x14ac:dyDescent="0.15">
      <c r="A390" s="1" t="str">
        <f t="shared" ca="1" si="0"/>
        <v>ChennaiVijai\'s Nursing home</v>
      </c>
      <c r="B390" s="1">
        <f ca="1">IFERROR(__xludf.DUMMYFUNCTION("""COMPUTED_VALUE"""),389)</f>
        <v>389</v>
      </c>
      <c r="C390" s="1" t="str">
        <f ca="1">IFERROR(__xludf.DUMMYFUNCTION("""COMPUTED_VALUE"""),"Chennai")</f>
        <v>Chennai</v>
      </c>
      <c r="D390" s="1" t="str">
        <f ca="1">IFERROR(__xludf.DUMMYFUNCTION("""COMPUTED_VALUE"""),"Vijai\'s Nursing home")</f>
        <v>Vijai\'s Nursing home</v>
      </c>
      <c r="E390" s="1">
        <f ca="1">IFERROR(__xludf.DUMMYFUNCTION("""COMPUTED_VALUE"""),25)</f>
        <v>25</v>
      </c>
      <c r="F390" s="1">
        <f ca="1">IFERROR(__xludf.DUMMYFUNCTION("""COMPUTED_VALUE"""),12)</f>
        <v>12</v>
      </c>
      <c r="G390" s="1">
        <f ca="1">IFERROR(__xludf.DUMMYFUNCTION("""COMPUTED_VALUE"""),13)</f>
        <v>13</v>
      </c>
      <c r="H390" s="1">
        <f ca="1">IFERROR(__xludf.DUMMYFUNCTION("""COMPUTED_VALUE"""),25)</f>
        <v>25</v>
      </c>
      <c r="I390" s="1">
        <f ca="1">IFERROR(__xludf.DUMMYFUNCTION("""COMPUTED_VALUE"""),12)</f>
        <v>12</v>
      </c>
      <c r="J390" s="1">
        <f ca="1">IFERROR(__xludf.DUMMYFUNCTION("""COMPUTED_VALUE"""),13)</f>
        <v>13</v>
      </c>
      <c r="K390" s="1">
        <f ca="1">IFERROR(__xludf.DUMMYFUNCTION("""COMPUTED_VALUE"""),25)</f>
        <v>25</v>
      </c>
      <c r="L390" s="1">
        <f ca="1">IFERROR(__xludf.DUMMYFUNCTION("""COMPUTED_VALUE"""),0)</f>
        <v>0</v>
      </c>
      <c r="M390" s="1">
        <f ca="1">IFERROR(__xludf.DUMMYFUNCTION("""COMPUTED_VALUE"""),0)</f>
        <v>0</v>
      </c>
      <c r="N390" s="1">
        <f ca="1">IFERROR(__xludf.DUMMYFUNCTION("""COMPUTED_VALUE"""),5)</f>
        <v>5</v>
      </c>
      <c r="O390" s="1">
        <f ca="1">IFERROR(__xludf.DUMMYFUNCTION("""COMPUTED_VALUE"""),3)</f>
        <v>3</v>
      </c>
      <c r="P390" s="1">
        <f ca="1">IFERROR(__xludf.DUMMYFUNCTION("""COMPUTED_VALUE"""),2)</f>
        <v>2</v>
      </c>
      <c r="Q390" s="1">
        <f ca="1">IFERROR(__xludf.DUMMYFUNCTION("""COMPUTED_VALUE"""),0)</f>
        <v>0</v>
      </c>
      <c r="R390" s="1">
        <f ca="1">IFERROR(__xludf.DUMMYFUNCTION("""COMPUTED_VALUE"""),0)</f>
        <v>0</v>
      </c>
      <c r="S390" s="1">
        <f ca="1">IFERROR(__xludf.DUMMYFUNCTION("""COMPUTED_VALUE"""),0)</f>
        <v>0</v>
      </c>
      <c r="T390" s="1">
        <f ca="1">IFERROR(__xludf.DUMMYFUNCTION("""COMPUTED_VALUE"""),44305.6406018518)</f>
        <v>44305.640601851803</v>
      </c>
      <c r="U390" s="1"/>
    </row>
    <row r="391" spans="1:21" ht="13" x14ac:dyDescent="0.15">
      <c r="A391" s="1" t="str">
        <f t="shared" ca="1" si="0"/>
        <v>ChennaiPrime Indian Hospitals</v>
      </c>
      <c r="B391" s="1">
        <f ca="1">IFERROR(__xludf.DUMMYFUNCTION("""COMPUTED_VALUE"""),390)</f>
        <v>390</v>
      </c>
      <c r="C391" s="1" t="str">
        <f ca="1">IFERROR(__xludf.DUMMYFUNCTION("""COMPUTED_VALUE"""),"Chennai")</f>
        <v>Chennai</v>
      </c>
      <c r="D391" s="1" t="str">
        <f ca="1">IFERROR(__xludf.DUMMYFUNCTION("""COMPUTED_VALUE"""),"Prime Indian Hospitals")</f>
        <v>Prime Indian Hospitals</v>
      </c>
      <c r="E391" s="1">
        <f ca="1">IFERROR(__xludf.DUMMYFUNCTION("""COMPUTED_VALUE"""),0)</f>
        <v>0</v>
      </c>
      <c r="F391" s="1">
        <f ca="1">IFERROR(__xludf.DUMMYFUNCTION("""COMPUTED_VALUE"""),0)</f>
        <v>0</v>
      </c>
      <c r="G391" s="1">
        <f ca="1">IFERROR(__xludf.DUMMYFUNCTION("""COMPUTED_VALUE"""),0)</f>
        <v>0</v>
      </c>
      <c r="H391" s="1">
        <f ca="1">IFERROR(__xludf.DUMMYFUNCTION("""COMPUTED_VALUE"""),0)</f>
        <v>0</v>
      </c>
      <c r="I391" s="1">
        <f ca="1">IFERROR(__xludf.DUMMYFUNCTION("""COMPUTED_VALUE"""),0)</f>
        <v>0</v>
      </c>
      <c r="J391" s="1">
        <f ca="1">IFERROR(__xludf.DUMMYFUNCTION("""COMPUTED_VALUE"""),0)</f>
        <v>0</v>
      </c>
      <c r="K391" s="1">
        <f ca="1">IFERROR(__xludf.DUMMYFUNCTION("""COMPUTED_VALUE"""),0)</f>
        <v>0</v>
      </c>
      <c r="L391" s="1">
        <f ca="1">IFERROR(__xludf.DUMMYFUNCTION("""COMPUTED_VALUE"""),0)</f>
        <v>0</v>
      </c>
      <c r="M391" s="1">
        <f ca="1">IFERROR(__xludf.DUMMYFUNCTION("""COMPUTED_VALUE"""),0)</f>
        <v>0</v>
      </c>
      <c r="N391" s="1">
        <f ca="1">IFERROR(__xludf.DUMMYFUNCTION("""COMPUTED_VALUE"""),0)</f>
        <v>0</v>
      </c>
      <c r="O391" s="1">
        <f ca="1">IFERROR(__xludf.DUMMYFUNCTION("""COMPUTED_VALUE"""),0)</f>
        <v>0</v>
      </c>
      <c r="P391" s="1">
        <f ca="1">IFERROR(__xludf.DUMMYFUNCTION("""COMPUTED_VALUE"""),0)</f>
        <v>0</v>
      </c>
      <c r="Q391" s="1">
        <f ca="1">IFERROR(__xludf.DUMMYFUNCTION("""COMPUTED_VALUE"""),0)</f>
        <v>0</v>
      </c>
      <c r="R391" s="1">
        <f ca="1">IFERROR(__xludf.DUMMYFUNCTION("""COMPUTED_VALUE"""),0)</f>
        <v>0</v>
      </c>
      <c r="S391" s="1">
        <f ca="1">IFERROR(__xludf.DUMMYFUNCTION("""COMPUTED_VALUE"""),0)</f>
        <v>0</v>
      </c>
      <c r="T391" s="1">
        <f ca="1">IFERROR(__xludf.DUMMYFUNCTION("""COMPUTED_VALUE"""),44303.9841087963)</f>
        <v>44303.9841087963</v>
      </c>
      <c r="U391" s="1"/>
    </row>
    <row r="392" spans="1:21" ht="13" x14ac:dyDescent="0.15">
      <c r="A392" s="1" t="str">
        <f t="shared" ca="1" si="0"/>
        <v>ThanjavurDravidian Hospital</v>
      </c>
      <c r="B392" s="1">
        <f ca="1">IFERROR(__xludf.DUMMYFUNCTION("""COMPUTED_VALUE"""),391)</f>
        <v>391</v>
      </c>
      <c r="C392" s="1" t="str">
        <f ca="1">IFERROR(__xludf.DUMMYFUNCTION("""COMPUTED_VALUE"""),"Thanjavur")</f>
        <v>Thanjavur</v>
      </c>
      <c r="D392" s="1" t="str">
        <f ca="1">IFERROR(__xludf.DUMMYFUNCTION("""COMPUTED_VALUE"""),"Dravidian Hospital")</f>
        <v>Dravidian Hospital</v>
      </c>
      <c r="E392" s="1">
        <f ca="1">IFERROR(__xludf.DUMMYFUNCTION("""COMPUTED_VALUE"""),20)</f>
        <v>20</v>
      </c>
      <c r="F392" s="1">
        <f ca="1">IFERROR(__xludf.DUMMYFUNCTION("""COMPUTED_VALUE"""),9)</f>
        <v>9</v>
      </c>
      <c r="G392" s="1">
        <f ca="1">IFERROR(__xludf.DUMMYFUNCTION("""COMPUTED_VALUE"""),11)</f>
        <v>11</v>
      </c>
      <c r="H392" s="1">
        <f ca="1">IFERROR(__xludf.DUMMYFUNCTION("""COMPUTED_VALUE"""),20)</f>
        <v>20</v>
      </c>
      <c r="I392" s="1">
        <f ca="1">IFERROR(__xludf.DUMMYFUNCTION("""COMPUTED_VALUE"""),0)</f>
        <v>0</v>
      </c>
      <c r="J392" s="1">
        <f ca="1">IFERROR(__xludf.DUMMYFUNCTION("""COMPUTED_VALUE"""),20)</f>
        <v>20</v>
      </c>
      <c r="K392" s="1">
        <f ca="1">IFERROR(__xludf.DUMMYFUNCTION("""COMPUTED_VALUE"""),0)</f>
        <v>0</v>
      </c>
      <c r="L392" s="1">
        <f ca="1">IFERROR(__xludf.DUMMYFUNCTION("""COMPUTED_VALUE"""),0)</f>
        <v>0</v>
      </c>
      <c r="M392" s="1">
        <f ca="1">IFERROR(__xludf.DUMMYFUNCTION("""COMPUTED_VALUE"""),0)</f>
        <v>0</v>
      </c>
      <c r="N392" s="1">
        <f ca="1">IFERROR(__xludf.DUMMYFUNCTION("""COMPUTED_VALUE"""),2)</f>
        <v>2</v>
      </c>
      <c r="O392" s="1">
        <f ca="1">IFERROR(__xludf.DUMMYFUNCTION("""COMPUTED_VALUE"""),0)</f>
        <v>0</v>
      </c>
      <c r="P392" s="1">
        <f ca="1">IFERROR(__xludf.DUMMYFUNCTION("""COMPUTED_VALUE"""),2)</f>
        <v>2</v>
      </c>
      <c r="Q392" s="1">
        <f ca="1">IFERROR(__xludf.DUMMYFUNCTION("""COMPUTED_VALUE"""),1)</f>
        <v>1</v>
      </c>
      <c r="R392" s="1">
        <f ca="1">IFERROR(__xludf.DUMMYFUNCTION("""COMPUTED_VALUE"""),0)</f>
        <v>0</v>
      </c>
      <c r="S392" s="1">
        <f ca="1">IFERROR(__xludf.DUMMYFUNCTION("""COMPUTED_VALUE"""),1)</f>
        <v>1</v>
      </c>
      <c r="T392" s="1">
        <f ca="1">IFERROR(__xludf.DUMMYFUNCTION("""COMPUTED_VALUE"""),44305.6988888888)</f>
        <v>44305.698888888801</v>
      </c>
      <c r="U392" s="1" t="str">
        <f ca="1">IFERROR(__xludf.DUMMYFUNCTION("""COMPUTED_VALUE"""),"sari cases 6 positive 3")</f>
        <v>sari cases 6 positive 3</v>
      </c>
    </row>
    <row r="393" spans="1:21" ht="13" x14ac:dyDescent="0.15">
      <c r="A393" s="1" t="str">
        <f t="shared" ca="1" si="0"/>
        <v>CoimbatoreGem Hospital and Research centre</v>
      </c>
      <c r="B393" s="1">
        <f ca="1">IFERROR(__xludf.DUMMYFUNCTION("""COMPUTED_VALUE"""),392)</f>
        <v>392</v>
      </c>
      <c r="C393" s="1" t="str">
        <f ca="1">IFERROR(__xludf.DUMMYFUNCTION("""COMPUTED_VALUE"""),"Coimbatore")</f>
        <v>Coimbatore</v>
      </c>
      <c r="D393" s="1" t="str">
        <f ca="1">IFERROR(__xludf.DUMMYFUNCTION("""COMPUTED_VALUE"""),"Gem Hospital and Research centre")</f>
        <v>Gem Hospital and Research centre</v>
      </c>
      <c r="E393" s="1">
        <f ca="1">IFERROR(__xludf.DUMMYFUNCTION("""COMPUTED_VALUE"""),0)</f>
        <v>0</v>
      </c>
      <c r="F393" s="1">
        <f ca="1">IFERROR(__xludf.DUMMYFUNCTION("""COMPUTED_VALUE"""),0)</f>
        <v>0</v>
      </c>
      <c r="G393" s="1">
        <f ca="1">IFERROR(__xludf.DUMMYFUNCTION("""COMPUTED_VALUE"""),0)</f>
        <v>0</v>
      </c>
      <c r="H393" s="1">
        <f ca="1">IFERROR(__xludf.DUMMYFUNCTION("""COMPUTED_VALUE"""),0)</f>
        <v>0</v>
      </c>
      <c r="I393" s="1">
        <f ca="1">IFERROR(__xludf.DUMMYFUNCTION("""COMPUTED_VALUE"""),0)</f>
        <v>0</v>
      </c>
      <c r="J393" s="1">
        <f ca="1">IFERROR(__xludf.DUMMYFUNCTION("""COMPUTED_VALUE"""),0)</f>
        <v>0</v>
      </c>
      <c r="K393" s="1">
        <f ca="1">IFERROR(__xludf.DUMMYFUNCTION("""COMPUTED_VALUE"""),0)</f>
        <v>0</v>
      </c>
      <c r="L393" s="1">
        <f ca="1">IFERROR(__xludf.DUMMYFUNCTION("""COMPUTED_VALUE"""),0)</f>
        <v>0</v>
      </c>
      <c r="M393" s="1">
        <f ca="1">IFERROR(__xludf.DUMMYFUNCTION("""COMPUTED_VALUE"""),0)</f>
        <v>0</v>
      </c>
      <c r="N393" s="1">
        <f ca="1">IFERROR(__xludf.DUMMYFUNCTION("""COMPUTED_VALUE"""),0)</f>
        <v>0</v>
      </c>
      <c r="O393" s="1">
        <f ca="1">IFERROR(__xludf.DUMMYFUNCTION("""COMPUTED_VALUE"""),0)</f>
        <v>0</v>
      </c>
      <c r="P393" s="1">
        <f ca="1">IFERROR(__xludf.DUMMYFUNCTION("""COMPUTED_VALUE"""),0)</f>
        <v>0</v>
      </c>
      <c r="Q393" s="1">
        <f ca="1">IFERROR(__xludf.DUMMYFUNCTION("""COMPUTED_VALUE"""),0)</f>
        <v>0</v>
      </c>
      <c r="R393" s="1">
        <f ca="1">IFERROR(__xludf.DUMMYFUNCTION("""COMPUTED_VALUE"""),0)</f>
        <v>0</v>
      </c>
      <c r="S393" s="1">
        <f ca="1">IFERROR(__xludf.DUMMYFUNCTION("""COMPUTED_VALUE"""),0)</f>
        <v>0</v>
      </c>
      <c r="T393" s="1">
        <f ca="1">IFERROR(__xludf.DUMMYFUNCTION("""COMPUTED_VALUE"""),44303.9855555555)</f>
        <v>44303.985555555497</v>
      </c>
      <c r="U393" s="1"/>
    </row>
    <row r="394" spans="1:21" ht="13" x14ac:dyDescent="0.15">
      <c r="A394" s="1" t="str">
        <f t="shared" ca="1" si="0"/>
        <v>CoimbatoreN.M. Hospital, Annur</v>
      </c>
      <c r="B394" s="1">
        <f ca="1">IFERROR(__xludf.DUMMYFUNCTION("""COMPUTED_VALUE"""),393)</f>
        <v>393</v>
      </c>
      <c r="C394" s="1" t="str">
        <f ca="1">IFERROR(__xludf.DUMMYFUNCTION("""COMPUTED_VALUE"""),"Coimbatore")</f>
        <v>Coimbatore</v>
      </c>
      <c r="D394" s="1" t="str">
        <f ca="1">IFERROR(__xludf.DUMMYFUNCTION("""COMPUTED_VALUE"""),"N.M. Hospital, Annur")</f>
        <v>N.M. Hospital, Annur</v>
      </c>
      <c r="E394" s="1">
        <f ca="1">IFERROR(__xludf.DUMMYFUNCTION("""COMPUTED_VALUE"""),26)</f>
        <v>26</v>
      </c>
      <c r="F394" s="1">
        <f ca="1">IFERROR(__xludf.DUMMYFUNCTION("""COMPUTED_VALUE"""),13)</f>
        <v>13</v>
      </c>
      <c r="G394" s="1">
        <f ca="1">IFERROR(__xludf.DUMMYFUNCTION("""COMPUTED_VALUE"""),13)</f>
        <v>13</v>
      </c>
      <c r="H394" s="1">
        <f ca="1">IFERROR(__xludf.DUMMYFUNCTION("""COMPUTED_VALUE"""),20)</f>
        <v>20</v>
      </c>
      <c r="I394" s="1">
        <f ca="1">IFERROR(__xludf.DUMMYFUNCTION("""COMPUTED_VALUE"""),13)</f>
        <v>13</v>
      </c>
      <c r="J394" s="1">
        <f ca="1">IFERROR(__xludf.DUMMYFUNCTION("""COMPUTED_VALUE"""),7)</f>
        <v>7</v>
      </c>
      <c r="K394" s="1">
        <f ca="1">IFERROR(__xludf.DUMMYFUNCTION("""COMPUTED_VALUE"""),0)</f>
        <v>0</v>
      </c>
      <c r="L394" s="1">
        <f ca="1">IFERROR(__xludf.DUMMYFUNCTION("""COMPUTED_VALUE"""),0)</f>
        <v>0</v>
      </c>
      <c r="M394" s="1">
        <f ca="1">IFERROR(__xludf.DUMMYFUNCTION("""COMPUTED_VALUE"""),0)</f>
        <v>0</v>
      </c>
      <c r="N394" s="1">
        <f ca="1">IFERROR(__xludf.DUMMYFUNCTION("""COMPUTED_VALUE"""),6)</f>
        <v>6</v>
      </c>
      <c r="O394" s="1">
        <f ca="1">IFERROR(__xludf.DUMMYFUNCTION("""COMPUTED_VALUE"""),0)</f>
        <v>0</v>
      </c>
      <c r="P394" s="1">
        <f ca="1">IFERROR(__xludf.DUMMYFUNCTION("""COMPUTED_VALUE"""),6)</f>
        <v>6</v>
      </c>
      <c r="Q394" s="1">
        <f ca="1">IFERROR(__xludf.DUMMYFUNCTION("""COMPUTED_VALUE"""),2)</f>
        <v>2</v>
      </c>
      <c r="R394" s="1">
        <f ca="1">IFERROR(__xludf.DUMMYFUNCTION("""COMPUTED_VALUE"""),0)</f>
        <v>0</v>
      </c>
      <c r="S394" s="1">
        <f ca="1">IFERROR(__xludf.DUMMYFUNCTION("""COMPUTED_VALUE"""),2)</f>
        <v>2</v>
      </c>
      <c r="T394" s="1">
        <f ca="1">IFERROR(__xludf.DUMMYFUNCTION("""COMPUTED_VALUE"""),44305.3133333333)</f>
        <v>44305.313333333303</v>
      </c>
      <c r="U394" s="1"/>
    </row>
    <row r="395" spans="1:21" ht="13" x14ac:dyDescent="0.15">
      <c r="A395" s="1" t="str">
        <f t="shared" ca="1" si="0"/>
        <v>NamakkalSwamy Vivekanandha Medical College Hospital and Research Institute</v>
      </c>
      <c r="B395" s="1">
        <f ca="1">IFERROR(__xludf.DUMMYFUNCTION("""COMPUTED_VALUE"""),394)</f>
        <v>394</v>
      </c>
      <c r="C395" s="1" t="str">
        <f ca="1">IFERROR(__xludf.DUMMYFUNCTION("""COMPUTED_VALUE"""),"Namakkal")</f>
        <v>Namakkal</v>
      </c>
      <c r="D395" s="1" t="str">
        <f ca="1">IFERROR(__xludf.DUMMYFUNCTION("""COMPUTED_VALUE"""),"Swamy Vivekanandha Medical College Hospital and Research Institute")</f>
        <v>Swamy Vivekanandha Medical College Hospital and Research Institute</v>
      </c>
      <c r="E395" s="1">
        <f ca="1">IFERROR(__xludf.DUMMYFUNCTION("""COMPUTED_VALUE"""),100)</f>
        <v>100</v>
      </c>
      <c r="F395" s="1">
        <f ca="1">IFERROR(__xludf.DUMMYFUNCTION("""COMPUTED_VALUE"""),0)</f>
        <v>0</v>
      </c>
      <c r="G395" s="1">
        <f ca="1">IFERROR(__xludf.DUMMYFUNCTION("""COMPUTED_VALUE"""),100)</f>
        <v>100</v>
      </c>
      <c r="H395" s="1">
        <f ca="1">IFERROR(__xludf.DUMMYFUNCTION("""COMPUTED_VALUE"""),40)</f>
        <v>40</v>
      </c>
      <c r="I395" s="1">
        <f ca="1">IFERROR(__xludf.DUMMYFUNCTION("""COMPUTED_VALUE"""),0)</f>
        <v>0</v>
      </c>
      <c r="J395" s="1">
        <f ca="1">IFERROR(__xludf.DUMMYFUNCTION("""COMPUTED_VALUE"""),40)</f>
        <v>40</v>
      </c>
      <c r="K395" s="1">
        <f ca="1">IFERROR(__xludf.DUMMYFUNCTION("""COMPUTED_VALUE"""),50)</f>
        <v>50</v>
      </c>
      <c r="L395" s="1">
        <f ca="1">IFERROR(__xludf.DUMMYFUNCTION("""COMPUTED_VALUE"""),0)</f>
        <v>0</v>
      </c>
      <c r="M395" s="1">
        <f ca="1">IFERROR(__xludf.DUMMYFUNCTION("""COMPUTED_VALUE"""),50)</f>
        <v>50</v>
      </c>
      <c r="N395" s="1">
        <f ca="1">IFERROR(__xludf.DUMMYFUNCTION("""COMPUTED_VALUE"""),10)</f>
        <v>10</v>
      </c>
      <c r="O395" s="1">
        <f ca="1">IFERROR(__xludf.DUMMYFUNCTION("""COMPUTED_VALUE"""),0)</f>
        <v>0</v>
      </c>
      <c r="P395" s="1">
        <f ca="1">IFERROR(__xludf.DUMMYFUNCTION("""COMPUTED_VALUE"""),10)</f>
        <v>10</v>
      </c>
      <c r="Q395" s="1">
        <f ca="1">IFERROR(__xludf.DUMMYFUNCTION("""COMPUTED_VALUE"""),10)</f>
        <v>10</v>
      </c>
      <c r="R395" s="1">
        <f ca="1">IFERROR(__xludf.DUMMYFUNCTION("""COMPUTED_VALUE"""),0)</f>
        <v>0</v>
      </c>
      <c r="S395" s="1">
        <f ca="1">IFERROR(__xludf.DUMMYFUNCTION("""COMPUTED_VALUE"""),10)</f>
        <v>10</v>
      </c>
      <c r="T395" s="1">
        <f ca="1">IFERROR(__xludf.DUMMYFUNCTION("""COMPUTED_VALUE"""),44305.5674652777)</f>
        <v>44305.567465277702</v>
      </c>
      <c r="U395" s="1" t="str">
        <f ca="1">IFERROR(__xludf.DUMMYFUNCTION("""COMPUTED_VALUE"""),"Date 19.04.2021 Time 9.11")</f>
        <v>Date 19.04.2021 Time 9.11</v>
      </c>
    </row>
    <row r="396" spans="1:21" ht="13" x14ac:dyDescent="0.15">
      <c r="A396" s="1" t="str">
        <f t="shared" ca="1" si="0"/>
        <v>TiruvallurBe well , Ponamallee</v>
      </c>
      <c r="B396" s="1">
        <f ca="1">IFERROR(__xludf.DUMMYFUNCTION("""COMPUTED_VALUE"""),395)</f>
        <v>395</v>
      </c>
      <c r="C396" s="1" t="str">
        <f ca="1">IFERROR(__xludf.DUMMYFUNCTION("""COMPUTED_VALUE"""),"Tiruvallur")</f>
        <v>Tiruvallur</v>
      </c>
      <c r="D396" s="1" t="str">
        <f ca="1">IFERROR(__xludf.DUMMYFUNCTION("""COMPUTED_VALUE"""),"Be well , Ponamallee")</f>
        <v>Be well , Ponamallee</v>
      </c>
      <c r="E396" s="1">
        <f ca="1">IFERROR(__xludf.DUMMYFUNCTION("""COMPUTED_VALUE"""),18)</f>
        <v>18</v>
      </c>
      <c r="F396" s="1">
        <f ca="1">IFERROR(__xludf.DUMMYFUNCTION("""COMPUTED_VALUE"""),11)</f>
        <v>11</v>
      </c>
      <c r="G396" s="1">
        <f ca="1">IFERROR(__xludf.DUMMYFUNCTION("""COMPUTED_VALUE"""),7)</f>
        <v>7</v>
      </c>
      <c r="H396" s="1">
        <f ca="1">IFERROR(__xludf.DUMMYFUNCTION("""COMPUTED_VALUE"""),0)</f>
        <v>0</v>
      </c>
      <c r="I396" s="1">
        <f ca="1">IFERROR(__xludf.DUMMYFUNCTION("""COMPUTED_VALUE"""),0)</f>
        <v>0</v>
      </c>
      <c r="J396" s="1">
        <f ca="1">IFERROR(__xludf.DUMMYFUNCTION("""COMPUTED_VALUE"""),0)</f>
        <v>0</v>
      </c>
      <c r="K396" s="1">
        <f ca="1">IFERROR(__xludf.DUMMYFUNCTION("""COMPUTED_VALUE"""),0)</f>
        <v>0</v>
      </c>
      <c r="L396" s="1">
        <f ca="1">IFERROR(__xludf.DUMMYFUNCTION("""COMPUTED_VALUE"""),0)</f>
        <v>0</v>
      </c>
      <c r="M396" s="1">
        <f ca="1">IFERROR(__xludf.DUMMYFUNCTION("""COMPUTED_VALUE"""),0)</f>
        <v>0</v>
      </c>
      <c r="N396" s="1">
        <f ca="1">IFERROR(__xludf.DUMMYFUNCTION("""COMPUTED_VALUE"""),0)</f>
        <v>0</v>
      </c>
      <c r="O396" s="1">
        <f ca="1">IFERROR(__xludf.DUMMYFUNCTION("""COMPUTED_VALUE"""),0)</f>
        <v>0</v>
      </c>
      <c r="P396" s="1">
        <f ca="1">IFERROR(__xludf.DUMMYFUNCTION("""COMPUTED_VALUE"""),0)</f>
        <v>0</v>
      </c>
      <c r="Q396" s="1">
        <f ca="1">IFERROR(__xludf.DUMMYFUNCTION("""COMPUTED_VALUE"""),0)</f>
        <v>0</v>
      </c>
      <c r="R396" s="1">
        <f ca="1">IFERROR(__xludf.DUMMYFUNCTION("""COMPUTED_VALUE"""),0)</f>
        <v>0</v>
      </c>
      <c r="S396" s="1">
        <f ca="1">IFERROR(__xludf.DUMMYFUNCTION("""COMPUTED_VALUE"""),0)</f>
        <v>0</v>
      </c>
      <c r="T396" s="1">
        <f ca="1">IFERROR(__xludf.DUMMYFUNCTION("""COMPUTED_VALUE"""),44304.5827893518)</f>
        <v>44304.5827893518</v>
      </c>
      <c r="U396" s="1"/>
    </row>
    <row r="397" spans="1:21" ht="13" x14ac:dyDescent="0.15">
      <c r="A397" s="1" t="str">
        <f t="shared" ca="1" si="0"/>
        <v>ThanjavurNational pharma</v>
      </c>
      <c r="B397" s="1">
        <f ca="1">IFERROR(__xludf.DUMMYFUNCTION("""COMPUTED_VALUE"""),396)</f>
        <v>396</v>
      </c>
      <c r="C397" s="1" t="str">
        <f ca="1">IFERROR(__xludf.DUMMYFUNCTION("""COMPUTED_VALUE"""),"Thanjavur")</f>
        <v>Thanjavur</v>
      </c>
      <c r="D397" s="1" t="str">
        <f ca="1">IFERROR(__xludf.DUMMYFUNCTION("""COMPUTED_VALUE"""),"National pharma")</f>
        <v>National pharma</v>
      </c>
      <c r="E397" s="1">
        <f ca="1">IFERROR(__xludf.DUMMYFUNCTION("""COMPUTED_VALUE"""),0)</f>
        <v>0</v>
      </c>
      <c r="F397" s="1">
        <f ca="1">IFERROR(__xludf.DUMMYFUNCTION("""COMPUTED_VALUE"""),0)</f>
        <v>0</v>
      </c>
      <c r="G397" s="1">
        <f ca="1">IFERROR(__xludf.DUMMYFUNCTION("""COMPUTED_VALUE"""),0)</f>
        <v>0</v>
      </c>
      <c r="H397" s="1">
        <f ca="1">IFERROR(__xludf.DUMMYFUNCTION("""COMPUTED_VALUE"""),0)</f>
        <v>0</v>
      </c>
      <c r="I397" s="1">
        <f ca="1">IFERROR(__xludf.DUMMYFUNCTION("""COMPUTED_VALUE"""),0)</f>
        <v>0</v>
      </c>
      <c r="J397" s="1">
        <f ca="1">IFERROR(__xludf.DUMMYFUNCTION("""COMPUTED_VALUE"""),0)</f>
        <v>0</v>
      </c>
      <c r="K397" s="1">
        <f ca="1">IFERROR(__xludf.DUMMYFUNCTION("""COMPUTED_VALUE"""),0)</f>
        <v>0</v>
      </c>
      <c r="L397" s="1">
        <f ca="1">IFERROR(__xludf.DUMMYFUNCTION("""COMPUTED_VALUE"""),0)</f>
        <v>0</v>
      </c>
      <c r="M397" s="1">
        <f ca="1">IFERROR(__xludf.DUMMYFUNCTION("""COMPUTED_VALUE"""),0)</f>
        <v>0</v>
      </c>
      <c r="N397" s="1">
        <f ca="1">IFERROR(__xludf.DUMMYFUNCTION("""COMPUTED_VALUE"""),0)</f>
        <v>0</v>
      </c>
      <c r="O397" s="1">
        <f ca="1">IFERROR(__xludf.DUMMYFUNCTION("""COMPUTED_VALUE"""),0)</f>
        <v>0</v>
      </c>
      <c r="P397" s="1">
        <f ca="1">IFERROR(__xludf.DUMMYFUNCTION("""COMPUTED_VALUE"""),0)</f>
        <v>0</v>
      </c>
      <c r="Q397" s="1">
        <f ca="1">IFERROR(__xludf.DUMMYFUNCTION("""COMPUTED_VALUE"""),0)</f>
        <v>0</v>
      </c>
      <c r="R397" s="1">
        <f ca="1">IFERROR(__xludf.DUMMYFUNCTION("""COMPUTED_VALUE"""),0)</f>
        <v>0</v>
      </c>
      <c r="S397" s="1">
        <f ca="1">IFERROR(__xludf.DUMMYFUNCTION("""COMPUTED_VALUE"""),0)</f>
        <v>0</v>
      </c>
      <c r="T397" s="1">
        <f ca="1">IFERROR(__xludf.DUMMYFUNCTION("""COMPUTED_VALUE"""),44304.5461458333)</f>
        <v>44304.546145833301</v>
      </c>
      <c r="U3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Hospital-wise status</vt:lpstr>
      <vt:lpstr>Hospitals sorted (district, vac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Praveen Govindaraj</cp:lastModifiedBy>
  <dcterms:modified xsi:type="dcterms:W3CDTF">2021-04-19T18:06:02Z</dcterms:modified>
</cp:coreProperties>
</file>