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Project 1\"/>
    </mc:Choice>
  </mc:AlternateContent>
  <xr:revisionPtr revIDLastSave="0" documentId="13_ncr:1_{6D876ACD-D897-4E16-A19A-764B8159A2C1}" xr6:coauthVersionLast="47" xr6:coauthVersionMax="47" xr10:uidLastSave="{00000000-0000-0000-0000-000000000000}"/>
  <bookViews>
    <workbookView xWindow="17235" yWindow="1230" windowWidth="21600" windowHeight="11385" activeTab="1" xr2:uid="{5586C929-877A-4DF5-AB66-B28F57B86151}"/>
  </bookViews>
  <sheets>
    <sheet name="Opening Stocks" sheetId="1" r:id="rId1"/>
    <sheet name="Closing Stocks" sheetId="2" r:id="rId2"/>
    <sheet name="Sold In" sheetId="4" r:id="rId3"/>
    <sheet name="Sold out " sheetId="3" r:id="rId4"/>
  </sheets>
  <definedNames>
    <definedName name="ClosingStock">Table14[[#Headers],[Product ID]]</definedName>
    <definedName name="IDS">Table1[Product ID]</definedName>
    <definedName name="OpeningStock">Table1[#All]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H5" i="3"/>
  <c r="H6" i="3"/>
  <c r="H7" i="3"/>
  <c r="H8" i="3"/>
  <c r="F6" i="3"/>
  <c r="F7" i="3"/>
  <c r="F8" i="3"/>
  <c r="F5" i="3"/>
  <c r="E5" i="3"/>
  <c r="E6" i="3"/>
  <c r="E7" i="3"/>
  <c r="E8" i="3"/>
  <c r="D6" i="3"/>
  <c r="D7" i="3"/>
  <c r="D8" i="3"/>
  <c r="D5" i="3"/>
  <c r="C8" i="4"/>
  <c r="C6" i="4"/>
  <c r="C7" i="4"/>
  <c r="C5" i="4"/>
  <c r="G7" i="4"/>
  <c r="G8" i="4"/>
  <c r="E5" i="4"/>
  <c r="G5" i="4" s="1"/>
  <c r="D7" i="4"/>
  <c r="D8" i="4"/>
  <c r="E7" i="4"/>
  <c r="E8" i="4"/>
  <c r="E6" i="4"/>
  <c r="G6" i="4" s="1"/>
  <c r="D5" i="4"/>
  <c r="D6" i="4"/>
  <c r="A6" i="2"/>
  <c r="A7" i="2"/>
  <c r="A8" i="2"/>
  <c r="A9" i="2"/>
  <c r="A10" i="2"/>
  <c r="A11" i="2"/>
  <c r="A12" i="2"/>
  <c r="A13" i="2"/>
  <c r="A14" i="2"/>
  <c r="A15" i="2"/>
  <c r="A16" i="2"/>
  <c r="A17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H6" i="1"/>
  <c r="H7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<sst xmlns="http://schemas.openxmlformats.org/spreadsheetml/2006/main" count="80" uniqueCount="59">
  <si>
    <t>Product ID</t>
  </si>
  <si>
    <t>Date</t>
  </si>
  <si>
    <t>Product</t>
  </si>
  <si>
    <t>Product Description</t>
  </si>
  <si>
    <t>Unit Price</t>
  </si>
  <si>
    <t>Opening Stock</t>
  </si>
  <si>
    <t>Stock value</t>
  </si>
  <si>
    <t>Received Date</t>
  </si>
  <si>
    <t>Unit Price2</t>
  </si>
  <si>
    <t>Stock</t>
  </si>
  <si>
    <t>Stock Value</t>
  </si>
  <si>
    <t>Sold Date</t>
  </si>
  <si>
    <t>Customer</t>
  </si>
  <si>
    <t>Product Descripton</t>
  </si>
  <si>
    <t>Unit Purchase</t>
  </si>
  <si>
    <t>Google Pixel 6a</t>
  </si>
  <si>
    <t>Screen size: 6.1 inches Android version: 12. RAM/Storage: 8GB/128GB</t>
  </si>
  <si>
    <t>Samsung Galaxy A53 5G</t>
  </si>
  <si>
    <t>RAM: 6GB/ Storage / Expandable: 128GB</t>
  </si>
  <si>
    <t> iPhone SE (2022)</t>
  </si>
  <si>
    <t>Storage / Expandable: 64GB, 128GB, 256GB</t>
  </si>
  <si>
    <t>OnePlus Nord N20 5G</t>
  </si>
  <si>
    <t>Snapdragon 695 5G chipset, 4500 mAh battery, 128 GB storage, 6 GB RAM</t>
  </si>
  <si>
    <t>Camon 18</t>
  </si>
  <si>
    <t>Helio G96 chipset, 5000 mAh battery, 128 GB storage, 8 GB RAM. 128GB 8GB RAM</t>
  </si>
  <si>
    <t>Camon 17</t>
  </si>
  <si>
    <t>128GB 4GB RAM, 128GB 6GB RAM/ Android 11, HIOS 7.6</t>
  </si>
  <si>
    <t>Camon 17 Pro</t>
  </si>
  <si>
    <t> Helio G95 chipset, 5000 mAh battery, 256 GB storage, 8 GB RAM. Internal: 128GB 8GB RAM, 256GB 8GB </t>
  </si>
  <si>
    <t>Camon 19</t>
  </si>
  <si>
    <t>MT6781 Helio G96 chipset, 5000 mAh battery, 256 GB storage, 8 GB RAM</t>
  </si>
  <si>
    <t>Camon 19 Pro</t>
  </si>
  <si>
    <t>Ringlight 14 inch</t>
  </si>
  <si>
    <t>3 colors, Bluethoot smart remot control</t>
  </si>
  <si>
    <t>Ringlight 18 inch</t>
  </si>
  <si>
    <t>3 colors, Bluethoot smart remot control Chargeable battery</t>
  </si>
  <si>
    <t>samsung a12</t>
  </si>
  <si>
    <t>Galaxy A12 Size, 6.5 inches, 102.0 cm2 (82.1% screen-to-body ratio)</t>
  </si>
  <si>
    <t>gionee m7</t>
  </si>
  <si>
    <t>P30 chipset, Dual: 16 MP + 8 MP primary camera, 8 MP front camera</t>
  </si>
  <si>
    <t>PID00-1</t>
  </si>
  <si>
    <t>PID00-2</t>
  </si>
  <si>
    <t>PID00-3</t>
  </si>
  <si>
    <t>PID00-4</t>
  </si>
  <si>
    <t>PID00-5</t>
  </si>
  <si>
    <t>PID00-6</t>
  </si>
  <si>
    <t>PID00-7</t>
  </si>
  <si>
    <t>PID00-8</t>
  </si>
  <si>
    <t>PID00-9</t>
  </si>
  <si>
    <t>PID00-10</t>
  </si>
  <si>
    <t>PID00-11</t>
  </si>
  <si>
    <t>PID00-12</t>
  </si>
  <si>
    <t>PID00-13</t>
  </si>
  <si>
    <t>Bhavuk</t>
  </si>
  <si>
    <t>Thakur</t>
  </si>
  <si>
    <t>Stock In</t>
  </si>
  <si>
    <t>Stock Out</t>
  </si>
  <si>
    <t>Closing Stock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</si>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</sst>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2" fillId="0" borderId="0" xfId="0" applyFont="1"/>
    <xf numFmtId="0" fontId="0" fillId="0" borderId="8" xfId="0" applyBorder="1"/>
    <xf numFmtId="1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3" fontId="3" fillId="0" borderId="6" xfId="0" applyNumberFormat="1" applyFont="1" applyBorder="1"/>
    <xf numFmtId="0" fontId="5" fillId="0" borderId="8" xfId="0" applyFont="1" applyBorder="1"/>
    <xf numFmtId="166" fontId="0" fillId="0" borderId="9" xfId="0" applyNumberFormat="1" applyBorder="1"/>
    <xf numFmtId="166" fontId="0" fillId="0" borderId="6" xfId="0" applyNumberFormat="1" applyBorder="1"/>
    <xf numFmtId="14" fontId="0" fillId="0" borderId="5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166" fontId="0" fillId="0" borderId="10" xfId="0" applyNumberFormat="1" applyBorder="1"/>
    <xf numFmtId="166" fontId="0" fillId="0" borderId="7" xfId="0" applyNumberFormat="1" applyBorder="1"/>
    <xf numFmtId="0" fontId="0" fillId="0" borderId="10" xfId="0" applyBorder="1"/>
    <xf numFmtId="14" fontId="0" fillId="0" borderId="8" xfId="0" applyNumberFormat="1" applyBorder="1"/>
    <xf numFmtId="0" fontId="0" fillId="0" borderId="2" xfId="0" applyBorder="1"/>
  </cellXfs>
  <cellStyles count="1">
    <cellStyle name="Normal" xfId="0" builtinId="0"/>
  </cellStyles>
  <dxfs count="4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457198</xdr:colOff>
      <xdr:row>0</xdr:row>
      <xdr:rowOff>95250</xdr:rowOff>
    </xdr:from>
    <xdr:to>
      <xdr:col>6</xdr:col>
      <xdr:colOff>161924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776298-6727-48CF-BF6A-A7619A20F53E}"/>
            </a:ext>
          </a:extLst>
        </xdr:cNvPr>
        <xdr:cNvSpPr txBox="1"/>
      </xdr:nvSpPr>
      <xdr:spPr>
        <a:xfrm>
          <a:off x="2943223" y="95250"/>
          <a:ext cx="3971926" cy="3429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>
              <a:latin typeface="Arial Black" panose="020B0A04020102020204" pitchFamily="34" charset="0"/>
            </a:rPr>
            <a:t>Opening</a:t>
          </a:r>
          <a:r>
            <a:rPr lang="en-IN" sz="2400" b="1" baseline="0">
              <a:latin typeface="Arial Black" panose="020B0A04020102020204" pitchFamily="34" charset="0"/>
            </a:rPr>
            <a:t> Stocks</a:t>
          </a:r>
          <a:endParaRPr lang="en-IN" sz="2400" b="1">
            <a:latin typeface="Arial Black" panose="020B0A04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B07DD-07FB-4FCF-9FE6-A66F6A8D7734}" name="Table1" displayName="Table1" ref="B4:H17" totalsRowShown="0" headerRowDxfId="39" headerRowBorderDxfId="37" tableBorderDxfId="38" totalsRowBorderDxfId="36">
  <autoFilter ref="B4:H17" xr:uid="{5D8B07DD-07FB-4FCF-9FE6-A66F6A8D7734}"/>
  <tableColumns count="7">
    <tableColumn id="1" xr3:uid="{C8C01A72-1596-4390-9AC9-08AB6A4F3F83}" name="Product ID" dataDxfId="14"/>
    <tableColumn id="2" xr3:uid="{E36321D2-48C9-40BD-8343-FF09348E8AD4}" name="Date" dataDxfId="15"/>
    <tableColumn id="3" xr3:uid="{17DDDBF3-19AC-4932-B3DB-56E14E3544D3}" name="Product" dataDxfId="19"/>
    <tableColumn id="4" xr3:uid="{8CEFD91A-18E5-465A-89C3-9D70C97F8BB0}" name="Product Description" dataDxfId="18"/>
    <tableColumn id="5" xr3:uid="{AF867714-0E22-4B13-A642-239F2DD97089}" name="Unit Price" dataDxfId="17"/>
    <tableColumn id="6" xr3:uid="{F0792F55-B42D-40C5-A023-1AEB749FAACA}" name="Opening Stock" dataDxfId="16"/>
    <tableColumn id="7" xr3:uid="{6CE9BDFA-796C-4FAD-A1F3-23D8DAC22A44}" name="Stock value" dataDxfId="13">
      <calculatedColumnFormula>SUMPRODUCT(F5,G5)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FCB65-87FB-4DBE-B9CA-E825073CE665}" name="Table14" displayName="Table14" ref="A4:K17" totalsRowShown="0" headerRowDxfId="40" headerRowBorderDxfId="47" tableBorderDxfId="48" totalsRowBorderDxfId="46">
  <autoFilter ref="A4:K17" xr:uid="{EA0FCB65-87FB-4DBE-B9CA-E825073CE665}"/>
  <tableColumns count="11">
    <tableColumn id="1" xr3:uid="{56B3C742-9D54-42C1-A048-8D3D5C838C7E}" name="Product ID" dataDxfId="12">
      <calculatedColumnFormula>Table1[[#This Row],[Product ID]]</calculatedColumnFormula>
    </tableColumn>
    <tableColumn id="2" xr3:uid="{DCD7356D-32BA-475D-87E6-D3765729B2C3}" name="Date" dataDxfId="45"/>
    <tableColumn id="3" xr3:uid="{4DEBB0DC-3C4C-4802-AF6B-5B741499515D}" name="Product" dataDxfId="44">
      <calculatedColumnFormula>'Opening Stocks'!D5</calculatedColumnFormula>
    </tableColumn>
    <tableColumn id="4" xr3:uid="{267B5DDD-B759-4526-B058-DF08E2A398E7}" name="Product Description" dataDxfId="43">
      <calculatedColumnFormula>'Opening Stocks'!E5</calculatedColumnFormula>
    </tableColumn>
    <tableColumn id="5" xr3:uid="{FE872B40-15DA-435F-AAA6-0AF7A1ECE241}" name="Unit Price" dataDxfId="42">
      <calculatedColumnFormula>'Opening Stocks'!F5</calculatedColumnFormula>
    </tableColumn>
    <tableColumn id="6" xr3:uid="{D25285C1-70FC-4AB5-B501-C87EC904F7B7}" name="Opening Stock" dataDxfId="41">
      <calculatedColumnFormula>'Opening Stocks'!G5</calculatedColumnFormula>
    </tableColumn>
    <tableColumn id="7" xr3:uid="{36EE9EFC-E7CD-426B-B062-21AA560EBE7A}" name="Stock In" dataDxfId="3">
      <calculatedColumnFormula>SUMIF(Table6[Product ID],Table1[[#This Row],[Product ID]],Table6[Stock])</calculatedColumnFormula>
    </tableColumn>
    <tableColumn id="8" xr3:uid="{B4564BD4-7A06-4077-A6A1-58A7ECC64777}" name="Stock Out" dataDxfId="2">
      <calculatedColumnFormula>SUMIF(Table5[Product ID],'Sold out '!A5:A17,Table5[Unit Purchase])</calculatedColumnFormula>
    </tableColumn>
    <tableColumn id="9" xr3:uid="{FA456995-82A1-4F52-8485-E2C20321367F}" name="Closing Stock" dataDxfId="1">
      <calculatedColumnFormula>Table14[[#This Row],[Opening Stock]]+Table14[[#This Row],[Stock In]]-Table14[[#This Row],[Stock Out]]</calculatedColumnFormula>
    </tableColumn>
    <tableColumn id="10" xr3:uid="{8E94D183-868F-4BCB-9017-9DAD3074A0F8}" name="Stock Value" dataDxfId="0">
      <calculatedColumnFormula>Table14[[#This Row],[Closing Stock]]*Table14[[#This Row],[Unit Price]]</calculatedColumnFormula>
    </tableColumn>
    <tableColumn id="11" xr3:uid="{36DD9AB1-63CD-491D-BC5F-61EA7268CC5A}" name="Statu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23449-A435-4896-9AB7-9BB586054B40}" name="Table6" displayName="Table6" ref="A4:G8" totalsRowShown="0" headerRowDxfId="20" headerRowBorderDxfId="25" tableBorderDxfId="26" totalsRowBorderDxfId="24">
  <autoFilter ref="A4:G8" xr:uid="{6FD23449-A435-4896-9AB7-9BB586054B40}"/>
  <tableColumns count="7">
    <tableColumn id="1" xr3:uid="{B00D0960-FD41-43D6-8AD5-CA1C6A10F469}" name="Received Date" dataDxfId="23"/>
    <tableColumn id="2" xr3:uid="{3FB7DCE9-50C3-4D05-BA7B-44B5F6A25A7A}" name="Product ID" dataDxfId="22"/>
    <tableColumn id="3" xr3:uid="{345BF6D6-9191-4653-A99F-9FD906D1D0BF}" name="Product" dataDxfId="11">
      <calculatedColumnFormula>_xlfn.IFNA(VLOOKUP(Table6[[#This Row],[Product ID]],OpeningStock,3,0),"Select ID")</calculatedColumnFormula>
    </tableColumn>
    <tableColumn id="4" xr3:uid="{F861DEF7-6733-44BE-BE5F-AAB54F9E034D}" name="Unit Price" dataDxfId="10">
      <calculatedColumnFormula>_xlfn.IFNA(VLOOKUP(Table6[[#This Row],[Product ID]],OpeningStock,4,0),"Select ID")</calculatedColumnFormula>
    </tableColumn>
    <tableColumn id="5" xr3:uid="{D20118D3-1F31-4AD7-9DAD-212DB0EA6826}" name="Unit Price2" dataDxfId="9">
      <calculatedColumnFormula>_xlfn.IFNA(VLOOKUP(Table6[[#This Row],[Product ID]],OpeningStock,5,0),"Select ID")</calculatedColumnFormula>
    </tableColumn>
    <tableColumn id="6" xr3:uid="{C2773AEE-BD32-4CE1-8EDB-51BBE860AB76}" name="Stock" dataDxfId="21"/>
    <tableColumn id="7" xr3:uid="{F1E8034A-DF4A-4F93-9FA1-D3D7E17CE8F6}" name="Stock Value" dataDxfId="8">
      <calculatedColumnFormula>SUMPRODUCT(Table6[[#This Row],[Unit Price2]],Table6[[#This Row],[Stock]])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9780C6-51BA-424C-AD06-2BF413C208C7}" name="Table5" displayName="Table5" ref="A4:H8" totalsRowShown="0" headerRowDxfId="27" headerRowBorderDxfId="34" tableBorderDxfId="35" totalsRowBorderDxfId="33">
  <autoFilter ref="A4:H8" xr:uid="{FB9780C6-51BA-424C-AD06-2BF413C208C7}"/>
  <tableColumns count="8">
    <tableColumn id="1" xr3:uid="{BC3A27B1-B480-497A-8C83-8F425AF17F3E}" name="Sold Date" dataDxfId="32"/>
    <tableColumn id="2" xr3:uid="{D6BD2A1E-CBE7-4526-A9E9-41EDD5BFE0F7}" name="Customer" dataDxfId="31"/>
    <tableColumn id="3" xr3:uid="{6C06DC69-8C05-4973-ABD7-F57A7813A047}" name="Product ID" dataDxfId="30"/>
    <tableColumn id="4" xr3:uid="{D89F8F92-89A4-4090-B560-05EDC10AFB76}" name="Product" dataDxfId="29">
      <calculatedColumnFormula>_xlfn.IFNA(VLOOKUP(Table5[[#This Row],[Product ID]],OpeningStock,3,0),"Select Product_ID")</calculatedColumnFormula>
    </tableColumn>
    <tableColumn id="5" xr3:uid="{54D30009-D6E1-4784-9965-E58E18C2E3AC}" name="Product Descripton" dataDxfId="7">
      <calculatedColumnFormula>_xlfn.IFNA(VLOOKUP(Table5[[#This Row],[Product ID]],OpeningStock,4,0),"Select ID")</calculatedColumnFormula>
    </tableColumn>
    <tableColumn id="6" xr3:uid="{1F4D37EB-3270-40E0-94AC-0232DFDB2952}" name="Unit Price" dataDxfId="6">
      <calculatedColumnFormula>_xlfn.IFNA(VLOOKUP(Table5[[#This Row],[Product ID]],OpeningStock,5,0),"Select ID")</calculatedColumnFormula>
    </tableColumn>
    <tableColumn id="7" xr3:uid="{DF9D2270-EEC7-4AC1-83E2-A425D6565E61}" name="Unit Purchase" dataDxfId="28"/>
    <tableColumn id="8" xr3:uid="{58B003A1-8848-4768-9364-70C849D7C7AE}" name="Stock Value" dataDxfId="5">
      <calculatedColumnFormula>IFERROR(SUMPRODUCT(Table5[[#This Row],[Unit Price]],Table5[[#This Row],[Unit Purchase]]),"Enter Unit")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E6C8-BB6E-47D0-A11A-13AA0B6A4F2D}">
  <dimension ref="B4:Q17"/>
  <sheetViews>
    <sheetView showGridLines="0" workbookViewId="0">
      <selection activeCell="C17" sqref="C17"/>
    </sheetView>
  </sheetViews>
  <sheetFormatPr defaultRowHeight="15" x14ac:dyDescent="0.25"/>
  <cols>
    <col min="2" max="2" width="13.5703125" customWidth="1"/>
    <col min="3" max="3" width="14.5703125" bestFit="1" customWidth="1"/>
    <col min="4" max="4" width="28.42578125" bestFit="1" customWidth="1"/>
    <col min="5" max="5" width="22.7109375" customWidth="1"/>
    <col min="6" max="6" width="12.85546875" bestFit="1" customWidth="1"/>
    <col min="7" max="7" width="17.7109375" bestFit="1" customWidth="1"/>
    <col min="8" max="8" width="14.42578125" customWidth="1"/>
  </cols>
  <sheetData>
    <row r="4" spans="2:17" ht="15.75" x14ac:dyDescent="0.25"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3" t="s">
        <v>6</v>
      </c>
    </row>
    <row r="5" spans="2:17" ht="18.75" x14ac:dyDescent="0.3">
      <c r="B5" s="16" t="s">
        <v>40</v>
      </c>
      <c r="C5" s="9">
        <v>44798</v>
      </c>
      <c r="D5" s="10" t="s">
        <v>15</v>
      </c>
      <c r="E5" s="10" t="s">
        <v>16</v>
      </c>
      <c r="F5" s="11">
        <v>500</v>
      </c>
      <c r="G5" s="12">
        <v>71</v>
      </c>
      <c r="H5" s="17">
        <f t="shared" ref="H5:H17" si="0">SUMPRODUCT(F5,G5)</f>
        <v>35500</v>
      </c>
    </row>
    <row r="6" spans="2:17" ht="20.25" x14ac:dyDescent="0.4">
      <c r="B6" s="16" t="s">
        <v>41</v>
      </c>
      <c r="C6" s="9">
        <v>44798</v>
      </c>
      <c r="D6" s="10" t="s">
        <v>17</v>
      </c>
      <c r="E6" s="10" t="s">
        <v>18</v>
      </c>
      <c r="F6" s="11">
        <v>488</v>
      </c>
      <c r="G6" s="12">
        <v>40</v>
      </c>
      <c r="H6" s="17">
        <f t="shared" si="0"/>
        <v>19520</v>
      </c>
      <c r="Q6" s="7"/>
    </row>
    <row r="7" spans="2:17" ht="18.75" x14ac:dyDescent="0.3">
      <c r="B7" s="16" t="s">
        <v>42</v>
      </c>
      <c r="C7" s="9">
        <v>44798</v>
      </c>
      <c r="D7" s="10" t="s">
        <v>19</v>
      </c>
      <c r="E7" s="10" t="s">
        <v>20</v>
      </c>
      <c r="F7" s="11">
        <v>459.99</v>
      </c>
      <c r="G7" s="12">
        <v>5</v>
      </c>
      <c r="H7" s="17">
        <f t="shared" si="0"/>
        <v>2299.9499999999998</v>
      </c>
    </row>
    <row r="8" spans="2:17" ht="18.75" x14ac:dyDescent="0.3">
      <c r="B8" s="16" t="s">
        <v>43</v>
      </c>
      <c r="C8" s="9">
        <v>44798</v>
      </c>
      <c r="D8" s="10" t="s">
        <v>21</v>
      </c>
      <c r="E8" s="10" t="s">
        <v>22</v>
      </c>
      <c r="F8" s="11">
        <v>110</v>
      </c>
      <c r="G8" s="12">
        <v>12</v>
      </c>
      <c r="H8" s="17">
        <f t="shared" si="0"/>
        <v>1320</v>
      </c>
    </row>
    <row r="9" spans="2:17" ht="18.75" x14ac:dyDescent="0.3">
      <c r="B9" s="16" t="s">
        <v>44</v>
      </c>
      <c r="C9" s="9">
        <v>44798</v>
      </c>
      <c r="D9" s="10" t="s">
        <v>23</v>
      </c>
      <c r="E9" s="10" t="s">
        <v>24</v>
      </c>
      <c r="F9" s="11">
        <v>200</v>
      </c>
      <c r="G9" s="12">
        <v>100</v>
      </c>
      <c r="H9" s="17">
        <f t="shared" si="0"/>
        <v>20000</v>
      </c>
    </row>
    <row r="10" spans="2:17" ht="18.75" x14ac:dyDescent="0.3">
      <c r="B10" s="16" t="s">
        <v>45</v>
      </c>
      <c r="C10" s="9">
        <v>44798</v>
      </c>
      <c r="D10" s="10" t="s">
        <v>25</v>
      </c>
      <c r="E10" s="10" t="s">
        <v>26</v>
      </c>
      <c r="F10" s="11">
        <v>169</v>
      </c>
      <c r="G10" s="12">
        <v>300</v>
      </c>
      <c r="H10" s="17">
        <f t="shared" si="0"/>
        <v>50700</v>
      </c>
    </row>
    <row r="11" spans="2:17" ht="18.75" x14ac:dyDescent="0.3">
      <c r="B11" s="16" t="s">
        <v>46</v>
      </c>
      <c r="C11" s="9">
        <v>44798</v>
      </c>
      <c r="D11" s="10" t="s">
        <v>27</v>
      </c>
      <c r="E11" s="10" t="s">
        <v>28</v>
      </c>
      <c r="F11" s="11">
        <v>190</v>
      </c>
      <c r="G11" s="12">
        <v>40</v>
      </c>
      <c r="H11" s="17">
        <f t="shared" si="0"/>
        <v>7600</v>
      </c>
    </row>
    <row r="12" spans="2:17" ht="18.75" x14ac:dyDescent="0.3">
      <c r="B12" s="16" t="s">
        <v>47</v>
      </c>
      <c r="C12" s="9">
        <v>44798</v>
      </c>
      <c r="D12" s="10" t="s">
        <v>29</v>
      </c>
      <c r="E12" s="10" t="s">
        <v>30</v>
      </c>
      <c r="F12" s="11">
        <v>200</v>
      </c>
      <c r="G12" s="12">
        <v>40</v>
      </c>
      <c r="H12" s="17">
        <f t="shared" si="0"/>
        <v>8000</v>
      </c>
    </row>
    <row r="13" spans="2:17" ht="18.75" x14ac:dyDescent="0.3">
      <c r="B13" s="16" t="s">
        <v>48</v>
      </c>
      <c r="C13" s="9">
        <v>44798</v>
      </c>
      <c r="D13" s="10" t="s">
        <v>31</v>
      </c>
      <c r="E13" s="10" t="s">
        <v>30</v>
      </c>
      <c r="F13" s="11">
        <v>270</v>
      </c>
      <c r="G13" s="12">
        <v>4</v>
      </c>
      <c r="H13" s="17">
        <f t="shared" si="0"/>
        <v>1080</v>
      </c>
    </row>
    <row r="14" spans="2:17" ht="18.75" x14ac:dyDescent="0.3">
      <c r="B14" s="16" t="s">
        <v>49</v>
      </c>
      <c r="C14" s="9">
        <v>44798</v>
      </c>
      <c r="D14" s="10" t="s">
        <v>32</v>
      </c>
      <c r="E14" s="10" t="s">
        <v>33</v>
      </c>
      <c r="F14" s="11">
        <v>20</v>
      </c>
      <c r="G14" s="12">
        <v>50</v>
      </c>
      <c r="H14" s="17">
        <f t="shared" si="0"/>
        <v>1000</v>
      </c>
    </row>
    <row r="15" spans="2:17" ht="18.75" x14ac:dyDescent="0.3">
      <c r="B15" s="16" t="s">
        <v>50</v>
      </c>
      <c r="C15" s="9">
        <v>44798</v>
      </c>
      <c r="D15" s="13" t="s">
        <v>34</v>
      </c>
      <c r="E15" s="13" t="s">
        <v>35</v>
      </c>
      <c r="F15" s="14">
        <v>35</v>
      </c>
      <c r="G15" s="15">
        <v>29</v>
      </c>
      <c r="H15" s="17">
        <f t="shared" si="0"/>
        <v>1015</v>
      </c>
    </row>
    <row r="16" spans="2:17" ht="18.75" x14ac:dyDescent="0.3">
      <c r="B16" s="16" t="s">
        <v>51</v>
      </c>
      <c r="C16" s="9">
        <v>44806</v>
      </c>
      <c r="D16" s="10" t="s">
        <v>36</v>
      </c>
      <c r="E16" s="10" t="s">
        <v>37</v>
      </c>
      <c r="F16" s="11">
        <v>150</v>
      </c>
      <c r="G16" s="12">
        <v>100</v>
      </c>
      <c r="H16" s="17">
        <f t="shared" si="0"/>
        <v>15000</v>
      </c>
    </row>
    <row r="17" spans="2:8" ht="18.75" x14ac:dyDescent="0.3">
      <c r="B17" s="16" t="s">
        <v>52</v>
      </c>
      <c r="C17" s="9">
        <v>44806</v>
      </c>
      <c r="D17" s="13" t="s">
        <v>38</v>
      </c>
      <c r="E17" s="13" t="s">
        <v>39</v>
      </c>
      <c r="F17" s="14">
        <v>87</v>
      </c>
      <c r="G17" s="15">
        <v>50</v>
      </c>
      <c r="H17" s="17">
        <f t="shared" si="0"/>
        <v>4350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E495-D1D2-4614-A4F5-18D0EF5A3535}">
  <dimension ref="A4:K17"/>
  <sheetViews>
    <sheetView showGridLines="0" tabSelected="1" topLeftCell="G1" workbookViewId="0">
      <selection activeCell="G23" sqref="G23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22" bestFit="1" customWidth="1"/>
    <col min="4" max="4" width="92.85546875" bestFit="1" customWidth="1"/>
    <col min="5" max="5" width="12.85546875" bestFit="1" customWidth="1"/>
    <col min="6" max="6" width="17.7109375" bestFit="1" customWidth="1"/>
    <col min="7" max="7" width="14.5703125" bestFit="1" customWidth="1"/>
    <col min="8" max="8" width="13" bestFit="1" customWidth="1"/>
    <col min="9" max="9" width="16.28515625" bestFit="1" customWidth="1"/>
    <col min="10" max="10" width="14.7109375" bestFit="1" customWidth="1"/>
    <col min="11" max="12" width="12.28515625" bestFit="1" customWidth="1"/>
  </cols>
  <sheetData>
    <row r="4" spans="1:11" ht="15.75" x14ac:dyDescent="0.25">
      <c r="A4" s="2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3" t="s">
        <v>55</v>
      </c>
      <c r="H4" s="1" t="s">
        <v>56</v>
      </c>
      <c r="I4" s="1" t="s">
        <v>57</v>
      </c>
      <c r="J4" s="1" t="s">
        <v>10</v>
      </c>
      <c r="K4" s="1" t="s">
        <v>58</v>
      </c>
    </row>
    <row r="5" spans="1:11" x14ac:dyDescent="0.25">
      <c r="A5" s="8" t="s">
        <v>40</v>
      </c>
      <c r="B5" s="6"/>
      <c r="C5" s="6" t="str">
        <f>'Opening Stocks'!D5</f>
        <v>Google Pixel 6a</v>
      </c>
      <c r="D5" s="6" t="str">
        <f>'Opening Stocks'!E5</f>
        <v>Screen size: 6.1 inches Android version: 12. RAM/Storage: 8GB/128GB</v>
      </c>
      <c r="E5" s="6">
        <f>'Opening Stocks'!F5</f>
        <v>500</v>
      </c>
      <c r="F5" s="6">
        <f>'Opening Stocks'!G5</f>
        <v>71</v>
      </c>
      <c r="G5" s="26">
        <f>SUMIF(Table6[Product ID],Table1[[#This Row],[Product ID]],Table6[Stock])</f>
        <v>0</v>
      </c>
      <c r="H5" s="26">
        <f>SUMIF(Table5[Product ID],'Sold out '!A5:A17,Table5[Unit Purchase])</f>
        <v>0</v>
      </c>
      <c r="I5" s="26">
        <f>Table14[[#This Row],[Opening Stock]]+Table14[[#This Row],[Stock In]]-Table14[[#This Row],[Stock Out]]</f>
        <v>71</v>
      </c>
      <c r="J5" s="26">
        <f>Table14[[#This Row],[Closing Stock]]*Table14[[#This Row],[Unit Price]]</f>
        <v>35500</v>
      </c>
      <c r="K5" s="26"/>
    </row>
    <row r="6" spans="1:11" x14ac:dyDescent="0.25">
      <c r="A6" s="8" t="str">
        <f>Table1[[#This Row],[Product ID]]</f>
        <v>PID00-2</v>
      </c>
      <c r="B6" s="6"/>
      <c r="C6" s="6" t="str">
        <f>'Opening Stocks'!D6</f>
        <v>Samsung Galaxy A53 5G</v>
      </c>
      <c r="D6" s="6" t="str">
        <f>'Opening Stocks'!E6</f>
        <v>RAM: 6GB/ Storage / Expandable: 128GB</v>
      </c>
      <c r="E6" s="6">
        <f>'Opening Stocks'!F6</f>
        <v>488</v>
      </c>
      <c r="F6" s="6">
        <f>'Opening Stocks'!G6</f>
        <v>40</v>
      </c>
      <c r="G6" s="26">
        <f>SUMIF(Table6[Product ID],Table1[[#This Row],[Product ID]],Table6[Stock])</f>
        <v>5</v>
      </c>
      <c r="H6" s="26">
        <f>SUMIF(Table5[Product ID],'Sold out '!A6:A18,Table5[Unit Purchase])</f>
        <v>0</v>
      </c>
      <c r="I6" s="6">
        <f>Table14[[#This Row],[Opening Stock]]+Table14[[#This Row],[Stock In]]-Table14[[#This Row],[Stock Out]]</f>
        <v>45</v>
      </c>
      <c r="J6" s="6">
        <f>Table14[[#This Row],[Closing Stock]]*Table14[[#This Row],[Unit Price]]</f>
        <v>21960</v>
      </c>
      <c r="K6" s="6"/>
    </row>
    <row r="7" spans="1:11" x14ac:dyDescent="0.25">
      <c r="A7" s="8" t="str">
        <f>Table1[[#This Row],[Product ID]]</f>
        <v>PID00-3</v>
      </c>
      <c r="B7" s="6"/>
      <c r="C7" s="6" t="str">
        <f>'Opening Stocks'!D7</f>
        <v> iPhone SE (2022)</v>
      </c>
      <c r="D7" s="6" t="str">
        <f>'Opening Stocks'!E7</f>
        <v>Storage / Expandable: 64GB, 128GB, 256GB</v>
      </c>
      <c r="E7" s="6">
        <f>'Opening Stocks'!F7</f>
        <v>459.99</v>
      </c>
      <c r="F7" s="6">
        <f>'Opening Stocks'!G7</f>
        <v>5</v>
      </c>
      <c r="G7" s="26">
        <f>SUMIF(Table6[Product ID],Table1[[#This Row],[Product ID]],Table6[Stock])</f>
        <v>2</v>
      </c>
      <c r="H7" s="26">
        <f>SUMIF(Table5[Product ID],'Sold out '!A7:A19,Table5[Unit Purchase])</f>
        <v>0</v>
      </c>
      <c r="I7" s="6">
        <f>Table14[[#This Row],[Opening Stock]]+Table14[[#This Row],[Stock In]]-Table14[[#This Row],[Stock Out]]</f>
        <v>7</v>
      </c>
      <c r="J7" s="6">
        <f>Table14[[#This Row],[Closing Stock]]*Table14[[#This Row],[Unit Price]]</f>
        <v>3219.9300000000003</v>
      </c>
      <c r="K7" s="6"/>
    </row>
    <row r="8" spans="1:11" x14ac:dyDescent="0.25">
      <c r="A8" s="8" t="str">
        <f>Table1[[#This Row],[Product ID]]</f>
        <v>PID00-4</v>
      </c>
      <c r="B8" s="6"/>
      <c r="C8" s="6" t="str">
        <f>'Opening Stocks'!D8</f>
        <v>OnePlus Nord N20 5G</v>
      </c>
      <c r="D8" s="6" t="str">
        <f>'Opening Stocks'!E8</f>
        <v>Snapdragon 695 5G chipset, 4500 mAh battery, 128 GB storage, 6 GB RAM</v>
      </c>
      <c r="E8" s="6">
        <f>'Opening Stocks'!F8</f>
        <v>110</v>
      </c>
      <c r="F8" s="6">
        <f>'Opening Stocks'!G8</f>
        <v>12</v>
      </c>
      <c r="G8" s="26">
        <f>SUMIF(Table6[Product ID],Table1[[#This Row],[Product ID]],Table6[Stock])</f>
        <v>10</v>
      </c>
      <c r="H8" s="26">
        <f>SUMIF(Table5[Product ID],'Sold out '!A8:A20,Table5[Unit Purchase])</f>
        <v>0</v>
      </c>
      <c r="I8" s="6">
        <f>Table14[[#This Row],[Opening Stock]]+Table14[[#This Row],[Stock In]]-Table14[[#This Row],[Stock Out]]</f>
        <v>22</v>
      </c>
      <c r="J8" s="6">
        <f>Table14[[#This Row],[Closing Stock]]*Table14[[#This Row],[Unit Price]]</f>
        <v>2420</v>
      </c>
      <c r="K8" s="6"/>
    </row>
    <row r="9" spans="1:11" x14ac:dyDescent="0.25">
      <c r="A9" s="8" t="str">
        <f>Table1[[#This Row],[Product ID]]</f>
        <v>PID00-5</v>
      </c>
      <c r="B9" s="6"/>
      <c r="C9" s="6" t="str">
        <f>'Opening Stocks'!D9</f>
        <v>Camon 18</v>
      </c>
      <c r="D9" s="6" t="str">
        <f>'Opening Stocks'!E9</f>
        <v>Helio G96 chipset, 5000 mAh battery, 128 GB storage, 8 GB RAM. 128GB 8GB RAM</v>
      </c>
      <c r="E9" s="6">
        <f>'Opening Stocks'!F9</f>
        <v>200</v>
      </c>
      <c r="F9" s="6">
        <f>'Opening Stocks'!G9</f>
        <v>100</v>
      </c>
      <c r="G9" s="26">
        <f>SUMIF(Table6[Product ID],Table1[[#This Row],[Product ID]],Table6[Stock])</f>
        <v>0</v>
      </c>
      <c r="H9" s="26">
        <f>SUMIF(Table5[Product ID],'Sold out '!A9:A21,Table5[Unit Purchase])</f>
        <v>0</v>
      </c>
      <c r="I9" s="6">
        <f>Table14[[#This Row],[Opening Stock]]+Table14[[#This Row],[Stock In]]-Table14[[#This Row],[Stock Out]]</f>
        <v>100</v>
      </c>
      <c r="J9" s="6">
        <f>Table14[[#This Row],[Closing Stock]]*Table14[[#This Row],[Unit Price]]</f>
        <v>20000</v>
      </c>
      <c r="K9" s="6"/>
    </row>
    <row r="10" spans="1:11" x14ac:dyDescent="0.25">
      <c r="A10" s="8" t="str">
        <f>Table1[[#This Row],[Product ID]]</f>
        <v>PID00-6</v>
      </c>
      <c r="B10" s="6"/>
      <c r="C10" s="6" t="str">
        <f>'Opening Stocks'!D10</f>
        <v>Camon 17</v>
      </c>
      <c r="D10" s="6" t="str">
        <f>'Opening Stocks'!E10</f>
        <v>128GB 4GB RAM, 128GB 6GB RAM/ Android 11, HIOS 7.6</v>
      </c>
      <c r="E10" s="6">
        <f>'Opening Stocks'!F10</f>
        <v>169</v>
      </c>
      <c r="F10" s="6">
        <f>'Opening Stocks'!G10</f>
        <v>300</v>
      </c>
      <c r="G10" s="26">
        <f>SUMIF(Table6[Product ID],Table1[[#This Row],[Product ID]],Table6[Stock])</f>
        <v>0</v>
      </c>
      <c r="H10" s="26">
        <f>SUMIF(Table5[Product ID],'Sold out '!A10:A22,Table5[Unit Purchase])</f>
        <v>0</v>
      </c>
      <c r="I10" s="6">
        <f>Table14[[#This Row],[Opening Stock]]+Table14[[#This Row],[Stock In]]-Table14[[#This Row],[Stock Out]]</f>
        <v>300</v>
      </c>
      <c r="J10" s="6">
        <f>Table14[[#This Row],[Closing Stock]]*Table14[[#This Row],[Unit Price]]</f>
        <v>50700</v>
      </c>
      <c r="K10" s="6"/>
    </row>
    <row r="11" spans="1:11" x14ac:dyDescent="0.25">
      <c r="A11" s="8" t="str">
        <f>Table1[[#This Row],[Product ID]]</f>
        <v>PID00-7</v>
      </c>
      <c r="B11" s="6"/>
      <c r="C11" s="6" t="str">
        <f>'Opening Stocks'!D11</f>
        <v>Camon 17 Pro</v>
      </c>
      <c r="D11" s="6" t="str">
        <f>'Opening Stocks'!E11</f>
        <v> Helio G95 chipset, 5000 mAh battery, 256 GB storage, 8 GB RAM. Internal: 128GB 8GB RAM, 256GB 8GB </v>
      </c>
      <c r="E11" s="6">
        <f>'Opening Stocks'!F11</f>
        <v>190</v>
      </c>
      <c r="F11" s="6">
        <f>'Opening Stocks'!G11</f>
        <v>40</v>
      </c>
      <c r="G11" s="26">
        <f>SUMIF(Table6[Product ID],Table1[[#This Row],[Product ID]],Table6[Stock])</f>
        <v>0</v>
      </c>
      <c r="H11" s="26">
        <f>SUMIF(Table5[Product ID],'Sold out '!A11:A23,Table5[Unit Purchase])</f>
        <v>0</v>
      </c>
      <c r="I11" s="6">
        <f>Table14[[#This Row],[Opening Stock]]+Table14[[#This Row],[Stock In]]-Table14[[#This Row],[Stock Out]]</f>
        <v>40</v>
      </c>
      <c r="J11" s="6">
        <f>Table14[[#This Row],[Closing Stock]]*Table14[[#This Row],[Unit Price]]</f>
        <v>7600</v>
      </c>
      <c r="K11" s="6"/>
    </row>
    <row r="12" spans="1:11" x14ac:dyDescent="0.25">
      <c r="A12" s="8" t="str">
        <f>Table1[[#This Row],[Product ID]]</f>
        <v>PID00-8</v>
      </c>
      <c r="B12" s="6"/>
      <c r="C12" s="6" t="str">
        <f>'Opening Stocks'!D12</f>
        <v>Camon 19</v>
      </c>
      <c r="D12" s="6" t="str">
        <f>'Opening Stocks'!E12</f>
        <v>MT6781 Helio G96 chipset, 5000 mAh battery, 256 GB storage, 8 GB RAM</v>
      </c>
      <c r="E12" s="6">
        <f>'Opening Stocks'!F12</f>
        <v>200</v>
      </c>
      <c r="F12" s="6">
        <f>'Opening Stocks'!G12</f>
        <v>40</v>
      </c>
      <c r="G12" s="26">
        <f>SUMIF(Table6[Product ID],Table1[[#This Row],[Product ID]],Table6[Stock])</f>
        <v>0</v>
      </c>
      <c r="H12" s="26">
        <f>SUMIF(Table5[Product ID],'Sold out '!A12:A24,Table5[Unit Purchase])</f>
        <v>0</v>
      </c>
      <c r="I12" s="6">
        <f>Table14[[#This Row],[Opening Stock]]+Table14[[#This Row],[Stock In]]-Table14[[#This Row],[Stock Out]]</f>
        <v>40</v>
      </c>
      <c r="J12" s="6">
        <f>Table14[[#This Row],[Closing Stock]]*Table14[[#This Row],[Unit Price]]</f>
        <v>8000</v>
      </c>
      <c r="K12" s="6"/>
    </row>
    <row r="13" spans="1:11" x14ac:dyDescent="0.25">
      <c r="A13" s="8" t="str">
        <f>Table1[[#This Row],[Product ID]]</f>
        <v>PID00-9</v>
      </c>
      <c r="B13" s="6"/>
      <c r="C13" s="6" t="str">
        <f>'Opening Stocks'!D13</f>
        <v>Camon 19 Pro</v>
      </c>
      <c r="D13" s="6" t="str">
        <f>'Opening Stocks'!E13</f>
        <v>MT6781 Helio G96 chipset, 5000 mAh battery, 256 GB storage, 8 GB RAM</v>
      </c>
      <c r="E13" s="6">
        <f>'Opening Stocks'!F13</f>
        <v>270</v>
      </c>
      <c r="F13" s="6">
        <f>'Opening Stocks'!G13</f>
        <v>4</v>
      </c>
      <c r="G13" s="26">
        <f>SUMIF(Table6[Product ID],Table1[[#This Row],[Product ID]],Table6[Stock])</f>
        <v>0</v>
      </c>
      <c r="H13" s="26">
        <f>SUMIF(Table5[Product ID],'Sold out '!A13:A25,Table5[Unit Purchase])</f>
        <v>0</v>
      </c>
      <c r="I13" s="6">
        <f>Table14[[#This Row],[Opening Stock]]+Table14[[#This Row],[Stock In]]-Table14[[#This Row],[Stock Out]]</f>
        <v>4</v>
      </c>
      <c r="J13" s="6">
        <f>Table14[[#This Row],[Closing Stock]]*Table14[[#This Row],[Unit Price]]</f>
        <v>1080</v>
      </c>
      <c r="K13" s="6"/>
    </row>
    <row r="14" spans="1:11" x14ac:dyDescent="0.25">
      <c r="A14" s="8" t="str">
        <f>Table1[[#This Row],[Product ID]]</f>
        <v>PID00-10</v>
      </c>
      <c r="B14" s="6"/>
      <c r="C14" s="6" t="str">
        <f>'Opening Stocks'!D14</f>
        <v>Ringlight 14 inch</v>
      </c>
      <c r="D14" s="6" t="str">
        <f>'Opening Stocks'!E14</f>
        <v>3 colors, Bluethoot smart remot control</v>
      </c>
      <c r="E14" s="6">
        <f>'Opening Stocks'!F14</f>
        <v>20</v>
      </c>
      <c r="F14" s="6">
        <f>'Opening Stocks'!G14</f>
        <v>50</v>
      </c>
      <c r="G14" s="26">
        <f>SUMIF(Table6[Product ID],Table1[[#This Row],[Product ID]],Table6[Stock])</f>
        <v>0</v>
      </c>
      <c r="H14" s="26">
        <f>SUMIF(Table5[Product ID],'Sold out '!A14:A26,Table5[Unit Purchase])</f>
        <v>0</v>
      </c>
      <c r="I14" s="6">
        <f>Table14[[#This Row],[Opening Stock]]+Table14[[#This Row],[Stock In]]-Table14[[#This Row],[Stock Out]]</f>
        <v>50</v>
      </c>
      <c r="J14" s="6">
        <f>Table14[[#This Row],[Closing Stock]]*Table14[[#This Row],[Unit Price]]</f>
        <v>1000</v>
      </c>
      <c r="K14" s="6"/>
    </row>
    <row r="15" spans="1:11" x14ac:dyDescent="0.25">
      <c r="A15" s="8" t="str">
        <f>Table1[[#This Row],[Product ID]]</f>
        <v>PID00-11</v>
      </c>
      <c r="B15" s="6"/>
      <c r="C15" s="6" t="str">
        <f>'Opening Stocks'!D15</f>
        <v>Ringlight 18 inch</v>
      </c>
      <c r="D15" s="6" t="str">
        <f>'Opening Stocks'!E15</f>
        <v>3 colors, Bluethoot smart remot control Chargeable battery</v>
      </c>
      <c r="E15" s="6">
        <f>'Opening Stocks'!F15</f>
        <v>35</v>
      </c>
      <c r="F15" s="6">
        <f>'Opening Stocks'!G15</f>
        <v>29</v>
      </c>
      <c r="G15" s="26">
        <f>SUMIF(Table6[Product ID],Table1[[#This Row],[Product ID]],Table6[Stock])</f>
        <v>0</v>
      </c>
      <c r="H15" s="26">
        <f>SUMIF(Table5[Product ID],'Sold out '!A15:A27,Table5[Unit Purchase])</f>
        <v>0</v>
      </c>
      <c r="I15" s="6">
        <f>Table14[[#This Row],[Opening Stock]]+Table14[[#This Row],[Stock In]]-Table14[[#This Row],[Stock Out]]</f>
        <v>29</v>
      </c>
      <c r="J15" s="6">
        <f>Table14[[#This Row],[Closing Stock]]*Table14[[#This Row],[Unit Price]]</f>
        <v>1015</v>
      </c>
      <c r="K15" s="6"/>
    </row>
    <row r="16" spans="1:11" x14ac:dyDescent="0.25">
      <c r="A16" s="8" t="str">
        <f>Table1[[#This Row],[Product ID]]</f>
        <v>PID00-12</v>
      </c>
      <c r="B16" s="6"/>
      <c r="C16" s="6" t="str">
        <f>'Opening Stocks'!D16</f>
        <v>samsung a12</v>
      </c>
      <c r="D16" s="6" t="str">
        <f>'Opening Stocks'!E16</f>
        <v>Galaxy A12 Size, 6.5 inches, 102.0 cm2 (82.1% screen-to-body ratio)</v>
      </c>
      <c r="E16" s="6">
        <f>'Opening Stocks'!F16</f>
        <v>150</v>
      </c>
      <c r="F16" s="6">
        <f>'Opening Stocks'!G16</f>
        <v>100</v>
      </c>
      <c r="G16" s="26">
        <f>SUMIF(Table6[Product ID],Table1[[#This Row],[Product ID]],Table6[Stock])</f>
        <v>0</v>
      </c>
      <c r="H16" s="26">
        <f>SUMIF(Table5[Product ID],'Sold out '!A16:A28,Table5[Unit Purchase])</f>
        <v>0</v>
      </c>
      <c r="I16" s="6">
        <f>Table14[[#This Row],[Opening Stock]]+Table14[[#This Row],[Stock In]]-Table14[[#This Row],[Stock Out]]</f>
        <v>100</v>
      </c>
      <c r="J16" s="6">
        <f>Table14[[#This Row],[Closing Stock]]*Table14[[#This Row],[Unit Price]]</f>
        <v>15000</v>
      </c>
      <c r="K16" s="6"/>
    </row>
    <row r="17" spans="1:11" x14ac:dyDescent="0.25">
      <c r="A17" s="8" t="str">
        <f>Table1[[#This Row],[Product ID]]</f>
        <v>PID00-13</v>
      </c>
      <c r="B17" s="6"/>
      <c r="C17" s="6" t="str">
        <f>'Opening Stocks'!D17</f>
        <v>gionee m7</v>
      </c>
      <c r="D17" s="6" t="str">
        <f>'Opening Stocks'!E17</f>
        <v>P30 chipset, Dual: 16 MP + 8 MP primary camera, 8 MP front camera</v>
      </c>
      <c r="E17" s="6">
        <f>'Opening Stocks'!F17</f>
        <v>87</v>
      </c>
      <c r="F17" s="6">
        <f>'Opening Stocks'!G17</f>
        <v>50</v>
      </c>
      <c r="G17" s="26">
        <f>SUMIF(Table6[Product ID],Table1[[#This Row],[Product ID]],Table6[Stock])</f>
        <v>0</v>
      </c>
      <c r="H17" s="26">
        <f>SUMIF(Table5[Product ID],'Sold out '!A17:A29,Table5[Unit Purchase])</f>
        <v>0</v>
      </c>
      <c r="I17" s="4">
        <f>Table14[[#This Row],[Opening Stock]]+Table14[[#This Row],[Stock In]]-Table14[[#This Row],[Stock Out]]</f>
        <v>50</v>
      </c>
      <c r="J17" s="4">
        <f>Table14[[#This Row],[Closing Stock]]*Table14[[#This Row],[Unit Price]]</f>
        <v>4350</v>
      </c>
      <c r="K17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57A7-FAB1-4C01-9B1E-D11E390249B6}">
  <dimension ref="A4:G8"/>
  <sheetViews>
    <sheetView showGridLines="0" workbookViewId="0">
      <selection activeCell="C5" sqref="C5"/>
    </sheetView>
  </sheetViews>
  <sheetFormatPr defaultRowHeight="15" x14ac:dyDescent="0.25"/>
  <cols>
    <col min="1" max="1" width="17" customWidth="1"/>
    <col min="2" max="2" width="13.5703125" customWidth="1"/>
    <col min="3" max="3" width="14.7109375" bestFit="1" customWidth="1"/>
    <col min="4" max="4" width="39" bestFit="1" customWidth="1"/>
    <col min="5" max="5" width="13.85546875" customWidth="1"/>
    <col min="7" max="7" width="14.5703125" customWidth="1"/>
  </cols>
  <sheetData>
    <row r="4" spans="1:7" ht="15.75" x14ac:dyDescent="0.25">
      <c r="A4" s="2" t="s">
        <v>7</v>
      </c>
      <c r="B4" s="1" t="s">
        <v>0</v>
      </c>
      <c r="C4" s="1" t="s">
        <v>2</v>
      </c>
      <c r="D4" s="1" t="s">
        <v>4</v>
      </c>
      <c r="E4" s="1" t="s">
        <v>8</v>
      </c>
      <c r="F4" s="1" t="s">
        <v>9</v>
      </c>
      <c r="G4" s="3" t="s">
        <v>10</v>
      </c>
    </row>
    <row r="5" spans="1:7" x14ac:dyDescent="0.25">
      <c r="A5" s="19">
        <v>44686</v>
      </c>
      <c r="B5" s="4" t="s">
        <v>43</v>
      </c>
      <c r="C5" s="6" t="str">
        <f>_xlfn.IFNA(VLOOKUP(Table6[[#This Row],[Product ID]],OpeningStock,3,0),"Select ID")</f>
        <v>OnePlus Nord N20 5G</v>
      </c>
      <c r="D5" s="4" t="str">
        <f>_xlfn.IFNA(VLOOKUP(Table6[[#This Row],[Product ID]],OpeningStock,4,0),"Select ID")</f>
        <v>Snapdragon 695 5G chipset, 4500 mAh battery, 128 GB storage, 6 GB RAM</v>
      </c>
      <c r="E5" s="18">
        <f>_xlfn.IFNA(VLOOKUP(Table6[[#This Row],[Product ID]],OpeningStock,5,0),"Select ID")</f>
        <v>110</v>
      </c>
      <c r="F5" s="4">
        <v>10</v>
      </c>
      <c r="G5" s="23">
        <f>SUMPRODUCT(Table6[[#This Row],[Unit Price2]],Table6[[#This Row],[Stock]])</f>
        <v>1100</v>
      </c>
    </row>
    <row r="6" spans="1:7" x14ac:dyDescent="0.25">
      <c r="A6" s="19">
        <v>44687</v>
      </c>
      <c r="B6" s="6" t="s">
        <v>42</v>
      </c>
      <c r="C6" s="6" t="str">
        <f>_xlfn.IFNA(VLOOKUP(Table6[[#This Row],[Product ID]],OpeningStock,3,0),"Select ID")</f>
        <v> iPhone SE (2022)</v>
      </c>
      <c r="D6" s="4" t="str">
        <f>_xlfn.IFNA(VLOOKUP(Table6[[#This Row],[Product ID]],OpeningStock,4,0),"Select ID")</f>
        <v>Storage / Expandable: 64GB, 128GB, 256GB</v>
      </c>
      <c r="E6" s="18">
        <f>_xlfn.IFNA(VLOOKUP(Table6[[#This Row],[Product ID]],OpeningStock,5,0),"Select ID")</f>
        <v>459.99</v>
      </c>
      <c r="F6" s="6">
        <v>2</v>
      </c>
      <c r="G6" s="5">
        <f>SUMPRODUCT(Table6[[#This Row],[Unit Price2]],Table6[[#This Row],[Stock]])</f>
        <v>919.98</v>
      </c>
    </row>
    <row r="7" spans="1:7" x14ac:dyDescent="0.25">
      <c r="A7" s="19">
        <v>44688</v>
      </c>
      <c r="B7" s="6" t="s">
        <v>41</v>
      </c>
      <c r="C7" s="6" t="str">
        <f>_xlfn.IFNA(VLOOKUP(Table6[[#This Row],[Product ID]],OpeningStock,3,0),"Select ID")</f>
        <v>Samsung Galaxy A53 5G</v>
      </c>
      <c r="D7" s="20" t="str">
        <f>_xlfn.IFNA(VLOOKUP(Table6[[#This Row],[Product ID]],OpeningStock,4,0),"Select ID")</f>
        <v>RAM: 6GB/ Storage / Expandable: 128GB</v>
      </c>
      <c r="E7" s="18">
        <f>_xlfn.IFNA(VLOOKUP(Table6[[#This Row],[Product ID]],OpeningStock,5,0),"Select ID")</f>
        <v>488</v>
      </c>
      <c r="F7" s="6">
        <v>5</v>
      </c>
      <c r="G7" s="5">
        <f>SUMPRODUCT(Table6[[#This Row],[Unit Price2]],Table6[[#This Row],[Stock]])</f>
        <v>2440</v>
      </c>
    </row>
    <row r="8" spans="1:7" x14ac:dyDescent="0.25">
      <c r="A8" s="8"/>
      <c r="B8" s="6"/>
      <c r="C8" s="6" t="str">
        <f>_xlfn.IFNA(VLOOKUP(Table6[[#This Row],[Product ID]],OpeningStock,3,0),"Select ID")</f>
        <v>Select ID</v>
      </c>
      <c r="D8" s="21" t="str">
        <f>_xlfn.IFNA(VLOOKUP(Table6[[#This Row],[Product ID]],OpeningStock,4,0),"Select ID")</f>
        <v>Select ID</v>
      </c>
      <c r="E8" s="22" t="str">
        <f>_xlfn.IFNA(VLOOKUP(Table6[[#This Row],[Product ID]],OpeningStock,5,0),"Select ID")</f>
        <v>Select ID</v>
      </c>
      <c r="F8" s="6"/>
      <c r="G8" s="5" t="e">
        <f>SUMPRODUCT(Table6[[#This Row],[Unit Price2]],Table6[[#This Row],[Stock]])</f>
        <v>#VALUE!</v>
      </c>
    </row>
  </sheetData>
  <dataValidations count="1">
    <dataValidation type="list" allowBlank="1" showInputMessage="1" showErrorMessage="1" sqref="B5:B8" xr:uid="{BCF417B1-937E-4433-84A3-5A374B7826F7}">
      <formula1>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8253-D8FA-44FE-B617-45481441AFEF}">
  <dimension ref="A4:H8"/>
  <sheetViews>
    <sheetView showGridLines="0" workbookViewId="0">
      <selection activeCell="A7" sqref="A7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3.7109375" bestFit="1" customWidth="1"/>
    <col min="4" max="4" width="11.140625" bestFit="1" customWidth="1"/>
    <col min="5" max="5" width="22.5703125" bestFit="1" customWidth="1"/>
    <col min="6" max="6" width="12.85546875" customWidth="1"/>
    <col min="7" max="7" width="17" bestFit="1" customWidth="1"/>
    <col min="8" max="8" width="14.7109375" bestFit="1" customWidth="1"/>
  </cols>
  <sheetData>
    <row r="4" spans="1:8" ht="15.75" x14ac:dyDescent="0.25">
      <c r="A4" s="2" t="s">
        <v>11</v>
      </c>
      <c r="B4" s="1" t="s">
        <v>12</v>
      </c>
      <c r="C4" s="1" t="s">
        <v>0</v>
      </c>
      <c r="D4" s="1" t="s">
        <v>2</v>
      </c>
      <c r="E4" s="1" t="s">
        <v>13</v>
      </c>
      <c r="F4" s="1" t="s">
        <v>4</v>
      </c>
      <c r="G4" s="1" t="s">
        <v>14</v>
      </c>
      <c r="H4" s="3" t="s">
        <v>10</v>
      </c>
    </row>
    <row r="5" spans="1:8" x14ac:dyDescent="0.25">
      <c r="A5" s="19">
        <v>44623</v>
      </c>
      <c r="B5" s="4" t="s">
        <v>53</v>
      </c>
      <c r="C5" s="4" t="s">
        <v>42</v>
      </c>
      <c r="D5" s="4" t="str">
        <f>_xlfn.IFNA(VLOOKUP(Table5[[#This Row],[Product ID]],OpeningStock,3,0),"Select Product_ID")</f>
        <v> iPhone SE (2022)</v>
      </c>
      <c r="E5" s="4" t="str">
        <f>_xlfn.IFNA(VLOOKUP(Table5[[#This Row],[Product ID]],OpeningStock,4,0),"Select ID")</f>
        <v>Storage / Expandable: 64GB, 128GB, 256GB</v>
      </c>
      <c r="F5" s="18">
        <f>_xlfn.IFNA(VLOOKUP(Table5[[#This Row],[Product ID]],OpeningStock,5,0),"Select ID")</f>
        <v>459.99</v>
      </c>
      <c r="G5" s="4">
        <v>3</v>
      </c>
      <c r="H5" s="5">
        <f>IFERROR(SUMPRODUCT(Table5[[#This Row],[Unit Price]],Table5[[#This Row],[Unit Purchase]]),"Enter Unit")</f>
        <v>1379.97</v>
      </c>
    </row>
    <row r="6" spans="1:8" x14ac:dyDescent="0.25">
      <c r="A6" s="25">
        <v>44654</v>
      </c>
      <c r="B6" s="6" t="s">
        <v>54</v>
      </c>
      <c r="C6" s="6" t="s">
        <v>52</v>
      </c>
      <c r="D6" s="6" t="str">
        <f>_xlfn.IFNA(VLOOKUP(Table5[[#This Row],[Product ID]],OpeningStock,3,0),"Select Product_ID")</f>
        <v>gionee m7</v>
      </c>
      <c r="E6" s="4" t="str">
        <f>_xlfn.IFNA(VLOOKUP(Table5[[#This Row],[Product ID]],OpeningStock,4,0),"Select ID")</f>
        <v>P30 chipset, Dual: 16 MP + 8 MP primary camera, 8 MP front camera</v>
      </c>
      <c r="F6" s="18">
        <f>_xlfn.IFNA(VLOOKUP(Table5[[#This Row],[Product ID]],OpeningStock,5,0),"Select ID")</f>
        <v>87</v>
      </c>
      <c r="G6" s="6">
        <v>5</v>
      </c>
      <c r="H6" s="5">
        <f>IFERROR(SUMPRODUCT(Table5[[#This Row],[Unit Price]],Table5[[#This Row],[Unit Purchase]]),"Enter Unit")</f>
        <v>435</v>
      </c>
    </row>
    <row r="7" spans="1:8" x14ac:dyDescent="0.25">
      <c r="A7" s="8"/>
      <c r="B7" s="6"/>
      <c r="C7" s="6"/>
      <c r="D7" s="6" t="str">
        <f>_xlfn.IFNA(VLOOKUP(Table5[[#This Row],[Product ID]],OpeningStock,3,0),"Select Product_ID")</f>
        <v>Select Product_ID</v>
      </c>
      <c r="E7" s="24" t="str">
        <f>_xlfn.IFNA(VLOOKUP(Table5[[#This Row],[Product ID]],OpeningStock,4,0),"Select ID")</f>
        <v>Select ID</v>
      </c>
      <c r="F7" s="18" t="str">
        <f>_xlfn.IFNA(VLOOKUP(Table5[[#This Row],[Product ID]],OpeningStock,5,0),"Select ID")</f>
        <v>Select ID</v>
      </c>
      <c r="G7" s="6"/>
      <c r="H7" s="5" t="str">
        <f>IFERROR(SUMPRODUCT(Table5[[#This Row],[Unit Price]],Table5[[#This Row],[Unit Purchase]]),"Enter Unit")</f>
        <v>Enter Unit</v>
      </c>
    </row>
    <row r="8" spans="1:8" x14ac:dyDescent="0.25">
      <c r="A8" s="8"/>
      <c r="B8" s="6"/>
      <c r="C8" s="6"/>
      <c r="D8" s="6" t="str">
        <f>_xlfn.IFNA(VLOOKUP(Table5[[#This Row],[Product ID]],OpeningStock,3,0),"Select Product_ID")</f>
        <v>Select Product_ID</v>
      </c>
      <c r="E8" s="24" t="str">
        <f>_xlfn.IFNA(VLOOKUP(Table5[[#This Row],[Product ID]],OpeningStock,4,0),"Select ID")</f>
        <v>Select ID</v>
      </c>
      <c r="F8" s="18" t="str">
        <f>_xlfn.IFNA(VLOOKUP(Table5[[#This Row],[Product ID]],OpeningStock,5,0),"Select ID")</f>
        <v>Select ID</v>
      </c>
      <c r="G8" s="6"/>
      <c r="H8" s="5" t="str">
        <f>IFERROR(SUMPRODUCT(Table5[[#This Row],[Unit Price]],Table5[[#This Row],[Unit Purchase]]),"Enter Unit")</f>
        <v>Enter Unit</v>
      </c>
    </row>
  </sheetData>
  <dataValidations count="1">
    <dataValidation type="list" allowBlank="1" showInputMessage="1" showErrorMessage="1" sqref="C5:C8" xr:uid="{3785413A-1761-4DDE-8BCA-E2DB4014586B}">
      <formula1>IDS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Opening Stocks</vt:lpstr>
      <vt:lpstr>Closing Stocks</vt:lpstr>
      <vt:lpstr>Sold In</vt:lpstr>
      <vt:lpstr>Sold out </vt:lpstr>
      <vt:lpstr>ClosingStock</vt:lpstr>
      <vt:lpstr>IDS</vt:lpstr>
      <vt:lpstr>OpeningStock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BHAVUK THAKUR</dc:creator>
  <cp:lastModifiedBy>BHAVUK THAKUR</cp:lastModifiedBy>
  <dcterms:created xsi:type="dcterms:W3CDTF">2023-03-28T04:58:00Z</dcterms:created>
  <dcterms:modified xsi:type="dcterms:W3CDTF">2023-03-28T06:40:44Z</dcterms:modified>
</cp:coreProperties>
</file>