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f81aacc58fb1015/Pictures/"/>
    </mc:Choice>
  </mc:AlternateContent>
  <xr:revisionPtr revIDLastSave="7" documentId="8_{20BDC441-0E17-429A-80A8-584AC960DB67}" xr6:coauthVersionLast="47" xr6:coauthVersionMax="47" xr10:uidLastSave="{3D79BB25-7EE6-458E-AE81-2D563C120C21}"/>
  <bookViews>
    <workbookView xWindow="-108" yWindow="-108" windowWidth="23256" windowHeight="13896" xr2:uid="{00000000-000D-0000-FFFF-FFFF00000000}"/>
  </bookViews>
  <sheets>
    <sheet name="Feasibility Analysis" sheetId="2" r:id="rId1"/>
    <sheet name="Calcula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" l="1"/>
  <c r="E27" i="2" l="1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D27" i="2"/>
  <c r="D47" i="2"/>
  <c r="D14" i="2"/>
  <c r="E14" i="4"/>
  <c r="F14" i="4" s="1"/>
  <c r="E31" i="4"/>
  <c r="F31" i="4" s="1"/>
  <c r="G31" i="4" s="1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D31" i="2" s="1"/>
  <c r="D2" i="4"/>
  <c r="D3" i="4" s="1"/>
  <c r="D5" i="4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D9" i="4"/>
  <c r="E2" i="4" s="1"/>
  <c r="E23" i="2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E30" i="4"/>
  <c r="D21" i="2"/>
  <c r="I21" i="2"/>
  <c r="E27" i="4"/>
  <c r="E20" i="4"/>
  <c r="F20" i="4" s="1"/>
  <c r="G20" i="4" s="1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E19" i="4"/>
  <c r="F19" i="4" s="1"/>
  <c r="G19" i="4" s="1"/>
  <c r="H19" i="4" s="1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W19" i="4" s="1"/>
  <c r="F13" i="4"/>
  <c r="G13" i="4" s="1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F21" i="2"/>
  <c r="G21" i="2"/>
  <c r="H21" i="2"/>
  <c r="E21" i="2"/>
  <c r="E12" i="4"/>
  <c r="F12" i="4" s="1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E2" i="2"/>
  <c r="D2" i="2"/>
  <c r="D5" i="2" s="1"/>
  <c r="D45" i="2"/>
  <c r="D20" i="2"/>
  <c r="D26" i="4"/>
  <c r="D23" i="4"/>
  <c r="D36" i="4"/>
  <c r="D35" i="4"/>
  <c r="E25" i="4"/>
  <c r="F25" i="4" s="1"/>
  <c r="G25" i="4" s="1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E22" i="4"/>
  <c r="E36" i="4" s="1"/>
  <c r="E24" i="4"/>
  <c r="F24" i="4" s="1"/>
  <c r="G24" i="4" s="1"/>
  <c r="H24" i="4" s="1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W24" i="4" s="1"/>
  <c r="E21" i="4"/>
  <c r="E29" i="4"/>
  <c r="F29" i="4" s="1"/>
  <c r="G29" i="4" s="1"/>
  <c r="H29" i="4" s="1"/>
  <c r="I29" i="4" s="1"/>
  <c r="J29" i="4" s="1"/>
  <c r="D15" i="4"/>
  <c r="D9" i="2"/>
  <c r="E9" i="2" s="1"/>
  <c r="F4" i="2" s="1"/>
  <c r="E47" i="2" l="1"/>
  <c r="G14" i="4"/>
  <c r="F14" i="2"/>
  <c r="E14" i="2"/>
  <c r="E26" i="2"/>
  <c r="E4" i="2"/>
  <c r="E24" i="2"/>
  <c r="E9" i="4"/>
  <c r="E3" i="4"/>
  <c r="E26" i="4"/>
  <c r="H26" i="4"/>
  <c r="F26" i="4"/>
  <c r="E23" i="4"/>
  <c r="F30" i="4"/>
  <c r="G30" i="4" s="1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D26" i="2"/>
  <c r="D12" i="2"/>
  <c r="F27" i="4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E5" i="2"/>
  <c r="E12" i="2"/>
  <c r="O26" i="4"/>
  <c r="E45" i="2"/>
  <c r="N26" i="4"/>
  <c r="M26" i="4"/>
  <c r="L26" i="4"/>
  <c r="R20" i="2"/>
  <c r="Q20" i="2"/>
  <c r="S20" i="2"/>
  <c r="P20" i="2"/>
  <c r="O20" i="2"/>
  <c r="N20" i="2"/>
  <c r="M20" i="2"/>
  <c r="L20" i="2"/>
  <c r="S26" i="4"/>
  <c r="H20" i="2"/>
  <c r="R26" i="4"/>
  <c r="F20" i="2"/>
  <c r="Q26" i="4"/>
  <c r="E20" i="2"/>
  <c r="P26" i="4"/>
  <c r="K26" i="4"/>
  <c r="K20" i="2"/>
  <c r="J26" i="4"/>
  <c r="J20" i="2"/>
  <c r="E22" i="2"/>
  <c r="I26" i="4"/>
  <c r="I20" i="2"/>
  <c r="G26" i="4"/>
  <c r="G20" i="2"/>
  <c r="W26" i="4"/>
  <c r="W20" i="2"/>
  <c r="V26" i="4"/>
  <c r="V20" i="2"/>
  <c r="U26" i="4"/>
  <c r="U20" i="2"/>
  <c r="T26" i="4"/>
  <c r="T20" i="2"/>
  <c r="E8" i="2"/>
  <c r="F2" i="2" s="1"/>
  <c r="F12" i="2" s="1"/>
  <c r="F8" i="2"/>
  <c r="G2" i="2" s="1"/>
  <c r="G12" i="2" s="1"/>
  <c r="E3" i="2"/>
  <c r="E13" i="2" s="1"/>
  <c r="D18" i="2"/>
  <c r="D19" i="2"/>
  <c r="D22" i="2"/>
  <c r="D30" i="2"/>
  <c r="D46" i="2" s="1"/>
  <c r="F21" i="4"/>
  <c r="F22" i="4"/>
  <c r="E35" i="4"/>
  <c r="D44" i="2"/>
  <c r="D25" i="2"/>
  <c r="E25" i="2"/>
  <c r="K29" i="4"/>
  <c r="E19" i="2"/>
  <c r="E18" i="2"/>
  <c r="E15" i="4"/>
  <c r="F9" i="2"/>
  <c r="F24" i="2" l="1"/>
  <c r="F47" i="2"/>
  <c r="H14" i="4"/>
  <c r="G14" i="2"/>
  <c r="F2" i="4"/>
  <c r="F3" i="4" s="1"/>
  <c r="F9" i="4"/>
  <c r="G4" i="2"/>
  <c r="F26" i="2"/>
  <c r="F5" i="2"/>
  <c r="G3" i="2" s="1"/>
  <c r="G13" i="2" s="1"/>
  <c r="F23" i="4"/>
  <c r="F45" i="2"/>
  <c r="F25" i="2"/>
  <c r="G8" i="2"/>
  <c r="H2" i="2" s="1"/>
  <c r="H12" i="2" s="1"/>
  <c r="D34" i="2"/>
  <c r="E15" i="2"/>
  <c r="E36" i="2" s="1"/>
  <c r="F3" i="2"/>
  <c r="F13" i="2" s="1"/>
  <c r="F18" i="2"/>
  <c r="F22" i="2"/>
  <c r="E30" i="2"/>
  <c r="E46" i="2" s="1"/>
  <c r="G22" i="4"/>
  <c r="F36" i="4"/>
  <c r="G21" i="4"/>
  <c r="F35" i="4"/>
  <c r="E31" i="2"/>
  <c r="F19" i="2"/>
  <c r="L29" i="4"/>
  <c r="F15" i="4"/>
  <c r="G9" i="2"/>
  <c r="D15" i="2"/>
  <c r="D36" i="2" s="1"/>
  <c r="G24" i="2" l="1"/>
  <c r="G47" i="2"/>
  <c r="H14" i="2"/>
  <c r="I14" i="4"/>
  <c r="I14" i="2" s="1"/>
  <c r="G5" i="2"/>
  <c r="H3" i="2" s="1"/>
  <c r="H13" i="2" s="1"/>
  <c r="G2" i="4"/>
  <c r="G3" i="4" s="1"/>
  <c r="G9" i="4"/>
  <c r="H4" i="2"/>
  <c r="G26" i="2"/>
  <c r="E34" i="2"/>
  <c r="G23" i="4"/>
  <c r="G45" i="2"/>
  <c r="F30" i="2"/>
  <c r="F46" i="2" s="1"/>
  <c r="H8" i="2"/>
  <c r="I2" i="2" s="1"/>
  <c r="I12" i="2" s="1"/>
  <c r="G19" i="2"/>
  <c r="G22" i="2"/>
  <c r="H21" i="4"/>
  <c r="G35" i="4"/>
  <c r="H22" i="4"/>
  <c r="G36" i="4"/>
  <c r="E44" i="2"/>
  <c r="F15" i="2"/>
  <c r="F36" i="2" s="1"/>
  <c r="G18" i="2"/>
  <c r="M29" i="4"/>
  <c r="G15" i="4"/>
  <c r="H9" i="2"/>
  <c r="I4" i="2" l="1"/>
  <c r="H47" i="2"/>
  <c r="H24" i="2"/>
  <c r="H5" i="2"/>
  <c r="I5" i="2" s="1"/>
  <c r="H2" i="4"/>
  <c r="H3" i="4" s="1"/>
  <c r="H9" i="4"/>
  <c r="G25" i="2"/>
  <c r="H26" i="2"/>
  <c r="G30" i="2"/>
  <c r="G46" i="2" s="1"/>
  <c r="H45" i="2"/>
  <c r="H23" i="4"/>
  <c r="I8" i="2"/>
  <c r="J2" i="2" s="1"/>
  <c r="J12" i="2" s="1"/>
  <c r="H18" i="2"/>
  <c r="H22" i="2"/>
  <c r="I22" i="4"/>
  <c r="H36" i="4"/>
  <c r="I21" i="4"/>
  <c r="H35" i="4"/>
  <c r="F31" i="2"/>
  <c r="G15" i="2"/>
  <c r="G36" i="2" s="1"/>
  <c r="H19" i="2"/>
  <c r="N29" i="4"/>
  <c r="H15" i="4"/>
  <c r="I9" i="2"/>
  <c r="J4" i="2" l="1"/>
  <c r="I47" i="2"/>
  <c r="I3" i="2"/>
  <c r="I13" i="2" s="1"/>
  <c r="I24" i="2"/>
  <c r="I2" i="4"/>
  <c r="I3" i="4" s="1"/>
  <c r="I9" i="4"/>
  <c r="J5" i="2"/>
  <c r="I26" i="2"/>
  <c r="H30" i="2"/>
  <c r="H46" i="2" s="1"/>
  <c r="I45" i="2"/>
  <c r="I23" i="4"/>
  <c r="J8" i="2"/>
  <c r="K2" i="2" s="1"/>
  <c r="K12" i="2" s="1"/>
  <c r="I19" i="2"/>
  <c r="I22" i="2"/>
  <c r="J21" i="4"/>
  <c r="I35" i="4"/>
  <c r="J22" i="4"/>
  <c r="I36" i="4"/>
  <c r="F34" i="2"/>
  <c r="F44" i="2"/>
  <c r="G31" i="2" s="1"/>
  <c r="H15" i="2"/>
  <c r="H36" i="2" s="1"/>
  <c r="I18" i="2"/>
  <c r="O29" i="4"/>
  <c r="I15" i="4"/>
  <c r="J3" i="2"/>
  <c r="J13" i="2" s="1"/>
  <c r="J9" i="2"/>
  <c r="K4" i="2" l="1"/>
  <c r="J47" i="2"/>
  <c r="J24" i="2"/>
  <c r="J2" i="4"/>
  <c r="J3" i="4" s="1"/>
  <c r="J9" i="4"/>
  <c r="H25" i="2"/>
  <c r="J26" i="2"/>
  <c r="I30" i="2"/>
  <c r="I46" i="2" s="1"/>
  <c r="K5" i="2"/>
  <c r="J45" i="2"/>
  <c r="J23" i="4"/>
  <c r="K8" i="2"/>
  <c r="L2" i="2" s="1"/>
  <c r="L12" i="2" s="1"/>
  <c r="J18" i="2"/>
  <c r="J22" i="2"/>
  <c r="K22" i="4"/>
  <c r="J36" i="4"/>
  <c r="K21" i="4"/>
  <c r="J35" i="4"/>
  <c r="G44" i="2"/>
  <c r="H31" i="2" s="1"/>
  <c r="G34" i="2"/>
  <c r="J19" i="2"/>
  <c r="I15" i="2"/>
  <c r="I36" i="2" s="1"/>
  <c r="P29" i="4"/>
  <c r="J15" i="4"/>
  <c r="K9" i="2"/>
  <c r="L4" i="2" l="1"/>
  <c r="K47" i="2"/>
  <c r="K24" i="2"/>
  <c r="K2" i="4"/>
  <c r="K3" i="4" s="1"/>
  <c r="K9" i="4"/>
  <c r="I25" i="2"/>
  <c r="K26" i="2"/>
  <c r="J30" i="2"/>
  <c r="J46" i="2" s="1"/>
  <c r="L5" i="2"/>
  <c r="K45" i="2"/>
  <c r="K23" i="4"/>
  <c r="L8" i="2"/>
  <c r="M2" i="2" s="1"/>
  <c r="M12" i="2" s="1"/>
  <c r="L3" i="2"/>
  <c r="L13" i="2" s="1"/>
  <c r="J15" i="2"/>
  <c r="J36" i="2" s="1"/>
  <c r="K3" i="2"/>
  <c r="K13" i="2" s="1"/>
  <c r="K15" i="2" s="1"/>
  <c r="K36" i="2" s="1"/>
  <c r="K19" i="2"/>
  <c r="K22" i="2"/>
  <c r="L21" i="4"/>
  <c r="K35" i="4"/>
  <c r="L22" i="4"/>
  <c r="K36" i="4"/>
  <c r="H44" i="2"/>
  <c r="H34" i="2"/>
  <c r="K18" i="2"/>
  <c r="Q29" i="4"/>
  <c r="K15" i="4"/>
  <c r="L9" i="2"/>
  <c r="M4" i="2" l="1"/>
  <c r="L47" i="2"/>
  <c r="L24" i="2"/>
  <c r="L2" i="4"/>
  <c r="L3" i="4" s="1"/>
  <c r="L9" i="4"/>
  <c r="J25" i="2"/>
  <c r="M5" i="2"/>
  <c r="L26" i="2"/>
  <c r="K30" i="2"/>
  <c r="K46" i="2" s="1"/>
  <c r="L45" i="2"/>
  <c r="L23" i="4"/>
  <c r="M8" i="2"/>
  <c r="N2" i="2" s="1"/>
  <c r="N12" i="2" s="1"/>
  <c r="L15" i="2"/>
  <c r="L36" i="2" s="1"/>
  <c r="M3" i="2"/>
  <c r="M13" i="2" s="1"/>
  <c r="L18" i="2"/>
  <c r="L22" i="2"/>
  <c r="M22" i="4"/>
  <c r="L36" i="4"/>
  <c r="M21" i="4"/>
  <c r="L35" i="4"/>
  <c r="I31" i="2"/>
  <c r="I44" i="2" s="1"/>
  <c r="L19" i="2"/>
  <c r="R29" i="4"/>
  <c r="L15" i="4"/>
  <c r="M9" i="2"/>
  <c r="N4" i="2" l="1"/>
  <c r="M47" i="2"/>
  <c r="M24" i="2"/>
  <c r="M2" i="4"/>
  <c r="M3" i="4" s="1"/>
  <c r="M9" i="4"/>
  <c r="K25" i="2"/>
  <c r="L30" i="2"/>
  <c r="L46" i="2" s="1"/>
  <c r="M26" i="2"/>
  <c r="N5" i="2"/>
  <c r="M45" i="2"/>
  <c r="M23" i="4"/>
  <c r="N8" i="2"/>
  <c r="O2" i="2" s="1"/>
  <c r="O12" i="2" s="1"/>
  <c r="M15" i="2"/>
  <c r="M36" i="2" s="1"/>
  <c r="N3" i="2"/>
  <c r="N13" i="2" s="1"/>
  <c r="M18" i="2"/>
  <c r="M22" i="2"/>
  <c r="N21" i="4"/>
  <c r="M35" i="4"/>
  <c r="N22" i="4"/>
  <c r="M36" i="4"/>
  <c r="J31" i="2"/>
  <c r="J44" i="2" s="1"/>
  <c r="I34" i="2"/>
  <c r="M19" i="2"/>
  <c r="S29" i="4"/>
  <c r="M15" i="4"/>
  <c r="N9" i="2"/>
  <c r="O4" i="2" l="1"/>
  <c r="N47" i="2"/>
  <c r="N24" i="2"/>
  <c r="M30" i="2"/>
  <c r="M46" i="2" s="1"/>
  <c r="N2" i="4"/>
  <c r="N3" i="4" s="1"/>
  <c r="N9" i="4"/>
  <c r="L25" i="2"/>
  <c r="N26" i="2"/>
  <c r="O5" i="2"/>
  <c r="N45" i="2"/>
  <c r="N23" i="4"/>
  <c r="O8" i="2"/>
  <c r="P2" i="2" s="1"/>
  <c r="P12" i="2" s="1"/>
  <c r="O3" i="2"/>
  <c r="O13" i="2" s="1"/>
  <c r="N19" i="2"/>
  <c r="N22" i="2"/>
  <c r="O22" i="4"/>
  <c r="N36" i="4"/>
  <c r="O21" i="4"/>
  <c r="N35" i="4"/>
  <c r="K31" i="2"/>
  <c r="K44" i="2" s="1"/>
  <c r="J34" i="2"/>
  <c r="N18" i="2"/>
  <c r="T29" i="4"/>
  <c r="N15" i="4"/>
  <c r="N15" i="2"/>
  <c r="N36" i="2" s="1"/>
  <c r="O9" i="2"/>
  <c r="P4" i="2" l="1"/>
  <c r="O47" i="2"/>
  <c r="O24" i="2"/>
  <c r="N30" i="2"/>
  <c r="N46" i="2" s="1"/>
  <c r="O2" i="4"/>
  <c r="O3" i="4" s="1"/>
  <c r="O9" i="4"/>
  <c r="M25" i="2"/>
  <c r="O26" i="2"/>
  <c r="P5" i="2"/>
  <c r="O45" i="2"/>
  <c r="O23" i="4"/>
  <c r="P8" i="2"/>
  <c r="Q2" i="2" s="1"/>
  <c r="Q12" i="2" s="1"/>
  <c r="O15" i="2"/>
  <c r="O36" i="2" s="1"/>
  <c r="P3" i="2"/>
  <c r="P13" i="2" s="1"/>
  <c r="O18" i="2"/>
  <c r="O22" i="2"/>
  <c r="P21" i="4"/>
  <c r="O35" i="4"/>
  <c r="P22" i="4"/>
  <c r="O36" i="4"/>
  <c r="L31" i="2"/>
  <c r="L44" i="2" s="1"/>
  <c r="M31" i="2" s="1"/>
  <c r="K34" i="2"/>
  <c r="O19" i="2"/>
  <c r="U29" i="4"/>
  <c r="O15" i="4"/>
  <c r="P9" i="2"/>
  <c r="Q4" i="2" l="1"/>
  <c r="P47" i="2"/>
  <c r="P24" i="2"/>
  <c r="O30" i="2"/>
  <c r="O46" i="2" s="1"/>
  <c r="P2" i="4"/>
  <c r="P3" i="4" s="1"/>
  <c r="P9" i="4"/>
  <c r="N25" i="2"/>
  <c r="P26" i="2"/>
  <c r="Q5" i="2"/>
  <c r="R3" i="2" s="1"/>
  <c r="R13" i="2" s="1"/>
  <c r="Q3" i="2"/>
  <c r="Q13" i="2" s="1"/>
  <c r="P45" i="2"/>
  <c r="P23" i="4"/>
  <c r="Q8" i="2"/>
  <c r="R2" i="2" s="1"/>
  <c r="R12" i="2" s="1"/>
  <c r="P19" i="2"/>
  <c r="P22" i="2"/>
  <c r="M44" i="2"/>
  <c r="N31" i="2" s="1"/>
  <c r="Q21" i="4"/>
  <c r="P35" i="4"/>
  <c r="Q22" i="4"/>
  <c r="P36" i="4"/>
  <c r="M34" i="2"/>
  <c r="L34" i="2"/>
  <c r="P15" i="2"/>
  <c r="P36" i="2" s="1"/>
  <c r="P18" i="2"/>
  <c r="V29" i="4"/>
  <c r="P15" i="4"/>
  <c r="Q9" i="2"/>
  <c r="R4" i="2" l="1"/>
  <c r="Q47" i="2"/>
  <c r="P30" i="2"/>
  <c r="P46" i="2" s="1"/>
  <c r="Q24" i="2"/>
  <c r="Q9" i="4"/>
  <c r="Q2" i="4"/>
  <c r="Q3" i="4" s="1"/>
  <c r="O25" i="2"/>
  <c r="Q26" i="2"/>
  <c r="R5" i="2"/>
  <c r="Q45" i="2"/>
  <c r="Q23" i="4"/>
  <c r="R8" i="2"/>
  <c r="S2" i="2" s="1"/>
  <c r="S12" i="2" s="1"/>
  <c r="Q19" i="2"/>
  <c r="Q22" i="2"/>
  <c r="R22" i="4"/>
  <c r="Q36" i="4"/>
  <c r="R21" i="4"/>
  <c r="Q35" i="4"/>
  <c r="N34" i="2"/>
  <c r="N44" i="2"/>
  <c r="Q18" i="2"/>
  <c r="Q15" i="2"/>
  <c r="Q36" i="2" s="1"/>
  <c r="W29" i="4"/>
  <c r="Q15" i="4"/>
  <c r="R9" i="2"/>
  <c r="S4" i="2" l="1"/>
  <c r="R47" i="2"/>
  <c r="Q30" i="2"/>
  <c r="Q46" i="2" s="1"/>
  <c r="R24" i="2"/>
  <c r="R2" i="4"/>
  <c r="R3" i="4" s="1"/>
  <c r="R9" i="4"/>
  <c r="P25" i="2"/>
  <c r="R26" i="2"/>
  <c r="S5" i="2"/>
  <c r="R45" i="2"/>
  <c r="R23" i="4"/>
  <c r="S8" i="2"/>
  <c r="T2" i="2" s="1"/>
  <c r="T12" i="2" s="1"/>
  <c r="R15" i="2"/>
  <c r="R36" i="2" s="1"/>
  <c r="S3" i="2"/>
  <c r="S13" i="2" s="1"/>
  <c r="R18" i="2"/>
  <c r="R22" i="2"/>
  <c r="S22" i="4"/>
  <c r="R36" i="4"/>
  <c r="S21" i="4"/>
  <c r="R35" i="4"/>
  <c r="O31" i="2"/>
  <c r="R19" i="2"/>
  <c r="R15" i="4"/>
  <c r="S9" i="2"/>
  <c r="T4" i="2" l="1"/>
  <c r="S47" i="2"/>
  <c r="R30" i="2"/>
  <c r="R46" i="2" s="1"/>
  <c r="S24" i="2"/>
  <c r="S2" i="4"/>
  <c r="S3" i="4" s="1"/>
  <c r="S9" i="4"/>
  <c r="Q25" i="2"/>
  <c r="S26" i="2"/>
  <c r="T5" i="2"/>
  <c r="S23" i="4"/>
  <c r="S45" i="2"/>
  <c r="T8" i="2"/>
  <c r="U2" i="2" s="1"/>
  <c r="U12" i="2" s="1"/>
  <c r="T3" i="2"/>
  <c r="T13" i="2" s="1"/>
  <c r="S18" i="2"/>
  <c r="S22" i="2"/>
  <c r="T21" i="4"/>
  <c r="S35" i="4"/>
  <c r="T22" i="4"/>
  <c r="S36" i="4"/>
  <c r="O34" i="2"/>
  <c r="O44" i="2"/>
  <c r="S19" i="2"/>
  <c r="S15" i="4"/>
  <c r="S15" i="2"/>
  <c r="S36" i="2" s="1"/>
  <c r="T9" i="2"/>
  <c r="U4" i="2" l="1"/>
  <c r="T47" i="2"/>
  <c r="S30" i="2"/>
  <c r="S46" i="2" s="1"/>
  <c r="T24" i="2"/>
  <c r="T2" i="4"/>
  <c r="T3" i="4" s="1"/>
  <c r="T9" i="4"/>
  <c r="R25" i="2"/>
  <c r="T26" i="2"/>
  <c r="U5" i="2"/>
  <c r="T23" i="4"/>
  <c r="T45" i="2"/>
  <c r="T30" i="2" s="1"/>
  <c r="T46" i="2" s="1"/>
  <c r="U8" i="2"/>
  <c r="V2" i="2" s="1"/>
  <c r="V12" i="2" s="1"/>
  <c r="U3" i="2"/>
  <c r="U13" i="2" s="1"/>
  <c r="T19" i="2"/>
  <c r="T22" i="2"/>
  <c r="U22" i="4"/>
  <c r="T36" i="4"/>
  <c r="U21" i="4"/>
  <c r="T35" i="4"/>
  <c r="P31" i="2"/>
  <c r="T18" i="2"/>
  <c r="T15" i="4"/>
  <c r="T15" i="2"/>
  <c r="T36" i="2" s="1"/>
  <c r="U9" i="2"/>
  <c r="V4" i="2" l="1"/>
  <c r="U47" i="2"/>
  <c r="U24" i="2"/>
  <c r="U9" i="4"/>
  <c r="U2" i="4"/>
  <c r="U3" i="4"/>
  <c r="S25" i="2"/>
  <c r="U26" i="2"/>
  <c r="V5" i="2"/>
  <c r="U23" i="4"/>
  <c r="U45" i="2"/>
  <c r="U30" i="2" s="1"/>
  <c r="U46" i="2" s="1"/>
  <c r="V8" i="2"/>
  <c r="W2" i="2" s="1"/>
  <c r="W12" i="2" s="1"/>
  <c r="V3" i="2"/>
  <c r="V13" i="2" s="1"/>
  <c r="U18" i="2"/>
  <c r="U22" i="2"/>
  <c r="V21" i="4"/>
  <c r="U35" i="4"/>
  <c r="V22" i="4"/>
  <c r="U36" i="4"/>
  <c r="P34" i="2"/>
  <c r="P44" i="2"/>
  <c r="U19" i="2"/>
  <c r="U15" i="4"/>
  <c r="U15" i="2"/>
  <c r="U36" i="2" s="1"/>
  <c r="V9" i="2"/>
  <c r="W4" i="2" l="1"/>
  <c r="V47" i="2"/>
  <c r="V24" i="2"/>
  <c r="V9" i="4"/>
  <c r="V2" i="4"/>
  <c r="V3" i="4" s="1"/>
  <c r="T25" i="2"/>
  <c r="V26" i="2"/>
  <c r="W5" i="2"/>
  <c r="V23" i="4"/>
  <c r="V45" i="2"/>
  <c r="V30" i="2" s="1"/>
  <c r="V46" i="2" s="1"/>
  <c r="W8" i="2"/>
  <c r="W3" i="2"/>
  <c r="W13" i="2" s="1"/>
  <c r="V19" i="2"/>
  <c r="V22" i="2"/>
  <c r="W22" i="4"/>
  <c r="V36" i="4"/>
  <c r="W21" i="4"/>
  <c r="V35" i="4"/>
  <c r="Q31" i="2"/>
  <c r="V18" i="2"/>
  <c r="V15" i="4"/>
  <c r="V15" i="2"/>
  <c r="V36" i="2" s="1"/>
  <c r="W9" i="2"/>
  <c r="W26" i="2" l="1"/>
  <c r="W47" i="2"/>
  <c r="W24" i="2"/>
  <c r="W9" i="4"/>
  <c r="W2" i="4"/>
  <c r="W3" i="4" s="1"/>
  <c r="U25" i="2"/>
  <c r="W23" i="4"/>
  <c r="W45" i="2"/>
  <c r="W30" i="2" s="1"/>
  <c r="W46" i="2" s="1"/>
  <c r="W18" i="2"/>
  <c r="W22" i="2"/>
  <c r="W35" i="4"/>
  <c r="W36" i="4"/>
  <c r="Q34" i="2"/>
  <c r="Q44" i="2"/>
  <c r="W19" i="2"/>
  <c r="W15" i="4"/>
  <c r="W15" i="2"/>
  <c r="W36" i="2" s="1"/>
  <c r="W25" i="2" l="1"/>
  <c r="V25" i="2"/>
  <c r="R31" i="2"/>
  <c r="R34" i="2" l="1"/>
  <c r="R44" i="2"/>
  <c r="S31" i="2" l="1"/>
  <c r="S34" i="2" l="1"/>
  <c r="S44" i="2"/>
  <c r="T31" i="2" l="1"/>
  <c r="T34" i="2" l="1"/>
  <c r="T44" i="2"/>
  <c r="U31" i="2" l="1"/>
  <c r="U34" i="2" l="1"/>
  <c r="U44" i="2"/>
  <c r="V31" i="2" l="1"/>
  <c r="V34" i="2" l="1"/>
  <c r="V44" i="2"/>
  <c r="W31" i="2" l="1"/>
  <c r="W34" i="2" l="1"/>
  <c r="W44" i="2"/>
  <c r="D35" i="2" l="1"/>
  <c r="D37" i="2" s="1"/>
  <c r="D38" i="2" s="1"/>
  <c r="D39" i="2" l="1"/>
  <c r="D40" i="2" s="1"/>
  <c r="K35" i="2" l="1"/>
  <c r="K37" i="2" s="1"/>
  <c r="K38" i="2" s="1"/>
  <c r="G35" i="2"/>
  <c r="G37" i="2" s="1"/>
  <c r="G38" i="2" s="1"/>
  <c r="T35" i="2"/>
  <c r="T37" i="2" s="1"/>
  <c r="T38" i="2" s="1"/>
  <c r="R35" i="2"/>
  <c r="R37" i="2" s="1"/>
  <c r="R38" i="2" s="1"/>
  <c r="N35" i="2"/>
  <c r="N37" i="2" s="1"/>
  <c r="N38" i="2" s="1"/>
  <c r="O35" i="2"/>
  <c r="O37" i="2" s="1"/>
  <c r="O38" i="2" s="1"/>
  <c r="P35" i="2"/>
  <c r="P37" i="2" s="1"/>
  <c r="P38" i="2" s="1"/>
  <c r="I35" i="2"/>
  <c r="I37" i="2" s="1"/>
  <c r="I38" i="2" s="1"/>
  <c r="J35" i="2"/>
  <c r="J37" i="2" s="1"/>
  <c r="J38" i="2" s="1"/>
  <c r="S35" i="2"/>
  <c r="S37" i="2" s="1"/>
  <c r="S38" i="2" s="1"/>
  <c r="F35" i="2"/>
  <c r="F37" i="2" s="1"/>
  <c r="F38" i="2" s="1"/>
  <c r="E35" i="2"/>
  <c r="E37" i="2" s="1"/>
  <c r="E38" i="2" s="1"/>
  <c r="W35" i="2"/>
  <c r="W37" i="2" s="1"/>
  <c r="W38" i="2" s="1"/>
  <c r="U35" i="2"/>
  <c r="U37" i="2" s="1"/>
  <c r="U38" i="2" s="1"/>
  <c r="H35" i="2"/>
  <c r="H37" i="2" s="1"/>
  <c r="H38" i="2" s="1"/>
  <c r="M35" i="2"/>
  <c r="M37" i="2" s="1"/>
  <c r="M38" i="2" s="1"/>
  <c r="L35" i="2"/>
  <c r="L37" i="2" s="1"/>
  <c r="L38" i="2" s="1"/>
  <c r="Q35" i="2"/>
  <c r="Q37" i="2" s="1"/>
  <c r="Q38" i="2" s="1"/>
  <c r="V35" i="2"/>
  <c r="V37" i="2" s="1"/>
  <c r="V38" i="2" s="1"/>
  <c r="Q39" i="2" l="1"/>
  <c r="Q40" i="2" s="1"/>
  <c r="I39" i="2"/>
  <c r="I40" i="2" s="1"/>
  <c r="E39" i="2"/>
  <c r="E40" i="2" s="1"/>
  <c r="S39" i="2"/>
  <c r="S40" i="2" s="1"/>
  <c r="O39" i="2"/>
  <c r="O40" i="2" s="1"/>
  <c r="V39" i="2"/>
  <c r="V40" i="2" s="1"/>
  <c r="W39" i="2"/>
  <c r="W40" i="2" s="1"/>
  <c r="F39" i="2"/>
  <c r="F40" i="2" s="1"/>
  <c r="J39" i="2"/>
  <c r="J40" i="2" s="1"/>
  <c r="P39" i="2"/>
  <c r="P40" i="2" s="1"/>
  <c r="N39" i="2"/>
  <c r="N40" i="2" s="1"/>
  <c r="R39" i="2"/>
  <c r="R40" i="2" s="1"/>
  <c r="G39" i="2"/>
  <c r="G40" i="2" s="1"/>
  <c r="L39" i="2"/>
  <c r="L40" i="2" s="1"/>
  <c r="T39" i="2"/>
  <c r="T40" i="2" s="1"/>
  <c r="M39" i="2"/>
  <c r="M40" i="2" s="1"/>
  <c r="K39" i="2"/>
  <c r="K40" i="2" s="1"/>
  <c r="H39" i="2"/>
  <c r="H40" i="2" s="1"/>
  <c r="U39" i="2"/>
  <c r="U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tc={7D108070-428B-4684-87E3-4E07346F577A}</author>
  </authors>
  <commentList>
    <comment ref="D43" authorId="0" shapeId="0" xr:uid="{7D108070-428B-4684-87E3-4E07346F57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14000 per kiosk, 2 kiosk per branch
</t>
      </text>
    </comment>
  </commentList>
</comments>
</file>

<file path=xl/sharedStrings.xml><?xml version="1.0" encoding="utf-8"?>
<sst xmlns="http://schemas.openxmlformats.org/spreadsheetml/2006/main" count="110" uniqueCount="85">
  <si>
    <t>Total revenue</t>
  </si>
  <si>
    <t>Expenses</t>
  </si>
  <si>
    <t>Marketing and promotion</t>
  </si>
  <si>
    <t>Capital Cost Allowance</t>
  </si>
  <si>
    <t>Total Capital Cost Allowance</t>
  </si>
  <si>
    <t>Total Expense</t>
  </si>
  <si>
    <t>Gross profit</t>
  </si>
  <si>
    <t>Net profit</t>
  </si>
  <si>
    <t xml:space="preserve">Kiosk Cost </t>
  </si>
  <si>
    <t>Maintenance</t>
  </si>
  <si>
    <t>Training Cost</t>
  </si>
  <si>
    <t>Estimated Revenues</t>
  </si>
  <si>
    <t>Staff Cost Saving</t>
  </si>
  <si>
    <t>Total Revenue</t>
  </si>
  <si>
    <t>Average Tax (21.73%)</t>
  </si>
  <si>
    <t>New Customer Base Revenue</t>
  </si>
  <si>
    <t>New Customers Added</t>
  </si>
  <si>
    <t>Total Digitalized Branches</t>
  </si>
  <si>
    <t>Total Customers added through this project</t>
  </si>
  <si>
    <t>Current Branches Customized</t>
  </si>
  <si>
    <t>New Digital Branches Installed</t>
  </si>
  <si>
    <t>New Customer Base Revenue per customer</t>
  </si>
  <si>
    <t>Maintenance per branch</t>
  </si>
  <si>
    <t>Operations Cost per branch</t>
  </si>
  <si>
    <t>Kiosk Location Lease(Remote Location) per month</t>
  </si>
  <si>
    <t>Consultancy Fee(In Phases)</t>
  </si>
  <si>
    <t>Kiosk Cost per location</t>
  </si>
  <si>
    <t>Infrasture Cost for Remote Location</t>
  </si>
  <si>
    <t>Shipping cost for remote Location</t>
  </si>
  <si>
    <t>Total Installation Cost for remote Location</t>
  </si>
  <si>
    <t>Infrasture Cost for City Location</t>
  </si>
  <si>
    <t>Shipping cost for city Location</t>
  </si>
  <si>
    <t>Infrasture cost of Remote location</t>
  </si>
  <si>
    <t>Infrasture cost of City location</t>
  </si>
  <si>
    <t>Investment</t>
  </si>
  <si>
    <t>Kiosk Expense</t>
  </si>
  <si>
    <t>Total Shipping Cost for city Location</t>
  </si>
  <si>
    <t xml:space="preserve">Branch Setup Miscelleneous </t>
  </si>
  <si>
    <t>Branch Setup Infrastructre Cost</t>
  </si>
  <si>
    <t>Remaining Infrastructure cost after CCA</t>
  </si>
  <si>
    <t>Training Expense</t>
  </si>
  <si>
    <t>Operations Expense</t>
  </si>
  <si>
    <t>Replacement and Upgradation Cost</t>
  </si>
  <si>
    <t>Marketing and promotion per Branch</t>
  </si>
  <si>
    <t>ROI(%)</t>
  </si>
  <si>
    <t>Kiosk Location Rent(Remote Location)</t>
  </si>
  <si>
    <t>Furnitures and Fixtures</t>
  </si>
  <si>
    <t>Current customer base Revenue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</si>
  <si>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</si>
  <si>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</si>
  <si>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</si>
  <si>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</si>
  <si>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</si>
  <si>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</si>
  <si>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</si>
  <si>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</si>
  <si>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</si>
  <si>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</si>
  <si>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</si>
  <si>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</si>
  <si>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</si>
  <si>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</si>
  <si>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</si>
  <si>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</si>
  <si>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</si>
  <si>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</si>
  <si>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</si>
  <si>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</si>
  <si>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Severance Pay</t>
  </si>
  <si>
    <t>New Customers Added in the particular Year</t>
  </si>
  <si>
    <t>Old customers</t>
  </si>
  <si>
    <t>New Digital Branches Installed in this year</t>
  </si>
  <si>
    <t>Current Branches Customized in this year</t>
  </si>
  <si>
    <t>Customized Existing Branches</t>
  </si>
  <si>
    <t>Total Customers on this project</t>
  </si>
  <si>
    <t>Customers Lost</t>
  </si>
  <si>
    <t>Current customer base Revenue to the project</t>
  </si>
  <si>
    <t>Replacement and Upgradation Cost per Branch</t>
  </si>
  <si>
    <t>Risk Managements Expenses</t>
  </si>
  <si>
    <t>Risk Management Expenses</t>
  </si>
  <si>
    <t>Remaining cost of Kisok after CCA</t>
  </si>
  <si>
    <t>Staff Cost Saving(Average per Staff)</t>
  </si>
  <si>
    <t>Average total funds in the ATMs</t>
  </si>
  <si>
    <t>Cost of Funds</t>
  </si>
  <si>
    <t>Total New Branches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</si>
</sst>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"/>
    <numFmt numFmtId="165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0" borderId="0" xfId="0" applyNumberFormat="1"/>
    <xf numFmtId="164" fontId="0" fillId="0" borderId="0" xfId="0" applyNumberFormat="1"/>
    <xf numFmtId="0" fontId="0" fillId="6" borderId="0" xfId="0" applyFill="1"/>
    <xf numFmtId="165" fontId="0" fillId="0" borderId="0" xfId="2" applyNumberFormat="1" applyFont="1"/>
    <xf numFmtId="165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0" borderId="0" xfId="0" applyFont="1"/>
    <xf numFmtId="0" fontId="3" fillId="7" borderId="0" xfId="0" applyFont="1" applyFill="1" applyAlignment="1">
      <alignment horizontal="center"/>
    </xf>
    <xf numFmtId="10" fontId="0" fillId="9" borderId="0" xfId="1" applyNumberFormat="1" applyFont="1" applyFill="1"/>
    <xf numFmtId="0" fontId="0" fillId="7" borderId="0" xfId="0" applyFill="1"/>
    <xf numFmtId="10" fontId="3" fillId="9" borderId="0" xfId="1" applyNumberFormat="1" applyFont="1" applyFill="1"/>
    <xf numFmtId="3" fontId="3" fillId="0" borderId="0" xfId="0" applyNumberFormat="1" applyFont="1"/>
    <xf numFmtId="164" fontId="3" fillId="0" borderId="0" xfId="0" applyNumberFormat="1" applyFont="1"/>
    <xf numFmtId="165" fontId="3" fillId="0" borderId="0" xfId="2" applyNumberFormat="1" applyFont="1"/>
    <xf numFmtId="165" fontId="3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havya jain" id="{1FA1B4D3-9FF6-4945-8C4B-536AB9EB40F1}" userId="ff81aacc58fb101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3" dT="2023-10-05T21:48:39.85" personId="{1FA1B4D3-9FF6-4945-8C4B-536AB9EB40F1}" id="{7D108070-428B-4684-87E3-4E07346F577A}">
    <text xml:space="preserve">14000 per kiosk, 2 kiosk per branch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EFE3-F00E-4255-9E53-B4DE03E25F12}">
  <dimension ref="A1:W50"/>
  <sheetViews>
    <sheetView tabSelected="1" zoomScale="80" zoomScaleNormal="80" workbookViewId="0"/>
  </sheetViews>
  <sheetFormatPr defaultRowHeight="14.4" x14ac:dyDescent="0.3"/>
  <cols>
    <col min="1" max="1" width="38.88671875" bestFit="1" customWidth="1"/>
    <col min="4" max="5" width="13.88671875" bestFit="1" customWidth="1"/>
    <col min="6" max="6" width="14.88671875" style="14" bestFit="1" customWidth="1"/>
    <col min="7" max="7" width="14.88671875" bestFit="1" customWidth="1"/>
    <col min="8" max="8" width="14.88671875" style="14" bestFit="1" customWidth="1"/>
    <col min="9" max="12" width="14.88671875" bestFit="1" customWidth="1"/>
    <col min="13" max="13" width="14.88671875" style="14" bestFit="1" customWidth="1"/>
    <col min="14" max="22" width="14.88671875" bestFit="1" customWidth="1"/>
    <col min="23" max="23" width="14.88671875" style="14" bestFit="1" customWidth="1"/>
  </cols>
  <sheetData>
    <row r="1" spans="1:23" x14ac:dyDescent="0.3">
      <c r="A1" s="12"/>
      <c r="B1" s="12"/>
      <c r="C1" s="12"/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5" t="s">
        <v>56</v>
      </c>
      <c r="M1" s="15" t="s">
        <v>57</v>
      </c>
      <c r="N1" s="15" t="s">
        <v>58</v>
      </c>
      <c r="O1" s="15" t="s">
        <v>59</v>
      </c>
      <c r="P1" s="15" t="s">
        <v>60</v>
      </c>
      <c r="Q1" s="15" t="s">
        <v>61</v>
      </c>
      <c r="R1" s="15" t="s">
        <v>62</v>
      </c>
      <c r="S1" s="15" t="s">
        <v>63</v>
      </c>
      <c r="T1" s="15" t="s">
        <v>64</v>
      </c>
      <c r="U1" s="15" t="s">
        <v>65</v>
      </c>
      <c r="V1" s="15" t="s">
        <v>66</v>
      </c>
      <c r="W1" s="15" t="s">
        <v>67</v>
      </c>
    </row>
    <row r="2" spans="1:23" x14ac:dyDescent="0.3">
      <c r="A2" t="s">
        <v>69</v>
      </c>
      <c r="D2" s="14">
        <f>(D7*50)+(D6*250)+(C8*50)</f>
        <v>21000</v>
      </c>
      <c r="E2">
        <f t="shared" ref="E2:H2" si="0">(E7*50)+(E6*250)+(D8*50)</f>
        <v>30000</v>
      </c>
      <c r="F2" s="14">
        <f t="shared" si="0"/>
        <v>40000</v>
      </c>
      <c r="G2">
        <f t="shared" si="0"/>
        <v>52500</v>
      </c>
      <c r="H2" s="14">
        <f t="shared" si="0"/>
        <v>70000</v>
      </c>
      <c r="I2">
        <f>(I7*50)+(I6*250)+(H8*35)</f>
        <v>74750</v>
      </c>
      <c r="J2">
        <f t="shared" ref="J2:W2" si="1">(J7*50)+(J6*250)+(I8*35)</f>
        <v>73500</v>
      </c>
      <c r="K2">
        <f t="shared" si="1"/>
        <v>89800</v>
      </c>
      <c r="L2">
        <f t="shared" si="1"/>
        <v>94725</v>
      </c>
      <c r="M2" s="14">
        <f t="shared" si="1"/>
        <v>99825</v>
      </c>
      <c r="N2">
        <f t="shared" si="1"/>
        <v>105100</v>
      </c>
      <c r="O2">
        <f t="shared" si="1"/>
        <v>110550</v>
      </c>
      <c r="P2">
        <f t="shared" si="1"/>
        <v>116175</v>
      </c>
      <c r="Q2">
        <f t="shared" si="1"/>
        <v>121975</v>
      </c>
      <c r="R2">
        <f t="shared" si="1"/>
        <v>127950</v>
      </c>
      <c r="S2">
        <f t="shared" si="1"/>
        <v>134100</v>
      </c>
      <c r="T2">
        <f t="shared" si="1"/>
        <v>140425</v>
      </c>
      <c r="U2">
        <f t="shared" si="1"/>
        <v>146925</v>
      </c>
      <c r="V2">
        <f t="shared" si="1"/>
        <v>153600</v>
      </c>
      <c r="W2" s="14">
        <f t="shared" si="1"/>
        <v>160450</v>
      </c>
    </row>
    <row r="3" spans="1:23" x14ac:dyDescent="0.3">
      <c r="A3" t="s">
        <v>70</v>
      </c>
      <c r="D3" s="14"/>
      <c r="E3">
        <f>D5</f>
        <v>21000</v>
      </c>
      <c r="F3" s="14">
        <f t="shared" ref="F3:W3" si="2">E5</f>
        <v>49500</v>
      </c>
      <c r="G3">
        <f t="shared" si="2"/>
        <v>85000</v>
      </c>
      <c r="H3" s="14">
        <f t="shared" si="2"/>
        <v>128500</v>
      </c>
      <c r="I3">
        <f t="shared" si="2"/>
        <v>184250</v>
      </c>
      <c r="J3">
        <f t="shared" si="2"/>
        <v>242800</v>
      </c>
      <c r="K3">
        <f t="shared" si="2"/>
        <v>294940</v>
      </c>
      <c r="L3">
        <f t="shared" si="2"/>
        <v>362120</v>
      </c>
      <c r="M3" s="14">
        <f t="shared" si="2"/>
        <v>432905</v>
      </c>
      <c r="N3">
        <f t="shared" si="2"/>
        <v>507410</v>
      </c>
      <c r="O3">
        <f t="shared" si="2"/>
        <v>585750</v>
      </c>
      <c r="P3">
        <f t="shared" si="2"/>
        <v>668040</v>
      </c>
      <c r="Q3">
        <f t="shared" si="2"/>
        <v>754395</v>
      </c>
      <c r="R3">
        <f t="shared" si="2"/>
        <v>844930</v>
      </c>
      <c r="S3">
        <f t="shared" si="2"/>
        <v>939760</v>
      </c>
      <c r="T3">
        <f t="shared" si="2"/>
        <v>1039000</v>
      </c>
      <c r="U3">
        <f t="shared" si="2"/>
        <v>1142765</v>
      </c>
      <c r="V3">
        <f t="shared" si="2"/>
        <v>1251170</v>
      </c>
      <c r="W3" s="14">
        <f t="shared" si="2"/>
        <v>1364330</v>
      </c>
    </row>
    <row r="4" spans="1:23" x14ac:dyDescent="0.3">
      <c r="A4" t="s">
        <v>75</v>
      </c>
      <c r="D4" s="14"/>
      <c r="E4">
        <f>D9*15</f>
        <v>1500</v>
      </c>
      <c r="F4" s="14">
        <f t="shared" ref="F4:H4" si="3">E9*15</f>
        <v>4500</v>
      </c>
      <c r="G4">
        <f t="shared" si="3"/>
        <v>9000</v>
      </c>
      <c r="H4" s="14">
        <f t="shared" si="3"/>
        <v>14250</v>
      </c>
      <c r="I4">
        <f>H9*12</f>
        <v>16200</v>
      </c>
      <c r="J4">
        <f t="shared" ref="J4:W4" si="4">I9*12</f>
        <v>21360</v>
      </c>
      <c r="K4">
        <f t="shared" si="4"/>
        <v>22620</v>
      </c>
      <c r="L4">
        <f t="shared" si="4"/>
        <v>23940</v>
      </c>
      <c r="M4" s="14">
        <f t="shared" si="4"/>
        <v>25320</v>
      </c>
      <c r="N4">
        <f t="shared" si="4"/>
        <v>26760</v>
      </c>
      <c r="O4">
        <f t="shared" si="4"/>
        <v>28260</v>
      </c>
      <c r="P4">
        <f t="shared" si="4"/>
        <v>29820</v>
      </c>
      <c r="Q4">
        <f t="shared" si="4"/>
        <v>31440</v>
      </c>
      <c r="R4">
        <f t="shared" si="4"/>
        <v>33120</v>
      </c>
      <c r="S4">
        <f t="shared" si="4"/>
        <v>34860</v>
      </c>
      <c r="T4">
        <f t="shared" si="4"/>
        <v>36660</v>
      </c>
      <c r="U4">
        <f t="shared" si="4"/>
        <v>38520</v>
      </c>
      <c r="V4">
        <f t="shared" si="4"/>
        <v>40440</v>
      </c>
      <c r="W4" s="14">
        <f t="shared" si="4"/>
        <v>42420</v>
      </c>
    </row>
    <row r="5" spans="1:23" x14ac:dyDescent="0.3">
      <c r="A5" t="s">
        <v>74</v>
      </c>
      <c r="D5" s="14">
        <f>D2</f>
        <v>21000</v>
      </c>
      <c r="E5" s="5">
        <f>D5+E2-E4</f>
        <v>49500</v>
      </c>
      <c r="F5" s="19">
        <f t="shared" ref="F5:W5" si="5">E5+F2-F4</f>
        <v>85000</v>
      </c>
      <c r="G5" s="5">
        <f t="shared" si="5"/>
        <v>128500</v>
      </c>
      <c r="H5" s="19">
        <f t="shared" si="5"/>
        <v>184250</v>
      </c>
      <c r="I5" s="5">
        <f t="shared" si="5"/>
        <v>242800</v>
      </c>
      <c r="J5" s="5">
        <f t="shared" si="5"/>
        <v>294940</v>
      </c>
      <c r="K5" s="5">
        <f t="shared" si="5"/>
        <v>362120</v>
      </c>
      <c r="L5" s="5">
        <f t="shared" si="5"/>
        <v>432905</v>
      </c>
      <c r="M5" s="19">
        <f t="shared" si="5"/>
        <v>507410</v>
      </c>
      <c r="N5" s="5">
        <f t="shared" si="5"/>
        <v>585750</v>
      </c>
      <c r="O5" s="5">
        <f t="shared" si="5"/>
        <v>668040</v>
      </c>
      <c r="P5" s="5">
        <f t="shared" si="5"/>
        <v>754395</v>
      </c>
      <c r="Q5" s="5">
        <f t="shared" si="5"/>
        <v>844930</v>
      </c>
      <c r="R5" s="5">
        <f t="shared" si="5"/>
        <v>939760</v>
      </c>
      <c r="S5" s="5">
        <f t="shared" si="5"/>
        <v>1039000</v>
      </c>
      <c r="T5" s="5">
        <f t="shared" si="5"/>
        <v>1142765</v>
      </c>
      <c r="U5" s="5">
        <f t="shared" si="5"/>
        <v>1251170</v>
      </c>
      <c r="V5" s="5">
        <f t="shared" si="5"/>
        <v>1364330</v>
      </c>
      <c r="W5" s="19">
        <f t="shared" si="5"/>
        <v>1482360</v>
      </c>
    </row>
    <row r="6" spans="1:23" x14ac:dyDescent="0.3">
      <c r="A6" t="s">
        <v>71</v>
      </c>
      <c r="D6" s="14">
        <v>80</v>
      </c>
      <c r="E6">
        <v>100</v>
      </c>
      <c r="F6" s="14">
        <v>100</v>
      </c>
      <c r="G6">
        <v>100</v>
      </c>
      <c r="H6" s="14">
        <v>100</v>
      </c>
      <c r="I6">
        <v>100</v>
      </c>
      <c r="J6">
        <v>105</v>
      </c>
      <c r="K6">
        <v>110</v>
      </c>
      <c r="L6">
        <v>115</v>
      </c>
      <c r="M6" s="14">
        <v>120</v>
      </c>
      <c r="N6">
        <v>125</v>
      </c>
      <c r="O6">
        <v>130</v>
      </c>
      <c r="P6">
        <v>135</v>
      </c>
      <c r="Q6">
        <v>140</v>
      </c>
      <c r="R6">
        <v>145</v>
      </c>
      <c r="S6">
        <v>150</v>
      </c>
      <c r="T6">
        <v>155</v>
      </c>
      <c r="U6">
        <v>160</v>
      </c>
      <c r="V6">
        <v>165</v>
      </c>
      <c r="W6" s="14">
        <v>170</v>
      </c>
    </row>
    <row r="7" spans="1:23" x14ac:dyDescent="0.3">
      <c r="A7" t="s">
        <v>72</v>
      </c>
      <c r="D7" s="14">
        <v>20</v>
      </c>
      <c r="E7" s="5">
        <v>100</v>
      </c>
      <c r="F7" s="14">
        <v>200</v>
      </c>
      <c r="G7">
        <v>250</v>
      </c>
      <c r="H7" s="14">
        <v>300</v>
      </c>
      <c r="I7">
        <v>330</v>
      </c>
    </row>
    <row r="8" spans="1:23" x14ac:dyDescent="0.3">
      <c r="A8" t="s">
        <v>73</v>
      </c>
      <c r="D8" s="14"/>
      <c r="E8" s="5">
        <f>D9</f>
        <v>100</v>
      </c>
      <c r="F8" s="19">
        <f t="shared" ref="F8:W8" si="6">E9</f>
        <v>300</v>
      </c>
      <c r="G8" s="5">
        <f t="shared" si="6"/>
        <v>600</v>
      </c>
      <c r="H8" s="19">
        <f t="shared" si="6"/>
        <v>950</v>
      </c>
      <c r="I8" s="5">
        <f t="shared" si="6"/>
        <v>1350</v>
      </c>
      <c r="J8" s="5">
        <f t="shared" si="6"/>
        <v>1780</v>
      </c>
      <c r="K8" s="5">
        <f t="shared" si="6"/>
        <v>1885</v>
      </c>
      <c r="L8" s="5">
        <f t="shared" si="6"/>
        <v>1995</v>
      </c>
      <c r="M8" s="19">
        <f t="shared" si="6"/>
        <v>2110</v>
      </c>
      <c r="N8" s="5">
        <f t="shared" si="6"/>
        <v>2230</v>
      </c>
      <c r="O8" s="5">
        <f t="shared" si="6"/>
        <v>2355</v>
      </c>
      <c r="P8" s="5">
        <f t="shared" si="6"/>
        <v>2485</v>
      </c>
      <c r="Q8" s="5">
        <f t="shared" si="6"/>
        <v>2620</v>
      </c>
      <c r="R8" s="5">
        <f t="shared" si="6"/>
        <v>2760</v>
      </c>
      <c r="S8" s="5">
        <f t="shared" si="6"/>
        <v>2905</v>
      </c>
      <c r="T8" s="5">
        <f t="shared" si="6"/>
        <v>3055</v>
      </c>
      <c r="U8" s="5">
        <f t="shared" si="6"/>
        <v>3210</v>
      </c>
      <c r="V8" s="5">
        <f t="shared" si="6"/>
        <v>3370</v>
      </c>
      <c r="W8" s="19">
        <f t="shared" si="6"/>
        <v>3535</v>
      </c>
    </row>
    <row r="9" spans="1:23" x14ac:dyDescent="0.3">
      <c r="A9" t="s">
        <v>17</v>
      </c>
      <c r="D9" s="14">
        <f>D6+D7</f>
        <v>100</v>
      </c>
      <c r="E9" s="5">
        <f t="shared" ref="E9:W9" si="7">E6+E7+D9</f>
        <v>300</v>
      </c>
      <c r="F9" s="19">
        <f t="shared" si="7"/>
        <v>600</v>
      </c>
      <c r="G9" s="5">
        <f t="shared" si="7"/>
        <v>950</v>
      </c>
      <c r="H9" s="19">
        <f t="shared" si="7"/>
        <v>1350</v>
      </c>
      <c r="I9" s="5">
        <f t="shared" si="7"/>
        <v>1780</v>
      </c>
      <c r="J9" s="5">
        <f t="shared" si="7"/>
        <v>1885</v>
      </c>
      <c r="K9" s="5">
        <f t="shared" si="7"/>
        <v>1995</v>
      </c>
      <c r="L9" s="5">
        <f t="shared" si="7"/>
        <v>2110</v>
      </c>
      <c r="M9" s="19">
        <f t="shared" si="7"/>
        <v>2230</v>
      </c>
      <c r="N9" s="5">
        <f t="shared" si="7"/>
        <v>2355</v>
      </c>
      <c r="O9" s="5">
        <f t="shared" si="7"/>
        <v>2485</v>
      </c>
      <c r="P9" s="5">
        <f t="shared" si="7"/>
        <v>2620</v>
      </c>
      <c r="Q9" s="5">
        <f t="shared" si="7"/>
        <v>2760</v>
      </c>
      <c r="R9" s="5">
        <f t="shared" si="7"/>
        <v>2905</v>
      </c>
      <c r="S9" s="5">
        <f t="shared" si="7"/>
        <v>3055</v>
      </c>
      <c r="T9" s="5">
        <f t="shared" si="7"/>
        <v>3210</v>
      </c>
      <c r="U9" s="5">
        <f t="shared" si="7"/>
        <v>3370</v>
      </c>
      <c r="V9" s="5">
        <f t="shared" si="7"/>
        <v>3535</v>
      </c>
      <c r="W9" s="19">
        <f t="shared" si="7"/>
        <v>3705</v>
      </c>
    </row>
    <row r="10" spans="1:23" x14ac:dyDescent="0.3">
      <c r="D10" s="14"/>
      <c r="E10" s="5"/>
      <c r="F10" s="19"/>
    </row>
    <row r="11" spans="1:23" x14ac:dyDescent="0.3">
      <c r="A11" s="13" t="s">
        <v>11</v>
      </c>
      <c r="D11" s="14"/>
    </row>
    <row r="12" spans="1:23" x14ac:dyDescent="0.3">
      <c r="A12" t="s">
        <v>15</v>
      </c>
      <c r="D12" s="20">
        <f>D2*Calculations!D12</f>
        <v>9450000</v>
      </c>
      <c r="E12" s="6">
        <f>E2*Calculations!E12</f>
        <v>13905000</v>
      </c>
      <c r="F12" s="20">
        <f>F2*Calculations!F12</f>
        <v>19096200</v>
      </c>
      <c r="G12" s="6">
        <f>G2*Calculations!G12</f>
        <v>25815675.375</v>
      </c>
      <c r="H12" s="20">
        <f>H2*Calculations!H12</f>
        <v>35453527.515000001</v>
      </c>
      <c r="I12" s="6">
        <f>I2*Calculations!I12</f>
        <v>38995081.674266249</v>
      </c>
      <c r="J12" s="6">
        <f>J2*Calculations!J12</f>
        <v>39493279.707696676</v>
      </c>
      <c r="K12" s="6">
        <f>K2*Calculations!K12</f>
        <v>49699202.901818998</v>
      </c>
      <c r="L12" s="6">
        <f>L2*Calculations!L12</f>
        <v>53997658.181748874</v>
      </c>
      <c r="M12" s="20">
        <f>M2*Calculations!M12</f>
        <v>58612042.384089462</v>
      </c>
      <c r="N12" s="6">
        <f>N2*Calculations!N12</f>
        <v>63560525.161080249</v>
      </c>
      <c r="O12" s="6">
        <f>O2*Calculations!O12</f>
        <v>68862174.483864352</v>
      </c>
      <c r="P12" s="6">
        <f>P2*Calculations!P12</f>
        <v>74536996.963209674</v>
      </c>
      <c r="Q12" s="6">
        <f>Q2*Calculations!Q12</f>
        <v>80605979.86421454</v>
      </c>
      <c r="R12" s="6">
        <f>R2*Calculations!R12</f>
        <v>87091134.882845163</v>
      </c>
      <c r="S12" s="6">
        <f>S2*Calculations!S12</f>
        <v>94015543.75477314</v>
      </c>
      <c r="T12" s="6">
        <f>T2*Calculations!T12</f>
        <v>101403405.76970126</v>
      </c>
      <c r="U12" s="6">
        <f>U2*Calculations!U12</f>
        <v>109280087.26718716</v>
      </c>
      <c r="V12" s="6">
        <f>V2*Calculations!V12</f>
        <v>117672173.19290215</v>
      </c>
      <c r="W12" s="20">
        <f>W2*Calculations!W12</f>
        <v>126607520.79729937</v>
      </c>
    </row>
    <row r="13" spans="1:23" x14ac:dyDescent="0.3">
      <c r="A13" t="s">
        <v>47</v>
      </c>
      <c r="D13" s="20"/>
      <c r="E13" s="6">
        <f>E3*Calculations!E13</f>
        <v>5250000</v>
      </c>
      <c r="F13" s="20">
        <f>F3*Calculations!F13</f>
        <v>12746250</v>
      </c>
      <c r="G13" s="6">
        <f>G3*Calculations!G13</f>
        <v>22544125.000000004</v>
      </c>
      <c r="H13" s="20">
        <f>H3*Calculations!H13</f>
        <v>35103854.875</v>
      </c>
      <c r="I13" s="6">
        <f>I3*Calculations!I13</f>
        <v>51843749.560625002</v>
      </c>
      <c r="J13" s="6">
        <f>J3*Calculations!J13</f>
        <v>70367936.310010001</v>
      </c>
      <c r="K13" s="6">
        <f>K3*Calculations!K13</f>
        <v>88043446.084565803</v>
      </c>
      <c r="L13" s="6">
        <f>L3*Calculations!L13</f>
        <v>111340481.03691348</v>
      </c>
      <c r="M13" s="20">
        <f>M3*Calculations!M13</f>
        <v>137097775.52077648</v>
      </c>
      <c r="N13" s="6">
        <f>N3*Calculations!N13</f>
        <v>165513740.30169925</v>
      </c>
      <c r="O13" s="6">
        <f>O3*Calculations!O13</f>
        <v>196799754.80020484</v>
      </c>
      <c r="P13" s="6">
        <f>P3*Calculations!P13</f>
        <v>231180898.74968964</v>
      </c>
      <c r="Q13" s="6">
        <f>Q3*Calculations!Q13</f>
        <v>268896721.05808079</v>
      </c>
      <c r="R13" s="6">
        <f>R3*Calculations!R13</f>
        <v>310202047.62665755</v>
      </c>
      <c r="S13" s="6">
        <f>S3*Calculations!S13</f>
        <v>355367829.95745981</v>
      </c>
      <c r="T13" s="6">
        <f>T3*Calculations!T13</f>
        <v>404682036.46204853</v>
      </c>
      <c r="U13" s="6">
        <f>U3*Calculations!U13</f>
        <v>458450588.46918142</v>
      </c>
      <c r="V13" s="6">
        <f>V3*Calculations!V13</f>
        <v>516998343.01736164</v>
      </c>
      <c r="W13" s="20">
        <f>W3*Calculations!W13</f>
        <v>580670124.61035931</v>
      </c>
    </row>
    <row r="14" spans="1:23" x14ac:dyDescent="0.3">
      <c r="A14" t="s">
        <v>12</v>
      </c>
      <c r="D14" s="20">
        <f>D7*Calculations!D14*2</f>
        <v>2000000</v>
      </c>
      <c r="E14" s="6">
        <f>E7*Calculations!E14*2</f>
        <v>10500000</v>
      </c>
      <c r="F14" s="20">
        <f>F7*Calculations!F14*2</f>
        <v>22050000</v>
      </c>
      <c r="G14" s="6">
        <f>G7*Calculations!G14*2</f>
        <v>28940625</v>
      </c>
      <c r="H14" s="20">
        <f>H7*Calculations!H14*2</f>
        <v>36465187.5</v>
      </c>
      <c r="I14" s="6">
        <f>I7*Calculations!I14*2</f>
        <v>42117291.5625</v>
      </c>
      <c r="J14" s="6"/>
      <c r="K14" s="6"/>
      <c r="L14" s="6"/>
      <c r="M14" s="20"/>
      <c r="N14" s="6"/>
      <c r="O14" s="6"/>
      <c r="P14" s="6"/>
      <c r="Q14" s="6"/>
      <c r="R14" s="6"/>
      <c r="S14" s="6"/>
      <c r="T14" s="6"/>
      <c r="U14" s="6"/>
      <c r="V14" s="6"/>
      <c r="W14" s="20"/>
    </row>
    <row r="15" spans="1:23" x14ac:dyDescent="0.3">
      <c r="A15" t="s">
        <v>0</v>
      </c>
      <c r="D15" s="20">
        <f>SUM(D12:D14)</f>
        <v>11450000</v>
      </c>
      <c r="E15" s="6">
        <f>SUM(E12:E14)</f>
        <v>29655000</v>
      </c>
      <c r="F15" s="20">
        <f t="shared" ref="F15:K15" si="8">SUM(F12:F14)</f>
        <v>53892450</v>
      </c>
      <c r="G15" s="6">
        <f t="shared" si="8"/>
        <v>77300425.375</v>
      </c>
      <c r="H15" s="20">
        <f t="shared" si="8"/>
        <v>107022569.89</v>
      </c>
      <c r="I15" s="6">
        <f t="shared" si="8"/>
        <v>132956122.79739125</v>
      </c>
      <c r="J15" s="6">
        <f t="shared" si="8"/>
        <v>109861216.01770668</v>
      </c>
      <c r="K15" s="6">
        <f t="shared" si="8"/>
        <v>137742648.98638481</v>
      </c>
      <c r="L15" s="6">
        <f t="shared" ref="L15" si="9">SUM(L12:L14)</f>
        <v>165338139.21866235</v>
      </c>
      <c r="M15" s="20">
        <f t="shared" ref="M15" si="10">SUM(M12:M14)</f>
        <v>195709817.90486595</v>
      </c>
      <c r="N15" s="6">
        <f t="shared" ref="N15" si="11">SUM(N12:N14)</f>
        <v>229074265.46277949</v>
      </c>
      <c r="O15" s="6">
        <f t="shared" ref="O15" si="12">SUM(O12:O14)</f>
        <v>265661929.28406918</v>
      </c>
      <c r="P15" s="6">
        <f t="shared" ref="P15" si="13">SUM(P12:P14)</f>
        <v>305717895.71289933</v>
      </c>
      <c r="Q15" s="6">
        <f t="shared" ref="Q15" si="14">SUM(Q12:Q14)</f>
        <v>349502700.92229533</v>
      </c>
      <c r="R15" s="6">
        <f t="shared" ref="R15" si="15">SUM(R12:R14)</f>
        <v>397293182.50950271</v>
      </c>
      <c r="S15" s="6">
        <f t="shared" ref="S15" si="16">SUM(S12:S14)</f>
        <v>449383373.71223295</v>
      </c>
      <c r="T15" s="6">
        <f t="shared" ref="T15" si="17">SUM(T12:T14)</f>
        <v>506085442.23174977</v>
      </c>
      <c r="U15" s="6">
        <f t="shared" ref="U15" si="18">SUM(U12:U14)</f>
        <v>567730675.73636854</v>
      </c>
      <c r="V15" s="6">
        <f t="shared" ref="V15" si="19">SUM(V12:V14)</f>
        <v>634670516.21026373</v>
      </c>
      <c r="W15" s="20">
        <f t="shared" ref="W15" si="20">SUM(W12:W14)</f>
        <v>707277645.4076587</v>
      </c>
    </row>
    <row r="16" spans="1:23" x14ac:dyDescent="0.3">
      <c r="D16" s="20"/>
      <c r="E16" s="6"/>
      <c r="F16" s="20"/>
      <c r="G16" s="6"/>
      <c r="H16" s="20"/>
      <c r="I16" s="6"/>
      <c r="J16" s="6"/>
      <c r="K16" s="6"/>
      <c r="L16" s="6"/>
      <c r="M16" s="20"/>
      <c r="N16" s="6"/>
      <c r="O16" s="6"/>
      <c r="P16" s="6"/>
      <c r="Q16" s="6"/>
      <c r="R16" s="6"/>
      <c r="S16" s="6"/>
      <c r="T16" s="6"/>
      <c r="U16" s="6"/>
      <c r="V16" s="6"/>
      <c r="W16" s="20"/>
    </row>
    <row r="17" spans="1:23" x14ac:dyDescent="0.3">
      <c r="A17" s="10" t="s">
        <v>1</v>
      </c>
      <c r="D17" s="20"/>
      <c r="E17" s="6"/>
      <c r="F17" s="20"/>
      <c r="G17" s="6"/>
      <c r="H17" s="20"/>
      <c r="I17" s="6"/>
      <c r="J17" s="6"/>
      <c r="K17" s="6"/>
      <c r="L17" s="6"/>
      <c r="M17" s="20"/>
      <c r="N17" s="6"/>
      <c r="O17" s="6"/>
      <c r="P17" s="6"/>
      <c r="Q17" s="6"/>
      <c r="R17" s="6"/>
      <c r="S17" s="6"/>
      <c r="T17" s="6"/>
      <c r="U17" s="6"/>
      <c r="V17" s="6"/>
      <c r="W17" s="20"/>
    </row>
    <row r="18" spans="1:23" x14ac:dyDescent="0.3">
      <c r="A18" t="s">
        <v>9</v>
      </c>
      <c r="D18" s="20">
        <f>D9*Calculations!D19</f>
        <v>850000</v>
      </c>
      <c r="E18" s="6">
        <f>E9*Calculations!E19</f>
        <v>2728500</v>
      </c>
      <c r="F18" s="20">
        <f>F9*Calculations!F19</f>
        <v>5838990</v>
      </c>
      <c r="G18" s="6">
        <f>G9*Calculations!G19</f>
        <v>9892222.2249999996</v>
      </c>
      <c r="H18" s="20">
        <f>H9*Calculations!H19</f>
        <v>15041384.214749999</v>
      </c>
      <c r="I18" s="6">
        <f>I9*Calculations!I19</f>
        <v>21220607.685490999</v>
      </c>
      <c r="J18" s="6">
        <f>J9*Calculations!J19</f>
        <v>24045452.0625006</v>
      </c>
      <c r="K18" s="6">
        <f>K9*Calculations!K19</f>
        <v>27230039.387382973</v>
      </c>
      <c r="L18" s="6">
        <f>L9*Calculations!L19</f>
        <v>30815669.135285486</v>
      </c>
      <c r="M18" s="20">
        <f>M9*Calculations!M19</f>
        <v>34847994.371424027</v>
      </c>
      <c r="N18" s="6">
        <f>N9*Calculations!N19</f>
        <v>39377452.29454387</v>
      </c>
      <c r="O18" s="6">
        <f>O9*Calculations!O19</f>
        <v>44459735.36245326</v>
      </c>
      <c r="P18" s="6">
        <f>P9*Calculations!P19</f>
        <v>50156306.686157539</v>
      </c>
      <c r="Q18" s="6">
        <f>Q9*Calculations!Q19</f>
        <v>56534963.704412386</v>
      </c>
      <c r="R18" s="6">
        <f>R9*Calculations!R19</f>
        <v>63670454.503844291</v>
      </c>
      <c r="S18" s="6">
        <f>S9*Calculations!S19</f>
        <v>71645151.533525437</v>
      </c>
      <c r="T18" s="6">
        <f>T9*Calculations!T19</f>
        <v>80549787.879607156</v>
      </c>
      <c r="U18" s="6">
        <f>U9*Calculations!U19</f>
        <v>90484261.718092024</v>
      </c>
      <c r="V18" s="6">
        <f>V9*Calculations!V19</f>
        <v>101558515.05507334</v>
      </c>
      <c r="W18" s="20">
        <f>W9*Calculations!W19</f>
        <v>113893493.39705233</v>
      </c>
    </row>
    <row r="19" spans="1:23" x14ac:dyDescent="0.3">
      <c r="A19" t="s">
        <v>41</v>
      </c>
      <c r="D19" s="20">
        <f>D9*Calculations!D20</f>
        <v>120000</v>
      </c>
      <c r="E19" s="6">
        <f>E9*Calculations!E20</f>
        <v>385200</v>
      </c>
      <c r="F19" s="20">
        <f>F9*Calculations!F20</f>
        <v>824328.00000000012</v>
      </c>
      <c r="G19" s="6">
        <f>G9*Calculations!G20</f>
        <v>1396549.0200000003</v>
      </c>
      <c r="H19" s="20">
        <f>H9*Calculations!H20</f>
        <v>2123489.5362000004</v>
      </c>
      <c r="I19" s="6">
        <f>I9*Calculations!I20</f>
        <v>2995850.4967752006</v>
      </c>
      <c r="J19" s="6">
        <f>J9*Calculations!J20</f>
        <v>3394652.0558824386</v>
      </c>
      <c r="K19" s="6">
        <f>K9*Calculations!K20</f>
        <v>3844240.854689362</v>
      </c>
      <c r="L19" s="6">
        <f>L9*Calculations!L20</f>
        <v>4350447.4073344218</v>
      </c>
      <c r="M19" s="20">
        <f>M9*Calculations!M20</f>
        <v>4919716.8524363339</v>
      </c>
      <c r="N19" s="6">
        <f>N9*Calculations!N20</f>
        <v>5559169.7357003121</v>
      </c>
      <c r="O19" s="6">
        <f>O9*Calculations!O20</f>
        <v>6276668.5217581084</v>
      </c>
      <c r="P19" s="6">
        <f>P9*Calculations!P20</f>
        <v>7080890.3556928299</v>
      </c>
      <c r="Q19" s="6">
        <f>Q9*Calculations!Q20</f>
        <v>7981406.6406229259</v>
      </c>
      <c r="R19" s="6">
        <f>R9*Calculations!R20</f>
        <v>8988770.047601549</v>
      </c>
      <c r="S19" s="6">
        <f>S9*Calculations!S20</f>
        <v>10114609.628262417</v>
      </c>
      <c r="T19" s="6">
        <f>T9*Calculations!T20</f>
        <v>11371734.759473953</v>
      </c>
      <c r="U19" s="6">
        <f>U9*Calculations!U20</f>
        <v>12774248.713142408</v>
      </c>
      <c r="V19" s="6">
        <f>V9*Calculations!V20</f>
        <v>14337672.713657418</v>
      </c>
      <c r="W19" s="20">
        <f>W9*Calculations!W20</f>
        <v>16079081.420760335</v>
      </c>
    </row>
    <row r="20" spans="1:23" x14ac:dyDescent="0.3">
      <c r="A20" t="s">
        <v>37</v>
      </c>
      <c r="D20" s="20">
        <f>Calculations!D24*D6+Calculations!D25*D7</f>
        <v>480000</v>
      </c>
      <c r="E20" s="6">
        <f>Calculations!E24*E6+Calculations!E25*E7</f>
        <v>963000</v>
      </c>
      <c r="F20" s="20">
        <f>Calculations!F24*F6+Calculations!F25*F7</f>
        <v>1488370</v>
      </c>
      <c r="G20" s="6">
        <f>Calculations!G24*G6+Calculations!G25*G7</f>
        <v>1837564.5000000002</v>
      </c>
      <c r="H20" s="20">
        <f>Calculations!H24*H6+Calculations!H25*H7</f>
        <v>2228353.2170000002</v>
      </c>
      <c r="I20" s="6">
        <f>Calculations!I24*I6+Calculations!I25*I7</f>
        <v>2552644.1498739999</v>
      </c>
      <c r="J20" s="6">
        <f>Calculations!J24*J6+Calculations!J25*J7</f>
        <v>787883.43472072505</v>
      </c>
      <c r="K20" s="6">
        <f>Calculations!K24*K6+Calculations!K25*K7</f>
        <v>883179.81206313649</v>
      </c>
      <c r="L20" s="6">
        <f>Calculations!L24*L6+Calculations!L25*L7</f>
        <v>987957.05340335413</v>
      </c>
      <c r="M20" s="20">
        <f>Calculations!M24*M6+Calculations!M25*M7</f>
        <v>1103075.5274520929</v>
      </c>
      <c r="N20" s="6">
        <f>Calculations!N24*N6+Calculations!N25*N7</f>
        <v>1229469.5983059786</v>
      </c>
      <c r="O20" s="6">
        <f>Calculations!O24*O6+Calculations!O25*O7</f>
        <v>1368153.7689948927</v>
      </c>
      <c r="P20" s="6">
        <f>Calculations!P24*P6+Calculations!P25*P7</f>
        <v>1520229.3225485559</v>
      </c>
      <c r="Q20" s="6">
        <f>Calculations!Q24*Q6+Calculations!Q25*Q7</f>
        <v>1686891.5001316569</v>
      </c>
      <c r="R20" s="6">
        <f>Calculations!R24*R6+Calculations!R25*R7</f>
        <v>1869437.2588959041</v>
      </c>
      <c r="S20" s="6">
        <f>Calculations!S24*S6+Calculations!S25*S7</f>
        <v>2069273.6555365007</v>
      </c>
      <c r="T20" s="6">
        <f>Calculations!T24*T6+Calculations!T25*T7</f>
        <v>2287926.9051381913</v>
      </c>
      <c r="U20" s="6">
        <f>Calculations!U24*U6+Calculations!U25*U7</f>
        <v>2527052.1687719892</v>
      </c>
      <c r="V20" s="6">
        <f>Calculations!V24*V6+Calculations!V25*V7</f>
        <v>2788444.1274793418</v>
      </c>
      <c r="W20" s="20">
        <f>Calculations!W24*W6+Calculations!W25*W7</f>
        <v>3074048.4047787404</v>
      </c>
    </row>
    <row r="21" spans="1:23" x14ac:dyDescent="0.3">
      <c r="A21" t="s">
        <v>68</v>
      </c>
      <c r="D21" s="20">
        <f t="shared" ref="D21:I21" si="21">D7*3350*2</f>
        <v>134000</v>
      </c>
      <c r="E21" s="6">
        <f t="shared" si="21"/>
        <v>670000</v>
      </c>
      <c r="F21" s="20">
        <f t="shared" si="21"/>
        <v>1340000</v>
      </c>
      <c r="G21" s="6">
        <f t="shared" si="21"/>
        <v>1675000</v>
      </c>
      <c r="H21" s="20">
        <f t="shared" si="21"/>
        <v>2010000</v>
      </c>
      <c r="I21" s="6">
        <f t="shared" si="21"/>
        <v>2211000</v>
      </c>
      <c r="J21" s="6"/>
      <c r="K21" s="6"/>
      <c r="L21" s="6"/>
      <c r="M21" s="20"/>
      <c r="N21" s="6"/>
      <c r="O21" s="6"/>
      <c r="P21" s="6"/>
      <c r="Q21" s="6"/>
      <c r="R21" s="6"/>
      <c r="S21" s="6"/>
      <c r="T21" s="6"/>
      <c r="U21" s="6"/>
      <c r="V21" s="6"/>
      <c r="W21" s="20"/>
    </row>
    <row r="22" spans="1:23" x14ac:dyDescent="0.3">
      <c r="A22" t="s">
        <v>2</v>
      </c>
      <c r="D22" s="20">
        <f>D9*Calculations!D27</f>
        <v>1500000</v>
      </c>
      <c r="E22" s="6">
        <f>E9*Calculations!E27</f>
        <v>4815000</v>
      </c>
      <c r="F22" s="20">
        <f>F9*Calculations!F27</f>
        <v>10304100</v>
      </c>
      <c r="G22" s="6">
        <f>G9*Calculations!G27</f>
        <v>17456862.75</v>
      </c>
      <c r="H22" s="20">
        <f>H9*Calculations!H27</f>
        <v>26543619.202500004</v>
      </c>
      <c r="I22" s="6">
        <f>I9*Calculations!I27</f>
        <v>37448131.209690005</v>
      </c>
      <c r="J22" s="6">
        <f>J9*Calculations!J27</f>
        <v>42433150.69853048</v>
      </c>
      <c r="K22" s="6">
        <f>K9*Calculations!K27</f>
        <v>48053010.683617026</v>
      </c>
      <c r="L22" s="6">
        <f>L9*Calculations!L27</f>
        <v>54380592.591680281</v>
      </c>
      <c r="M22" s="20">
        <f>M9*Calculations!M27</f>
        <v>61496460.655454181</v>
      </c>
      <c r="N22" s="6">
        <f>N9*Calculations!N27</f>
        <v>61696393.094804876</v>
      </c>
      <c r="O22" s="6">
        <f>O9*Calculations!O27</f>
        <v>61847031.846522555</v>
      </c>
      <c r="P22" s="6">
        <f>P9*Calculations!P27</f>
        <v>61946584.412875101</v>
      </c>
      <c r="Q22" s="6">
        <f>Q9*Calculations!Q27</f>
        <v>61993871.881892569</v>
      </c>
      <c r="R22" s="6">
        <f>R9*Calculations!R27</f>
        <v>61988256.494946748</v>
      </c>
      <c r="S22" s="6">
        <f>S9*Calculations!S27</f>
        <v>61929575.701362893</v>
      </c>
      <c r="T22" s="6">
        <f>T9*Calculations!T27</f>
        <v>61818082.193553567</v>
      </c>
      <c r="U22" s="6">
        <f>U9*Calculations!U27</f>
        <v>61654389.452542596</v>
      </c>
      <c r="V22" s="6">
        <f>V9*Calculations!V27</f>
        <v>61439422.367656142</v>
      </c>
      <c r="W22" s="20">
        <f>W9*Calculations!W27</f>
        <v>61174372.525758892</v>
      </c>
    </row>
    <row r="23" spans="1:23" x14ac:dyDescent="0.3">
      <c r="A23" t="s">
        <v>40</v>
      </c>
      <c r="D23" s="20">
        <v>200000</v>
      </c>
      <c r="E23" s="6">
        <f>D23+D23*0.07</f>
        <v>214000</v>
      </c>
      <c r="F23" s="20">
        <f t="shared" ref="F23:W23" si="22">E23+E23*0.07</f>
        <v>228980</v>
      </c>
      <c r="G23" s="6">
        <f t="shared" si="22"/>
        <v>245008.6</v>
      </c>
      <c r="H23" s="20">
        <f t="shared" si="22"/>
        <v>262159.20199999999</v>
      </c>
      <c r="I23" s="6">
        <f t="shared" si="22"/>
        <v>280510.34613999998</v>
      </c>
      <c r="J23" s="6">
        <f t="shared" si="22"/>
        <v>300146.07036979997</v>
      </c>
      <c r="K23" s="6">
        <f t="shared" si="22"/>
        <v>321156.295295686</v>
      </c>
      <c r="L23" s="6">
        <f t="shared" si="22"/>
        <v>343637.235966384</v>
      </c>
      <c r="M23" s="20">
        <f t="shared" si="22"/>
        <v>367691.84248403087</v>
      </c>
      <c r="N23" s="6">
        <f t="shared" si="22"/>
        <v>393430.27145791304</v>
      </c>
      <c r="O23" s="6">
        <f t="shared" si="22"/>
        <v>420970.39045996696</v>
      </c>
      <c r="P23" s="6">
        <f t="shared" si="22"/>
        <v>450438.31779216463</v>
      </c>
      <c r="Q23" s="6">
        <f t="shared" si="22"/>
        <v>481969.00003761618</v>
      </c>
      <c r="R23" s="6">
        <f t="shared" si="22"/>
        <v>515706.83004024933</v>
      </c>
      <c r="S23" s="6">
        <f t="shared" si="22"/>
        <v>551806.30814306682</v>
      </c>
      <c r="T23" s="6">
        <f t="shared" si="22"/>
        <v>590432.74971308152</v>
      </c>
      <c r="U23" s="6">
        <f t="shared" si="22"/>
        <v>631763.04219299718</v>
      </c>
      <c r="V23" s="6">
        <f t="shared" si="22"/>
        <v>675986.45514650701</v>
      </c>
      <c r="W23" s="20">
        <f t="shared" si="22"/>
        <v>723305.50700676255</v>
      </c>
    </row>
    <row r="24" spans="1:23" x14ac:dyDescent="0.3">
      <c r="A24" t="s">
        <v>78</v>
      </c>
      <c r="D24" s="20">
        <f>D9*Calculations!D31</f>
        <v>35000</v>
      </c>
      <c r="E24" s="6">
        <f>E9*Calculations!E31</f>
        <v>112350</v>
      </c>
      <c r="F24" s="20">
        <f>F9*Calculations!F31</f>
        <v>240429.00000000003</v>
      </c>
      <c r="G24" s="6">
        <f>G9*Calculations!G31</f>
        <v>407326.79750000004</v>
      </c>
      <c r="H24" s="20">
        <f>H9*Calculations!H31</f>
        <v>619351.11472499999</v>
      </c>
      <c r="I24" s="6">
        <f>I9*Calculations!I31</f>
        <v>873789.72822609998</v>
      </c>
      <c r="J24" s="6">
        <f>J9*Calculations!J31</f>
        <v>990106.84963237774</v>
      </c>
      <c r="K24" s="6">
        <f>K9*Calculations!K31</f>
        <v>1121236.9159510636</v>
      </c>
      <c r="L24" s="6">
        <f>L9*Calculations!L31</f>
        <v>1268880.493805873</v>
      </c>
      <c r="M24" s="20">
        <f>M9*Calculations!M31</f>
        <v>1434917.4152939303</v>
      </c>
      <c r="N24" s="6">
        <f>N9*Calculations!N31</f>
        <v>1621424.5062459242</v>
      </c>
      <c r="O24" s="6">
        <f>O9*Calculations!O31</f>
        <v>1830694.9855127814</v>
      </c>
      <c r="P24" s="6">
        <f>P9*Calculations!P31</f>
        <v>2065259.687077075</v>
      </c>
      <c r="Q24" s="6">
        <f>Q9*Calculations!Q31</f>
        <v>2327910.2701816862</v>
      </c>
      <c r="R24" s="6">
        <f>R9*Calculations!R31</f>
        <v>2621724.5972171174</v>
      </c>
      <c r="S24" s="6">
        <f>S9*Calculations!S31</f>
        <v>2950094.4749098704</v>
      </c>
      <c r="T24" s="6">
        <f>T9*Calculations!T31</f>
        <v>3316755.9715132345</v>
      </c>
      <c r="U24" s="6">
        <f>U9*Calculations!U31</f>
        <v>3725822.5413332004</v>
      </c>
      <c r="V24" s="6">
        <f>V9*Calculations!V31</f>
        <v>4181821.2081500785</v>
      </c>
      <c r="W24" s="20">
        <f>W9*Calculations!W31</f>
        <v>4689732.0810550954</v>
      </c>
    </row>
    <row r="25" spans="1:23" x14ac:dyDescent="0.3">
      <c r="A25" t="s">
        <v>45</v>
      </c>
      <c r="D25" s="20">
        <f>Calculations!D29*Calculations!D5*12</f>
        <v>1440000</v>
      </c>
      <c r="E25" s="6">
        <f>Calculations!E29*Calculations!E5*12</f>
        <v>2574000</v>
      </c>
      <c r="F25" s="20">
        <f>Calculations!F29*Calculations!F5*12</f>
        <v>5009400</v>
      </c>
      <c r="G25" s="6">
        <f>Calculations!G29*Calculations!G5*12</f>
        <v>7906140</v>
      </c>
      <c r="H25" s="20">
        <f>Calculations!H29*Calculations!H5*12</f>
        <v>11332134</v>
      </c>
      <c r="I25" s="6">
        <f>Calculations!I29*Calculations!I5*12</f>
        <v>15364265.400000002</v>
      </c>
      <c r="J25" s="6">
        <f>Calculations!J29*Calculations!J5*12</f>
        <v>20089501.740000002</v>
      </c>
      <c r="K25" s="6">
        <f>Calculations!K29*Calculations!K5*12</f>
        <v>25606142.694000006</v>
      </c>
      <c r="L25" s="6">
        <f>Calculations!L29*Calculations!L5*12</f>
        <v>30095986.892400011</v>
      </c>
      <c r="M25" s="20">
        <f>Calculations!M29*Calculations!M5*12</f>
        <v>35227738.503540009</v>
      </c>
      <c r="N25" s="6">
        <f>Calculations!N29*Calculations!N5*12</f>
        <v>41084880.567984015</v>
      </c>
      <c r="O25" s="6">
        <f>Calculations!O29*Calculations!O5*12</f>
        <v>47761173.66028142</v>
      </c>
      <c r="P25" s="6">
        <f>Calculations!P29*Calculations!P5*12</f>
        <v>55361876.56535846</v>
      </c>
      <c r="Q25" s="6">
        <f>Calculations!Q29*Calculations!Q5*12</f>
        <v>64005108.314848095</v>
      </c>
      <c r="R25" s="6">
        <f>Calculations!R29*Calculations!R5*12</f>
        <v>73823367.648582071</v>
      </c>
      <c r="S25" s="6">
        <f>Calculations!S29*Calculations!S5*12</f>
        <v>84965227.765914381</v>
      </c>
      <c r="T25" s="6">
        <f>Calculations!T29*Calculations!T5*12</f>
        <v>97597226.230227321</v>
      </c>
      <c r="U25" s="6">
        <f>Calculations!U29*Calculations!U5*12</f>
        <v>111905972.10974368</v>
      </c>
      <c r="V25" s="6">
        <f>Calculations!V29*Calculations!V5*12</f>
        <v>128100494.90286107</v>
      </c>
      <c r="W25" s="20">
        <f>Calculations!W29*Calculations!W5*12</f>
        <v>146414862.53350449</v>
      </c>
    </row>
    <row r="26" spans="1:23" x14ac:dyDescent="0.3">
      <c r="A26" t="s">
        <v>42</v>
      </c>
      <c r="D26" s="20">
        <f>D9*Calculations!D30</f>
        <v>500000</v>
      </c>
      <c r="E26" s="6">
        <f>E9*Calculations!E30</f>
        <v>1605000</v>
      </c>
      <c r="F26" s="20">
        <f>F9*Calculations!F30</f>
        <v>3434700</v>
      </c>
      <c r="G26" s="6">
        <f>G9*Calculations!G30</f>
        <v>5818954.25</v>
      </c>
      <c r="H26" s="20">
        <f>H9*Calculations!H30</f>
        <v>8847873.0675000008</v>
      </c>
      <c r="I26" s="6">
        <f>I9*Calculations!I30</f>
        <v>12482710.40323</v>
      </c>
      <c r="J26" s="6">
        <f>J9*Calculations!J30</f>
        <v>14144383.566176824</v>
      </c>
      <c r="K26" s="6">
        <f>K9*Calculations!K30</f>
        <v>16017670.227872338</v>
      </c>
      <c r="L26" s="6">
        <f>L9*Calculations!L30</f>
        <v>18126864.197226759</v>
      </c>
      <c r="M26" s="20">
        <f>M9*Calculations!M30</f>
        <v>20498820.218484726</v>
      </c>
      <c r="N26" s="6">
        <f>N9*Calculations!N30</f>
        <v>23163207.232084636</v>
      </c>
      <c r="O26" s="6">
        <f>O9*Calculations!O30</f>
        <v>26152785.507325452</v>
      </c>
      <c r="P26" s="6">
        <f>P9*Calculations!P30</f>
        <v>29503709.815386791</v>
      </c>
      <c r="Q26" s="6">
        <f>Q9*Calculations!Q30</f>
        <v>33255861.002595522</v>
      </c>
      <c r="R26" s="6">
        <f>R9*Calculations!R30</f>
        <v>37453208.531673111</v>
      </c>
      <c r="S26" s="6">
        <f>S9*Calculations!S30</f>
        <v>42144206.784426734</v>
      </c>
      <c r="T26" s="6">
        <f>T9*Calculations!T30</f>
        <v>47382228.164474793</v>
      </c>
      <c r="U26" s="6">
        <f>U9*Calculations!U30</f>
        <v>53226036.304760024</v>
      </c>
      <c r="V26" s="6">
        <f>V9*Calculations!V30</f>
        <v>59740302.97357256</v>
      </c>
      <c r="W26" s="20">
        <f>W9*Calculations!W30</f>
        <v>66996172.586501375</v>
      </c>
    </row>
    <row r="27" spans="1:23" x14ac:dyDescent="0.3">
      <c r="A27" t="s">
        <v>83</v>
      </c>
      <c r="D27" s="20">
        <f>D47*3.5%</f>
        <v>70000</v>
      </c>
      <c r="E27" s="6">
        <f t="shared" ref="E27:W27" si="23">E47*3.5%</f>
        <v>210000.00000000003</v>
      </c>
      <c r="F27" s="20">
        <f t="shared" si="23"/>
        <v>420000.00000000006</v>
      </c>
      <c r="G27" s="6">
        <f t="shared" si="23"/>
        <v>665000.00000000012</v>
      </c>
      <c r="H27" s="20">
        <f t="shared" si="23"/>
        <v>945000.00000000012</v>
      </c>
      <c r="I27" s="6">
        <f t="shared" si="23"/>
        <v>1246000.0000000002</v>
      </c>
      <c r="J27" s="6">
        <f t="shared" si="23"/>
        <v>1319500.0000000002</v>
      </c>
      <c r="K27" s="6">
        <f t="shared" si="23"/>
        <v>1396500.0000000002</v>
      </c>
      <c r="L27" s="6">
        <f t="shared" si="23"/>
        <v>1477000.0000000002</v>
      </c>
      <c r="M27" s="20">
        <f t="shared" si="23"/>
        <v>1561000.0000000002</v>
      </c>
      <c r="N27" s="6">
        <f t="shared" si="23"/>
        <v>1648500.0000000002</v>
      </c>
      <c r="O27" s="6">
        <f t="shared" si="23"/>
        <v>1739500.0000000002</v>
      </c>
      <c r="P27" s="6">
        <f t="shared" si="23"/>
        <v>1834000.0000000002</v>
      </c>
      <c r="Q27" s="6">
        <f t="shared" si="23"/>
        <v>1932000.0000000002</v>
      </c>
      <c r="R27" s="6">
        <f t="shared" si="23"/>
        <v>2033500.0000000002</v>
      </c>
      <c r="S27" s="6">
        <f t="shared" si="23"/>
        <v>2138500</v>
      </c>
      <c r="T27" s="6">
        <f t="shared" si="23"/>
        <v>2247000</v>
      </c>
      <c r="U27" s="6">
        <f t="shared" si="23"/>
        <v>2359000</v>
      </c>
      <c r="V27" s="6">
        <f t="shared" si="23"/>
        <v>2474500.0000000005</v>
      </c>
      <c r="W27" s="20">
        <f t="shared" si="23"/>
        <v>2593500.0000000005</v>
      </c>
    </row>
    <row r="28" spans="1:23" x14ac:dyDescent="0.3">
      <c r="A28" t="s">
        <v>25</v>
      </c>
      <c r="D28" s="20">
        <v>5000000</v>
      </c>
      <c r="E28" s="6">
        <v>10000000</v>
      </c>
      <c r="F28" s="20">
        <v>10000000</v>
      </c>
      <c r="G28" s="6">
        <v>0</v>
      </c>
      <c r="H28" s="20">
        <v>0</v>
      </c>
      <c r="I28" s="6">
        <v>0</v>
      </c>
      <c r="J28" s="6">
        <v>0</v>
      </c>
      <c r="K28" s="6">
        <v>0</v>
      </c>
      <c r="L28" s="6">
        <v>0</v>
      </c>
      <c r="M28" s="20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20">
        <v>0</v>
      </c>
    </row>
    <row r="29" spans="1:23" x14ac:dyDescent="0.3">
      <c r="A29" s="14" t="s">
        <v>3</v>
      </c>
      <c r="D29" s="20"/>
      <c r="E29" s="6"/>
      <c r="F29" s="20"/>
      <c r="G29" s="6"/>
      <c r="H29" s="20"/>
      <c r="I29" s="6"/>
      <c r="J29" s="6"/>
      <c r="K29" s="6"/>
      <c r="L29" s="6"/>
      <c r="M29" s="20"/>
      <c r="N29" s="6"/>
      <c r="O29" s="6"/>
      <c r="P29" s="6"/>
      <c r="Q29" s="6"/>
      <c r="R29" s="6"/>
      <c r="S29" s="6"/>
      <c r="T29" s="6"/>
      <c r="U29" s="6"/>
      <c r="V29" s="6"/>
      <c r="W29" s="20"/>
    </row>
    <row r="30" spans="1:23" x14ac:dyDescent="0.3">
      <c r="A30" t="s">
        <v>46</v>
      </c>
      <c r="D30" s="20">
        <f>D45*0.2</f>
        <v>102000</v>
      </c>
      <c r="E30" s="6">
        <f>(D46+E45)*0.2</f>
        <v>242100</v>
      </c>
      <c r="F30" s="20">
        <f t="shared" ref="F30:W30" si="24">(E46+F45)*0.2</f>
        <v>399762</v>
      </c>
      <c r="G30" s="6">
        <f t="shared" si="24"/>
        <v>558692.98499999999</v>
      </c>
      <c r="H30" s="20">
        <f t="shared" si="24"/>
        <v>722221.55010000011</v>
      </c>
      <c r="I30" s="6">
        <f t="shared" si="24"/>
        <v>884936.06910330011</v>
      </c>
      <c r="J30" s="6">
        <f t="shared" si="24"/>
        <v>897040.87961561407</v>
      </c>
      <c r="K30" s="6">
        <f t="shared" si="24"/>
        <v>929595.85858764395</v>
      </c>
      <c r="L30" s="6">
        <f t="shared" si="24"/>
        <v>980786.37968691997</v>
      </c>
      <c r="M30" s="20">
        <f t="shared" si="24"/>
        <v>1049367.2303380384</v>
      </c>
      <c r="N30" s="6">
        <f t="shared" si="24"/>
        <v>1134566.4878638654</v>
      </c>
      <c r="O30" s="6">
        <f t="shared" si="24"/>
        <v>1236010.0948498666</v>
      </c>
      <c r="P30" s="6">
        <f t="shared" si="24"/>
        <v>1353663.1132915467</v>
      </c>
      <c r="Q30" s="6">
        <f t="shared" si="24"/>
        <v>1487784.4506648351</v>
      </c>
      <c r="R30" s="6">
        <f t="shared" si="24"/>
        <v>1638892.502666885</v>
      </c>
      <c r="S30" s="6">
        <f t="shared" si="24"/>
        <v>1807739.6794622683</v>
      </c>
      <c r="T30" s="6">
        <f t="shared" si="24"/>
        <v>1995294.2008029805</v>
      </c>
      <c r="U30" s="6">
        <f t="shared" si="24"/>
        <v>2202727.8811476617</v>
      </c>
      <c r="V30" s="6">
        <f t="shared" si="24"/>
        <v>2431408.8955131713</v>
      </c>
      <c r="W30" s="20">
        <f t="shared" si="24"/>
        <v>2682898.7335574352</v>
      </c>
    </row>
    <row r="31" spans="1:23" x14ac:dyDescent="0.3">
      <c r="A31" t="s">
        <v>35</v>
      </c>
      <c r="D31" s="20">
        <f>D43*0.2</f>
        <v>560000</v>
      </c>
      <c r="E31" s="6">
        <f>(D44*0.2)+(E43*0.2)</f>
        <v>1568000</v>
      </c>
      <c r="F31" s="20">
        <f t="shared" ref="F31:W31" si="25">(E44*0.2)+(F43*0.2)</f>
        <v>2934400</v>
      </c>
      <c r="G31" s="6">
        <f t="shared" si="25"/>
        <v>4307520</v>
      </c>
      <c r="H31" s="20">
        <f t="shared" si="25"/>
        <v>5686016</v>
      </c>
      <c r="I31" s="6">
        <f t="shared" si="25"/>
        <v>7077212.7999999998</v>
      </c>
      <c r="J31" s="6">
        <f t="shared" si="25"/>
        <v>6279170.2400000002</v>
      </c>
      <c r="K31" s="6">
        <f t="shared" si="25"/>
        <v>5670136.1920000007</v>
      </c>
      <c r="L31" s="6">
        <f t="shared" si="25"/>
        <v>5212308.9535999997</v>
      </c>
      <c r="M31" s="20">
        <f t="shared" si="25"/>
        <v>4875447.1628799997</v>
      </c>
      <c r="N31" s="6">
        <f t="shared" si="25"/>
        <v>4672107.730304</v>
      </c>
      <c r="O31" s="6">
        <f t="shared" si="25"/>
        <v>4540306.1842432003</v>
      </c>
      <c r="P31" s="6">
        <f t="shared" si="25"/>
        <v>4465734.947394561</v>
      </c>
      <c r="Q31" s="6">
        <f t="shared" si="25"/>
        <v>4436947.9579156488</v>
      </c>
      <c r="R31" s="6">
        <f t="shared" si="25"/>
        <v>4444788.3663325179</v>
      </c>
      <c r="S31" s="6">
        <f t="shared" si="25"/>
        <v>4528235.693066014</v>
      </c>
      <c r="T31" s="6">
        <f t="shared" si="25"/>
        <v>4627407.0544528114</v>
      </c>
      <c r="U31" s="6">
        <f t="shared" si="25"/>
        <v>4739157.6435622498</v>
      </c>
      <c r="V31" s="6">
        <f t="shared" si="25"/>
        <v>4860971.6148497993</v>
      </c>
      <c r="W31" s="20">
        <f t="shared" si="25"/>
        <v>4990836.2918798402</v>
      </c>
    </row>
    <row r="32" spans="1:23" x14ac:dyDescent="0.3">
      <c r="D32" s="20"/>
      <c r="E32" s="6"/>
      <c r="F32" s="20"/>
      <c r="G32" s="6"/>
      <c r="H32" s="20"/>
      <c r="I32" s="6"/>
      <c r="J32" s="6"/>
      <c r="K32" s="6"/>
      <c r="L32" s="6"/>
      <c r="M32" s="20"/>
      <c r="N32" s="6"/>
      <c r="O32" s="6"/>
      <c r="P32" s="6"/>
      <c r="Q32" s="6"/>
      <c r="R32" s="6"/>
      <c r="S32" s="6"/>
      <c r="T32" s="6"/>
      <c r="U32" s="6"/>
      <c r="V32" s="6"/>
      <c r="W32" s="20"/>
    </row>
    <row r="33" spans="1:23" x14ac:dyDescent="0.3">
      <c r="D33" s="20"/>
      <c r="E33" s="6"/>
      <c r="F33" s="20"/>
      <c r="G33" s="6"/>
      <c r="H33" s="20"/>
      <c r="I33" s="6"/>
      <c r="J33" s="6"/>
      <c r="K33" s="6"/>
      <c r="L33" s="6"/>
      <c r="M33" s="20"/>
      <c r="N33" s="6"/>
      <c r="O33" s="6"/>
      <c r="P33" s="6"/>
      <c r="Q33" s="6"/>
      <c r="R33" s="6"/>
      <c r="S33" s="6"/>
      <c r="T33" s="6"/>
      <c r="U33" s="6"/>
      <c r="V33" s="6"/>
      <c r="W33" s="20"/>
    </row>
    <row r="34" spans="1:23" x14ac:dyDescent="0.3">
      <c r="A34" s="11" t="s">
        <v>4</v>
      </c>
      <c r="D34" s="20">
        <f t="shared" ref="D34:W34" si="26">SUM(D30:D31)</f>
        <v>662000</v>
      </c>
      <c r="E34" s="6">
        <f t="shared" si="26"/>
        <v>1810100</v>
      </c>
      <c r="F34" s="20">
        <f t="shared" si="26"/>
        <v>3334162</v>
      </c>
      <c r="G34" s="6">
        <f t="shared" si="26"/>
        <v>4866212.9850000003</v>
      </c>
      <c r="H34" s="20">
        <f t="shared" si="26"/>
        <v>6408237.5501000006</v>
      </c>
      <c r="I34" s="6">
        <f t="shared" si="26"/>
        <v>7962148.8691032995</v>
      </c>
      <c r="J34" s="6">
        <f t="shared" si="26"/>
        <v>7176211.1196156144</v>
      </c>
      <c r="K34" s="6">
        <f t="shared" si="26"/>
        <v>6599732.0505876448</v>
      </c>
      <c r="L34" s="6">
        <f t="shared" si="26"/>
        <v>6193095.3332869196</v>
      </c>
      <c r="M34" s="20">
        <f t="shared" si="26"/>
        <v>5924814.3932180386</v>
      </c>
      <c r="N34" s="6">
        <f t="shared" si="26"/>
        <v>5806674.2181678656</v>
      </c>
      <c r="O34" s="6">
        <f t="shared" si="26"/>
        <v>5776316.2790930672</v>
      </c>
      <c r="P34" s="6">
        <f t="shared" si="26"/>
        <v>5819398.0606861077</v>
      </c>
      <c r="Q34" s="6">
        <f t="shared" si="26"/>
        <v>5924732.4085804839</v>
      </c>
      <c r="R34" s="6">
        <f t="shared" si="26"/>
        <v>6083680.868999403</v>
      </c>
      <c r="S34" s="6">
        <f t="shared" si="26"/>
        <v>6335975.372528282</v>
      </c>
      <c r="T34" s="6">
        <f t="shared" si="26"/>
        <v>6622701.2552557923</v>
      </c>
      <c r="U34" s="6">
        <f t="shared" si="26"/>
        <v>6941885.524709912</v>
      </c>
      <c r="V34" s="6">
        <f t="shared" si="26"/>
        <v>7292380.5103629706</v>
      </c>
      <c r="W34" s="20">
        <f t="shared" si="26"/>
        <v>7673735.0254372749</v>
      </c>
    </row>
    <row r="35" spans="1:23" x14ac:dyDescent="0.3">
      <c r="A35" s="11" t="s">
        <v>5</v>
      </c>
      <c r="D35" s="20">
        <f t="shared" ref="D35:W35" si="27">SUM(D18:D31)</f>
        <v>10991000</v>
      </c>
      <c r="E35" s="6">
        <f t="shared" si="27"/>
        <v>26087150</v>
      </c>
      <c r="F35" s="20">
        <f t="shared" si="27"/>
        <v>42463459</v>
      </c>
      <c r="G35" s="6">
        <f t="shared" si="27"/>
        <v>52166841.127499998</v>
      </c>
      <c r="H35" s="20">
        <f t="shared" si="27"/>
        <v>76361601.104774997</v>
      </c>
      <c r="I35" s="6">
        <f t="shared" si="27"/>
        <v>104637658.2885296</v>
      </c>
      <c r="J35" s="6">
        <f t="shared" si="27"/>
        <v>114680987.59742886</v>
      </c>
      <c r="K35" s="6">
        <f t="shared" si="27"/>
        <v>131072908.92145923</v>
      </c>
      <c r="L35" s="6">
        <f t="shared" si="27"/>
        <v>148040130.34038949</v>
      </c>
      <c r="M35" s="20">
        <f t="shared" si="27"/>
        <v>167382229.77978739</v>
      </c>
      <c r="N35" s="6">
        <f t="shared" si="27"/>
        <v>181580601.51929536</v>
      </c>
      <c r="O35" s="6">
        <f t="shared" si="27"/>
        <v>197633030.32240146</v>
      </c>
      <c r="P35" s="6">
        <f t="shared" si="27"/>
        <v>215738693.22357464</v>
      </c>
      <c r="Q35" s="6">
        <f t="shared" si="27"/>
        <v>236124714.72330296</v>
      </c>
      <c r="R35" s="6">
        <f t="shared" si="27"/>
        <v>259048106.78180045</v>
      </c>
      <c r="S35" s="6">
        <f t="shared" si="27"/>
        <v>284844421.22460955</v>
      </c>
      <c r="T35" s="6">
        <f t="shared" si="27"/>
        <v>313783876.10895717</v>
      </c>
      <c r="U35" s="6">
        <f t="shared" si="27"/>
        <v>346230431.57528883</v>
      </c>
      <c r="V35" s="6">
        <f t="shared" si="27"/>
        <v>382589540.31395948</v>
      </c>
      <c r="W35" s="20">
        <f t="shared" si="27"/>
        <v>423312303.48185533</v>
      </c>
    </row>
    <row r="36" spans="1:23" x14ac:dyDescent="0.3">
      <c r="A36" s="11" t="s">
        <v>13</v>
      </c>
      <c r="D36" s="20">
        <f t="shared" ref="D36:W36" si="28">D15</f>
        <v>11450000</v>
      </c>
      <c r="E36" s="6">
        <f t="shared" si="28"/>
        <v>29655000</v>
      </c>
      <c r="F36" s="20">
        <f t="shared" si="28"/>
        <v>53892450</v>
      </c>
      <c r="G36" s="6">
        <f t="shared" si="28"/>
        <v>77300425.375</v>
      </c>
      <c r="H36" s="20">
        <f t="shared" si="28"/>
        <v>107022569.89</v>
      </c>
      <c r="I36" s="6">
        <f t="shared" si="28"/>
        <v>132956122.79739125</v>
      </c>
      <c r="J36" s="6">
        <f t="shared" si="28"/>
        <v>109861216.01770668</v>
      </c>
      <c r="K36" s="6">
        <f t="shared" si="28"/>
        <v>137742648.98638481</v>
      </c>
      <c r="L36" s="6">
        <f t="shared" si="28"/>
        <v>165338139.21866235</v>
      </c>
      <c r="M36" s="20">
        <f t="shared" si="28"/>
        <v>195709817.90486595</v>
      </c>
      <c r="N36" s="6">
        <f t="shared" si="28"/>
        <v>229074265.46277949</v>
      </c>
      <c r="O36" s="6">
        <f t="shared" si="28"/>
        <v>265661929.28406918</v>
      </c>
      <c r="P36" s="6">
        <f t="shared" si="28"/>
        <v>305717895.71289933</v>
      </c>
      <c r="Q36" s="6">
        <f t="shared" si="28"/>
        <v>349502700.92229533</v>
      </c>
      <c r="R36" s="6">
        <f t="shared" si="28"/>
        <v>397293182.50950271</v>
      </c>
      <c r="S36" s="6">
        <f t="shared" si="28"/>
        <v>449383373.71223295</v>
      </c>
      <c r="T36" s="6">
        <f t="shared" si="28"/>
        <v>506085442.23174977</v>
      </c>
      <c r="U36" s="6">
        <f t="shared" si="28"/>
        <v>567730675.73636854</v>
      </c>
      <c r="V36" s="6">
        <f t="shared" si="28"/>
        <v>634670516.21026373</v>
      </c>
      <c r="W36" s="20">
        <f t="shared" si="28"/>
        <v>707277645.4076587</v>
      </c>
    </row>
    <row r="37" spans="1:23" x14ac:dyDescent="0.3">
      <c r="A37" s="11" t="s">
        <v>6</v>
      </c>
      <c r="D37" s="20">
        <f>D36-D35</f>
        <v>459000</v>
      </c>
      <c r="E37" s="6">
        <f t="shared" ref="E37:W37" si="29">E36-E35</f>
        <v>3567850</v>
      </c>
      <c r="F37" s="20">
        <f t="shared" si="29"/>
        <v>11428991</v>
      </c>
      <c r="G37" s="6">
        <f t="shared" si="29"/>
        <v>25133584.247500002</v>
      </c>
      <c r="H37" s="20">
        <f t="shared" si="29"/>
        <v>30660968.785225004</v>
      </c>
      <c r="I37" s="6">
        <f t="shared" si="29"/>
        <v>28318464.508861646</v>
      </c>
      <c r="J37" s="6">
        <f t="shared" si="29"/>
        <v>-4819771.579722181</v>
      </c>
      <c r="K37" s="6">
        <f t="shared" si="29"/>
        <v>6669740.0649255812</v>
      </c>
      <c r="L37" s="6">
        <f t="shared" si="29"/>
        <v>17298008.878272861</v>
      </c>
      <c r="M37" s="20">
        <f t="shared" si="29"/>
        <v>28327588.125078559</v>
      </c>
      <c r="N37" s="6">
        <f t="shared" si="29"/>
        <v>47493663.943484128</v>
      </c>
      <c r="O37" s="6">
        <f t="shared" si="29"/>
        <v>68028898.961667717</v>
      </c>
      <c r="P37" s="6">
        <f t="shared" si="29"/>
        <v>89979202.489324689</v>
      </c>
      <c r="Q37" s="6">
        <f t="shared" si="29"/>
        <v>113377986.19899237</v>
      </c>
      <c r="R37" s="6">
        <f t="shared" si="29"/>
        <v>138245075.72770226</v>
      </c>
      <c r="S37" s="6">
        <f t="shared" si="29"/>
        <v>164538952.48762339</v>
      </c>
      <c r="T37" s="6">
        <f t="shared" si="29"/>
        <v>192301566.1227926</v>
      </c>
      <c r="U37" s="6">
        <f t="shared" si="29"/>
        <v>221500244.1610797</v>
      </c>
      <c r="V37" s="6">
        <f t="shared" si="29"/>
        <v>252080975.89630425</v>
      </c>
      <c r="W37" s="20">
        <f t="shared" si="29"/>
        <v>283965341.92580336</v>
      </c>
    </row>
    <row r="38" spans="1:23" x14ac:dyDescent="0.3">
      <c r="A38" s="11" t="s">
        <v>14</v>
      </c>
      <c r="D38" s="20">
        <f>IF(D37&gt;0,D37*21.73%,0)</f>
        <v>99740.7</v>
      </c>
      <c r="E38" s="6">
        <f t="shared" ref="E38:W38" si="30">IF(E37&gt;0,E37*21.73%,0)</f>
        <v>775293.80499999993</v>
      </c>
      <c r="F38" s="20">
        <f t="shared" si="30"/>
        <v>2483519.7442999999</v>
      </c>
      <c r="G38" s="6">
        <f t="shared" si="30"/>
        <v>5461527.8569817506</v>
      </c>
      <c r="H38" s="20">
        <f t="shared" si="30"/>
        <v>6662628.5170293935</v>
      </c>
      <c r="I38" s="6">
        <f t="shared" si="30"/>
        <v>6153602.3377756355</v>
      </c>
      <c r="J38" s="6">
        <f t="shared" si="30"/>
        <v>0</v>
      </c>
      <c r="K38" s="6">
        <f t="shared" si="30"/>
        <v>1449334.5161083287</v>
      </c>
      <c r="L38" s="6">
        <f t="shared" si="30"/>
        <v>3758857.3292486928</v>
      </c>
      <c r="M38" s="20">
        <f t="shared" si="30"/>
        <v>6155584.8995795706</v>
      </c>
      <c r="N38" s="6">
        <f t="shared" si="30"/>
        <v>10320373.1749191</v>
      </c>
      <c r="O38" s="6">
        <f t="shared" si="30"/>
        <v>14782679.744370393</v>
      </c>
      <c r="P38" s="6">
        <f t="shared" si="30"/>
        <v>19552480.700930253</v>
      </c>
      <c r="Q38" s="6">
        <f t="shared" si="30"/>
        <v>24637036.401041042</v>
      </c>
      <c r="R38" s="6">
        <f t="shared" si="30"/>
        <v>30040654.955629699</v>
      </c>
      <c r="S38" s="6">
        <f t="shared" si="30"/>
        <v>35754314.375560559</v>
      </c>
      <c r="T38" s="6">
        <f t="shared" si="30"/>
        <v>41787130.318482831</v>
      </c>
      <c r="U38" s="6">
        <f t="shared" si="30"/>
        <v>48132003.05620262</v>
      </c>
      <c r="V38" s="6">
        <f t="shared" si="30"/>
        <v>54777196.062266909</v>
      </c>
      <c r="W38" s="20">
        <f t="shared" si="30"/>
        <v>61705668.800477073</v>
      </c>
    </row>
    <row r="39" spans="1:23" x14ac:dyDescent="0.3">
      <c r="A39" s="11" t="s">
        <v>7</v>
      </c>
      <c r="D39" s="20">
        <f>D37-D38</f>
        <v>359259.3</v>
      </c>
      <c r="E39" s="6">
        <f t="shared" ref="E39:W39" si="31">E37-E38</f>
        <v>2792556.1950000003</v>
      </c>
      <c r="F39" s="20">
        <f t="shared" si="31"/>
        <v>8945471.2556999996</v>
      </c>
      <c r="G39" s="6">
        <f t="shared" si="31"/>
        <v>19672056.390518252</v>
      </c>
      <c r="H39" s="20">
        <f t="shared" si="31"/>
        <v>23998340.26819561</v>
      </c>
      <c r="I39" s="6">
        <f t="shared" si="31"/>
        <v>22164862.17108601</v>
      </c>
      <c r="J39" s="6">
        <f t="shared" si="31"/>
        <v>-4819771.579722181</v>
      </c>
      <c r="K39" s="6">
        <f t="shared" si="31"/>
        <v>5220405.5488172527</v>
      </c>
      <c r="L39" s="6">
        <f t="shared" si="31"/>
        <v>13539151.549024168</v>
      </c>
      <c r="M39" s="20">
        <f t="shared" si="31"/>
        <v>22172003.225498989</v>
      </c>
      <c r="N39" s="6">
        <f t="shared" si="31"/>
        <v>37173290.768565029</v>
      </c>
      <c r="O39" s="6">
        <f t="shared" si="31"/>
        <v>53246219.217297323</v>
      </c>
      <c r="P39" s="6">
        <f t="shared" si="31"/>
        <v>70426721.788394436</v>
      </c>
      <c r="Q39" s="6">
        <f t="shared" si="31"/>
        <v>88740949.797951326</v>
      </c>
      <c r="R39" s="6">
        <f t="shared" si="31"/>
        <v>108204420.77207255</v>
      </c>
      <c r="S39" s="6">
        <f t="shared" si="31"/>
        <v>128784638.11206284</v>
      </c>
      <c r="T39" s="6">
        <f t="shared" si="31"/>
        <v>150514435.80430979</v>
      </c>
      <c r="U39" s="6">
        <f t="shared" si="31"/>
        <v>173368241.10487708</v>
      </c>
      <c r="V39" s="6">
        <f t="shared" si="31"/>
        <v>197303779.83403733</v>
      </c>
      <c r="W39" s="20">
        <f t="shared" si="31"/>
        <v>222259673.12532628</v>
      </c>
    </row>
    <row r="40" spans="1:23" x14ac:dyDescent="0.3">
      <c r="A40" s="11" t="s">
        <v>44</v>
      </c>
      <c r="D40" s="18">
        <f>(D39/D35)</f>
        <v>3.2686680010918026E-2</v>
      </c>
      <c r="E40" s="16">
        <f t="shared" ref="E40:W40" si="32">(E39/E35)</f>
        <v>0.10704719354164791</v>
      </c>
      <c r="F40" s="18">
        <f t="shared" si="32"/>
        <v>0.21066280200348256</v>
      </c>
      <c r="G40" s="16">
        <f t="shared" si="32"/>
        <v>0.37709886137130955</v>
      </c>
      <c r="H40" s="18">
        <f t="shared" si="32"/>
        <v>0.31427235575204515</v>
      </c>
      <c r="I40" s="16">
        <f t="shared" si="32"/>
        <v>0.21182490638282686</v>
      </c>
      <c r="J40" s="16">
        <f t="shared" si="32"/>
        <v>-4.2027642774069028E-2</v>
      </c>
      <c r="K40" s="16">
        <f t="shared" si="32"/>
        <v>3.9828257355189967E-2</v>
      </c>
      <c r="L40" s="16">
        <f t="shared" si="32"/>
        <v>9.1455955340579084E-2</v>
      </c>
      <c r="M40" s="18">
        <f t="shared" si="32"/>
        <v>0.13246330422691274</v>
      </c>
      <c r="N40" s="16">
        <f t="shared" si="32"/>
        <v>0.20472060593220839</v>
      </c>
      <c r="O40" s="16">
        <f t="shared" si="32"/>
        <v>0.26941963663885554</v>
      </c>
      <c r="P40" s="16">
        <f t="shared" si="32"/>
        <v>0.3264445553835339</v>
      </c>
      <c r="Q40" s="16">
        <f t="shared" si="32"/>
        <v>0.37582236955559806</v>
      </c>
      <c r="R40" s="16">
        <f t="shared" si="32"/>
        <v>0.41770010256517537</v>
      </c>
      <c r="S40" s="16">
        <f t="shared" si="32"/>
        <v>0.45212273267768077</v>
      </c>
      <c r="T40" s="16">
        <f t="shared" si="32"/>
        <v>0.47967549407174032</v>
      </c>
      <c r="U40" s="16">
        <f t="shared" si="32"/>
        <v>0.50073080034034401</v>
      </c>
      <c r="V40" s="16">
        <f t="shared" si="32"/>
        <v>0.51570615253131724</v>
      </c>
      <c r="W40" s="18">
        <f t="shared" si="32"/>
        <v>0.52504893266078456</v>
      </c>
    </row>
    <row r="41" spans="1:23" x14ac:dyDescent="0.3">
      <c r="D41" s="14"/>
    </row>
    <row r="42" spans="1:23" x14ac:dyDescent="0.3">
      <c r="A42" s="4" t="s">
        <v>34</v>
      </c>
      <c r="D42" s="14"/>
    </row>
    <row r="43" spans="1:23" x14ac:dyDescent="0.3">
      <c r="A43" t="s">
        <v>8</v>
      </c>
      <c r="D43" s="20">
        <f>(D6+D7)*Calculations!D18</f>
        <v>2800000</v>
      </c>
      <c r="E43" s="6">
        <f>(E6+E7)*Calculations!E18</f>
        <v>5600000</v>
      </c>
      <c r="F43" s="20">
        <f>(F6+F7)*Calculations!F18</f>
        <v>8400000</v>
      </c>
      <c r="G43" s="6">
        <f>(G6+G7)*Calculations!G18</f>
        <v>9800000</v>
      </c>
      <c r="H43" s="20">
        <f>(H6+H7)*Calculations!H18</f>
        <v>11200000</v>
      </c>
      <c r="I43" s="6">
        <f>(I6+I7)*Calculations!I18</f>
        <v>12642000</v>
      </c>
      <c r="J43" s="6">
        <f>(J6+J7)*Calculations!J18</f>
        <v>3087000</v>
      </c>
      <c r="K43" s="6">
        <f>(K6+K7)*Calculations!K18</f>
        <v>3234000</v>
      </c>
      <c r="L43" s="6">
        <f>(L6+L7)*Calculations!L18</f>
        <v>3381000</v>
      </c>
      <c r="M43" s="20">
        <f>(M6+M7)*Calculations!M18</f>
        <v>3528000</v>
      </c>
      <c r="N43" s="6">
        <f>(N6+N7)*Calculations!N18</f>
        <v>3858750</v>
      </c>
      <c r="O43" s="6">
        <f>(O6+O7)*Calculations!O18</f>
        <v>4013100</v>
      </c>
      <c r="P43" s="6">
        <f>(P6+P7)*Calculations!P18</f>
        <v>4167450</v>
      </c>
      <c r="Q43" s="6">
        <f>(Q6+Q7)*Calculations!Q18</f>
        <v>4321800</v>
      </c>
      <c r="R43" s="6">
        <f>(R6+R7)*Calculations!R18</f>
        <v>4476150</v>
      </c>
      <c r="S43" s="6">
        <f>(S6+S7)*Calculations!S18</f>
        <v>4862025</v>
      </c>
      <c r="T43" s="6">
        <f>(T6+T7)*Calculations!T18</f>
        <v>5024092.5</v>
      </c>
      <c r="U43" s="6">
        <f>(U6+U7)*Calculations!U18</f>
        <v>5186160</v>
      </c>
      <c r="V43" s="6">
        <f>(V6+V7)*Calculations!V18</f>
        <v>5348227.5</v>
      </c>
      <c r="W43" s="20">
        <f>(W6+W7)*Calculations!W18</f>
        <v>5510295</v>
      </c>
    </row>
    <row r="44" spans="1:23" x14ac:dyDescent="0.3">
      <c r="A44" s="7" t="s">
        <v>80</v>
      </c>
      <c r="D44" s="20">
        <f>D43-D31</f>
        <v>2240000</v>
      </c>
      <c r="E44" s="6">
        <f t="shared" ref="E44:W44" si="33">D44+E43-E31</f>
        <v>6272000</v>
      </c>
      <c r="F44" s="20">
        <f t="shared" si="33"/>
        <v>11737600</v>
      </c>
      <c r="G44" s="6">
        <f t="shared" si="33"/>
        <v>17230080</v>
      </c>
      <c r="H44" s="20">
        <f t="shared" si="33"/>
        <v>22744064</v>
      </c>
      <c r="I44" s="6">
        <f t="shared" si="33"/>
        <v>28308851.199999999</v>
      </c>
      <c r="J44" s="6">
        <f t="shared" si="33"/>
        <v>25116680.960000001</v>
      </c>
      <c r="K44" s="6">
        <f t="shared" si="33"/>
        <v>22680544.767999999</v>
      </c>
      <c r="L44" s="6">
        <f t="shared" si="33"/>
        <v>20849235.814399999</v>
      </c>
      <c r="M44" s="20">
        <f t="shared" si="33"/>
        <v>19501788.651519999</v>
      </c>
      <c r="N44" s="6">
        <f t="shared" si="33"/>
        <v>18688430.921216</v>
      </c>
      <c r="O44" s="6">
        <f t="shared" si="33"/>
        <v>18161224.736972801</v>
      </c>
      <c r="P44" s="6">
        <f t="shared" si="33"/>
        <v>17862939.78957824</v>
      </c>
      <c r="Q44" s="6">
        <f t="shared" si="33"/>
        <v>17747791.831662592</v>
      </c>
      <c r="R44" s="6">
        <f t="shared" si="33"/>
        <v>17779153.465330072</v>
      </c>
      <c r="S44" s="6">
        <f t="shared" si="33"/>
        <v>18112942.772264056</v>
      </c>
      <c r="T44" s="6">
        <f t="shared" si="33"/>
        <v>18509628.217811245</v>
      </c>
      <c r="U44" s="6">
        <f t="shared" si="33"/>
        <v>18956630.574248996</v>
      </c>
      <c r="V44" s="6">
        <f t="shared" si="33"/>
        <v>19443886.459399197</v>
      </c>
      <c r="W44" s="20">
        <f t="shared" si="33"/>
        <v>19963345.167519357</v>
      </c>
    </row>
    <row r="45" spans="1:23" x14ac:dyDescent="0.3">
      <c r="A45" s="4" t="s">
        <v>38</v>
      </c>
      <c r="D45" s="21">
        <f>D6*Calculations!D21+'Feasibility Analysis'!D7*Calculations!D22</f>
        <v>510000</v>
      </c>
      <c r="E45" s="8">
        <f>E6*Calculations!E21+'Feasibility Analysis'!E7*Calculations!E22</f>
        <v>802500</v>
      </c>
      <c r="F45" s="21">
        <f>F6*Calculations!F21+'Feasibility Analysis'!F7*Calculations!F22</f>
        <v>1030410</v>
      </c>
      <c r="G45" s="8">
        <f>G6*Calculations!G21+'Feasibility Analysis'!G7*Calculations!G22</f>
        <v>1194416.9249999998</v>
      </c>
      <c r="H45" s="21">
        <f>H6*Calculations!H21+'Feasibility Analysis'!H7*Calculations!H22</f>
        <v>1376335.8105000001</v>
      </c>
      <c r="I45" s="8">
        <f>I6*Calculations!I21+'Feasibility Analysis'!I7*Calculations!I22</f>
        <v>1535794.1451165001</v>
      </c>
      <c r="J45" s="8">
        <f>J6*Calculations!J21+'Feasibility Analysis'!J7*Calculations!J22</f>
        <v>945460.12166487006</v>
      </c>
      <c r="K45" s="8">
        <f>K6*Calculations!K21+'Feasibility Analysis'!K7*Calculations!K22</f>
        <v>1059815.7744757638</v>
      </c>
      <c r="L45" s="8">
        <f>L6*Calculations!L21+'Feasibility Analysis'!L7*Calculations!L22</f>
        <v>1185548.464084025</v>
      </c>
      <c r="M45" s="21">
        <f>M6*Calculations!M21+'Feasibility Analysis'!M7*Calculations!M22</f>
        <v>1323690.6329425115</v>
      </c>
      <c r="N45" s="8">
        <f>N6*Calculations!N21+'Feasibility Analysis'!N7*Calculations!N22</f>
        <v>1475363.5179671741</v>
      </c>
      <c r="O45" s="8">
        <f>O6*Calculations!O21+'Feasibility Analysis'!O7*Calculations!O22</f>
        <v>1641784.5227938716</v>
      </c>
      <c r="P45" s="8">
        <f>P6*Calculations!P21+'Feasibility Analysis'!P7*Calculations!P22</f>
        <v>1824275.1870582674</v>
      </c>
      <c r="Q45" s="8">
        <f>Q6*Calculations!Q21+'Feasibility Analysis'!Q7*Calculations!Q22</f>
        <v>2024269.8001579887</v>
      </c>
      <c r="R45" s="8">
        <f>R6*Calculations!R21+'Feasibility Analysis'!R7*Calculations!R22</f>
        <v>2243324.710675085</v>
      </c>
      <c r="S45" s="8">
        <f>S6*Calculations!S21+'Feasibility Analysis'!S7*Calculations!S22</f>
        <v>2483128.3866438009</v>
      </c>
      <c r="T45" s="8">
        <f>T6*Calculations!T21+'Feasibility Analysis'!T7*Calculations!T22</f>
        <v>2745512.2861658293</v>
      </c>
      <c r="U45" s="8">
        <f>U6*Calculations!U21+'Feasibility Analysis'!U7*Calculations!U22</f>
        <v>3032462.6025263867</v>
      </c>
      <c r="V45" s="8">
        <f>V6*Calculations!V21+'Feasibility Analysis'!V7*Calculations!V22</f>
        <v>3346132.9529752098</v>
      </c>
      <c r="W45" s="21">
        <f>W6*Calculations!W21+'Feasibility Analysis'!W7*Calculations!W22</f>
        <v>3688858.0857344894</v>
      </c>
    </row>
    <row r="46" spans="1:23" x14ac:dyDescent="0.3">
      <c r="A46" t="s">
        <v>39</v>
      </c>
      <c r="D46" s="22">
        <f>D45-D30</f>
        <v>408000</v>
      </c>
      <c r="E46" s="9">
        <f>D46+E45-E30</f>
        <v>968400</v>
      </c>
      <c r="F46" s="22">
        <f t="shared" ref="F46:W46" si="34">E46+F45-F30</f>
        <v>1599048</v>
      </c>
      <c r="G46" s="9">
        <f t="shared" si="34"/>
        <v>2234771.94</v>
      </c>
      <c r="H46" s="22">
        <f t="shared" si="34"/>
        <v>2888886.2004</v>
      </c>
      <c r="I46" s="9">
        <f t="shared" si="34"/>
        <v>3539744.2764132</v>
      </c>
      <c r="J46" s="9">
        <f t="shared" si="34"/>
        <v>3588163.5184624558</v>
      </c>
      <c r="K46" s="9">
        <f t="shared" si="34"/>
        <v>3718383.4343505753</v>
      </c>
      <c r="L46" s="9">
        <f t="shared" si="34"/>
        <v>3923145.5187476799</v>
      </c>
      <c r="M46" s="22">
        <f t="shared" si="34"/>
        <v>4197468.9213521536</v>
      </c>
      <c r="N46" s="9">
        <f t="shared" si="34"/>
        <v>4538265.9514554618</v>
      </c>
      <c r="O46" s="9">
        <f t="shared" si="34"/>
        <v>4944040.3793994663</v>
      </c>
      <c r="P46" s="9">
        <f t="shared" si="34"/>
        <v>5414652.4531661868</v>
      </c>
      <c r="Q46" s="9">
        <f t="shared" si="34"/>
        <v>5951137.8026593402</v>
      </c>
      <c r="R46" s="9">
        <f t="shared" si="34"/>
        <v>6555570.0106675401</v>
      </c>
      <c r="S46" s="9">
        <f t="shared" si="34"/>
        <v>7230958.717849073</v>
      </c>
      <c r="T46" s="9">
        <f t="shared" si="34"/>
        <v>7981176.8032119218</v>
      </c>
      <c r="U46" s="9">
        <f t="shared" si="34"/>
        <v>8810911.5245906468</v>
      </c>
      <c r="V46" s="9">
        <f t="shared" si="34"/>
        <v>9725635.5820526853</v>
      </c>
      <c r="W46" s="22">
        <f t="shared" si="34"/>
        <v>10731594.934229741</v>
      </c>
    </row>
    <row r="47" spans="1:23" x14ac:dyDescent="0.3">
      <c r="A47" t="s">
        <v>82</v>
      </c>
      <c r="D47" s="21">
        <f>20000*D9</f>
        <v>2000000</v>
      </c>
      <c r="E47" s="8">
        <f t="shared" ref="E47:W47" si="35">20000*E9</f>
        <v>6000000</v>
      </c>
      <c r="F47" s="21">
        <f t="shared" si="35"/>
        <v>12000000</v>
      </c>
      <c r="G47" s="8">
        <f t="shared" si="35"/>
        <v>19000000</v>
      </c>
      <c r="H47" s="21">
        <f t="shared" si="35"/>
        <v>27000000</v>
      </c>
      <c r="I47" s="8">
        <f t="shared" si="35"/>
        <v>35600000</v>
      </c>
      <c r="J47" s="8">
        <f t="shared" si="35"/>
        <v>37700000</v>
      </c>
      <c r="K47" s="8">
        <f t="shared" si="35"/>
        <v>39900000</v>
      </c>
      <c r="L47" s="8">
        <f t="shared" si="35"/>
        <v>42200000</v>
      </c>
      <c r="M47" s="21">
        <f t="shared" si="35"/>
        <v>44600000</v>
      </c>
      <c r="N47" s="8">
        <f t="shared" si="35"/>
        <v>47100000</v>
      </c>
      <c r="O47" s="8">
        <f t="shared" si="35"/>
        <v>49700000</v>
      </c>
      <c r="P47" s="8">
        <f t="shared" si="35"/>
        <v>52400000</v>
      </c>
      <c r="Q47" s="8">
        <f t="shared" si="35"/>
        <v>55200000</v>
      </c>
      <c r="R47" s="8">
        <f t="shared" si="35"/>
        <v>58100000</v>
      </c>
      <c r="S47" s="8">
        <f t="shared" si="35"/>
        <v>61100000</v>
      </c>
      <c r="T47" s="8">
        <f t="shared" si="35"/>
        <v>64200000</v>
      </c>
      <c r="U47" s="8">
        <f t="shared" si="35"/>
        <v>67400000</v>
      </c>
      <c r="V47" s="8">
        <f t="shared" si="35"/>
        <v>70700000</v>
      </c>
      <c r="W47" s="21">
        <f t="shared" si="35"/>
        <v>74100000</v>
      </c>
    </row>
    <row r="50" spans="11:11" x14ac:dyDescent="0.3">
      <c r="K50" s="6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0D2A-AA05-4F3C-A0F6-EF74C0195472}">
  <dimension ref="A1:Z41"/>
  <sheetViews>
    <sheetView zoomScale="82" workbookViewId="0">
      <selection activeCell="A32" sqref="A32:XFD32"/>
    </sheetView>
  </sheetViews>
  <sheetFormatPr defaultRowHeight="14.4" x14ac:dyDescent="0.3"/>
  <cols>
    <col min="1" max="1" width="43.88671875" bestFit="1" customWidth="1"/>
    <col min="4" max="6" width="10.88671875" bestFit="1" customWidth="1"/>
    <col min="7" max="18" width="11.88671875" bestFit="1" customWidth="1"/>
    <col min="19" max="24" width="13.44140625" bestFit="1" customWidth="1"/>
  </cols>
  <sheetData>
    <row r="1" spans="1:24" x14ac:dyDescent="0.3">
      <c r="A1" s="17"/>
      <c r="B1" s="17"/>
      <c r="C1" s="17"/>
      <c r="D1" s="17" t="s">
        <v>48</v>
      </c>
      <c r="E1" s="17" t="s">
        <v>49</v>
      </c>
      <c r="F1" s="17" t="s">
        <v>50</v>
      </c>
      <c r="G1" s="17" t="s">
        <v>51</v>
      </c>
      <c r="H1" s="17" t="s">
        <v>52</v>
      </c>
      <c r="I1" s="17" t="s">
        <v>53</v>
      </c>
      <c r="J1" s="17" t="s">
        <v>54</v>
      </c>
      <c r="K1" s="17" t="s">
        <v>55</v>
      </c>
      <c r="L1" s="17" t="s">
        <v>56</v>
      </c>
      <c r="M1" s="17" t="s">
        <v>57</v>
      </c>
      <c r="N1" s="17" t="s">
        <v>58</v>
      </c>
      <c r="O1" s="17" t="s">
        <v>59</v>
      </c>
      <c r="P1" s="17" t="s">
        <v>60</v>
      </c>
      <c r="Q1" s="17" t="s">
        <v>61</v>
      </c>
      <c r="R1" s="17" t="s">
        <v>62</v>
      </c>
      <c r="S1" s="17" t="s">
        <v>63</v>
      </c>
      <c r="T1" s="17" t="s">
        <v>64</v>
      </c>
      <c r="U1" s="17" t="s">
        <v>65</v>
      </c>
      <c r="V1" s="17" t="s">
        <v>66</v>
      </c>
      <c r="W1" s="17" t="s">
        <v>67</v>
      </c>
    </row>
    <row r="2" spans="1:24" x14ac:dyDescent="0.3">
      <c r="A2" t="s">
        <v>16</v>
      </c>
      <c r="D2">
        <f t="shared" ref="D2:W2" si="0">(D6*50)+(D4*250)+(C9*50)</f>
        <v>21000</v>
      </c>
      <c r="E2">
        <f t="shared" si="0"/>
        <v>27500</v>
      </c>
      <c r="F2">
        <f t="shared" si="0"/>
        <v>57500</v>
      </c>
      <c r="G2">
        <f t="shared" si="0"/>
        <v>85000</v>
      </c>
      <c r="H2">
        <f t="shared" si="0"/>
        <v>101500</v>
      </c>
      <c r="I2">
        <f t="shared" si="0"/>
        <v>106500</v>
      </c>
      <c r="J2">
        <f t="shared" si="0"/>
        <v>111500</v>
      </c>
      <c r="K2">
        <f t="shared" si="0"/>
        <v>116500</v>
      </c>
      <c r="L2">
        <f t="shared" si="0"/>
        <v>109000</v>
      </c>
      <c r="M2">
        <f t="shared" si="0"/>
        <v>111500</v>
      </c>
      <c r="N2">
        <f t="shared" si="0"/>
        <v>114000</v>
      </c>
      <c r="O2">
        <f t="shared" si="0"/>
        <v>116500</v>
      </c>
      <c r="P2">
        <f t="shared" si="0"/>
        <v>119000</v>
      </c>
      <c r="Q2">
        <f t="shared" si="0"/>
        <v>121500</v>
      </c>
      <c r="R2">
        <f t="shared" si="0"/>
        <v>124000</v>
      </c>
      <c r="S2">
        <f t="shared" si="0"/>
        <v>126500</v>
      </c>
      <c r="T2">
        <f t="shared" si="0"/>
        <v>129000</v>
      </c>
      <c r="U2">
        <f t="shared" si="0"/>
        <v>131500</v>
      </c>
      <c r="V2">
        <f t="shared" si="0"/>
        <v>134000</v>
      </c>
      <c r="W2">
        <f t="shared" si="0"/>
        <v>136500</v>
      </c>
    </row>
    <row r="3" spans="1:24" x14ac:dyDescent="0.3">
      <c r="A3" t="s">
        <v>18</v>
      </c>
      <c r="D3">
        <f>D2</f>
        <v>21000</v>
      </c>
      <c r="E3" s="5">
        <f>D3+E2</f>
        <v>48500</v>
      </c>
      <c r="F3" s="5">
        <f t="shared" ref="F3:W3" si="1">E3+F2</f>
        <v>106000</v>
      </c>
      <c r="G3" s="5">
        <f t="shared" si="1"/>
        <v>191000</v>
      </c>
      <c r="H3" s="5">
        <f t="shared" si="1"/>
        <v>292500</v>
      </c>
      <c r="I3" s="5">
        <f t="shared" si="1"/>
        <v>399000</v>
      </c>
      <c r="J3" s="5">
        <f t="shared" si="1"/>
        <v>510500</v>
      </c>
      <c r="K3" s="5">
        <f t="shared" si="1"/>
        <v>627000</v>
      </c>
      <c r="L3" s="5">
        <f t="shared" si="1"/>
        <v>736000</v>
      </c>
      <c r="M3" s="5">
        <f t="shared" si="1"/>
        <v>847500</v>
      </c>
      <c r="N3" s="5">
        <f t="shared" si="1"/>
        <v>961500</v>
      </c>
      <c r="O3" s="5">
        <f t="shared" si="1"/>
        <v>1078000</v>
      </c>
      <c r="P3" s="5">
        <f t="shared" si="1"/>
        <v>1197000</v>
      </c>
      <c r="Q3" s="5">
        <f t="shared" si="1"/>
        <v>1318500</v>
      </c>
      <c r="R3" s="5">
        <f t="shared" si="1"/>
        <v>1442500</v>
      </c>
      <c r="S3" s="5">
        <f t="shared" si="1"/>
        <v>1569000</v>
      </c>
      <c r="T3" s="5">
        <f t="shared" si="1"/>
        <v>1698000</v>
      </c>
      <c r="U3" s="5">
        <f t="shared" si="1"/>
        <v>1829500</v>
      </c>
      <c r="V3" s="5">
        <f t="shared" si="1"/>
        <v>1963500</v>
      </c>
      <c r="W3" s="5">
        <f t="shared" si="1"/>
        <v>2100000</v>
      </c>
      <c r="X3" s="5"/>
    </row>
    <row r="4" spans="1:24" x14ac:dyDescent="0.3">
      <c r="A4" t="s">
        <v>20</v>
      </c>
      <c r="D4">
        <v>80</v>
      </c>
      <c r="E4">
        <v>50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</row>
    <row r="5" spans="1:24" x14ac:dyDescent="0.3">
      <c r="A5" t="s">
        <v>84</v>
      </c>
      <c r="D5">
        <f>D4</f>
        <v>80</v>
      </c>
      <c r="E5">
        <f>D5+E4</f>
        <v>130</v>
      </c>
      <c r="F5">
        <f t="shared" ref="F5:W5" si="2">E5+F4</f>
        <v>230</v>
      </c>
      <c r="G5">
        <f t="shared" si="2"/>
        <v>330</v>
      </c>
      <c r="H5">
        <f t="shared" si="2"/>
        <v>430</v>
      </c>
      <c r="I5">
        <f t="shared" si="2"/>
        <v>530</v>
      </c>
      <c r="J5">
        <f t="shared" si="2"/>
        <v>630</v>
      </c>
      <c r="K5">
        <f t="shared" si="2"/>
        <v>730</v>
      </c>
      <c r="L5">
        <f t="shared" si="2"/>
        <v>780</v>
      </c>
      <c r="M5">
        <f t="shared" si="2"/>
        <v>830</v>
      </c>
      <c r="N5">
        <f t="shared" si="2"/>
        <v>880</v>
      </c>
      <c r="O5">
        <f t="shared" si="2"/>
        <v>930</v>
      </c>
      <c r="P5">
        <f t="shared" si="2"/>
        <v>980</v>
      </c>
      <c r="Q5">
        <f t="shared" si="2"/>
        <v>1030</v>
      </c>
      <c r="R5">
        <f t="shared" si="2"/>
        <v>1080</v>
      </c>
      <c r="S5">
        <f t="shared" si="2"/>
        <v>1130</v>
      </c>
      <c r="T5">
        <f t="shared" si="2"/>
        <v>1180</v>
      </c>
      <c r="U5">
        <f t="shared" si="2"/>
        <v>1230</v>
      </c>
      <c r="V5">
        <f t="shared" si="2"/>
        <v>1280</v>
      </c>
      <c r="W5">
        <f t="shared" si="2"/>
        <v>1330</v>
      </c>
    </row>
    <row r="6" spans="1:24" x14ac:dyDescent="0.3">
      <c r="A6" t="s">
        <v>19</v>
      </c>
      <c r="D6">
        <v>20</v>
      </c>
      <c r="E6" s="5">
        <v>200</v>
      </c>
      <c r="F6">
        <v>300</v>
      </c>
      <c r="G6">
        <v>450</v>
      </c>
      <c r="H6">
        <v>230</v>
      </c>
    </row>
    <row r="7" spans="1:24" x14ac:dyDescent="0.3">
      <c r="E7" s="5"/>
    </row>
    <row r="8" spans="1:24" x14ac:dyDescent="0.3">
      <c r="E8" s="5"/>
    </row>
    <row r="9" spans="1:24" x14ac:dyDescent="0.3">
      <c r="A9" t="s">
        <v>17</v>
      </c>
      <c r="D9">
        <f>D4+D6</f>
        <v>100</v>
      </c>
      <c r="E9" s="5">
        <f t="shared" ref="E9:W9" si="3">E4+E6+D9</f>
        <v>350</v>
      </c>
      <c r="F9" s="5">
        <f t="shared" si="3"/>
        <v>750</v>
      </c>
      <c r="G9" s="5">
        <f t="shared" si="3"/>
        <v>1300</v>
      </c>
      <c r="H9" s="5">
        <f t="shared" si="3"/>
        <v>1630</v>
      </c>
      <c r="I9" s="5">
        <f t="shared" si="3"/>
        <v>1730</v>
      </c>
      <c r="J9" s="5">
        <f t="shared" si="3"/>
        <v>1830</v>
      </c>
      <c r="K9" s="5">
        <f t="shared" si="3"/>
        <v>1930</v>
      </c>
      <c r="L9" s="5">
        <f t="shared" si="3"/>
        <v>1980</v>
      </c>
      <c r="M9" s="5">
        <f t="shared" si="3"/>
        <v>2030</v>
      </c>
      <c r="N9" s="5">
        <f t="shared" si="3"/>
        <v>2080</v>
      </c>
      <c r="O9" s="5">
        <f t="shared" si="3"/>
        <v>2130</v>
      </c>
      <c r="P9" s="5">
        <f t="shared" si="3"/>
        <v>2180</v>
      </c>
      <c r="Q9" s="5">
        <f t="shared" si="3"/>
        <v>2230</v>
      </c>
      <c r="R9" s="5">
        <f t="shared" si="3"/>
        <v>2280</v>
      </c>
      <c r="S9" s="5">
        <f t="shared" si="3"/>
        <v>2330</v>
      </c>
      <c r="T9" s="5">
        <f t="shared" si="3"/>
        <v>2380</v>
      </c>
      <c r="U9" s="5">
        <f t="shared" si="3"/>
        <v>2430</v>
      </c>
      <c r="V9" s="5">
        <f t="shared" si="3"/>
        <v>2480</v>
      </c>
      <c r="W9" s="5">
        <f t="shared" si="3"/>
        <v>2530</v>
      </c>
      <c r="X9" s="5"/>
    </row>
    <row r="10" spans="1:24" x14ac:dyDescent="0.3">
      <c r="E10" s="5"/>
      <c r="F10" s="5"/>
    </row>
    <row r="11" spans="1:24" x14ac:dyDescent="0.3">
      <c r="A11" s="1" t="s">
        <v>11</v>
      </c>
    </row>
    <row r="12" spans="1:24" x14ac:dyDescent="0.3">
      <c r="A12" t="s">
        <v>21</v>
      </c>
      <c r="D12" s="6">
        <v>450</v>
      </c>
      <c r="E12" s="6">
        <f>D12+D12*0.03</f>
        <v>463.5</v>
      </c>
      <c r="F12" s="6">
        <f t="shared" ref="F12:W12" si="4">E12+E12*0.03</f>
        <v>477.40499999999997</v>
      </c>
      <c r="G12" s="6">
        <f t="shared" si="4"/>
        <v>491.72714999999999</v>
      </c>
      <c r="H12" s="6">
        <f t="shared" si="4"/>
        <v>506.47896450000002</v>
      </c>
      <c r="I12" s="6">
        <f t="shared" si="4"/>
        <v>521.67333343500002</v>
      </c>
      <c r="J12" s="6">
        <f t="shared" si="4"/>
        <v>537.32353343805005</v>
      </c>
      <c r="K12" s="6">
        <f t="shared" si="4"/>
        <v>553.44323944119151</v>
      </c>
      <c r="L12" s="6">
        <f t="shared" si="4"/>
        <v>570.04653662442729</v>
      </c>
      <c r="M12" s="6">
        <f t="shared" si="4"/>
        <v>587.14793272316012</v>
      </c>
      <c r="N12" s="6">
        <f t="shared" si="4"/>
        <v>604.7623707048549</v>
      </c>
      <c r="O12" s="6">
        <f t="shared" si="4"/>
        <v>622.90524182600052</v>
      </c>
      <c r="P12" s="6">
        <f t="shared" si="4"/>
        <v>641.59239908078052</v>
      </c>
      <c r="Q12" s="6">
        <f t="shared" si="4"/>
        <v>660.8401710532039</v>
      </c>
      <c r="R12" s="6">
        <f t="shared" si="4"/>
        <v>680.66537618480004</v>
      </c>
      <c r="S12" s="6">
        <f t="shared" si="4"/>
        <v>701.08533747034403</v>
      </c>
      <c r="T12" s="6">
        <f t="shared" si="4"/>
        <v>722.11789759445435</v>
      </c>
      <c r="U12" s="6">
        <f t="shared" si="4"/>
        <v>743.78143452228801</v>
      </c>
      <c r="V12" s="6">
        <f t="shared" si="4"/>
        <v>766.09487755795669</v>
      </c>
      <c r="W12" s="6">
        <f t="shared" si="4"/>
        <v>789.07772388469539</v>
      </c>
      <c r="X12" s="6"/>
    </row>
    <row r="13" spans="1:24" x14ac:dyDescent="0.3">
      <c r="A13" t="s">
        <v>76</v>
      </c>
      <c r="D13" s="6"/>
      <c r="E13" s="6">
        <v>250</v>
      </c>
      <c r="F13" s="6">
        <f>E13+E13*0.03</f>
        <v>257.5</v>
      </c>
      <c r="G13" s="6">
        <f t="shared" ref="G13:W13" si="5">F13+F13*0.03</f>
        <v>265.22500000000002</v>
      </c>
      <c r="H13" s="6">
        <f t="shared" si="5"/>
        <v>273.18175000000002</v>
      </c>
      <c r="I13" s="6">
        <f t="shared" si="5"/>
        <v>281.37720250000001</v>
      </c>
      <c r="J13" s="6">
        <f t="shared" si="5"/>
        <v>289.81851857499998</v>
      </c>
      <c r="K13" s="6">
        <f t="shared" si="5"/>
        <v>298.51307413224998</v>
      </c>
      <c r="L13" s="6">
        <f t="shared" si="5"/>
        <v>307.4684663562175</v>
      </c>
      <c r="M13" s="6">
        <f t="shared" si="5"/>
        <v>316.69252034690402</v>
      </c>
      <c r="N13" s="6">
        <f t="shared" si="5"/>
        <v>326.19329595731114</v>
      </c>
      <c r="O13" s="6">
        <f t="shared" si="5"/>
        <v>335.97909483603047</v>
      </c>
      <c r="P13" s="6">
        <f t="shared" si="5"/>
        <v>346.05846768111138</v>
      </c>
      <c r="Q13" s="6">
        <f t="shared" si="5"/>
        <v>356.44022171154472</v>
      </c>
      <c r="R13" s="6">
        <f t="shared" si="5"/>
        <v>367.13342836289104</v>
      </c>
      <c r="S13" s="6">
        <f t="shared" si="5"/>
        <v>378.14743121377779</v>
      </c>
      <c r="T13" s="6">
        <f t="shared" si="5"/>
        <v>389.4918541501911</v>
      </c>
      <c r="U13" s="6">
        <f t="shared" si="5"/>
        <v>401.17660977469683</v>
      </c>
      <c r="V13" s="6">
        <f t="shared" si="5"/>
        <v>413.21190806793771</v>
      </c>
      <c r="W13" s="6">
        <f t="shared" si="5"/>
        <v>425.60826530997582</v>
      </c>
      <c r="X13" s="6"/>
    </row>
    <row r="14" spans="1:24" x14ac:dyDescent="0.3">
      <c r="A14" t="s">
        <v>81</v>
      </c>
      <c r="D14" s="6">
        <v>50000</v>
      </c>
      <c r="E14" s="6">
        <f>D14+D14*0.05</f>
        <v>52500</v>
      </c>
      <c r="F14" s="6">
        <f t="shared" ref="F14:I14" si="6">E14+E14*0.05</f>
        <v>55125</v>
      </c>
      <c r="G14" s="6">
        <f t="shared" si="6"/>
        <v>57881.25</v>
      </c>
      <c r="H14" s="6">
        <f t="shared" si="6"/>
        <v>60775.3125</v>
      </c>
      <c r="I14" s="6">
        <f t="shared" si="6"/>
        <v>63814.078125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t="s">
        <v>0</v>
      </c>
      <c r="D15" s="6">
        <f>SUM(D12:D14)</f>
        <v>50450</v>
      </c>
      <c r="E15" s="6">
        <f t="shared" ref="E15:W15" si="7">SUM(E12:E14)</f>
        <v>53213.5</v>
      </c>
      <c r="F15" s="6">
        <f t="shared" si="7"/>
        <v>55859.904999999999</v>
      </c>
      <c r="G15" s="6">
        <f t="shared" si="7"/>
        <v>58638.202149999997</v>
      </c>
      <c r="H15" s="6">
        <f t="shared" si="7"/>
        <v>61554.973214500002</v>
      </c>
      <c r="I15" s="6">
        <f t="shared" si="7"/>
        <v>64617.128660934999</v>
      </c>
      <c r="J15" s="6">
        <f t="shared" si="7"/>
        <v>827.14205201305003</v>
      </c>
      <c r="K15" s="6">
        <f t="shared" si="7"/>
        <v>851.95631357344155</v>
      </c>
      <c r="L15" s="6">
        <f t="shared" si="7"/>
        <v>877.51500298064479</v>
      </c>
      <c r="M15" s="6">
        <f t="shared" si="7"/>
        <v>903.84045307006409</v>
      </c>
      <c r="N15" s="6">
        <f t="shared" si="7"/>
        <v>930.9556666621661</v>
      </c>
      <c r="O15" s="6">
        <f t="shared" si="7"/>
        <v>958.88433666203105</v>
      </c>
      <c r="P15" s="6">
        <f t="shared" si="7"/>
        <v>987.65086676189185</v>
      </c>
      <c r="Q15" s="6">
        <f t="shared" si="7"/>
        <v>1017.2803927647486</v>
      </c>
      <c r="R15" s="6">
        <f t="shared" si="7"/>
        <v>1047.7988045476911</v>
      </c>
      <c r="S15" s="6">
        <f t="shared" si="7"/>
        <v>1079.2327686841218</v>
      </c>
      <c r="T15" s="6">
        <f t="shared" si="7"/>
        <v>1111.6097517446456</v>
      </c>
      <c r="U15" s="6">
        <f t="shared" si="7"/>
        <v>1144.9580442969848</v>
      </c>
      <c r="V15" s="6">
        <f t="shared" si="7"/>
        <v>1179.3067856258945</v>
      </c>
      <c r="W15" s="6">
        <f t="shared" si="7"/>
        <v>1214.6859891946713</v>
      </c>
      <c r="X15" s="6"/>
    </row>
    <row r="16" spans="1:24" x14ac:dyDescent="0.3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6" x14ac:dyDescent="0.3">
      <c r="A17" s="2" t="s">
        <v>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6" x14ac:dyDescent="0.3">
      <c r="A18" t="s">
        <v>26</v>
      </c>
      <c r="D18" s="6">
        <v>28000</v>
      </c>
      <c r="E18" s="6">
        <v>28000</v>
      </c>
      <c r="F18" s="6">
        <v>28000</v>
      </c>
      <c r="G18" s="6">
        <v>28000</v>
      </c>
      <c r="H18" s="6">
        <v>28000</v>
      </c>
      <c r="I18" s="6">
        <v>29400</v>
      </c>
      <c r="J18" s="6">
        <v>29400</v>
      </c>
      <c r="K18" s="6">
        <v>29400</v>
      </c>
      <c r="L18" s="6">
        <v>29400</v>
      </c>
      <c r="M18" s="6">
        <v>29400</v>
      </c>
      <c r="N18" s="6">
        <v>30870</v>
      </c>
      <c r="O18" s="6">
        <v>30870</v>
      </c>
      <c r="P18" s="6">
        <v>30870</v>
      </c>
      <c r="Q18" s="6">
        <v>30870</v>
      </c>
      <c r="R18" s="6">
        <v>30870</v>
      </c>
      <c r="S18" s="6">
        <v>32413.5</v>
      </c>
      <c r="T18" s="6">
        <v>32413.5</v>
      </c>
      <c r="U18" s="6">
        <v>32413.5</v>
      </c>
      <c r="V18" s="6">
        <v>32413.5</v>
      </c>
      <c r="W18" s="6">
        <v>32413.5</v>
      </c>
      <c r="X18" s="6"/>
    </row>
    <row r="19" spans="1:26" x14ac:dyDescent="0.3">
      <c r="A19" t="s">
        <v>22</v>
      </c>
      <c r="D19" s="6">
        <v>8500</v>
      </c>
      <c r="E19" s="6">
        <f>D19+D19*0.07</f>
        <v>9095</v>
      </c>
      <c r="F19" s="6">
        <f t="shared" ref="F19:W19" si="8">E19+E19*0.07</f>
        <v>9731.65</v>
      </c>
      <c r="G19" s="6">
        <f t="shared" si="8"/>
        <v>10412.8655</v>
      </c>
      <c r="H19" s="6">
        <f t="shared" si="8"/>
        <v>11141.766084999999</v>
      </c>
      <c r="I19" s="6">
        <f t="shared" si="8"/>
        <v>11921.689710949999</v>
      </c>
      <c r="J19" s="6">
        <f t="shared" si="8"/>
        <v>12756.207990716499</v>
      </c>
      <c r="K19" s="6">
        <f t="shared" si="8"/>
        <v>13649.142550066654</v>
      </c>
      <c r="L19" s="6">
        <f t="shared" si="8"/>
        <v>14604.58252857132</v>
      </c>
      <c r="M19" s="6">
        <f t="shared" si="8"/>
        <v>15626.903305571312</v>
      </c>
      <c r="N19" s="6">
        <f t="shared" si="8"/>
        <v>16720.786536961303</v>
      </c>
      <c r="O19" s="6">
        <f t="shared" si="8"/>
        <v>17891.241594548595</v>
      </c>
      <c r="P19" s="6">
        <f t="shared" si="8"/>
        <v>19143.628506166999</v>
      </c>
      <c r="Q19" s="6">
        <f t="shared" si="8"/>
        <v>20483.682501598691</v>
      </c>
      <c r="R19" s="6">
        <f t="shared" si="8"/>
        <v>21917.540276710599</v>
      </c>
      <c r="S19" s="6">
        <f t="shared" si="8"/>
        <v>23451.768096080341</v>
      </c>
      <c r="T19" s="6">
        <f t="shared" si="8"/>
        <v>25093.391862805966</v>
      </c>
      <c r="U19" s="6">
        <f t="shared" si="8"/>
        <v>26849.929293202382</v>
      </c>
      <c r="V19" s="6">
        <f t="shared" si="8"/>
        <v>28729.424343726547</v>
      </c>
      <c r="W19" s="6">
        <f t="shared" si="8"/>
        <v>30740.484047787406</v>
      </c>
      <c r="X19" s="6"/>
    </row>
    <row r="20" spans="1:26" x14ac:dyDescent="0.3">
      <c r="A20" t="s">
        <v>23</v>
      </c>
      <c r="D20" s="6">
        <v>1200</v>
      </c>
      <c r="E20" s="6">
        <f>D20+D20*0.07</f>
        <v>1284</v>
      </c>
      <c r="F20" s="6">
        <f t="shared" ref="F20:W20" si="9">E20+E20*0.07</f>
        <v>1373.88</v>
      </c>
      <c r="G20" s="6">
        <f t="shared" si="9"/>
        <v>1470.0516000000002</v>
      </c>
      <c r="H20" s="6">
        <f t="shared" si="9"/>
        <v>1572.9552120000003</v>
      </c>
      <c r="I20" s="6">
        <f t="shared" si="9"/>
        <v>1683.0620768400004</v>
      </c>
      <c r="J20" s="6">
        <f t="shared" si="9"/>
        <v>1800.8764222188004</v>
      </c>
      <c r="K20" s="6">
        <f t="shared" si="9"/>
        <v>1926.9377717741163</v>
      </c>
      <c r="L20" s="6">
        <f t="shared" si="9"/>
        <v>2061.8234157983043</v>
      </c>
      <c r="M20" s="6">
        <f t="shared" si="9"/>
        <v>2206.1510549041855</v>
      </c>
      <c r="N20" s="6">
        <f t="shared" si="9"/>
        <v>2360.5816287474786</v>
      </c>
      <c r="O20" s="6">
        <f t="shared" si="9"/>
        <v>2525.8223427598023</v>
      </c>
      <c r="P20" s="6">
        <f t="shared" si="9"/>
        <v>2702.6299067529885</v>
      </c>
      <c r="Q20" s="6">
        <f t="shared" si="9"/>
        <v>2891.8140002256978</v>
      </c>
      <c r="R20" s="6">
        <f t="shared" si="9"/>
        <v>3094.2409802414968</v>
      </c>
      <c r="S20" s="6">
        <f t="shared" si="9"/>
        <v>3310.8378488584017</v>
      </c>
      <c r="T20" s="6">
        <f t="shared" si="9"/>
        <v>3542.5964982784899</v>
      </c>
      <c r="U20" s="6">
        <f t="shared" si="9"/>
        <v>3790.5782531579844</v>
      </c>
      <c r="V20" s="6">
        <f t="shared" si="9"/>
        <v>4055.9187308790433</v>
      </c>
      <c r="W20" s="6">
        <f t="shared" si="9"/>
        <v>4339.8330420405764</v>
      </c>
      <c r="X20" s="6"/>
    </row>
    <row r="21" spans="1:26" x14ac:dyDescent="0.3">
      <c r="A21" t="s">
        <v>27</v>
      </c>
      <c r="D21" s="6">
        <v>6000</v>
      </c>
      <c r="E21" s="6">
        <f>D21+D21*0.07</f>
        <v>6420</v>
      </c>
      <c r="F21" s="6">
        <f t="shared" ref="F21:W21" si="10">E21+E21*0.07</f>
        <v>6869.4</v>
      </c>
      <c r="G21" s="6">
        <f t="shared" si="10"/>
        <v>7350.2579999999998</v>
      </c>
      <c r="H21" s="6">
        <f t="shared" si="10"/>
        <v>7864.7760600000001</v>
      </c>
      <c r="I21" s="6">
        <f t="shared" si="10"/>
        <v>8415.3103842</v>
      </c>
      <c r="J21" s="6">
        <f t="shared" si="10"/>
        <v>9004.3821110940007</v>
      </c>
      <c r="K21" s="6">
        <f t="shared" si="10"/>
        <v>9634.6888588705806</v>
      </c>
      <c r="L21" s="6">
        <f t="shared" si="10"/>
        <v>10309.117078991521</v>
      </c>
      <c r="M21" s="6">
        <f t="shared" si="10"/>
        <v>11030.755274520929</v>
      </c>
      <c r="N21" s="6">
        <f t="shared" si="10"/>
        <v>11802.908143737393</v>
      </c>
      <c r="O21" s="6">
        <f t="shared" si="10"/>
        <v>12629.111713799011</v>
      </c>
      <c r="P21" s="6">
        <f t="shared" si="10"/>
        <v>13513.149533764943</v>
      </c>
      <c r="Q21" s="6">
        <f t="shared" si="10"/>
        <v>14459.07000112849</v>
      </c>
      <c r="R21" s="6">
        <f t="shared" si="10"/>
        <v>15471.204901207484</v>
      </c>
      <c r="S21" s="6">
        <f t="shared" si="10"/>
        <v>16554.189244292007</v>
      </c>
      <c r="T21" s="6">
        <f t="shared" si="10"/>
        <v>17712.982491392446</v>
      </c>
      <c r="U21" s="6">
        <f t="shared" si="10"/>
        <v>18952.891265789916</v>
      </c>
      <c r="V21" s="6">
        <f t="shared" si="10"/>
        <v>20279.593654395212</v>
      </c>
      <c r="W21" s="6">
        <f t="shared" si="10"/>
        <v>21699.165210202878</v>
      </c>
      <c r="X21" s="6"/>
    </row>
    <row r="22" spans="1:26" x14ac:dyDescent="0.3">
      <c r="A22" t="s">
        <v>30</v>
      </c>
      <c r="D22" s="6">
        <v>1500</v>
      </c>
      <c r="E22" s="6">
        <f>D22+D22*0.07</f>
        <v>1605</v>
      </c>
      <c r="F22" s="6">
        <f t="shared" ref="F22:W22" si="11">E22+E22*0.07</f>
        <v>1717.35</v>
      </c>
      <c r="G22" s="6">
        <f t="shared" si="11"/>
        <v>1837.5645</v>
      </c>
      <c r="H22" s="6">
        <f t="shared" si="11"/>
        <v>1966.194015</v>
      </c>
      <c r="I22" s="6">
        <f t="shared" si="11"/>
        <v>2103.82759605</v>
      </c>
      <c r="J22" s="6">
        <f t="shared" si="11"/>
        <v>2251.0955277735002</v>
      </c>
      <c r="K22" s="6">
        <f t="shared" si="11"/>
        <v>2408.6722147176451</v>
      </c>
      <c r="L22" s="6">
        <f t="shared" si="11"/>
        <v>2577.2792697478803</v>
      </c>
      <c r="M22" s="6">
        <f t="shared" si="11"/>
        <v>2757.6888186302322</v>
      </c>
      <c r="N22" s="6">
        <f t="shared" si="11"/>
        <v>2950.7270359343484</v>
      </c>
      <c r="O22" s="6">
        <f t="shared" si="11"/>
        <v>3157.2779284497528</v>
      </c>
      <c r="P22" s="6">
        <f t="shared" si="11"/>
        <v>3378.2873834412358</v>
      </c>
      <c r="Q22" s="6">
        <f t="shared" si="11"/>
        <v>3614.7675002821225</v>
      </c>
      <c r="R22" s="6">
        <f t="shared" si="11"/>
        <v>3867.801225301871</v>
      </c>
      <c r="S22" s="6">
        <f t="shared" si="11"/>
        <v>4138.5473110730018</v>
      </c>
      <c r="T22" s="6">
        <f t="shared" si="11"/>
        <v>4428.2456228481115</v>
      </c>
      <c r="U22" s="6">
        <f t="shared" si="11"/>
        <v>4738.2228164474791</v>
      </c>
      <c r="V22" s="6">
        <f t="shared" si="11"/>
        <v>5069.898413598803</v>
      </c>
      <c r="W22" s="6">
        <f t="shared" si="11"/>
        <v>5424.7913025507196</v>
      </c>
      <c r="X22" s="6"/>
    </row>
    <row r="23" spans="1:26" x14ac:dyDescent="0.3">
      <c r="A23" t="s">
        <v>29</v>
      </c>
      <c r="D23" s="6">
        <f>SUM(D21:D22)</f>
        <v>7500</v>
      </c>
      <c r="E23" s="6">
        <f t="shared" ref="E23:W23" si="12">SUM(E21:E22)</f>
        <v>8025</v>
      </c>
      <c r="F23" s="6">
        <f t="shared" si="12"/>
        <v>8586.75</v>
      </c>
      <c r="G23" s="6">
        <f t="shared" si="12"/>
        <v>9187.8225000000002</v>
      </c>
      <c r="H23" s="6">
        <f t="shared" si="12"/>
        <v>9830.9700750000011</v>
      </c>
      <c r="I23" s="6">
        <f t="shared" si="12"/>
        <v>10519.13798025</v>
      </c>
      <c r="J23" s="6">
        <f t="shared" si="12"/>
        <v>11255.477638867502</v>
      </c>
      <c r="K23" s="6">
        <f t="shared" si="12"/>
        <v>12043.361073588225</v>
      </c>
      <c r="L23" s="6">
        <f t="shared" si="12"/>
        <v>12886.396348739401</v>
      </c>
      <c r="M23" s="6">
        <f t="shared" si="12"/>
        <v>13788.44409315116</v>
      </c>
      <c r="N23" s="6">
        <f t="shared" si="12"/>
        <v>14753.635179671743</v>
      </c>
      <c r="O23" s="6">
        <f t="shared" si="12"/>
        <v>15786.389642248763</v>
      </c>
      <c r="P23" s="6">
        <f t="shared" si="12"/>
        <v>16891.436917206178</v>
      </c>
      <c r="Q23" s="6">
        <f t="shared" si="12"/>
        <v>18073.837501410613</v>
      </c>
      <c r="R23" s="6">
        <f t="shared" si="12"/>
        <v>19339.006126509354</v>
      </c>
      <c r="S23" s="6">
        <f t="shared" si="12"/>
        <v>20692.736555365009</v>
      </c>
      <c r="T23" s="6">
        <f t="shared" si="12"/>
        <v>22141.228114240555</v>
      </c>
      <c r="U23" s="6">
        <f t="shared" si="12"/>
        <v>23691.114082237396</v>
      </c>
      <c r="V23" s="6">
        <f t="shared" si="12"/>
        <v>25349.492067994015</v>
      </c>
      <c r="W23" s="6">
        <f t="shared" si="12"/>
        <v>27123.956512753597</v>
      </c>
      <c r="X23" s="6"/>
    </row>
    <row r="24" spans="1:26" x14ac:dyDescent="0.3">
      <c r="A24" t="s">
        <v>28</v>
      </c>
      <c r="D24" s="6">
        <v>5000</v>
      </c>
      <c r="E24" s="6">
        <f>D24+D24*0.07</f>
        <v>5350</v>
      </c>
      <c r="F24" s="6">
        <f t="shared" ref="F24:W24" si="13">E24+E24*0.07</f>
        <v>5724.5</v>
      </c>
      <c r="G24" s="6">
        <f t="shared" si="13"/>
        <v>6125.2150000000001</v>
      </c>
      <c r="H24" s="6">
        <f t="shared" si="13"/>
        <v>6553.9800500000001</v>
      </c>
      <c r="I24" s="6">
        <f t="shared" si="13"/>
        <v>7012.7586535</v>
      </c>
      <c r="J24" s="6">
        <f t="shared" si="13"/>
        <v>7503.651759245</v>
      </c>
      <c r="K24" s="6">
        <f t="shared" si="13"/>
        <v>8028.9073823921499</v>
      </c>
      <c r="L24" s="6">
        <f t="shared" si="13"/>
        <v>8590.9308991596008</v>
      </c>
      <c r="M24" s="6">
        <f t="shared" si="13"/>
        <v>9192.2960621007733</v>
      </c>
      <c r="N24" s="6">
        <f t="shared" si="13"/>
        <v>9835.7567864478278</v>
      </c>
      <c r="O24" s="6">
        <f t="shared" si="13"/>
        <v>10524.259761499176</v>
      </c>
      <c r="P24" s="6">
        <f t="shared" si="13"/>
        <v>11260.957944804119</v>
      </c>
      <c r="Q24" s="6">
        <f t="shared" si="13"/>
        <v>12049.225000940407</v>
      </c>
      <c r="R24" s="6">
        <f t="shared" si="13"/>
        <v>12892.670751006235</v>
      </c>
      <c r="S24" s="6">
        <f t="shared" si="13"/>
        <v>13795.157703576671</v>
      </c>
      <c r="T24" s="6">
        <f t="shared" si="13"/>
        <v>14760.818742827039</v>
      </c>
      <c r="U24" s="6">
        <f t="shared" si="13"/>
        <v>15794.076054824933</v>
      </c>
      <c r="V24" s="6">
        <f t="shared" si="13"/>
        <v>16899.661378662677</v>
      </c>
      <c r="W24" s="6">
        <f t="shared" si="13"/>
        <v>18082.637675169062</v>
      </c>
      <c r="X24" s="6"/>
    </row>
    <row r="25" spans="1:26" x14ac:dyDescent="0.3">
      <c r="A25" t="s">
        <v>31</v>
      </c>
      <c r="D25" s="6">
        <v>4000</v>
      </c>
      <c r="E25" s="6">
        <f>D25+D25*0.07</f>
        <v>4280</v>
      </c>
      <c r="F25" s="6">
        <f t="shared" ref="F25:W25" si="14">E25+E25*0.07</f>
        <v>4579.6000000000004</v>
      </c>
      <c r="G25" s="6">
        <f t="shared" si="14"/>
        <v>4900.1720000000005</v>
      </c>
      <c r="H25" s="6">
        <f t="shared" si="14"/>
        <v>5243.1840400000001</v>
      </c>
      <c r="I25" s="6">
        <f t="shared" si="14"/>
        <v>5610.2069228</v>
      </c>
      <c r="J25" s="6">
        <f t="shared" si="14"/>
        <v>6002.9214073960002</v>
      </c>
      <c r="K25" s="6">
        <f t="shared" si="14"/>
        <v>6423.1259059137201</v>
      </c>
      <c r="L25" s="6">
        <f t="shared" si="14"/>
        <v>6872.7447193276803</v>
      </c>
      <c r="M25" s="6">
        <f t="shared" si="14"/>
        <v>7353.8368496806179</v>
      </c>
      <c r="N25" s="6">
        <f t="shared" si="14"/>
        <v>7868.6054291582614</v>
      </c>
      <c r="O25" s="6">
        <f t="shared" si="14"/>
        <v>8419.4078091993397</v>
      </c>
      <c r="P25" s="6">
        <f t="shared" si="14"/>
        <v>9008.7663558432941</v>
      </c>
      <c r="Q25" s="6">
        <f t="shared" si="14"/>
        <v>9639.3800007523241</v>
      </c>
      <c r="R25" s="6">
        <f t="shared" si="14"/>
        <v>10314.136600804986</v>
      </c>
      <c r="S25" s="6">
        <f t="shared" si="14"/>
        <v>11036.126162861336</v>
      </c>
      <c r="T25" s="6">
        <f t="shared" si="14"/>
        <v>11808.654994261629</v>
      </c>
      <c r="U25" s="6">
        <f t="shared" si="14"/>
        <v>12635.260843859944</v>
      </c>
      <c r="V25" s="6">
        <f t="shared" si="14"/>
        <v>13519.72910293014</v>
      </c>
      <c r="W25" s="6">
        <f t="shared" si="14"/>
        <v>14466.11014013525</v>
      </c>
      <c r="X25" s="6"/>
    </row>
    <row r="26" spans="1:26" x14ac:dyDescent="0.3">
      <c r="A26" t="s">
        <v>36</v>
      </c>
      <c r="D26" s="6">
        <f>SUM(D24:D25)</f>
        <v>9000</v>
      </c>
      <c r="E26" s="6">
        <f t="shared" ref="E26:W26" si="15">SUM(E24:E25)</f>
        <v>9630</v>
      </c>
      <c r="F26" s="6">
        <f t="shared" si="15"/>
        <v>10304.1</v>
      </c>
      <c r="G26" s="6">
        <f t="shared" si="15"/>
        <v>11025.387000000001</v>
      </c>
      <c r="H26" s="6">
        <f t="shared" si="15"/>
        <v>11797.16409</v>
      </c>
      <c r="I26" s="6">
        <f t="shared" si="15"/>
        <v>12622.965576300001</v>
      </c>
      <c r="J26" s="6">
        <f t="shared" si="15"/>
        <v>13506.573166640999</v>
      </c>
      <c r="K26" s="6">
        <f t="shared" si="15"/>
        <v>14452.033288305869</v>
      </c>
      <c r="L26" s="6">
        <f t="shared" si="15"/>
        <v>15463.675618487281</v>
      </c>
      <c r="M26" s="6">
        <f t="shared" si="15"/>
        <v>16546.132911781391</v>
      </c>
      <c r="N26" s="6">
        <f t="shared" si="15"/>
        <v>17704.362215606088</v>
      </c>
      <c r="O26" s="6">
        <f t="shared" si="15"/>
        <v>18943.667570698515</v>
      </c>
      <c r="P26" s="6">
        <f t="shared" si="15"/>
        <v>20269.724300647413</v>
      </c>
      <c r="Q26" s="6">
        <f t="shared" si="15"/>
        <v>21688.605001692733</v>
      </c>
      <c r="R26" s="6">
        <f t="shared" si="15"/>
        <v>23206.807351811221</v>
      </c>
      <c r="S26" s="6">
        <f t="shared" si="15"/>
        <v>24831.283866438007</v>
      </c>
      <c r="T26" s="6">
        <f t="shared" si="15"/>
        <v>26569.473737088669</v>
      </c>
      <c r="U26" s="6">
        <f t="shared" si="15"/>
        <v>28429.336898684876</v>
      </c>
      <c r="V26" s="6">
        <f t="shared" si="15"/>
        <v>30419.390481592818</v>
      </c>
      <c r="W26" s="6">
        <f t="shared" si="15"/>
        <v>32548.747815304312</v>
      </c>
      <c r="X26" s="6"/>
    </row>
    <row r="27" spans="1:26" x14ac:dyDescent="0.3">
      <c r="A27" t="s">
        <v>43</v>
      </c>
      <c r="D27" s="6">
        <v>15000</v>
      </c>
      <c r="E27" s="6">
        <f>D27+D27*0.07</f>
        <v>16050</v>
      </c>
      <c r="F27" s="6">
        <f t="shared" ref="F27:M27" si="16">E27+E27*0.07</f>
        <v>17173.5</v>
      </c>
      <c r="G27" s="6">
        <f t="shared" si="16"/>
        <v>18375.645</v>
      </c>
      <c r="H27" s="6">
        <f t="shared" si="16"/>
        <v>19661.940150000002</v>
      </c>
      <c r="I27" s="6">
        <f t="shared" si="16"/>
        <v>21038.275960500003</v>
      </c>
      <c r="J27" s="6">
        <f t="shared" si="16"/>
        <v>22510.955277735004</v>
      </c>
      <c r="K27" s="6">
        <f t="shared" si="16"/>
        <v>24086.722147176453</v>
      </c>
      <c r="L27" s="6">
        <f t="shared" si="16"/>
        <v>25772.792697478806</v>
      </c>
      <c r="M27" s="6">
        <f t="shared" si="16"/>
        <v>27576.888186302323</v>
      </c>
      <c r="N27" s="6">
        <f>M27-M27*0.05</f>
        <v>26198.043776987208</v>
      </c>
      <c r="O27" s="6">
        <f t="shared" ref="O27:W27" si="17">N27-N27*0.05</f>
        <v>24888.141588137849</v>
      </c>
      <c r="P27" s="6">
        <f t="shared" si="17"/>
        <v>23643.734508730955</v>
      </c>
      <c r="Q27" s="6">
        <f t="shared" si="17"/>
        <v>22461.547783294409</v>
      </c>
      <c r="R27" s="6">
        <f t="shared" si="17"/>
        <v>21338.47039412969</v>
      </c>
      <c r="S27" s="6">
        <f t="shared" si="17"/>
        <v>20271.546874423206</v>
      </c>
      <c r="T27" s="6">
        <f t="shared" si="17"/>
        <v>19257.969530702045</v>
      </c>
      <c r="U27" s="6">
        <f t="shared" si="17"/>
        <v>18295.071054166943</v>
      </c>
      <c r="V27" s="6">
        <f t="shared" si="17"/>
        <v>17380.317501458598</v>
      </c>
      <c r="W27" s="6">
        <f t="shared" si="17"/>
        <v>16511.301626385666</v>
      </c>
      <c r="X27" s="6"/>
    </row>
    <row r="28" spans="1:26" x14ac:dyDescent="0.3">
      <c r="A28" t="s">
        <v>10</v>
      </c>
      <c r="D28" s="6">
        <v>200000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6" x14ac:dyDescent="0.3">
      <c r="A29" t="s">
        <v>24</v>
      </c>
      <c r="D29" s="6">
        <v>1500</v>
      </c>
      <c r="E29" s="6">
        <f>D29+D29*0.1</f>
        <v>1650</v>
      </c>
      <c r="F29" s="6">
        <f t="shared" ref="F29:W29" si="18">E29+E29*0.1</f>
        <v>1815</v>
      </c>
      <c r="G29" s="6">
        <f t="shared" si="18"/>
        <v>1996.5</v>
      </c>
      <c r="H29" s="6">
        <f t="shared" si="18"/>
        <v>2196.15</v>
      </c>
      <c r="I29" s="6">
        <f t="shared" si="18"/>
        <v>2415.7650000000003</v>
      </c>
      <c r="J29" s="6">
        <f t="shared" si="18"/>
        <v>2657.3415000000005</v>
      </c>
      <c r="K29" s="6">
        <f t="shared" si="18"/>
        <v>2923.0756500000007</v>
      </c>
      <c r="L29" s="6">
        <f t="shared" si="18"/>
        <v>3215.3832150000007</v>
      </c>
      <c r="M29" s="6">
        <f t="shared" si="18"/>
        <v>3536.9215365000009</v>
      </c>
      <c r="N29" s="6">
        <f t="shared" si="18"/>
        <v>3890.6136901500013</v>
      </c>
      <c r="O29" s="6">
        <f t="shared" si="18"/>
        <v>4279.6750591650016</v>
      </c>
      <c r="P29" s="6">
        <f t="shared" si="18"/>
        <v>4707.6425650815017</v>
      </c>
      <c r="Q29" s="6">
        <f t="shared" si="18"/>
        <v>5178.4068215896523</v>
      </c>
      <c r="R29" s="6">
        <f t="shared" si="18"/>
        <v>5696.2475037486174</v>
      </c>
      <c r="S29" s="6">
        <f t="shared" si="18"/>
        <v>6265.8722541234793</v>
      </c>
      <c r="T29" s="6">
        <f t="shared" si="18"/>
        <v>6892.4594795358271</v>
      </c>
      <c r="U29" s="6">
        <f t="shared" si="18"/>
        <v>7581.7054274894099</v>
      </c>
      <c r="V29" s="6">
        <f t="shared" si="18"/>
        <v>8339.8759702383504</v>
      </c>
      <c r="W29" s="6">
        <f t="shared" si="18"/>
        <v>9173.8635672621858</v>
      </c>
      <c r="X29" s="6"/>
      <c r="Y29" s="6"/>
      <c r="Z29" s="6"/>
    </row>
    <row r="30" spans="1:26" x14ac:dyDescent="0.3">
      <c r="A30" t="s">
        <v>77</v>
      </c>
      <c r="D30" s="6">
        <v>5000</v>
      </c>
      <c r="E30" s="6">
        <f>D30+D30*0.07</f>
        <v>5350</v>
      </c>
      <c r="F30" s="6">
        <f t="shared" ref="F30:W31" si="19">E30+E30*0.07</f>
        <v>5724.5</v>
      </c>
      <c r="G30" s="6">
        <f t="shared" si="19"/>
        <v>6125.2150000000001</v>
      </c>
      <c r="H30" s="6">
        <f t="shared" si="19"/>
        <v>6553.9800500000001</v>
      </c>
      <c r="I30" s="6">
        <f t="shared" si="19"/>
        <v>7012.7586535</v>
      </c>
      <c r="J30" s="6">
        <f t="shared" si="19"/>
        <v>7503.651759245</v>
      </c>
      <c r="K30" s="6">
        <f t="shared" si="19"/>
        <v>8028.9073823921499</v>
      </c>
      <c r="L30" s="6">
        <f t="shared" si="19"/>
        <v>8590.9308991596008</v>
      </c>
      <c r="M30" s="6">
        <f t="shared" si="19"/>
        <v>9192.2960621007733</v>
      </c>
      <c r="N30" s="6">
        <f t="shared" si="19"/>
        <v>9835.7567864478278</v>
      </c>
      <c r="O30" s="6">
        <f t="shared" si="19"/>
        <v>10524.259761499176</v>
      </c>
      <c r="P30" s="6">
        <f t="shared" si="19"/>
        <v>11260.957944804119</v>
      </c>
      <c r="Q30" s="6">
        <f t="shared" si="19"/>
        <v>12049.225000940407</v>
      </c>
      <c r="R30" s="6">
        <f t="shared" si="19"/>
        <v>12892.670751006235</v>
      </c>
      <c r="S30" s="6">
        <f t="shared" si="19"/>
        <v>13795.157703576671</v>
      </c>
      <c r="T30" s="6">
        <f t="shared" si="19"/>
        <v>14760.818742827039</v>
      </c>
      <c r="U30" s="6">
        <f t="shared" si="19"/>
        <v>15794.076054824933</v>
      </c>
      <c r="V30" s="6">
        <f t="shared" si="19"/>
        <v>16899.661378662677</v>
      </c>
      <c r="W30" s="6">
        <f t="shared" si="19"/>
        <v>18082.637675169062</v>
      </c>
      <c r="X30" s="6"/>
      <c r="Y30" s="6"/>
      <c r="Z30" s="6"/>
    </row>
    <row r="31" spans="1:26" x14ac:dyDescent="0.3">
      <c r="A31" t="s">
        <v>79</v>
      </c>
      <c r="D31" s="6">
        <v>350</v>
      </c>
      <c r="E31" s="6">
        <f>D31+D31*0.07</f>
        <v>374.5</v>
      </c>
      <c r="F31" s="6">
        <f t="shared" si="19"/>
        <v>400.71500000000003</v>
      </c>
      <c r="G31" s="6">
        <f t="shared" si="19"/>
        <v>428.76505000000003</v>
      </c>
      <c r="H31" s="6">
        <f t="shared" si="19"/>
        <v>458.77860350000003</v>
      </c>
      <c r="I31" s="6">
        <f t="shared" si="19"/>
        <v>490.89310574500001</v>
      </c>
      <c r="J31" s="6">
        <f t="shared" si="19"/>
        <v>525.25562314715</v>
      </c>
      <c r="K31" s="6">
        <f t="shared" si="19"/>
        <v>562.02351676745047</v>
      </c>
      <c r="L31" s="6">
        <f t="shared" si="19"/>
        <v>601.365162941172</v>
      </c>
      <c r="M31" s="6">
        <f t="shared" si="19"/>
        <v>643.460724347054</v>
      </c>
      <c r="N31" s="6">
        <f t="shared" si="19"/>
        <v>688.50297505134779</v>
      </c>
      <c r="O31" s="6">
        <f t="shared" si="19"/>
        <v>736.69818330494218</v>
      </c>
      <c r="P31" s="6">
        <f t="shared" si="19"/>
        <v>788.26705613628815</v>
      </c>
      <c r="Q31" s="6">
        <f t="shared" si="19"/>
        <v>843.44575006582829</v>
      </c>
      <c r="R31" s="6">
        <f t="shared" si="19"/>
        <v>902.4869525704363</v>
      </c>
      <c r="S31" s="6">
        <f t="shared" si="19"/>
        <v>965.6610392503668</v>
      </c>
      <c r="T31" s="6">
        <f t="shared" si="19"/>
        <v>1033.2573119978924</v>
      </c>
      <c r="U31" s="6">
        <f t="shared" si="19"/>
        <v>1105.5853238377449</v>
      </c>
      <c r="V31" s="6">
        <f t="shared" si="19"/>
        <v>1182.9762965063871</v>
      </c>
      <c r="W31" s="6">
        <f t="shared" si="19"/>
        <v>1265.7846372618342</v>
      </c>
      <c r="X31" s="6"/>
      <c r="Y31" s="6"/>
      <c r="Z31" s="6"/>
    </row>
    <row r="32" spans="1:26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3">
      <c r="A34" s="3" t="s">
        <v>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">
      <c r="A35" t="s">
        <v>32</v>
      </c>
      <c r="D35" s="6">
        <f t="shared" ref="D35:W35" si="20">D21*0.2</f>
        <v>1200</v>
      </c>
      <c r="E35" s="6">
        <f t="shared" si="20"/>
        <v>1284</v>
      </c>
      <c r="F35" s="6">
        <f t="shared" si="20"/>
        <v>1373.88</v>
      </c>
      <c r="G35" s="6">
        <f t="shared" si="20"/>
        <v>1470.0516</v>
      </c>
      <c r="H35" s="6">
        <f t="shared" si="20"/>
        <v>1572.9552120000001</v>
      </c>
      <c r="I35" s="6">
        <f t="shared" si="20"/>
        <v>1683.0620768400001</v>
      </c>
      <c r="J35" s="6">
        <f t="shared" si="20"/>
        <v>1800.8764222188001</v>
      </c>
      <c r="K35" s="6">
        <f t="shared" si="20"/>
        <v>1926.9377717741163</v>
      </c>
      <c r="L35" s="6">
        <f t="shared" si="20"/>
        <v>2061.8234157983043</v>
      </c>
      <c r="M35" s="6">
        <f t="shared" si="20"/>
        <v>2206.1510549041859</v>
      </c>
      <c r="N35" s="6">
        <f t="shared" si="20"/>
        <v>2360.5816287474786</v>
      </c>
      <c r="O35" s="6">
        <f t="shared" si="20"/>
        <v>2525.8223427598023</v>
      </c>
      <c r="P35" s="6">
        <f t="shared" si="20"/>
        <v>2702.629906752989</v>
      </c>
      <c r="Q35" s="6">
        <f t="shared" si="20"/>
        <v>2891.8140002256982</v>
      </c>
      <c r="R35" s="6">
        <f t="shared" si="20"/>
        <v>3094.2409802414968</v>
      </c>
      <c r="S35" s="6">
        <f t="shared" si="20"/>
        <v>3310.8378488584017</v>
      </c>
      <c r="T35" s="6">
        <f t="shared" si="20"/>
        <v>3542.5964982784894</v>
      </c>
      <c r="U35" s="6">
        <f t="shared" si="20"/>
        <v>3790.5782531579835</v>
      </c>
      <c r="V35" s="6">
        <f t="shared" si="20"/>
        <v>4055.9187308790424</v>
      </c>
      <c r="W35" s="6">
        <f t="shared" si="20"/>
        <v>4339.8330420405755</v>
      </c>
      <c r="X35" s="6"/>
    </row>
    <row r="36" spans="1:24" x14ac:dyDescent="0.3">
      <c r="A36" t="s">
        <v>33</v>
      </c>
      <c r="D36" s="6">
        <f>D22*0.2</f>
        <v>300</v>
      </c>
      <c r="E36" s="6">
        <f t="shared" ref="E36:W36" si="21">E22*0.2</f>
        <v>321</v>
      </c>
      <c r="F36" s="6">
        <f t="shared" si="21"/>
        <v>343.47</v>
      </c>
      <c r="G36" s="6">
        <f t="shared" si="21"/>
        <v>367.5129</v>
      </c>
      <c r="H36" s="6">
        <f t="shared" si="21"/>
        <v>393.23880300000002</v>
      </c>
      <c r="I36" s="6">
        <f t="shared" si="21"/>
        <v>420.76551921000004</v>
      </c>
      <c r="J36" s="6">
        <f t="shared" si="21"/>
        <v>450.21910555470004</v>
      </c>
      <c r="K36" s="6">
        <f t="shared" si="21"/>
        <v>481.73444294352907</v>
      </c>
      <c r="L36" s="6">
        <f t="shared" si="21"/>
        <v>515.45585394957607</v>
      </c>
      <c r="M36" s="6">
        <f t="shared" si="21"/>
        <v>551.53776372604648</v>
      </c>
      <c r="N36" s="6">
        <f t="shared" si="21"/>
        <v>590.14540718686965</v>
      </c>
      <c r="O36" s="6">
        <f t="shared" si="21"/>
        <v>631.45558568995057</v>
      </c>
      <c r="P36" s="6">
        <f t="shared" si="21"/>
        <v>675.65747668824724</v>
      </c>
      <c r="Q36" s="6">
        <f t="shared" si="21"/>
        <v>722.95350005642456</v>
      </c>
      <c r="R36" s="6">
        <f t="shared" si="21"/>
        <v>773.5602450603742</v>
      </c>
      <c r="S36" s="6">
        <f t="shared" si="21"/>
        <v>827.70946221460042</v>
      </c>
      <c r="T36" s="6">
        <f t="shared" si="21"/>
        <v>885.64912456962236</v>
      </c>
      <c r="U36" s="6">
        <f t="shared" si="21"/>
        <v>947.64456328949586</v>
      </c>
      <c r="V36" s="6">
        <f t="shared" si="21"/>
        <v>1013.9796827197606</v>
      </c>
      <c r="W36" s="6">
        <f t="shared" si="21"/>
        <v>1084.9582605101439</v>
      </c>
      <c r="X36" s="6"/>
    </row>
    <row r="37" spans="1:24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</sheetData>
  <phoneticPr fontId="2" type="noConversion"/>
  <pageMargins left="0.7" right="0.7" top="0.75" bottom="0.75" header="0.3" footer="0.3"/>
  <pageSetup orientation="portrait" r:id="rId1"/>
  <ignoredErrors>
    <ignoredError sqref="D23" formulaRange="1"/>
    <ignoredError sqref="E23:F23 G23:W23 E26:M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Feasibility Analysis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 Susan Roy</dc:creator>
  <cp:lastModifiedBy>bhavya jain</cp:lastModifiedBy>
  <dcterms:created xsi:type="dcterms:W3CDTF">2015-06-05T18:17:20Z</dcterms:created>
  <dcterms:modified xsi:type="dcterms:W3CDTF">2023-12-09T00:28:33Z</dcterms:modified>
</cp:coreProperties>
</file>