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f81aacc58fb1015/Desktop/Semester 4/Capstone/Submissions/"/>
    </mc:Choice>
  </mc:AlternateContent>
  <xr:revisionPtr revIDLastSave="187" documentId="8_{FDF6B4A3-30ED-42CD-862B-BF31B2278F6C}" xr6:coauthVersionLast="47" xr6:coauthVersionMax="47" xr10:uidLastSave="{74F1AFF8-6841-424E-A633-C9BBD5CC1D15}"/>
  <bookViews>
    <workbookView xWindow="-108" yWindow="-108" windowWidth="23256" windowHeight="13896" xr2:uid="{00000000-000D-0000-FFFF-FFFF00000000}"/>
  </bookViews>
  <sheets>
    <sheet name="Feasibility Analysis" sheetId="2" r:id="rId1"/>
    <sheet name="Calculations" sheetId="4" r:id="rId2"/>
    <sheet name="Revoledge Solution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7" l="1"/>
  <c r="W18" i="7" s="1"/>
  <c r="U18" i="7"/>
  <c r="N18" i="7"/>
  <c r="O18" i="7" s="1"/>
  <c r="P18" i="7" s="1"/>
  <c r="Q18" i="7" s="1"/>
  <c r="R18" i="7" s="1"/>
  <c r="M18" i="7"/>
  <c r="G18" i="7"/>
  <c r="H18" i="7"/>
  <c r="I18" i="7"/>
  <c r="J18" i="7"/>
  <c r="F18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E9" i="7"/>
  <c r="E15" i="7" s="1"/>
  <c r="F9" i="7"/>
  <c r="F15" i="7" s="1"/>
  <c r="G9" i="7"/>
  <c r="H9" i="7"/>
  <c r="I9" i="7"/>
  <c r="J9" i="7"/>
  <c r="J15" i="7" s="1"/>
  <c r="K9" i="7"/>
  <c r="K15" i="7" s="1"/>
  <c r="L9" i="7"/>
  <c r="L15" i="7" s="1"/>
  <c r="M9" i="7"/>
  <c r="M15" i="7" s="1"/>
  <c r="N9" i="7"/>
  <c r="N15" i="7" s="1"/>
  <c r="O9" i="7"/>
  <c r="O15" i="7" s="1"/>
  <c r="P9" i="7"/>
  <c r="P15" i="7" s="1"/>
  <c r="Q9" i="7"/>
  <c r="Q15" i="7" s="1"/>
  <c r="R9" i="7"/>
  <c r="R15" i="7" s="1"/>
  <c r="S9" i="7"/>
  <c r="S15" i="7" s="1"/>
  <c r="T9" i="7"/>
  <c r="T15" i="7" s="1"/>
  <c r="U9" i="7"/>
  <c r="U15" i="7" s="1"/>
  <c r="V9" i="7"/>
  <c r="V15" i="7" s="1"/>
  <c r="W9" i="7"/>
  <c r="W15" i="7" s="1"/>
  <c r="E10" i="7"/>
  <c r="F10" i="7"/>
  <c r="G10" i="7"/>
  <c r="G15" i="7" s="1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E13" i="7"/>
  <c r="F13" i="7"/>
  <c r="G13" i="7"/>
  <c r="H13" i="7"/>
  <c r="H15" i="7" s="1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I15" i="7"/>
  <c r="D26" i="7"/>
  <c r="F23" i="7"/>
  <c r="G23" i="7"/>
  <c r="H23" i="7"/>
  <c r="I23" i="7" s="1"/>
  <c r="E23" i="7"/>
  <c r="E35" i="7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E34" i="7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D9" i="7"/>
  <c r="D6" i="7"/>
  <c r="D13" i="7" s="1"/>
  <c r="D2" i="7"/>
  <c r="D3" i="7" s="1"/>
  <c r="E18" i="2"/>
  <c r="F18" i="2"/>
  <c r="G18" i="2"/>
  <c r="H18" i="2"/>
  <c r="I18" i="2"/>
  <c r="J18" i="2"/>
  <c r="K18" i="2"/>
  <c r="L18" i="2"/>
  <c r="M18" i="2"/>
  <c r="D1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D39" i="2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E16" i="4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D17" i="2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3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D20" i="4"/>
  <c r="D31" i="4"/>
  <c r="D30" i="4"/>
  <c r="E22" i="4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E19" i="4"/>
  <c r="E31" i="4" s="1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E18" i="4"/>
  <c r="E15" i="4"/>
  <c r="E24" i="4"/>
  <c r="F24" i="4" s="1"/>
  <c r="G24" i="4" s="1"/>
  <c r="H24" i="4" s="1"/>
  <c r="I24" i="4" s="1"/>
  <c r="J24" i="4" s="1"/>
  <c r="K24" i="4" s="1"/>
  <c r="L24" i="4" s="1"/>
  <c r="M24" i="4" s="1"/>
  <c r="N24" i="4" s="1"/>
  <c r="E26" i="4"/>
  <c r="F26" i="4" s="1"/>
  <c r="G26" i="4" s="1"/>
  <c r="H26" i="4" s="1"/>
  <c r="I26" i="4" s="1"/>
  <c r="J26" i="4" s="1"/>
  <c r="D5" i="4"/>
  <c r="E5" i="4" s="1"/>
  <c r="D16" i="2"/>
  <c r="D15" i="2"/>
  <c r="E17" i="4"/>
  <c r="F17" i="4" s="1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D12" i="4"/>
  <c r="D39" i="4" s="1"/>
  <c r="H11" i="4"/>
  <c r="G11" i="4"/>
  <c r="F11" i="4"/>
  <c r="E11" i="4"/>
  <c r="D7" i="4"/>
  <c r="E7" i="4" s="1"/>
  <c r="D2" i="4"/>
  <c r="D3" i="4" s="1"/>
  <c r="L37" i="2"/>
  <c r="M37" i="2"/>
  <c r="N37" i="2"/>
  <c r="O37" i="2"/>
  <c r="P37" i="2"/>
  <c r="Q37" i="2"/>
  <c r="R37" i="2"/>
  <c r="S37" i="2"/>
  <c r="T37" i="2"/>
  <c r="U37" i="2"/>
  <c r="V37" i="2"/>
  <c r="W37" i="2"/>
  <c r="D37" i="2"/>
  <c r="D25" i="2" s="1"/>
  <c r="D2" i="2"/>
  <c r="D3" i="2" s="1"/>
  <c r="D9" i="2" s="1"/>
  <c r="F37" i="2"/>
  <c r="G37" i="2"/>
  <c r="H37" i="2"/>
  <c r="I37" i="2"/>
  <c r="J37" i="2"/>
  <c r="K37" i="2"/>
  <c r="E37" i="2"/>
  <c r="F10" i="2"/>
  <c r="G10" i="2"/>
  <c r="H10" i="2"/>
  <c r="E10" i="2"/>
  <c r="D6" i="2"/>
  <c r="E6" i="2" s="1"/>
  <c r="J23" i="7" l="1"/>
  <c r="D21" i="7"/>
  <c r="D19" i="7"/>
  <c r="D25" i="7" s="1"/>
  <c r="E2" i="7"/>
  <c r="E3" i="7" s="1"/>
  <c r="E6" i="7"/>
  <c r="D10" i="7"/>
  <c r="D15" i="7" s="1"/>
  <c r="N18" i="2"/>
  <c r="O24" i="4"/>
  <c r="P24" i="4" s="1"/>
  <c r="Q24" i="4" s="1"/>
  <c r="R24" i="4" s="1"/>
  <c r="S24" i="4" s="1"/>
  <c r="T24" i="4" s="1"/>
  <c r="U24" i="4" s="1"/>
  <c r="V24" i="4" s="1"/>
  <c r="W24" i="4" s="1"/>
  <c r="X24" i="4" s="1"/>
  <c r="D24" i="2"/>
  <c r="D40" i="2" s="1"/>
  <c r="F18" i="4"/>
  <c r="F19" i="4"/>
  <c r="D37" i="4"/>
  <c r="E30" i="4"/>
  <c r="D38" i="2"/>
  <c r="E2" i="4"/>
  <c r="E3" i="4" s="1"/>
  <c r="D20" i="2"/>
  <c r="D28" i="2" s="1"/>
  <c r="E20" i="2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J20" i="2"/>
  <c r="K26" i="4"/>
  <c r="H20" i="2"/>
  <c r="G20" i="2"/>
  <c r="F20" i="2"/>
  <c r="G17" i="4"/>
  <c r="E16" i="2"/>
  <c r="E15" i="2"/>
  <c r="F7" i="4"/>
  <c r="F2" i="4"/>
  <c r="E12" i="4"/>
  <c r="F6" i="2"/>
  <c r="F15" i="2" s="1"/>
  <c r="F2" i="2"/>
  <c r="E2" i="2"/>
  <c r="E3" i="2" s="1"/>
  <c r="E9" i="2" s="1"/>
  <c r="K23" i="7" l="1"/>
  <c r="E19" i="7"/>
  <c r="E21" i="7"/>
  <c r="D27" i="7"/>
  <c r="F6" i="7"/>
  <c r="F2" i="7"/>
  <c r="F3" i="7" s="1"/>
  <c r="O18" i="2"/>
  <c r="E24" i="2"/>
  <c r="E40" i="2" s="1"/>
  <c r="F24" i="2" s="1"/>
  <c r="F40" i="2" s="1"/>
  <c r="G24" i="2" s="1"/>
  <c r="G40" i="2" s="1"/>
  <c r="H24" i="2" s="1"/>
  <c r="H40" i="2" s="1"/>
  <c r="G19" i="4"/>
  <c r="F31" i="4"/>
  <c r="G18" i="4"/>
  <c r="F30" i="4"/>
  <c r="E25" i="2"/>
  <c r="E28" i="2" s="1"/>
  <c r="F16" i="2"/>
  <c r="I20" i="2"/>
  <c r="F3" i="4"/>
  <c r="K20" i="2"/>
  <c r="L26" i="4"/>
  <c r="H17" i="4"/>
  <c r="F12" i="4"/>
  <c r="G7" i="4"/>
  <c r="G2" i="4"/>
  <c r="G3" i="4" s="1"/>
  <c r="F3" i="2"/>
  <c r="E11" i="2"/>
  <c r="E30" i="2" s="1"/>
  <c r="G6" i="2"/>
  <c r="G16" i="2" s="1"/>
  <c r="G2" i="2"/>
  <c r="D11" i="2"/>
  <c r="D30" i="2" s="1"/>
  <c r="E25" i="7" l="1"/>
  <c r="E27" i="7" s="1"/>
  <c r="E28" i="7" s="1"/>
  <c r="E29" i="7" s="1"/>
  <c r="E30" i="7" s="1"/>
  <c r="D28" i="7"/>
  <c r="D29" i="7" s="1"/>
  <c r="D30" i="7" s="1"/>
  <c r="L23" i="7"/>
  <c r="F19" i="7"/>
  <c r="F21" i="7"/>
  <c r="G2" i="7"/>
  <c r="G3" i="7" s="1"/>
  <c r="G6" i="7"/>
  <c r="P18" i="2"/>
  <c r="I24" i="2"/>
  <c r="I40" i="2" s="1"/>
  <c r="H18" i="4"/>
  <c r="G30" i="4"/>
  <c r="H19" i="4"/>
  <c r="G31" i="4"/>
  <c r="E38" i="2"/>
  <c r="F9" i="2"/>
  <c r="F11" i="2" s="1"/>
  <c r="F30" i="2" s="1"/>
  <c r="G15" i="2"/>
  <c r="M26" i="4"/>
  <c r="L20" i="2"/>
  <c r="I17" i="4"/>
  <c r="G12" i="4"/>
  <c r="H7" i="4"/>
  <c r="H2" i="4"/>
  <c r="H3" i="4" s="1"/>
  <c r="H6" i="2"/>
  <c r="H15" i="2" s="1"/>
  <c r="H2" i="2"/>
  <c r="G3" i="2"/>
  <c r="F25" i="7" l="1"/>
  <c r="F27" i="7" s="1"/>
  <c r="F28" i="7" s="1"/>
  <c r="F29" i="7" s="1"/>
  <c r="F30" i="7" s="1"/>
  <c r="M23" i="7"/>
  <c r="G19" i="7"/>
  <c r="G21" i="7"/>
  <c r="H2" i="7"/>
  <c r="H3" i="7" s="1"/>
  <c r="H6" i="7"/>
  <c r="Q18" i="2"/>
  <c r="J24" i="2"/>
  <c r="J40" i="2" s="1"/>
  <c r="I19" i="4"/>
  <c r="H31" i="4"/>
  <c r="I18" i="4"/>
  <c r="H30" i="4"/>
  <c r="F25" i="2"/>
  <c r="G9" i="2"/>
  <c r="G11" i="2" s="1"/>
  <c r="G30" i="2" s="1"/>
  <c r="H16" i="2"/>
  <c r="M20" i="2"/>
  <c r="N26" i="4"/>
  <c r="J17" i="4"/>
  <c r="H12" i="4"/>
  <c r="I7" i="4"/>
  <c r="I2" i="4"/>
  <c r="I3" i="4" s="1"/>
  <c r="H3" i="2"/>
  <c r="I6" i="2"/>
  <c r="I16" i="2" s="1"/>
  <c r="I2" i="2"/>
  <c r="G25" i="7" l="1"/>
  <c r="G27" i="7"/>
  <c r="G28" i="7" s="1"/>
  <c r="G29" i="7" s="1"/>
  <c r="G30" i="7" s="1"/>
  <c r="N23" i="7"/>
  <c r="H19" i="7"/>
  <c r="H21" i="7"/>
  <c r="I2" i="7"/>
  <c r="I3" i="7" s="1"/>
  <c r="I6" i="7"/>
  <c r="R18" i="2"/>
  <c r="K24" i="2"/>
  <c r="K40" i="2" s="1"/>
  <c r="J18" i="4"/>
  <c r="I30" i="4"/>
  <c r="J19" i="4"/>
  <c r="I31" i="4"/>
  <c r="F28" i="2"/>
  <c r="F38" i="2"/>
  <c r="G25" i="2" s="1"/>
  <c r="H9" i="2"/>
  <c r="H11" i="2" s="1"/>
  <c r="H30" i="2" s="1"/>
  <c r="I15" i="2"/>
  <c r="O26" i="4"/>
  <c r="N20" i="2"/>
  <c r="K17" i="4"/>
  <c r="I12" i="4"/>
  <c r="J2" i="4"/>
  <c r="J3" i="4" s="1"/>
  <c r="J7" i="4"/>
  <c r="I3" i="2"/>
  <c r="J2" i="2"/>
  <c r="J6" i="2"/>
  <c r="J15" i="2" s="1"/>
  <c r="H25" i="7" l="1"/>
  <c r="H27" i="7"/>
  <c r="H28" i="7" s="1"/>
  <c r="H29" i="7" s="1"/>
  <c r="H30" i="7" s="1"/>
  <c r="O23" i="7"/>
  <c r="I19" i="7"/>
  <c r="I21" i="7"/>
  <c r="J6" i="7"/>
  <c r="J2" i="7"/>
  <c r="J3" i="7" s="1"/>
  <c r="S18" i="2"/>
  <c r="L24" i="2"/>
  <c r="L40" i="2" s="1"/>
  <c r="K19" i="4"/>
  <c r="J31" i="4"/>
  <c r="K18" i="4"/>
  <c r="J30" i="4"/>
  <c r="G38" i="2"/>
  <c r="H25" i="2" s="1"/>
  <c r="G28" i="2"/>
  <c r="J16" i="2"/>
  <c r="I9" i="2"/>
  <c r="I11" i="2" s="1"/>
  <c r="I30" i="2" s="1"/>
  <c r="P26" i="4"/>
  <c r="O20" i="2"/>
  <c r="L17" i="4"/>
  <c r="J12" i="4"/>
  <c r="K2" i="4"/>
  <c r="K3" i="4" s="1"/>
  <c r="K7" i="4"/>
  <c r="J3" i="2"/>
  <c r="J9" i="2" s="1"/>
  <c r="J11" i="2" s="1"/>
  <c r="J30" i="2" s="1"/>
  <c r="K6" i="2"/>
  <c r="K16" i="2" s="1"/>
  <c r="K2" i="2"/>
  <c r="K3" i="2" s="1"/>
  <c r="K9" i="2" s="1"/>
  <c r="I25" i="7" l="1"/>
  <c r="I27" i="7"/>
  <c r="I28" i="7" s="1"/>
  <c r="I29" i="7" s="1"/>
  <c r="I30" i="7" s="1"/>
  <c r="P23" i="7"/>
  <c r="J19" i="7"/>
  <c r="J21" i="7"/>
  <c r="K2" i="7"/>
  <c r="K3" i="7" s="1"/>
  <c r="K6" i="7"/>
  <c r="T18" i="2"/>
  <c r="M24" i="2"/>
  <c r="M40" i="2" s="1"/>
  <c r="L18" i="4"/>
  <c r="K30" i="4"/>
  <c r="L19" i="4"/>
  <c r="K31" i="4"/>
  <c r="H38" i="2"/>
  <c r="H28" i="2"/>
  <c r="K15" i="2"/>
  <c r="P20" i="2"/>
  <c r="Q26" i="4"/>
  <c r="M17" i="4"/>
  <c r="K12" i="4"/>
  <c r="L7" i="4"/>
  <c r="L2" i="4"/>
  <c r="L3" i="4" s="1"/>
  <c r="K11" i="2"/>
  <c r="K30" i="2" s="1"/>
  <c r="L2" i="2"/>
  <c r="L3" i="2" s="1"/>
  <c r="L9" i="2" s="1"/>
  <c r="L6" i="2"/>
  <c r="L15" i="2" s="1"/>
  <c r="J25" i="7" l="1"/>
  <c r="J27" i="7" s="1"/>
  <c r="J28" i="7" s="1"/>
  <c r="J29" i="7" s="1"/>
  <c r="J30" i="7" s="1"/>
  <c r="Q23" i="7"/>
  <c r="K19" i="7"/>
  <c r="K21" i="7"/>
  <c r="L2" i="7"/>
  <c r="L3" i="7" s="1"/>
  <c r="L6" i="7"/>
  <c r="U18" i="2"/>
  <c r="N24" i="2"/>
  <c r="N40" i="2" s="1"/>
  <c r="M19" i="4"/>
  <c r="L31" i="4"/>
  <c r="M18" i="4"/>
  <c r="L30" i="4"/>
  <c r="I25" i="2"/>
  <c r="I38" i="2"/>
  <c r="L16" i="2"/>
  <c r="Q20" i="2"/>
  <c r="R26" i="4"/>
  <c r="N17" i="4"/>
  <c r="L12" i="4"/>
  <c r="M7" i="4"/>
  <c r="M2" i="4"/>
  <c r="M3" i="4" s="1"/>
  <c r="L11" i="2"/>
  <c r="L30" i="2" s="1"/>
  <c r="M2" i="2"/>
  <c r="M3" i="2" s="1"/>
  <c r="M9" i="2" s="1"/>
  <c r="M6" i="2"/>
  <c r="M15" i="2" s="1"/>
  <c r="K25" i="7" l="1"/>
  <c r="K27" i="7" s="1"/>
  <c r="K28" i="7" s="1"/>
  <c r="K29" i="7" s="1"/>
  <c r="K30" i="7" s="1"/>
  <c r="R23" i="7"/>
  <c r="L19" i="7"/>
  <c r="L21" i="7"/>
  <c r="M6" i="7"/>
  <c r="M2" i="7"/>
  <c r="M3" i="7" s="1"/>
  <c r="V18" i="2"/>
  <c r="O24" i="2"/>
  <c r="O40" i="2" s="1"/>
  <c r="N18" i="4"/>
  <c r="M30" i="4"/>
  <c r="N19" i="4"/>
  <c r="M31" i="4"/>
  <c r="J25" i="2"/>
  <c r="J38" i="2"/>
  <c r="I28" i="2"/>
  <c r="M16" i="2"/>
  <c r="S26" i="4"/>
  <c r="R20" i="2"/>
  <c r="O17" i="4"/>
  <c r="M12" i="4"/>
  <c r="N7" i="4"/>
  <c r="N2" i="4"/>
  <c r="N3" i="4" s="1"/>
  <c r="M11" i="2"/>
  <c r="M30" i="2" s="1"/>
  <c r="N6" i="2"/>
  <c r="N16" i="2" s="1"/>
  <c r="N2" i="2"/>
  <c r="N3" i="2" s="1"/>
  <c r="N9" i="2" s="1"/>
  <c r="L25" i="7" l="1"/>
  <c r="L27" i="7"/>
  <c r="L28" i="7" s="1"/>
  <c r="L29" i="7" s="1"/>
  <c r="L30" i="7" s="1"/>
  <c r="S23" i="7"/>
  <c r="M19" i="7"/>
  <c r="M21" i="7"/>
  <c r="N6" i="7"/>
  <c r="N2" i="7"/>
  <c r="N3" i="7" s="1"/>
  <c r="W18" i="2"/>
  <c r="P24" i="2"/>
  <c r="P40" i="2" s="1"/>
  <c r="O19" i="4"/>
  <c r="N31" i="4"/>
  <c r="O18" i="4"/>
  <c r="N30" i="4"/>
  <c r="K25" i="2"/>
  <c r="K38" i="2"/>
  <c r="J28" i="2"/>
  <c r="N15" i="2"/>
  <c r="S20" i="2"/>
  <c r="T26" i="4"/>
  <c r="P17" i="4"/>
  <c r="N12" i="4"/>
  <c r="O7" i="4"/>
  <c r="O2" i="4"/>
  <c r="O3" i="4" s="1"/>
  <c r="N11" i="2"/>
  <c r="N30" i="2" s="1"/>
  <c r="O6" i="2"/>
  <c r="O15" i="2" s="1"/>
  <c r="O2" i="2"/>
  <c r="O3" i="2" s="1"/>
  <c r="O9" i="2" s="1"/>
  <c r="M25" i="7" l="1"/>
  <c r="M27" i="7" s="1"/>
  <c r="M28" i="7" s="1"/>
  <c r="M29" i="7" s="1"/>
  <c r="M30" i="7" s="1"/>
  <c r="T23" i="7"/>
  <c r="N19" i="7"/>
  <c r="N21" i="7"/>
  <c r="O6" i="7"/>
  <c r="O2" i="7"/>
  <c r="O3" i="7" s="1"/>
  <c r="Q24" i="2"/>
  <c r="Q40" i="2" s="1"/>
  <c r="P18" i="4"/>
  <c r="O30" i="4"/>
  <c r="P19" i="4"/>
  <c r="O31" i="4"/>
  <c r="L25" i="2"/>
  <c r="L38" i="2"/>
  <c r="M25" i="2" s="1"/>
  <c r="K28" i="2"/>
  <c r="O16" i="2"/>
  <c r="U26" i="4"/>
  <c r="T20" i="2"/>
  <c r="Q17" i="4"/>
  <c r="O12" i="4"/>
  <c r="P7" i="4"/>
  <c r="P2" i="4"/>
  <c r="P3" i="4" s="1"/>
  <c r="O11" i="2"/>
  <c r="O30" i="2" s="1"/>
  <c r="P6" i="2"/>
  <c r="P16" i="2" s="1"/>
  <c r="P2" i="2"/>
  <c r="P3" i="2" s="1"/>
  <c r="N25" i="7" l="1"/>
  <c r="N27" i="7" s="1"/>
  <c r="N28" i="7" s="1"/>
  <c r="N29" i="7" s="1"/>
  <c r="N30" i="7" s="1"/>
  <c r="U23" i="7"/>
  <c r="O19" i="7"/>
  <c r="O21" i="7"/>
  <c r="P2" i="7"/>
  <c r="P3" i="7" s="1"/>
  <c r="P6" i="7"/>
  <c r="R24" i="2"/>
  <c r="R40" i="2" s="1"/>
  <c r="M38" i="2"/>
  <c r="Q18" i="4"/>
  <c r="P30" i="4"/>
  <c r="Q19" i="4"/>
  <c r="P31" i="4"/>
  <c r="M28" i="2"/>
  <c r="L28" i="2"/>
  <c r="N25" i="2"/>
  <c r="P9" i="2"/>
  <c r="P11" i="2" s="1"/>
  <c r="P30" i="2" s="1"/>
  <c r="P15" i="2"/>
  <c r="U20" i="2"/>
  <c r="V26" i="4"/>
  <c r="R17" i="4"/>
  <c r="P12" i="4"/>
  <c r="Q7" i="4"/>
  <c r="Q2" i="4"/>
  <c r="Q3" i="4" s="1"/>
  <c r="Q6" i="2"/>
  <c r="Q16" i="2" s="1"/>
  <c r="Q2" i="2"/>
  <c r="Q3" i="2" s="1"/>
  <c r="O25" i="7" l="1"/>
  <c r="O27" i="7" s="1"/>
  <c r="O28" i="7" s="1"/>
  <c r="O29" i="7" s="1"/>
  <c r="O30" i="7" s="1"/>
  <c r="V23" i="7"/>
  <c r="P19" i="7"/>
  <c r="P21" i="7"/>
  <c r="Q6" i="7"/>
  <c r="Q2" i="7"/>
  <c r="Q3" i="7" s="1"/>
  <c r="S24" i="2"/>
  <c r="S40" i="2" s="1"/>
  <c r="R19" i="4"/>
  <c r="Q31" i="4"/>
  <c r="R18" i="4"/>
  <c r="Q30" i="4"/>
  <c r="N28" i="2"/>
  <c r="N38" i="2"/>
  <c r="Q15" i="2"/>
  <c r="Q9" i="2"/>
  <c r="Q11" i="2" s="1"/>
  <c r="Q30" i="2" s="1"/>
  <c r="V20" i="2"/>
  <c r="W26" i="4"/>
  <c r="S17" i="4"/>
  <c r="R2" i="4"/>
  <c r="R3" i="4" s="1"/>
  <c r="R7" i="4"/>
  <c r="Q12" i="4"/>
  <c r="R6" i="2"/>
  <c r="R15" i="2" s="1"/>
  <c r="R2" i="2"/>
  <c r="R3" i="2" s="1"/>
  <c r="R9" i="2" s="1"/>
  <c r="P25" i="7" l="1"/>
  <c r="P27" i="7"/>
  <c r="P28" i="7" s="1"/>
  <c r="P29" i="7" s="1"/>
  <c r="P30" i="7" s="1"/>
  <c r="W23" i="7"/>
  <c r="Q19" i="7"/>
  <c r="Q21" i="7"/>
  <c r="R2" i="7"/>
  <c r="R3" i="7" s="1"/>
  <c r="R6" i="7"/>
  <c r="T24" i="2"/>
  <c r="T40" i="2" s="1"/>
  <c r="S19" i="4"/>
  <c r="R31" i="4"/>
  <c r="S18" i="4"/>
  <c r="R30" i="4"/>
  <c r="O25" i="2"/>
  <c r="R16" i="2"/>
  <c r="W20" i="2"/>
  <c r="X26" i="4"/>
  <c r="T17" i="4"/>
  <c r="R12" i="4"/>
  <c r="S2" i="4"/>
  <c r="S3" i="4" s="1"/>
  <c r="S7" i="4"/>
  <c r="R11" i="2"/>
  <c r="R30" i="2" s="1"/>
  <c r="S6" i="2"/>
  <c r="S15" i="2" s="1"/>
  <c r="S2" i="2"/>
  <c r="S3" i="2" s="1"/>
  <c r="S9" i="2" s="1"/>
  <c r="Q25" i="7" l="1"/>
  <c r="Q27" i="7" s="1"/>
  <c r="Q28" i="7" s="1"/>
  <c r="Q29" i="7" s="1"/>
  <c r="Q30" i="7" s="1"/>
  <c r="R19" i="7"/>
  <c r="R21" i="7"/>
  <c r="S2" i="7"/>
  <c r="S3" i="7" s="1"/>
  <c r="S6" i="7"/>
  <c r="U24" i="2"/>
  <c r="U40" i="2" s="1"/>
  <c r="T18" i="4"/>
  <c r="S30" i="4"/>
  <c r="T19" i="4"/>
  <c r="S31" i="4"/>
  <c r="O28" i="2"/>
  <c r="O38" i="2"/>
  <c r="S16" i="2"/>
  <c r="U17" i="4"/>
  <c r="S12" i="4"/>
  <c r="T7" i="4"/>
  <c r="T2" i="4"/>
  <c r="T3" i="4" s="1"/>
  <c r="S11" i="2"/>
  <c r="S30" i="2" s="1"/>
  <c r="T6" i="2"/>
  <c r="T16" i="2" s="1"/>
  <c r="T2" i="2"/>
  <c r="T3" i="2" s="1"/>
  <c r="T9" i="2" s="1"/>
  <c r="R25" i="7" l="1"/>
  <c r="R27" i="7" s="1"/>
  <c r="R28" i="7" s="1"/>
  <c r="R29" i="7" s="1"/>
  <c r="R30" i="7" s="1"/>
  <c r="S19" i="7"/>
  <c r="S21" i="7"/>
  <c r="T2" i="7"/>
  <c r="T3" i="7" s="1"/>
  <c r="T6" i="7"/>
  <c r="V24" i="2"/>
  <c r="V40" i="2" s="1"/>
  <c r="U19" i="4"/>
  <c r="T31" i="4"/>
  <c r="U18" i="4"/>
  <c r="T30" i="4"/>
  <c r="P25" i="2"/>
  <c r="T15" i="2"/>
  <c r="V17" i="4"/>
  <c r="T12" i="4"/>
  <c r="U2" i="4"/>
  <c r="U3" i="4" s="1"/>
  <c r="U7" i="4"/>
  <c r="T11" i="2"/>
  <c r="T30" i="2" s="1"/>
  <c r="U6" i="2"/>
  <c r="U15" i="2" s="1"/>
  <c r="U2" i="2"/>
  <c r="U3" i="2" s="1"/>
  <c r="U9" i="2" s="1"/>
  <c r="S25" i="7" l="1"/>
  <c r="S27" i="7" s="1"/>
  <c r="S28" i="7" s="1"/>
  <c r="S29" i="7" s="1"/>
  <c r="S30" i="7" s="1"/>
  <c r="T19" i="7"/>
  <c r="T21" i="7"/>
  <c r="U6" i="7"/>
  <c r="U2" i="7"/>
  <c r="U3" i="7" s="1"/>
  <c r="W24" i="2"/>
  <c r="W40" i="2" s="1"/>
  <c r="V18" i="4"/>
  <c r="U30" i="4"/>
  <c r="V19" i="4"/>
  <c r="U31" i="4"/>
  <c r="P28" i="2"/>
  <c r="P38" i="2"/>
  <c r="U16" i="2"/>
  <c r="W17" i="4"/>
  <c r="U12" i="4"/>
  <c r="V7" i="4"/>
  <c r="V2" i="4"/>
  <c r="V3" i="4" s="1"/>
  <c r="U11" i="2"/>
  <c r="U30" i="2" s="1"/>
  <c r="V6" i="2"/>
  <c r="V16" i="2" s="1"/>
  <c r="V2" i="2"/>
  <c r="V3" i="2" s="1"/>
  <c r="V9" i="2" s="1"/>
  <c r="T25" i="7" l="1"/>
  <c r="T27" i="7"/>
  <c r="T28" i="7" s="1"/>
  <c r="T29" i="7" s="1"/>
  <c r="T30" i="7" s="1"/>
  <c r="U19" i="7"/>
  <c r="U21" i="7"/>
  <c r="V2" i="7"/>
  <c r="V3" i="7" s="1"/>
  <c r="V6" i="7"/>
  <c r="W19" i="4"/>
  <c r="V31" i="4"/>
  <c r="W18" i="4"/>
  <c r="V30" i="4"/>
  <c r="Q25" i="2"/>
  <c r="V15" i="2"/>
  <c r="X17" i="4"/>
  <c r="V12" i="4"/>
  <c r="W7" i="4"/>
  <c r="W2" i="4"/>
  <c r="W3" i="4" s="1"/>
  <c r="V11" i="2"/>
  <c r="V30" i="2" s="1"/>
  <c r="W6" i="2"/>
  <c r="W15" i="2" s="1"/>
  <c r="W2" i="2"/>
  <c r="W3" i="2" s="1"/>
  <c r="W9" i="2" s="1"/>
  <c r="U25" i="7" l="1"/>
  <c r="U27" i="7" s="1"/>
  <c r="U28" i="7" s="1"/>
  <c r="U29" i="7" s="1"/>
  <c r="U30" i="7" s="1"/>
  <c r="V19" i="7"/>
  <c r="V21" i="7"/>
  <c r="W6" i="7"/>
  <c r="W2" i="7"/>
  <c r="W3" i="7" s="1"/>
  <c r="X18" i="4"/>
  <c r="W30" i="4"/>
  <c r="X19" i="4"/>
  <c r="W31" i="4"/>
  <c r="Q28" i="2"/>
  <c r="Q38" i="2"/>
  <c r="W16" i="2"/>
  <c r="W12" i="4"/>
  <c r="X7" i="4"/>
  <c r="X2" i="4"/>
  <c r="X3" i="4" s="1"/>
  <c r="X12" i="4" s="1"/>
  <c r="W11" i="2"/>
  <c r="W30" i="2" s="1"/>
  <c r="V25" i="7" l="1"/>
  <c r="V27" i="7" s="1"/>
  <c r="V28" i="7" s="1"/>
  <c r="V29" i="7" s="1"/>
  <c r="V30" i="7" s="1"/>
  <c r="W19" i="7"/>
  <c r="W21" i="7"/>
  <c r="X31" i="4"/>
  <c r="X30" i="4"/>
  <c r="R25" i="2"/>
  <c r="W25" i="7" l="1"/>
  <c r="W27" i="7" s="1"/>
  <c r="W28" i="7" s="1"/>
  <c r="W29" i="7" s="1"/>
  <c r="W30" i="7" s="1"/>
  <c r="R28" i="2"/>
  <c r="R38" i="2"/>
  <c r="S25" i="2" l="1"/>
  <c r="S28" i="2" l="1"/>
  <c r="S38" i="2"/>
  <c r="T25" i="2" l="1"/>
  <c r="T28" i="2" l="1"/>
  <c r="T38" i="2"/>
  <c r="U25" i="2" l="1"/>
  <c r="U28" i="2" l="1"/>
  <c r="U38" i="2"/>
  <c r="V25" i="2" l="1"/>
  <c r="V28" i="2" l="1"/>
  <c r="V38" i="2"/>
  <c r="W25" i="2" l="1"/>
  <c r="W28" i="2" l="1"/>
  <c r="W38" i="2"/>
  <c r="D29" i="2" l="1"/>
  <c r="D31" i="2" s="1"/>
  <c r="D33" i="2" l="1"/>
  <c r="D34" i="2" s="1"/>
  <c r="D38" i="4"/>
  <c r="D40" i="4" s="1"/>
  <c r="D41" i="4" s="1"/>
  <c r="D42" i="4" l="1"/>
  <c r="D43" i="4" s="1"/>
  <c r="D44" i="4" s="1"/>
  <c r="K29" i="2"/>
  <c r="K31" i="2" s="1"/>
  <c r="G29" i="2"/>
  <c r="G31" i="2" s="1"/>
  <c r="T29" i="2"/>
  <c r="T31" i="2" s="1"/>
  <c r="R29" i="2"/>
  <c r="R31" i="2" s="1"/>
  <c r="N29" i="2"/>
  <c r="N31" i="2" s="1"/>
  <c r="O29" i="2"/>
  <c r="O31" i="2" s="1"/>
  <c r="P29" i="2"/>
  <c r="P31" i="2" s="1"/>
  <c r="I29" i="2"/>
  <c r="I31" i="2" s="1"/>
  <c r="J29" i="2"/>
  <c r="J31" i="2" s="1"/>
  <c r="S29" i="2"/>
  <c r="S31" i="2" s="1"/>
  <c r="F29" i="2"/>
  <c r="F31" i="2" s="1"/>
  <c r="E29" i="2"/>
  <c r="E31" i="2" s="1"/>
  <c r="W29" i="2"/>
  <c r="W31" i="2" s="1"/>
  <c r="U29" i="2"/>
  <c r="U31" i="2" s="1"/>
  <c r="H29" i="2"/>
  <c r="H31" i="2" s="1"/>
  <c r="M29" i="2"/>
  <c r="M31" i="2" s="1"/>
  <c r="L29" i="2"/>
  <c r="L31" i="2" s="1"/>
  <c r="Q29" i="2"/>
  <c r="Q31" i="2" s="1"/>
  <c r="V29" i="2"/>
  <c r="V31" i="2" s="1"/>
  <c r="Q32" i="2" l="1"/>
  <c r="Q33" i="2" s="1"/>
  <c r="Q34" i="2" s="1"/>
  <c r="I32" i="2"/>
  <c r="I33" i="2" s="1"/>
  <c r="I34" i="2" s="1"/>
  <c r="E32" i="2"/>
  <c r="E33" i="2"/>
  <c r="E34" i="2" s="1"/>
  <c r="S32" i="2"/>
  <c r="S33" i="2" s="1"/>
  <c r="S34" i="2" s="1"/>
  <c r="O32" i="2"/>
  <c r="O33" i="2" s="1"/>
  <c r="O34" i="2" s="1"/>
  <c r="V32" i="2"/>
  <c r="V33" i="2" s="1"/>
  <c r="V34" i="2" s="1"/>
  <c r="W32" i="2"/>
  <c r="W33" i="2" s="1"/>
  <c r="W34" i="2" s="1"/>
  <c r="F32" i="2"/>
  <c r="F33" i="2" s="1"/>
  <c r="F34" i="2" s="1"/>
  <c r="J32" i="2"/>
  <c r="J33" i="2" s="1"/>
  <c r="J34" i="2" s="1"/>
  <c r="P32" i="2"/>
  <c r="P33" i="2"/>
  <c r="P34" i="2" s="1"/>
  <c r="N32" i="2"/>
  <c r="N33" i="2" s="1"/>
  <c r="N34" i="2" s="1"/>
  <c r="R32" i="2"/>
  <c r="R33" i="2"/>
  <c r="R34" i="2" s="1"/>
  <c r="G32" i="2"/>
  <c r="G33" i="2" s="1"/>
  <c r="G34" i="2" s="1"/>
  <c r="L32" i="2"/>
  <c r="L33" i="2" s="1"/>
  <c r="L34" i="2" s="1"/>
  <c r="T32" i="2"/>
  <c r="T33" i="2" s="1"/>
  <c r="T34" i="2" s="1"/>
  <c r="M32" i="2"/>
  <c r="M33" i="2" s="1"/>
  <c r="M34" i="2" s="1"/>
  <c r="K32" i="2"/>
  <c r="K33" i="2" s="1"/>
  <c r="K34" i="2" s="1"/>
  <c r="H32" i="2"/>
  <c r="H33" i="2" s="1"/>
  <c r="H34" i="2" s="1"/>
  <c r="U32" i="2"/>
  <c r="U33" i="2" s="1"/>
  <c r="U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tc={CE0899E8-3AED-4DD3-A05C-FC5C171DEEC8}</author>
    <author>tc={7A3693EE-9A83-4C48-9A2A-A5D1FC390D96}</author>
    <author>tc={DC9FE012-3EE3-4E75-87D6-542660AF4DEB}</author>
    <author>tc={4B2B6ABE-32D9-4B98-9FF0-7227DE8C31CE}</author>
    <author>tc={69CEB9CD-F353-4BE0-B0C0-FE5439241691}</author>
    <author>tc={5DC72FF9-2E33-40F1-9A1C-522350BAD2C0}</author>
    <author>tc={2E2CA0FE-3825-40B7-871F-EA72DF429DC4}</author>
    <author>tc={48BD27EA-9B4C-4392-97CE-97C246DD3DD3}</author>
    <author>tc={4D13A732-8BBF-465D-920E-E48FD20BCCA6}</author>
    <author>tc={3BDC4718-95B7-45B0-8AC2-CE6FAE8B1876}</author>
    <author>tc={521CEB4A-399E-4B6E-B2E8-9FF969A3F35E}</author>
    <author>tc={C7E0AFFF-94B6-482F-8EDA-998751DB300C}</author>
    <author>tc={5AF3F350-8433-4700-8507-40F19649EB84}</author>
    <author>tc={16C1CB8A-7288-4DBF-86A1-3A42CDD8D069}</author>
    <author>tc={7D108070-428B-4684-87E3-4E07346F577A}</author>
  </authors>
  <commentList>
    <comment ref="A2" authorId="0" shapeId="0" xr:uid="{CE0899E8-3AED-4DD3-A05C-FC5C171DEEC8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customers added per new branch and 50 new customers per existing branch transformed.</t>
      </text>
    </comment>
    <comment ref="D2" authorId="1" shapeId="0" xr:uid="{7A3693EE-9A83-4C48-9A2A-A5D1FC390D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total 100 Branches, 80 new location and 20 current branches.
</t>
      </text>
    </comment>
    <comment ref="E2" authorId="2" shapeId="0" xr:uid="{DC9FE012-3EE3-4E75-87D6-542660AF4DEB}">
      <text>
        <t>[Threaded comment]
Your version of Excel allows you to read this threaded comment; however, any edits to it will get removed if the file is opened in a newer version of Excel. Learn more: https://go.microsoft.com/fwlink/?linkid=870924
Comment:
    280 current branches and 50 new remote branches</t>
      </text>
    </comment>
    <comment ref="D9" authorId="3" shapeId="0" xr:uid="{4B2B6ABE-32D9-4B98-9FF0-7227DE8C31CE}">
      <text>
        <t>[Threaded comment]
Your version of Excel allows you to read this threaded comment; however, any edits to it will get removed if the file is opened in a newer version of Excel. Learn more: https://go.microsoft.com/fwlink/?linkid=870924
Comment:
    (On an average, 250 new customers per new location*80 new branches+50 new customers from 20 existing branches)*$450 approximate revenue per customer  yearly( Transaction fees, Service charges, Deposits, interest income etc.)</t>
      </text>
    </comment>
    <comment ref="A10" authorId="4" shapeId="0" xr:uid="{69CEB9CD-F353-4BE0-B0C0-FE5439241691}">
      <text>
        <t>[Threaded comment]
Your version of Excel allows you to read this threaded comment; however, any edits to it will get removed if the file is opened in a newer version of Excel. Learn more: https://go.microsoft.com/fwlink/?linkid=870924
Comment:
    $50000 per employee</t>
      </text>
    </comment>
    <comment ref="D15" authorId="5" shapeId="0" xr:uid="{5DC72FF9-2E33-40F1-9A1C-522350BAD2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Yearly Maintenance Cost which includes. – Total - $850,000 / yr
Maintenance Engineers Salary / Travel Cost – $650,000
24 X 7 Technical Support - $200,000
</t>
      </text>
    </comment>
    <comment ref="D16" authorId="6" shapeId="0" xr:uid="{2E2CA0FE-3825-40B7-871F-EA72DF429D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Operating Cost of kiosks in total for 100 branch- $110,000 / yearly
Remote Location - $1200
Electricity - $500
Network- $500
Miscellaneous - $200
City Location - $700
Electricity - $300
Network- $250
Miscellaneous - $150
</t>
      </text>
    </comment>
    <comment ref="D18" authorId="7" shapeId="0" xr:uid="{48BD27EA-9B4C-4392-97CE-97C246DD3D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Yearly marketing cost
</t>
      </text>
    </comment>
    <comment ref="D19" authorId="8" shapeId="0" xr:uid="{4D13A732-8BBF-465D-920E-E48FD20BCC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Training cost to Scotiabank staff - $200,000
</t>
      </text>
    </comment>
    <comment ref="I19" authorId="9" shapeId="0" xr:uid="{3BDC4718-95B7-45B0-8AC2-CE6FAE8B18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Training cost to Scotiabank staff - $200,000
</t>
      </text>
    </comment>
    <comment ref="D20" authorId="10" shapeId="0" xr:uid="{521CEB4A-399E-4B6E-B2E8-9FF969A3F35E}">
      <text>
        <t>[Threaded comment]
Your version of Excel allows you to read this threaded comment; however, any edits to it will get removed if the file is opened in a newer version of Excel. Learn more: https://go.microsoft.com/fwlink/?linkid=870924
Comment:
    $1500 per month per new branch</t>
      </text>
    </comment>
    <comment ref="D22" authorId="11" shapeId="0" xr:uid="{C7E0AFFF-94B6-482F-8EDA-998751DB300C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RevolEdge Solutions.</t>
      </text>
    </comment>
    <comment ref="D24" authorId="12" shapeId="0" xr:uid="{5AF3F350-8433-4700-8507-40F19649EB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Remote Location-: (6000*80+500*20)*20%
</t>
      </text>
    </comment>
    <comment ref="D25" authorId="13" shapeId="0" xr:uid="{16C1CB8A-7288-4DBF-86A1-3A42CDD8D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Kiosk Location Lease(Remote Location)-: 1,440,000*20%
</t>
      </text>
    </comment>
    <comment ref="D37" authorId="14" shapeId="0" xr:uid="{7D108070-428B-4684-87E3-4E07346F57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14000 per kiosk, 2 kiosk per branch
</t>
      </text>
    </comment>
  </commentList>
</comments>
</file>

<file path=xl/sharedStrings.xml><?xml version="1.0" encoding="utf-8"?>
<sst xmlns="http://schemas.openxmlformats.org/spreadsheetml/2006/main" count="160" uniqueCount="88">
  <si>
    <t>Total revenue</t>
  </si>
  <si>
    <t>Expenses</t>
  </si>
  <si>
    <t>Marketing and promotion</t>
  </si>
  <si>
    <t>Capital Cost Allowance</t>
  </si>
  <si>
    <t>Office leases and utilities</t>
  </si>
  <si>
    <t>Hardware</t>
  </si>
  <si>
    <t>Cloud server</t>
  </si>
  <si>
    <t>Total Capital Cost Allowance</t>
  </si>
  <si>
    <t>Total Expense</t>
  </si>
  <si>
    <t>Gross profit</t>
  </si>
  <si>
    <t>Net profit</t>
  </si>
  <si>
    <t>ROI</t>
  </si>
  <si>
    <t xml:space="preserve">Kiosk Cost </t>
  </si>
  <si>
    <t>Maintenance</t>
  </si>
  <si>
    <t>Training Cost</t>
  </si>
  <si>
    <t>Consultancy Fee(Phase1)</t>
  </si>
  <si>
    <t>Year 2023</t>
  </si>
  <si>
    <t>Year 2024</t>
  </si>
  <si>
    <t>Year 2025</t>
  </si>
  <si>
    <t>Year 2026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</si>
  <si>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</si>
  <si>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</si>
  <si>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</si>
  <si>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</si>
  <si>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</si>
  <si>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</si>
  <si>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</si>
  <si>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</si>
  <si>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</si>
  <si>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</si>
  <si>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</si>
  <si>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Year 2038</t>
  </si>
  <si>
    <t>Year 2039</t>
  </si>
  <si>
    <t>Year 2040</t>
  </si>
  <si>
    <t>Year 2041</t>
  </si>
  <si>
    <t>Year 2042</t>
  </si>
  <si>
    <t>Year 2043</t>
  </si>
  <si>
    <t>Estimated Revenues</t>
  </si>
  <si>
    <t>Staff Cost Saving</t>
  </si>
  <si>
    <t>Total Revenue</t>
  </si>
  <si>
    <t>Average Tax (21.73%)</t>
  </si>
  <si>
    <t>Taxable Income</t>
  </si>
  <si>
    <t>New Customer Base Revenue</t>
  </si>
  <si>
    <t>New Customers Added</t>
  </si>
  <si>
    <t>Total Digitalized Branches</t>
  </si>
  <si>
    <t>Total Customers added through this project</t>
  </si>
  <si>
    <t>Current Branches Customized</t>
  </si>
  <si>
    <t>New Digital Branches Installed</t>
  </si>
  <si>
    <t>New Customer Base Revenue per customer</t>
  </si>
  <si>
    <t>Maintenance per branch</t>
  </si>
  <si>
    <t>Operations Cost per branch</t>
  </si>
  <si>
    <t>Kiosk Location Lease(Remote Location) per month</t>
  </si>
  <si>
    <t>Total New Branches Intalled</t>
  </si>
  <si>
    <t>Consultancy Fee(In Phases)</t>
  </si>
  <si>
    <t>Kiosk Cost per location</t>
  </si>
  <si>
    <t>Infrasture Cost for Remote Location</t>
  </si>
  <si>
    <t>Shipping cost for remote Location</t>
  </si>
  <si>
    <t>Total Installation Cost for remote Location</t>
  </si>
  <si>
    <t>Infrasture Cost for City Location</t>
  </si>
  <si>
    <t>Shipping cost for city Location</t>
  </si>
  <si>
    <t>Infrasture cost of Remote location</t>
  </si>
  <si>
    <t>Infrasture cost of City location</t>
  </si>
  <si>
    <t>Investment</t>
  </si>
  <si>
    <t>Kiosk Expense</t>
  </si>
  <si>
    <t>Remaining cost of Kisok</t>
  </si>
  <si>
    <t>Total Shipping Cost for city Location</t>
  </si>
  <si>
    <t xml:space="preserve">Branch Setup Miscelleneous </t>
  </si>
  <si>
    <t>Branch Setup Infrastructre Cost</t>
  </si>
  <si>
    <t>Remaining Infrastructure cost after CCA</t>
  </si>
  <si>
    <t>Training Expense</t>
  </si>
  <si>
    <t>Operations Expense</t>
  </si>
  <si>
    <t>Replacement and Upgradation Cost</t>
  </si>
  <si>
    <t>Marketing and promotion per Branch</t>
  </si>
  <si>
    <t>ROI(%)</t>
  </si>
  <si>
    <t>Kiosk Location Rent(Remote Location)</t>
  </si>
  <si>
    <t>Furnitures and Fixtures</t>
  </si>
  <si>
    <t>Kiosk Markup Profit</t>
  </si>
  <si>
    <t>Maintenance Revenue from Scotiabank</t>
  </si>
  <si>
    <t>Training Fee</t>
  </si>
  <si>
    <t>Marketing and promotion Fee</t>
  </si>
  <si>
    <t>Replacement and Upgradation Fee</t>
  </si>
  <si>
    <t>Maintenance and technical Support cost per branch</t>
  </si>
  <si>
    <t>Maintenance and Technical Support Cost</t>
  </si>
  <si>
    <t>Marketing Cost to RevolEdge</t>
  </si>
  <si>
    <t>Marketing Cost to RevolEdge per Branch</t>
  </si>
  <si>
    <t>Miscelleneous Expenses</t>
  </si>
  <si>
    <t>Average Tax (23.00%)</t>
  </si>
  <si>
    <t>Research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</si>
</sst>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8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0" fontId="0" fillId="6" borderId="0" xfId="0" applyFill="1"/>
    <xf numFmtId="168" fontId="0" fillId="0" borderId="0" xfId="2" applyNumberFormat="1" applyFont="1"/>
    <xf numFmtId="168" fontId="0" fillId="0" borderId="0" xfId="0" applyNumberFormat="1"/>
    <xf numFmtId="0" fontId="3" fillId="3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/>
    <xf numFmtId="2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havya jain" id="{1FA1B4D3-9FF6-4945-8C4B-536AB9EB40F1}" userId="ff81aacc58fb101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10-05T23:45:19.12" personId="{1FA1B4D3-9FF6-4945-8C4B-536AB9EB40F1}" id="{CE0899E8-3AED-4DD3-A05C-FC5C171DEEC8}">
    <text>250 customers added per new branch and 50 new customers per existing branch transformed.</text>
  </threadedComment>
  <threadedComment ref="D2" dT="2023-10-05T21:52:40.05" personId="{1FA1B4D3-9FF6-4945-8C4B-536AB9EB40F1}" id="{7A3693EE-9A83-4C48-9A2A-A5D1FC390D96}">
    <text xml:space="preserve">For total 100 Branches, 80 new location and 20 current branches.
</text>
  </threadedComment>
  <threadedComment ref="E2" dT="2023-10-05T23:06:28.35" personId="{1FA1B4D3-9FF6-4945-8C4B-536AB9EB40F1}" id="{DC9FE012-3EE3-4E75-87D6-542660AF4DEB}">
    <text>280 current branches and 50 new remote branches</text>
  </threadedComment>
  <threadedComment ref="D9" dT="2023-10-05T22:10:58.11" personId="{1FA1B4D3-9FF6-4945-8C4B-536AB9EB40F1}" id="{4B2B6ABE-32D9-4B98-9FF0-7227DE8C31CE}">
    <text>(On an average, 250 new customers per new location*80 new branches+50 new customers from 20 existing branches)*$450 approximate revenue per customer  yearly( Transaction fees, Service charges, Deposits, interest income etc.)</text>
  </threadedComment>
  <threadedComment ref="A10" dT="2023-10-05T23:50:20.06" personId="{1FA1B4D3-9FF6-4945-8C4B-536AB9EB40F1}" id="{69CEB9CD-F353-4BE0-B0C0-FE5439241691}">
    <text>$50000 per employee</text>
  </threadedComment>
  <threadedComment ref="D15" dT="2023-10-05T21:48:25.67" personId="{1FA1B4D3-9FF6-4945-8C4B-536AB9EB40F1}" id="{5DC72FF9-2E33-40F1-9A1C-522350BAD2C0}">
    <text xml:space="preserve">Yearly Maintenance Cost which includes. – Total - $850,000 / yr
Maintenance Engineers Salary / Travel Cost – $650,000
24 X 7 Technical Support - $200,000
</text>
  </threadedComment>
  <threadedComment ref="D16" dT="2023-10-05T21:48:51.85" personId="{1FA1B4D3-9FF6-4945-8C4B-536AB9EB40F1}" id="{2E2CA0FE-3825-40B7-871F-EA72DF429DC4}">
    <text xml:space="preserve">Operating Cost of kiosks in total for 100 branch- $110,000 / yearly
Remote Location - $1200
Electricity - $500
Network- $500
Miscellaneous - $200
City Location - $700
Electricity - $300
Network- $250
Miscellaneous - $150
</text>
  </threadedComment>
  <threadedComment ref="D18" dT="2023-10-05T21:49:22.91" personId="{1FA1B4D3-9FF6-4945-8C4B-536AB9EB40F1}" id="{48BD27EA-9B4C-4392-97CE-97C246DD3DD3}">
    <text xml:space="preserve">Yearly marketing cost
</text>
  </threadedComment>
  <threadedComment ref="D19" dT="2023-10-05T21:49:40.42" personId="{1FA1B4D3-9FF6-4945-8C4B-536AB9EB40F1}" id="{4D13A732-8BBF-465D-920E-E48FD20BCCA6}">
    <text xml:space="preserve">Training cost to Scotiabank staff - $200,000
</text>
  </threadedComment>
  <threadedComment ref="I19" dT="2023-10-05T21:49:40.42" personId="{1FA1B4D3-9FF6-4945-8C4B-536AB9EB40F1}" id="{3BDC4718-95B7-45B0-8AC2-CE6FAE8B1876}">
    <text xml:space="preserve">Training cost to Scotiabank staff - $200,000
</text>
  </threadedComment>
  <threadedComment ref="D20" dT="2023-10-06T21:08:39.32" personId="{1FA1B4D3-9FF6-4945-8C4B-536AB9EB40F1}" id="{521CEB4A-399E-4B6E-B2E8-9FF969A3F35E}">
    <text>$1500 per month per new branch</text>
  </threadedComment>
  <threadedComment ref="D22" dT="2023-10-05T22:17:26.83" personId="{1FA1B4D3-9FF6-4945-8C4B-536AB9EB40F1}" id="{C7E0AFFF-94B6-482F-8EDA-998751DB300C}">
    <text>To RevolEdge Solutions.</text>
  </threadedComment>
  <threadedComment ref="D24" dT="2023-10-05T21:50:19.31" personId="{1FA1B4D3-9FF6-4945-8C4B-536AB9EB40F1}" id="{5AF3F350-8433-4700-8507-40F19649EB84}">
    <text xml:space="preserve">Remote Location-: (6000*80+500*20)*20%
</text>
  </threadedComment>
  <threadedComment ref="D25" dT="2023-10-05T21:50:42.38" personId="{1FA1B4D3-9FF6-4945-8C4B-536AB9EB40F1}" id="{16C1CB8A-7288-4DBF-86A1-3A42CDD8D069}">
    <text xml:space="preserve">Kiosk Location Lease(Remote Location)-: 1,440,000*20%
</text>
  </threadedComment>
  <threadedComment ref="D37" dT="2023-10-05T21:48:39.85" personId="{1FA1B4D3-9FF6-4945-8C4B-536AB9EB40F1}" id="{7D108070-428B-4684-87E3-4E07346F577A}">
    <text xml:space="preserve">14000 per kiosk, 2 kiosk per branch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EFE3-F00E-4255-9E53-B4DE03E25F12}">
  <dimension ref="A1:W40"/>
  <sheetViews>
    <sheetView tabSelected="1" topLeftCell="A8" zoomScale="82" workbookViewId="0">
      <selection activeCell="D15" sqref="D15"/>
    </sheetView>
  </sheetViews>
  <sheetFormatPr defaultRowHeight="14.4" x14ac:dyDescent="0.3"/>
  <cols>
    <col min="1" max="1" width="38" bestFit="1" customWidth="1"/>
    <col min="4" max="4" width="12.33203125" bestFit="1" customWidth="1"/>
    <col min="5" max="6" width="10.88671875" bestFit="1" customWidth="1"/>
    <col min="7" max="16" width="11.88671875" bestFit="1" customWidth="1"/>
    <col min="17" max="23" width="13.44140625" bestFit="1" customWidth="1"/>
  </cols>
  <sheetData>
    <row r="1" spans="1:23" x14ac:dyDescent="0.3">
      <c r="A1" s="14"/>
      <c r="B1" s="14"/>
      <c r="C1" s="14"/>
      <c r="D1" s="14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</row>
    <row r="2" spans="1:23" x14ac:dyDescent="0.3">
      <c r="A2" t="s">
        <v>43</v>
      </c>
      <c r="D2">
        <f t="shared" ref="D2:W2" si="0">(D5*50)+(D4*250)+(C6*50)</f>
        <v>21000</v>
      </c>
      <c r="E2">
        <f t="shared" si="0"/>
        <v>27500</v>
      </c>
      <c r="F2">
        <f t="shared" si="0"/>
        <v>57500</v>
      </c>
      <c r="G2">
        <f t="shared" si="0"/>
        <v>85000</v>
      </c>
      <c r="H2">
        <f t="shared" si="0"/>
        <v>101500</v>
      </c>
      <c r="I2">
        <f t="shared" si="0"/>
        <v>106500</v>
      </c>
      <c r="J2">
        <f t="shared" si="0"/>
        <v>111500</v>
      </c>
      <c r="K2">
        <f t="shared" si="0"/>
        <v>116500</v>
      </c>
      <c r="L2">
        <f t="shared" si="0"/>
        <v>109000</v>
      </c>
      <c r="M2">
        <f t="shared" si="0"/>
        <v>111500</v>
      </c>
      <c r="N2">
        <f t="shared" si="0"/>
        <v>114000</v>
      </c>
      <c r="O2">
        <f t="shared" si="0"/>
        <v>116500</v>
      </c>
      <c r="P2">
        <f t="shared" si="0"/>
        <v>119000</v>
      </c>
      <c r="Q2">
        <f t="shared" si="0"/>
        <v>121500</v>
      </c>
      <c r="R2">
        <f t="shared" si="0"/>
        <v>124000</v>
      </c>
      <c r="S2">
        <f t="shared" si="0"/>
        <v>126500</v>
      </c>
      <c r="T2">
        <f t="shared" si="0"/>
        <v>129000</v>
      </c>
      <c r="U2">
        <f t="shared" si="0"/>
        <v>131500</v>
      </c>
      <c r="V2">
        <f t="shared" si="0"/>
        <v>134000</v>
      </c>
      <c r="W2">
        <f t="shared" si="0"/>
        <v>136500</v>
      </c>
    </row>
    <row r="3" spans="1:23" x14ac:dyDescent="0.3">
      <c r="A3" t="s">
        <v>45</v>
      </c>
      <c r="D3">
        <f>D2</f>
        <v>21000</v>
      </c>
      <c r="E3" s="5">
        <f>D3+E2</f>
        <v>48500</v>
      </c>
      <c r="F3" s="5">
        <f t="shared" ref="F3:W3" si="1">E3+F2</f>
        <v>106000</v>
      </c>
      <c r="G3" s="5">
        <f t="shared" si="1"/>
        <v>191000</v>
      </c>
      <c r="H3" s="5">
        <f t="shared" si="1"/>
        <v>292500</v>
      </c>
      <c r="I3" s="5">
        <f t="shared" si="1"/>
        <v>399000</v>
      </c>
      <c r="J3" s="5">
        <f t="shared" si="1"/>
        <v>510500</v>
      </c>
      <c r="K3" s="5">
        <f t="shared" si="1"/>
        <v>627000</v>
      </c>
      <c r="L3" s="5">
        <f t="shared" si="1"/>
        <v>736000</v>
      </c>
      <c r="M3" s="5">
        <f t="shared" si="1"/>
        <v>847500</v>
      </c>
      <c r="N3" s="5">
        <f t="shared" si="1"/>
        <v>961500</v>
      </c>
      <c r="O3" s="5">
        <f t="shared" si="1"/>
        <v>1078000</v>
      </c>
      <c r="P3" s="5">
        <f t="shared" si="1"/>
        <v>1197000</v>
      </c>
      <c r="Q3" s="5">
        <f t="shared" si="1"/>
        <v>1318500</v>
      </c>
      <c r="R3" s="5">
        <f t="shared" si="1"/>
        <v>1442500</v>
      </c>
      <c r="S3" s="5">
        <f t="shared" si="1"/>
        <v>1569000</v>
      </c>
      <c r="T3" s="5">
        <f t="shared" si="1"/>
        <v>1698000</v>
      </c>
      <c r="U3" s="5">
        <f t="shared" si="1"/>
        <v>1829500</v>
      </c>
      <c r="V3" s="5">
        <f t="shared" si="1"/>
        <v>1963500</v>
      </c>
      <c r="W3" s="5">
        <f t="shared" si="1"/>
        <v>2100000</v>
      </c>
    </row>
    <row r="4" spans="1:23" x14ac:dyDescent="0.3">
      <c r="A4" t="s">
        <v>47</v>
      </c>
      <c r="D4">
        <v>80</v>
      </c>
      <c r="E4">
        <v>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</row>
    <row r="5" spans="1:23" x14ac:dyDescent="0.3">
      <c r="A5" t="s">
        <v>46</v>
      </c>
      <c r="D5">
        <v>20</v>
      </c>
      <c r="E5" s="5">
        <v>200</v>
      </c>
      <c r="F5">
        <v>300</v>
      </c>
      <c r="G5">
        <v>450</v>
      </c>
      <c r="H5">
        <v>230</v>
      </c>
    </row>
    <row r="6" spans="1:23" x14ac:dyDescent="0.3">
      <c r="A6" t="s">
        <v>44</v>
      </c>
      <c r="D6">
        <f>D4+D5</f>
        <v>100</v>
      </c>
      <c r="E6" s="5">
        <f t="shared" ref="E6:W6" si="2">E4+E5+D6</f>
        <v>350</v>
      </c>
      <c r="F6" s="5">
        <f t="shared" si="2"/>
        <v>750</v>
      </c>
      <c r="G6" s="5">
        <f t="shared" si="2"/>
        <v>1300</v>
      </c>
      <c r="H6" s="5">
        <f t="shared" si="2"/>
        <v>1630</v>
      </c>
      <c r="I6" s="5">
        <f t="shared" si="2"/>
        <v>1730</v>
      </c>
      <c r="J6" s="5">
        <f t="shared" si="2"/>
        <v>1830</v>
      </c>
      <c r="K6" s="5">
        <f t="shared" si="2"/>
        <v>1930</v>
      </c>
      <c r="L6" s="5">
        <f t="shared" si="2"/>
        <v>1980</v>
      </c>
      <c r="M6" s="5">
        <f t="shared" si="2"/>
        <v>2030</v>
      </c>
      <c r="N6" s="5">
        <f t="shared" si="2"/>
        <v>2080</v>
      </c>
      <c r="O6" s="5">
        <f t="shared" si="2"/>
        <v>2130</v>
      </c>
      <c r="P6" s="5">
        <f t="shared" si="2"/>
        <v>2180</v>
      </c>
      <c r="Q6" s="5">
        <f t="shared" si="2"/>
        <v>2230</v>
      </c>
      <c r="R6" s="5">
        <f t="shared" si="2"/>
        <v>2280</v>
      </c>
      <c r="S6" s="5">
        <f t="shared" si="2"/>
        <v>2330</v>
      </c>
      <c r="T6" s="5">
        <f t="shared" si="2"/>
        <v>2380</v>
      </c>
      <c r="U6" s="5">
        <f t="shared" si="2"/>
        <v>2430</v>
      </c>
      <c r="V6" s="5">
        <f t="shared" si="2"/>
        <v>2480</v>
      </c>
      <c r="W6" s="5">
        <f t="shared" si="2"/>
        <v>2530</v>
      </c>
    </row>
    <row r="7" spans="1:23" x14ac:dyDescent="0.3">
      <c r="E7" s="5"/>
      <c r="F7" s="5"/>
    </row>
    <row r="8" spans="1:23" x14ac:dyDescent="0.3">
      <c r="A8" s="15" t="s">
        <v>37</v>
      </c>
    </row>
    <row r="9" spans="1:23" x14ac:dyDescent="0.3">
      <c r="A9" t="s">
        <v>42</v>
      </c>
      <c r="D9" s="6">
        <f>D3*Calculations!D10</f>
        <v>9450000</v>
      </c>
      <c r="E9" s="6">
        <f>E3*Calculations!E10</f>
        <v>22916250</v>
      </c>
      <c r="F9" s="6">
        <f>F3*Calculations!F10</f>
        <v>52589250</v>
      </c>
      <c r="G9" s="6">
        <f>G3*Calculations!G10</f>
        <v>99497868.75</v>
      </c>
      <c r="H9" s="6">
        <f>H3*Calculations!H10</f>
        <v>159991010.15625</v>
      </c>
      <c r="I9" s="6">
        <f>I3*Calculations!I10</f>
        <v>229156354.546875</v>
      </c>
      <c r="J9" s="6">
        <f>J3*Calculations!J10</f>
        <v>307853471.0425781</v>
      </c>
      <c r="K9" s="6">
        <f>K3*Calculations!K10</f>
        <v>397013384.25246096</v>
      </c>
      <c r="L9" s="6">
        <f>L3*Calculations!L10</f>
        <v>489333242.98293751</v>
      </c>
      <c r="M9" s="6">
        <f>M3*Calculations!M10</f>
        <v>591637798.36880636</v>
      </c>
      <c r="N9" s="6">
        <f>N3*Calculations!N10</f>
        <v>704781982.64092946</v>
      </c>
      <c r="O9" s="6">
        <f>O3*Calculations!O10</f>
        <v>829685622.62222373</v>
      </c>
      <c r="P9" s="6">
        <f>P3*Calculations!P10</f>
        <v>967338010.01181996</v>
      </c>
      <c r="Q9" s="6">
        <f>Q3*Calculations!Q10</f>
        <v>1118802777.3689339</v>
      </c>
      <c r="R9" s="6">
        <f>R3*Calculations!R10</f>
        <v>1285223099.4860988</v>
      </c>
      <c r="S9" s="6">
        <f>S3*Calculations!S10</f>
        <v>1467827241.073396</v>
      </c>
      <c r="T9" s="6">
        <f>T3*Calculations!T10</f>
        <v>1667934472.9826369</v>
      </c>
      <c r="U9" s="6">
        <f>U3*Calculations!U10</f>
        <v>1886961380.5876448</v>
      </c>
      <c r="V9" s="6">
        <f>V3*Calculations!V10</f>
        <v>2126428589.4085994</v>
      </c>
      <c r="W9" s="6">
        <f>W3*Calculations!W10</f>
        <v>2387967934.6299777</v>
      </c>
    </row>
    <row r="10" spans="1:23" x14ac:dyDescent="0.3">
      <c r="A10" t="s">
        <v>38</v>
      </c>
      <c r="D10" s="6"/>
      <c r="E10" s="6">
        <f>E5*50000*2</f>
        <v>20000000</v>
      </c>
      <c r="F10" s="6">
        <f>F5*50000*2</f>
        <v>30000000</v>
      </c>
      <c r="G10" s="6">
        <f>G5*50000*2</f>
        <v>45000000</v>
      </c>
      <c r="H10" s="6">
        <f>H5*50000*2</f>
        <v>23000000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t="s">
        <v>0</v>
      </c>
      <c r="D11" s="6">
        <f>SUM(D9:D10)</f>
        <v>9450000</v>
      </c>
      <c r="E11" s="6">
        <f t="shared" ref="E11:K11" si="3">SUM(E9:E10)</f>
        <v>42916250</v>
      </c>
      <c r="F11" s="6">
        <f t="shared" si="3"/>
        <v>82589250</v>
      </c>
      <c r="G11" s="6">
        <f t="shared" si="3"/>
        <v>144497868.75</v>
      </c>
      <c r="H11" s="6">
        <f t="shared" si="3"/>
        <v>182991010.15625</v>
      </c>
      <c r="I11" s="6">
        <f t="shared" si="3"/>
        <v>229156354.546875</v>
      </c>
      <c r="J11" s="6">
        <f t="shared" si="3"/>
        <v>307853471.0425781</v>
      </c>
      <c r="K11" s="6">
        <f t="shared" si="3"/>
        <v>397013384.25246096</v>
      </c>
      <c r="L11" s="6">
        <f t="shared" ref="L11" si="4">SUM(L9:L10)</f>
        <v>489333242.98293751</v>
      </c>
      <c r="M11" s="6">
        <f t="shared" ref="M11" si="5">SUM(M9:M10)</f>
        <v>591637798.36880636</v>
      </c>
      <c r="N11" s="6">
        <f t="shared" ref="N11" si="6">SUM(N9:N10)</f>
        <v>704781982.64092946</v>
      </c>
      <c r="O11" s="6">
        <f t="shared" ref="O11" si="7">SUM(O9:O10)</f>
        <v>829685622.62222373</v>
      </c>
      <c r="P11" s="6">
        <f t="shared" ref="P11" si="8">SUM(P9:P10)</f>
        <v>967338010.01181996</v>
      </c>
      <c r="Q11" s="6">
        <f t="shared" ref="Q11" si="9">SUM(Q9:Q10)</f>
        <v>1118802777.3689339</v>
      </c>
      <c r="R11" s="6">
        <f t="shared" ref="R11" si="10">SUM(R9:R10)</f>
        <v>1285223099.4860988</v>
      </c>
      <c r="S11" s="6">
        <f t="shared" ref="S11" si="11">SUM(S9:S10)</f>
        <v>1467827241.073396</v>
      </c>
      <c r="T11" s="6">
        <f t="shared" ref="T11" si="12">SUM(T9:T10)</f>
        <v>1667934472.9826369</v>
      </c>
      <c r="U11" s="6">
        <f t="shared" ref="U11" si="13">SUM(U9:U10)</f>
        <v>1886961380.5876448</v>
      </c>
      <c r="V11" s="6">
        <f t="shared" ref="V11" si="14">SUM(V9:V10)</f>
        <v>2126428589.4085994</v>
      </c>
      <c r="W11" s="6">
        <f t="shared" ref="W11" si="15">SUM(W9:W10)</f>
        <v>2387967934.6299777</v>
      </c>
    </row>
    <row r="12" spans="1:23" x14ac:dyDescent="0.3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12" t="s">
        <v>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5" spans="1:23" x14ac:dyDescent="0.3">
      <c r="A15" t="s">
        <v>13</v>
      </c>
      <c r="D15" s="6">
        <f>D6*Calculations!D16</f>
        <v>850000</v>
      </c>
      <c r="E15" s="6">
        <f>E6*Calculations!E16</f>
        <v>3272500</v>
      </c>
      <c r="F15" s="6">
        <f>F6*Calculations!F16</f>
        <v>7713750</v>
      </c>
      <c r="G15" s="6">
        <f>G6*Calculations!G16</f>
        <v>14707550</v>
      </c>
      <c r="H15" s="6">
        <f>H6*Calculations!H16</f>
        <v>20285105.5</v>
      </c>
      <c r="I15" s="6">
        <f>I6*Calculations!I16</f>
        <v>23682549.550000001</v>
      </c>
      <c r="J15" s="6">
        <f>J6*Calculations!J16</f>
        <v>27556631.355000004</v>
      </c>
      <c r="K15" s="6">
        <f>K6*Calculations!K16</f>
        <v>31968704.025500007</v>
      </c>
      <c r="L15" s="6">
        <f>L6*Calculations!L16</f>
        <v>36076599.672300003</v>
      </c>
      <c r="M15" s="6">
        <f>M6*Calculations!M16</f>
        <v>40686387.408205003</v>
      </c>
      <c r="N15" s="6">
        <f>N6*Calculations!N16</f>
        <v>45857366.694568008</v>
      </c>
      <c r="O15" s="6">
        <f>O6*Calculations!O16</f>
        <v>51655677.964121558</v>
      </c>
      <c r="P15" s="6">
        <f>P6*Calculations!P16</f>
        <v>58155077.820640139</v>
      </c>
      <c r="Q15" s="6">
        <f>Q6*Calculations!Q16</f>
        <v>65437800.868821211</v>
      </c>
      <c r="R15" s="6">
        <f>R6*Calculations!R16</f>
        <v>73595517.748432115</v>
      </c>
      <c r="S15" s="6">
        <f>S6*Calculations!S16</f>
        <v>82730399.995276973</v>
      </c>
      <c r="T15" s="6">
        <f>T6*Calculations!T16</f>
        <v>92956303.514006481</v>
      </c>
      <c r="U15" s="6">
        <f>U6*Calculations!U16</f>
        <v>104400083.73652913</v>
      </c>
      <c r="V15" s="6">
        <f>V6*Calculations!V16</f>
        <v>117203056.96841623</v>
      </c>
      <c r="W15" s="6">
        <f>W6*Calculations!W16</f>
        <v>131522624.00931548</v>
      </c>
    </row>
    <row r="16" spans="1:23" x14ac:dyDescent="0.3">
      <c r="A16" t="s">
        <v>70</v>
      </c>
      <c r="D16" s="6">
        <f>D6*Calculations!D17</f>
        <v>110000</v>
      </c>
      <c r="E16" s="6">
        <f>E6*Calculations!E17</f>
        <v>404250</v>
      </c>
      <c r="F16" s="6">
        <f>F6*Calculations!F17</f>
        <v>909562.5</v>
      </c>
      <c r="G16" s="6">
        <f>G6*Calculations!G17</f>
        <v>1655403.75</v>
      </c>
      <c r="H16" s="6">
        <f>H6*Calculations!H17</f>
        <v>2179402.7062499998</v>
      </c>
      <c r="I16" s="6">
        <f>I6*Calculations!I17</f>
        <v>2428763.8134375</v>
      </c>
      <c r="J16" s="6">
        <f>J6*Calculations!J17</f>
        <v>2697612.5245781248</v>
      </c>
      <c r="K16" s="6">
        <f>K6*Calculations!K17</f>
        <v>2987274.1972992187</v>
      </c>
      <c r="L16" s="6">
        <f>L6*Calculations!L17</f>
        <v>3217897.9565725783</v>
      </c>
      <c r="M16" s="6">
        <f>M6*Calculations!M17</f>
        <v>3464115.9062800249</v>
      </c>
      <c r="N16" s="6">
        <f>N6*Calculations!N17</f>
        <v>3726910.906066786</v>
      </c>
      <c r="O16" s="6">
        <f>O6*Calculations!O17</f>
        <v>4007325.1160665224</v>
      </c>
      <c r="P16" s="6">
        <f>P6*Calculations!P17</f>
        <v>4306463.4698010655</v>
      </c>
      <c r="Q16" s="6">
        <f>Q6*Calculations!Q17</f>
        <v>4625497.3461188972</v>
      </c>
      <c r="R16" s="6">
        <f>R6*Calculations!R17</f>
        <v>4965668.4513940085</v>
      </c>
      <c r="S16" s="6">
        <f>S6*Calculations!S17</f>
        <v>5328292.9238313343</v>
      </c>
      <c r="T16" s="6">
        <f>T6*Calculations!T17</f>
        <v>5714765.6723839082</v>
      </c>
      <c r="U16" s="6">
        <f>U6*Calculations!U17</f>
        <v>6126564.9634821601</v>
      </c>
      <c r="V16" s="6">
        <f>V6*Calculations!V17</f>
        <v>6565257.2695092773</v>
      </c>
      <c r="W16" s="6">
        <f>W6*Calculations!W17</f>
        <v>7032502.3937304011</v>
      </c>
    </row>
    <row r="17" spans="1:23" x14ac:dyDescent="0.3">
      <c r="A17" t="s">
        <v>66</v>
      </c>
      <c r="D17" s="6">
        <f>Calculations!D21*D4+Calculations!D22*D5</f>
        <v>480000</v>
      </c>
      <c r="E17" s="6">
        <f>Calculations!E21*E4+Calculations!E22*E5</f>
        <v>1123500</v>
      </c>
      <c r="F17" s="6">
        <f>Calculations!F21*F4+Calculations!F22*F5</f>
        <v>1946330</v>
      </c>
      <c r="G17" s="6">
        <f>Calculations!G21*G4+Calculations!G22*G5</f>
        <v>2817598.9000000004</v>
      </c>
      <c r="H17" s="6">
        <f>Calculations!H21*H4+Calculations!H22*H5</f>
        <v>1861330.3341999999</v>
      </c>
      <c r="I17" s="6">
        <f>Calculations!I21*I4+Calculations!I22*I5</f>
        <v>701275.86534999998</v>
      </c>
      <c r="J17" s="6">
        <f>Calculations!J21*J4+Calculations!J22*J5</f>
        <v>750365.17592449998</v>
      </c>
      <c r="K17" s="6">
        <f>Calculations!K21*K4+Calculations!K22*K5</f>
        <v>802890.73823921499</v>
      </c>
      <c r="L17" s="6">
        <f>Calculations!L21*L4+Calculations!L22*L5</f>
        <v>429546.54495798005</v>
      </c>
      <c r="M17" s="6">
        <f>Calculations!M21*M4+Calculations!M22*M5</f>
        <v>459614.80310503865</v>
      </c>
      <c r="N17" s="6">
        <f>Calculations!N21*N4+Calculations!N22*N5</f>
        <v>491787.83932239137</v>
      </c>
      <c r="O17" s="6">
        <f>Calculations!O21*O4+Calculations!O22*O5</f>
        <v>526212.98807495879</v>
      </c>
      <c r="P17" s="6">
        <f>Calculations!P21*P4+Calculations!P22*P5</f>
        <v>563047.8972402059</v>
      </c>
      <c r="Q17" s="6">
        <f>Calculations!Q21*Q4+Calculations!Q22*Q5</f>
        <v>602461.25004702038</v>
      </c>
      <c r="R17" s="6">
        <f>Calculations!R21*R4+Calculations!R22*R5</f>
        <v>644633.53755031177</v>
      </c>
      <c r="S17" s="6">
        <f>Calculations!S21*S4+Calculations!S22*S5</f>
        <v>689757.88517883362</v>
      </c>
      <c r="T17" s="6">
        <f>Calculations!T21*T4+Calculations!T22*T5</f>
        <v>738040.93714135198</v>
      </c>
      <c r="U17" s="6">
        <f>Calculations!U21*U4+Calculations!U22*U5</f>
        <v>789703.80274124665</v>
      </c>
      <c r="V17" s="6">
        <f>Calculations!V21*V4+Calculations!V22*V5</f>
        <v>844983.06893313385</v>
      </c>
      <c r="W17" s="6">
        <f>Calculations!W21*W4+Calculations!W22*W5</f>
        <v>904131.88375845307</v>
      </c>
    </row>
    <row r="18" spans="1:23" x14ac:dyDescent="0.3">
      <c r="A18" t="s">
        <v>2</v>
      </c>
      <c r="D18" s="6">
        <f>D6*Calculations!D24</f>
        <v>1500000</v>
      </c>
      <c r="E18" s="6">
        <f>E6*Calculations!E24</f>
        <v>5775000</v>
      </c>
      <c r="F18" s="6">
        <f>F6*Calculations!F24</f>
        <v>13612500</v>
      </c>
      <c r="G18" s="6">
        <f>G6*Calculations!G24</f>
        <v>25954500</v>
      </c>
      <c r="H18" s="6">
        <f>H6*Calculations!H24</f>
        <v>35797245</v>
      </c>
      <c r="I18" s="6">
        <f>I6*Calculations!I24</f>
        <v>41792734.5</v>
      </c>
      <c r="J18" s="6">
        <f>J6*Calculations!J24</f>
        <v>48629349.450000003</v>
      </c>
      <c r="K18" s="6">
        <f>K6*Calculations!K24</f>
        <v>56415360.045000009</v>
      </c>
      <c r="L18" s="6">
        <f>L6*Calculations!L24</f>
        <v>63664587.657000005</v>
      </c>
      <c r="M18" s="6">
        <f>M6*Calculations!M24</f>
        <v>71799507.190950006</v>
      </c>
      <c r="N18" s="6">
        <f>N6*Calculations!N24</f>
        <v>69889569.561240003</v>
      </c>
      <c r="O18" s="6">
        <f>O6*Calculations!O24</f>
        <v>67991126.926523641</v>
      </c>
      <c r="P18" s="6">
        <f>P6*Calculations!P24</f>
        <v>66107804.631375805</v>
      </c>
      <c r="Q18" s="6">
        <f>Q6*Calculations!Q24</f>
        <v>64242836.748426437</v>
      </c>
      <c r="R18" s="6">
        <f>R6*Calculations!R24</f>
        <v>62399096.142193571</v>
      </c>
      <c r="S18" s="6">
        <f>S6*Calculations!S24</f>
        <v>60579122.504712924</v>
      </c>
      <c r="T18" s="6">
        <f>T6*Calculations!T24</f>
        <v>58785148.49062486</v>
      </c>
      <c r="U18" s="6">
        <f>U6*Calculations!U24</f>
        <v>57019124.071683824</v>
      </c>
      <c r="V18" s="6">
        <f>V6*Calculations!V24</f>
        <v>55282739.223410323</v>
      </c>
      <c r="W18" s="6">
        <f>W6*Calculations!W24</f>
        <v>53577445.049784966</v>
      </c>
    </row>
    <row r="19" spans="1:23" x14ac:dyDescent="0.3">
      <c r="A19" t="s">
        <v>69</v>
      </c>
      <c r="D19" s="6">
        <v>200000</v>
      </c>
      <c r="E19" s="6">
        <v>0</v>
      </c>
      <c r="F19" s="6">
        <v>0</v>
      </c>
      <c r="G19" s="6">
        <v>0</v>
      </c>
      <c r="H19" s="6">
        <v>0</v>
      </c>
      <c r="I19" s="6">
        <v>250000</v>
      </c>
      <c r="J19" s="6">
        <v>0</v>
      </c>
      <c r="K19" s="6">
        <v>0</v>
      </c>
      <c r="L19" s="6">
        <v>0</v>
      </c>
      <c r="M19" s="6">
        <v>0</v>
      </c>
      <c r="N19" s="6">
        <v>350000</v>
      </c>
      <c r="O19" s="6">
        <v>0</v>
      </c>
      <c r="P19" s="6">
        <v>0</v>
      </c>
      <c r="Q19" s="6">
        <v>0</v>
      </c>
      <c r="R19" s="6">
        <v>0</v>
      </c>
      <c r="S19" s="6">
        <v>500000</v>
      </c>
      <c r="T19" s="6">
        <v>0</v>
      </c>
      <c r="U19" s="6">
        <v>0</v>
      </c>
      <c r="V19" s="6">
        <v>0</v>
      </c>
      <c r="W19" s="6">
        <v>0</v>
      </c>
    </row>
    <row r="20" spans="1:23" x14ac:dyDescent="0.3">
      <c r="A20" t="s">
        <v>74</v>
      </c>
      <c r="D20" s="6">
        <f>Calculations!D26*Calculations!D5*12</f>
        <v>1440000</v>
      </c>
      <c r="E20" s="6">
        <f>Calculations!E26*Calculations!E5*12</f>
        <v>2574000</v>
      </c>
      <c r="F20" s="6">
        <f>Calculations!F26*Calculations!F5*12</f>
        <v>5009400</v>
      </c>
      <c r="G20" s="6">
        <f>Calculations!G26*Calculations!G5*12</f>
        <v>7906140</v>
      </c>
      <c r="H20" s="6">
        <f>Calculations!H26*Calculations!H5*12</f>
        <v>11332134</v>
      </c>
      <c r="I20" s="6">
        <f>Calculations!I26*Calculations!I5*12</f>
        <v>15364265.400000002</v>
      </c>
      <c r="J20" s="6">
        <f>Calculations!J26*Calculations!J5*12</f>
        <v>20089501.740000002</v>
      </c>
      <c r="K20" s="6">
        <f>Calculations!K26*Calculations!K5*12</f>
        <v>25606142.694000006</v>
      </c>
      <c r="L20" s="6">
        <f>Calculations!L26*Calculations!L5*12</f>
        <v>30095986.892400011</v>
      </c>
      <c r="M20" s="6">
        <f>Calculations!M26*Calculations!M5*12</f>
        <v>35227738.503540009</v>
      </c>
      <c r="N20" s="6">
        <f>Calculations!N26*Calculations!N5*12</f>
        <v>41084880.567984015</v>
      </c>
      <c r="O20" s="6">
        <f>Calculations!O26*Calculations!O5*12</f>
        <v>47761173.66028142</v>
      </c>
      <c r="P20" s="6">
        <f>Calculations!P26*Calculations!P5*12</f>
        <v>55361876.56535846</v>
      </c>
      <c r="Q20" s="6">
        <f>Calculations!Q26*Calculations!Q5*12</f>
        <v>64005108.314848095</v>
      </c>
      <c r="R20" s="6">
        <f>Calculations!R26*Calculations!R5*12</f>
        <v>73823367.648582071</v>
      </c>
      <c r="S20" s="6">
        <f>Calculations!S26*Calculations!S5*12</f>
        <v>84965227.765914381</v>
      </c>
      <c r="T20" s="6">
        <f>Calculations!T26*Calculations!T5*12</f>
        <v>97597226.230227321</v>
      </c>
      <c r="U20" s="6">
        <f>Calculations!U26*Calculations!U5*12</f>
        <v>111905972.10974368</v>
      </c>
      <c r="V20" s="6">
        <f>Calculations!V26*Calculations!V5*12</f>
        <v>128100494.90286107</v>
      </c>
      <c r="W20" s="6">
        <f>Calculations!W26*Calculations!W5*12</f>
        <v>146414862.53350449</v>
      </c>
    </row>
    <row r="21" spans="1:23" x14ac:dyDescent="0.3">
      <c r="A21" t="s">
        <v>71</v>
      </c>
      <c r="D21" s="6">
        <v>0</v>
      </c>
      <c r="E21" s="6">
        <v>0</v>
      </c>
      <c r="F21" s="6">
        <v>0</v>
      </c>
      <c r="G21" s="6">
        <v>0</v>
      </c>
      <c r="H21" s="6">
        <v>10000000</v>
      </c>
      <c r="I21" s="6">
        <v>0</v>
      </c>
      <c r="J21" s="6">
        <v>0</v>
      </c>
      <c r="K21" s="6">
        <v>0</v>
      </c>
      <c r="L21" s="6">
        <v>0</v>
      </c>
      <c r="M21" s="6">
        <v>15000000</v>
      </c>
      <c r="N21" s="6">
        <v>0</v>
      </c>
      <c r="O21" s="6">
        <v>0</v>
      </c>
      <c r="P21" s="6">
        <v>0</v>
      </c>
      <c r="Q21" s="6">
        <v>0</v>
      </c>
      <c r="R21" s="6">
        <v>20000000</v>
      </c>
      <c r="S21" s="6">
        <v>0</v>
      </c>
      <c r="T21" s="6">
        <v>0</v>
      </c>
      <c r="U21" s="6">
        <v>0</v>
      </c>
      <c r="V21" s="6">
        <v>0</v>
      </c>
      <c r="W21" s="6">
        <v>25000000</v>
      </c>
    </row>
    <row r="22" spans="1:23" x14ac:dyDescent="0.3">
      <c r="A22" t="s">
        <v>53</v>
      </c>
      <c r="D22" s="6">
        <v>5000000</v>
      </c>
      <c r="E22" s="6">
        <v>5000000</v>
      </c>
      <c r="F22" s="6">
        <v>10000000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1:23" x14ac:dyDescent="0.3">
      <c r="A23" s="16" t="s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t="s">
        <v>75</v>
      </c>
      <c r="D24" s="6">
        <f>D39*0.2</f>
        <v>102000</v>
      </c>
      <c r="E24" s="6">
        <f>(D40+E39)*0.2</f>
        <v>210000</v>
      </c>
      <c r="F24" s="6">
        <f t="shared" ref="F24:W24" si="16">(E40+F39)*0.2</f>
        <v>408429</v>
      </c>
      <c r="G24" s="6">
        <f t="shared" si="16"/>
        <v>639129.16500000004</v>
      </c>
      <c r="H24" s="6">
        <f t="shared" si="16"/>
        <v>759043.77789000003</v>
      </c>
      <c r="I24" s="6">
        <f t="shared" si="16"/>
        <v>775541.22999600007</v>
      </c>
      <c r="J24" s="6">
        <f t="shared" si="16"/>
        <v>800520.62621868018</v>
      </c>
      <c r="K24" s="6">
        <f t="shared" si="16"/>
        <v>833110.27815235569</v>
      </c>
      <c r="L24" s="6">
        <f t="shared" si="16"/>
        <v>769579.39331179985</v>
      </c>
      <c r="M24" s="6">
        <f t="shared" si="16"/>
        <v>725971.06739464914</v>
      </c>
      <c r="N24" s="6">
        <f t="shared" si="16"/>
        <v>698805.9353530932</v>
      </c>
      <c r="O24" s="6">
        <f t="shared" si="16"/>
        <v>685335.86542046466</v>
      </c>
      <c r="P24" s="6">
        <f t="shared" si="16"/>
        <v>683400.18767402123</v>
      </c>
      <c r="Q24" s="6">
        <f t="shared" si="16"/>
        <v>691310.85015050182</v>
      </c>
      <c r="R24" s="6">
        <f t="shared" si="16"/>
        <v>707760.72913247626</v>
      </c>
      <c r="S24" s="6">
        <f t="shared" si="16"/>
        <v>731750.47574890114</v>
      </c>
      <c r="T24" s="6">
        <f t="shared" si="16"/>
        <v>762530.20551304531</v>
      </c>
      <c r="U24" s="6">
        <f t="shared" si="16"/>
        <v>799553.07706833538</v>
      </c>
      <c r="V24" s="6">
        <f t="shared" si="16"/>
        <v>842438.39819862042</v>
      </c>
      <c r="W24" s="6">
        <f t="shared" si="16"/>
        <v>890942.37066092517</v>
      </c>
    </row>
    <row r="25" spans="1:23" x14ac:dyDescent="0.3">
      <c r="A25" t="s">
        <v>63</v>
      </c>
      <c r="D25" s="6">
        <f>D37*0.2</f>
        <v>560000</v>
      </c>
      <c r="E25" s="6">
        <f>(D38*0.2)+(E37*0.2)</f>
        <v>1848000</v>
      </c>
      <c r="F25" s="6">
        <f t="shared" ref="F25:W25" si="17">(E38*0.2)+(F37*0.2)</f>
        <v>3718400</v>
      </c>
      <c r="G25" s="6">
        <f t="shared" si="17"/>
        <v>6054720</v>
      </c>
      <c r="H25" s="6">
        <f t="shared" si="17"/>
        <v>6691776</v>
      </c>
      <c r="I25" s="6">
        <f t="shared" si="17"/>
        <v>5913420.8000000007</v>
      </c>
      <c r="J25" s="6">
        <f t="shared" si="17"/>
        <v>5290736.6399999997</v>
      </c>
      <c r="K25" s="6">
        <f t="shared" si="17"/>
        <v>4792589.3119999999</v>
      </c>
      <c r="L25" s="6">
        <f t="shared" si="17"/>
        <v>4114071.4495999999</v>
      </c>
      <c r="M25" s="6">
        <f t="shared" si="17"/>
        <v>3571257.15968</v>
      </c>
      <c r="N25" s="6">
        <f t="shared" si="17"/>
        <v>3137005.727744</v>
      </c>
      <c r="O25" s="6">
        <f t="shared" si="17"/>
        <v>2789604.5821952</v>
      </c>
      <c r="P25" s="6">
        <f t="shared" si="17"/>
        <v>2511683.6657561599</v>
      </c>
      <c r="Q25" s="6">
        <f t="shared" si="17"/>
        <v>2289346.932604928</v>
      </c>
      <c r="R25" s="6">
        <f t="shared" si="17"/>
        <v>2111477.5460839425</v>
      </c>
      <c r="S25" s="6">
        <f t="shared" si="17"/>
        <v>1969182.0368671541</v>
      </c>
      <c r="T25" s="6">
        <f t="shared" si="17"/>
        <v>1855345.6294937234</v>
      </c>
      <c r="U25" s="6">
        <f t="shared" si="17"/>
        <v>1764276.5035949785</v>
      </c>
      <c r="V25" s="6">
        <f t="shared" si="17"/>
        <v>1691421.2028759825</v>
      </c>
      <c r="W25" s="6">
        <f t="shared" si="17"/>
        <v>1633136.9623007858</v>
      </c>
    </row>
    <row r="26" spans="1:23" x14ac:dyDescent="0.3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13" t="s">
        <v>7</v>
      </c>
      <c r="D28" s="6">
        <f>SUM(D24:D25)</f>
        <v>662000</v>
      </c>
      <c r="E28" s="6">
        <f>SUM(E24:E25)</f>
        <v>2058000</v>
      </c>
      <c r="F28" s="6">
        <f>SUM(F24:F25)</f>
        <v>4126829</v>
      </c>
      <c r="G28" s="6">
        <f>SUM(G24:G25)</f>
        <v>6693849.165</v>
      </c>
      <c r="H28" s="6">
        <f>SUM(H24:H25)</f>
        <v>7450819.7778900005</v>
      </c>
      <c r="I28" s="6">
        <f>SUM(I24:I25)</f>
        <v>6688962.0299960012</v>
      </c>
      <c r="J28" s="6">
        <f>SUM(J24:J25)</f>
        <v>6091257.26621868</v>
      </c>
      <c r="K28" s="6">
        <f>SUM(K24:K25)</f>
        <v>5625699.5901523558</v>
      </c>
      <c r="L28" s="6">
        <f>SUM(L24:L25)</f>
        <v>4883650.8429117994</v>
      </c>
      <c r="M28" s="6">
        <f>SUM(M24:M25)</f>
        <v>4297228.2270746492</v>
      </c>
      <c r="N28" s="6">
        <f>SUM(N24:N25)</f>
        <v>3835811.6630970933</v>
      </c>
      <c r="O28" s="6">
        <f>SUM(O24:O25)</f>
        <v>3474940.4476156645</v>
      </c>
      <c r="P28" s="6">
        <f>SUM(P24:P25)</f>
        <v>3195083.8534301813</v>
      </c>
      <c r="Q28" s="6">
        <f>SUM(Q24:Q25)</f>
        <v>2980657.7827554299</v>
      </c>
      <c r="R28" s="6">
        <f>SUM(R24:R25)</f>
        <v>2819238.2752164188</v>
      </c>
      <c r="S28" s="6">
        <f>SUM(S24:S25)</f>
        <v>2700932.5126160551</v>
      </c>
      <c r="T28" s="6">
        <f>SUM(T24:T25)</f>
        <v>2617875.8350067688</v>
      </c>
      <c r="U28" s="6">
        <f>SUM(U24:U25)</f>
        <v>2563829.5806633141</v>
      </c>
      <c r="V28" s="6">
        <f>SUM(V24:V25)</f>
        <v>2533859.6010746029</v>
      </c>
      <c r="W28" s="6">
        <f>SUM(W24:W25)</f>
        <v>2524079.3329617111</v>
      </c>
    </row>
    <row r="29" spans="1:23" x14ac:dyDescent="0.3">
      <c r="A29" s="13" t="s">
        <v>8</v>
      </c>
      <c r="D29" s="6">
        <f>SUM(D14:D25)</f>
        <v>10242000</v>
      </c>
      <c r="E29" s="6">
        <f>SUM(E14:E25)</f>
        <v>20207250</v>
      </c>
      <c r="F29" s="6">
        <f>SUM(F14:F25)</f>
        <v>43318371.5</v>
      </c>
      <c r="G29" s="6">
        <f>SUM(G14:G25)</f>
        <v>59735041.814999998</v>
      </c>
      <c r="H29" s="6">
        <f>SUM(H14:H25)</f>
        <v>88906037.318340003</v>
      </c>
      <c r="I29" s="6">
        <f>SUM(I14:I25)</f>
        <v>90908551.158783495</v>
      </c>
      <c r="J29" s="6">
        <f>SUM(J14:J25)</f>
        <v>105814717.5117213</v>
      </c>
      <c r="K29" s="6">
        <f>SUM(K14:K25)</f>
        <v>123406071.29019083</v>
      </c>
      <c r="L29" s="6">
        <f>SUM(L14:L25)</f>
        <v>138368269.56614241</v>
      </c>
      <c r="M29" s="6">
        <f>SUM(M14:M25)</f>
        <v>170934592.03915474</v>
      </c>
      <c r="N29" s="6">
        <f>SUM(N14:N25)</f>
        <v>165236327.23227832</v>
      </c>
      <c r="O29" s="6">
        <f>SUM(O14:O25)</f>
        <v>175416457.10268375</v>
      </c>
      <c r="P29" s="6">
        <f>SUM(P14:P25)</f>
        <v>187689354.23784587</v>
      </c>
      <c r="Q29" s="6">
        <f>SUM(Q14:Q25)</f>
        <v>201894362.31101707</v>
      </c>
      <c r="R29" s="6">
        <f>SUM(R14:R25)</f>
        <v>238247521.80336851</v>
      </c>
      <c r="S29" s="6">
        <f>SUM(S14:S25)</f>
        <v>237493733.58753049</v>
      </c>
      <c r="T29" s="6">
        <f>SUM(T14:T25)</f>
        <v>258409360.6793907</v>
      </c>
      <c r="U29" s="6">
        <f>SUM(U14:U25)</f>
        <v>282805278.26484334</v>
      </c>
      <c r="V29" s="6">
        <f>SUM(V14:V25)</f>
        <v>310530391.0342046</v>
      </c>
      <c r="W29" s="6">
        <f>SUM(W14:W25)</f>
        <v>366975645.20305544</v>
      </c>
    </row>
    <row r="30" spans="1:23" x14ac:dyDescent="0.3">
      <c r="A30" s="13" t="s">
        <v>39</v>
      </c>
      <c r="D30" s="6">
        <f>D11</f>
        <v>9450000</v>
      </c>
      <c r="E30" s="6">
        <f>E11</f>
        <v>42916250</v>
      </c>
      <c r="F30" s="6">
        <f>F11</f>
        <v>82589250</v>
      </c>
      <c r="G30" s="6">
        <f>G11</f>
        <v>144497868.75</v>
      </c>
      <c r="H30" s="6">
        <f>H11</f>
        <v>182991010.15625</v>
      </c>
      <c r="I30" s="6">
        <f>I11</f>
        <v>229156354.546875</v>
      </c>
      <c r="J30" s="6">
        <f>J11</f>
        <v>307853471.0425781</v>
      </c>
      <c r="K30" s="6">
        <f>K11</f>
        <v>397013384.25246096</v>
      </c>
      <c r="L30" s="6">
        <f>L11</f>
        <v>489333242.98293751</v>
      </c>
      <c r="M30" s="6">
        <f>M11</f>
        <v>591637798.36880636</v>
      </c>
      <c r="N30" s="6">
        <f>N11</f>
        <v>704781982.64092946</v>
      </c>
      <c r="O30" s="6">
        <f>O11</f>
        <v>829685622.62222373</v>
      </c>
      <c r="P30" s="6">
        <f>P11</f>
        <v>967338010.01181996</v>
      </c>
      <c r="Q30" s="6">
        <f>Q11</f>
        <v>1118802777.3689339</v>
      </c>
      <c r="R30" s="6">
        <f>R11</f>
        <v>1285223099.4860988</v>
      </c>
      <c r="S30" s="6">
        <f>S11</f>
        <v>1467827241.073396</v>
      </c>
      <c r="T30" s="6">
        <f>T11</f>
        <v>1667934472.9826369</v>
      </c>
      <c r="U30" s="6">
        <f>U11</f>
        <v>1886961380.5876448</v>
      </c>
      <c r="V30" s="6">
        <f>V11</f>
        <v>2126428589.4085994</v>
      </c>
      <c r="W30" s="6">
        <f>W11</f>
        <v>2387967934.6299777</v>
      </c>
    </row>
    <row r="31" spans="1:23" x14ac:dyDescent="0.3">
      <c r="A31" s="13" t="s">
        <v>9</v>
      </c>
      <c r="D31" s="6">
        <f>D30-D29</f>
        <v>-792000</v>
      </c>
      <c r="E31" s="6">
        <f t="shared" ref="E31:W31" si="18">E30-E29</f>
        <v>22709000</v>
      </c>
      <c r="F31" s="6">
        <f t="shared" si="18"/>
        <v>39270878.5</v>
      </c>
      <c r="G31" s="6">
        <f t="shared" si="18"/>
        <v>84762826.935000002</v>
      </c>
      <c r="H31" s="6">
        <f t="shared" si="18"/>
        <v>94084972.837909997</v>
      </c>
      <c r="I31" s="6">
        <f t="shared" si="18"/>
        <v>138247803.3880915</v>
      </c>
      <c r="J31" s="6">
        <f t="shared" si="18"/>
        <v>202038753.53085679</v>
      </c>
      <c r="K31" s="6">
        <f t="shared" si="18"/>
        <v>273607312.96227014</v>
      </c>
      <c r="L31" s="6">
        <f t="shared" si="18"/>
        <v>350964973.41679513</v>
      </c>
      <c r="M31" s="6">
        <f t="shared" si="18"/>
        <v>420703206.32965159</v>
      </c>
      <c r="N31" s="6">
        <f t="shared" si="18"/>
        <v>539545655.40865111</v>
      </c>
      <c r="O31" s="6">
        <f t="shared" si="18"/>
        <v>654269165.51953995</v>
      </c>
      <c r="P31" s="6">
        <f t="shared" si="18"/>
        <v>779648655.77397406</v>
      </c>
      <c r="Q31" s="6">
        <f t="shared" si="18"/>
        <v>916908415.05791688</v>
      </c>
      <c r="R31" s="6">
        <f t="shared" si="18"/>
        <v>1046975577.6827302</v>
      </c>
      <c r="S31" s="6">
        <f t="shared" si="18"/>
        <v>1230333507.4858656</v>
      </c>
      <c r="T31" s="6">
        <f t="shared" si="18"/>
        <v>1409525112.3032463</v>
      </c>
      <c r="U31" s="6">
        <f t="shared" si="18"/>
        <v>1604156102.3228016</v>
      </c>
      <c r="V31" s="6">
        <f t="shared" si="18"/>
        <v>1815898198.3743949</v>
      </c>
      <c r="W31" s="6">
        <f t="shared" si="18"/>
        <v>2020992289.4269223</v>
      </c>
    </row>
    <row r="32" spans="1:23" x14ac:dyDescent="0.3">
      <c r="A32" s="13" t="s">
        <v>40</v>
      </c>
      <c r="D32" s="6">
        <v>0</v>
      </c>
      <c r="E32" s="6">
        <f t="shared" ref="E32:W32" si="19">E31*21.73%</f>
        <v>4934665.7</v>
      </c>
      <c r="F32" s="6">
        <f t="shared" si="19"/>
        <v>8533561.898049999</v>
      </c>
      <c r="G32" s="6">
        <f t="shared" si="19"/>
        <v>18418962.2929755</v>
      </c>
      <c r="H32" s="6">
        <f t="shared" si="19"/>
        <v>20444664.597677842</v>
      </c>
      <c r="I32" s="6">
        <f t="shared" si="19"/>
        <v>30041247.676232282</v>
      </c>
      <c r="J32" s="6">
        <f t="shared" si="19"/>
        <v>43903021.14225518</v>
      </c>
      <c r="K32" s="6">
        <f t="shared" si="19"/>
        <v>59454869.1067013</v>
      </c>
      <c r="L32" s="6">
        <f t="shared" si="19"/>
        <v>76264688.723469585</v>
      </c>
      <c r="M32" s="6">
        <f t="shared" si="19"/>
        <v>91418806.735433295</v>
      </c>
      <c r="N32" s="6">
        <f t="shared" si="19"/>
        <v>117243270.92029989</v>
      </c>
      <c r="O32" s="6">
        <f t="shared" si="19"/>
        <v>142172689.66739604</v>
      </c>
      <c r="P32" s="6">
        <f t="shared" si="19"/>
        <v>169417652.89968455</v>
      </c>
      <c r="Q32" s="6">
        <f t="shared" si="19"/>
        <v>199244198.59208533</v>
      </c>
      <c r="R32" s="6">
        <f t="shared" si="19"/>
        <v>227507793.03045726</v>
      </c>
      <c r="S32" s="6">
        <f t="shared" si="19"/>
        <v>267351471.1766786</v>
      </c>
      <c r="T32" s="6">
        <f t="shared" si="19"/>
        <v>306289806.90349543</v>
      </c>
      <c r="U32" s="6">
        <f t="shared" si="19"/>
        <v>348583121.0347448</v>
      </c>
      <c r="V32" s="6">
        <f t="shared" si="19"/>
        <v>394594678.50675601</v>
      </c>
      <c r="W32" s="6">
        <f t="shared" si="19"/>
        <v>439161624.4924702</v>
      </c>
    </row>
    <row r="33" spans="1:23" x14ac:dyDescent="0.3">
      <c r="A33" s="13" t="s">
        <v>10</v>
      </c>
      <c r="D33" s="6">
        <f>D31-D32</f>
        <v>-792000</v>
      </c>
      <c r="E33" s="6">
        <f t="shared" ref="E33:W33" si="20">E31-E32</f>
        <v>17774334.300000001</v>
      </c>
      <c r="F33" s="6">
        <f t="shared" si="20"/>
        <v>30737316.601950001</v>
      </c>
      <c r="G33" s="6">
        <f t="shared" si="20"/>
        <v>66343864.642024502</v>
      </c>
      <c r="H33" s="6">
        <f t="shared" si="20"/>
        <v>73640308.240232155</v>
      </c>
      <c r="I33" s="6">
        <f t="shared" si="20"/>
        <v>108206555.71185923</v>
      </c>
      <c r="J33" s="6">
        <f t="shared" si="20"/>
        <v>158135732.3886016</v>
      </c>
      <c r="K33" s="6">
        <f t="shared" si="20"/>
        <v>214152443.85556883</v>
      </c>
      <c r="L33" s="6">
        <f t="shared" si="20"/>
        <v>274700284.69332552</v>
      </c>
      <c r="M33" s="6">
        <f t="shared" si="20"/>
        <v>329284399.59421831</v>
      </c>
      <c r="N33" s="6">
        <f t="shared" si="20"/>
        <v>422302384.48835123</v>
      </c>
      <c r="O33" s="6">
        <f t="shared" si="20"/>
        <v>512096475.85214388</v>
      </c>
      <c r="P33" s="6">
        <f t="shared" si="20"/>
        <v>610231002.87428951</v>
      </c>
      <c r="Q33" s="6">
        <f t="shared" si="20"/>
        <v>717664216.46583152</v>
      </c>
      <c r="R33" s="6">
        <f t="shared" si="20"/>
        <v>819467784.65227294</v>
      </c>
      <c r="S33" s="6">
        <f t="shared" si="20"/>
        <v>962982036.30918694</v>
      </c>
      <c r="T33" s="6">
        <f t="shared" si="20"/>
        <v>1103235305.3997507</v>
      </c>
      <c r="U33" s="6">
        <f t="shared" si="20"/>
        <v>1255572981.2880569</v>
      </c>
      <c r="V33" s="6">
        <f t="shared" si="20"/>
        <v>1421303519.8676388</v>
      </c>
      <c r="W33" s="6">
        <f t="shared" si="20"/>
        <v>1581830664.9344521</v>
      </c>
    </row>
    <row r="34" spans="1:23" x14ac:dyDescent="0.3">
      <c r="A34" s="13" t="s">
        <v>73</v>
      </c>
      <c r="D34" s="8">
        <f>(D33/D29)*100</f>
        <v>-7.7328646748681891</v>
      </c>
      <c r="E34" s="8">
        <f t="shared" ref="E34:W34" si="21">(E33/E29)*100</f>
        <v>87.960184092343098</v>
      </c>
      <c r="F34" s="8">
        <f t="shared" si="21"/>
        <v>70.956768543226516</v>
      </c>
      <c r="G34" s="8">
        <f t="shared" si="21"/>
        <v>111.06356106268763</v>
      </c>
      <c r="H34" s="8">
        <f t="shared" si="21"/>
        <v>82.829367342684662</v>
      </c>
      <c r="I34" s="8">
        <f t="shared" si="21"/>
        <v>119.02791798195369</v>
      </c>
      <c r="J34" s="8">
        <f t="shared" si="21"/>
        <v>149.44587681868035</v>
      </c>
      <c r="K34" s="8">
        <f t="shared" si="21"/>
        <v>173.53477152026565</v>
      </c>
      <c r="L34" s="8">
        <f t="shared" si="21"/>
        <v>198.52838049840182</v>
      </c>
      <c r="M34" s="8">
        <f t="shared" si="21"/>
        <v>192.63766079530089</v>
      </c>
      <c r="N34" s="8">
        <f t="shared" si="21"/>
        <v>255.57478283495519</v>
      </c>
      <c r="O34" s="8">
        <f t="shared" si="21"/>
        <v>291.93183143151577</v>
      </c>
      <c r="P34" s="8">
        <f t="shared" si="21"/>
        <v>325.1281913949075</v>
      </c>
      <c r="Q34" s="8">
        <f t="shared" si="21"/>
        <v>355.46520876114118</v>
      </c>
      <c r="R34" s="8">
        <f t="shared" si="21"/>
        <v>343.95647788882343</v>
      </c>
      <c r="S34" s="8">
        <f t="shared" si="21"/>
        <v>405.4768190143725</v>
      </c>
      <c r="T34" s="8">
        <f t="shared" si="21"/>
        <v>426.93318171571121</v>
      </c>
      <c r="U34" s="8">
        <f t="shared" si="21"/>
        <v>443.97084417647596</v>
      </c>
      <c r="V34" s="8">
        <f t="shared" si="21"/>
        <v>457.70190644917699</v>
      </c>
      <c r="W34" s="8">
        <f t="shared" si="21"/>
        <v>431.04513490512193</v>
      </c>
    </row>
    <row r="36" spans="1:23" x14ac:dyDescent="0.3">
      <c r="A36" s="4" t="s">
        <v>62</v>
      </c>
    </row>
    <row r="37" spans="1:23" x14ac:dyDescent="0.3">
      <c r="A37" t="s">
        <v>12</v>
      </c>
      <c r="D37" s="6">
        <f>(D4+D5)*28000</f>
        <v>2800000</v>
      </c>
      <c r="E37" s="6">
        <f>(E4+E5)*28000</f>
        <v>7000000</v>
      </c>
      <c r="F37" s="6">
        <f>(F4+F5)*28000</f>
        <v>11200000</v>
      </c>
      <c r="G37" s="6">
        <f>(G4+G5)*28000</f>
        <v>15400000</v>
      </c>
      <c r="H37" s="6">
        <f>(H4+H5)*28000</f>
        <v>9240000</v>
      </c>
      <c r="I37" s="6">
        <f>(I4+I5)*28000</f>
        <v>2800000</v>
      </c>
      <c r="J37" s="6">
        <f>(J4+J5)*28000</f>
        <v>2800000</v>
      </c>
      <c r="K37" s="6">
        <f>(K4+K5)*28000</f>
        <v>2800000</v>
      </c>
      <c r="L37" s="6">
        <f>(L4+L5)*28000</f>
        <v>1400000</v>
      </c>
      <c r="M37" s="6">
        <f>(M4+M5)*28000</f>
        <v>1400000</v>
      </c>
      <c r="N37" s="6">
        <f>(N4+N5)*28000</f>
        <v>1400000</v>
      </c>
      <c r="O37" s="6">
        <f>(O4+O5)*28000</f>
        <v>1400000</v>
      </c>
      <c r="P37" s="6">
        <f>(P4+P5)*28000</f>
        <v>1400000</v>
      </c>
      <c r="Q37" s="6">
        <f>(Q4+Q5)*28000</f>
        <v>1400000</v>
      </c>
      <c r="R37" s="6">
        <f>(R4+R5)*28000</f>
        <v>1400000</v>
      </c>
      <c r="S37" s="6">
        <f>(S4+S5)*28000</f>
        <v>1400000</v>
      </c>
      <c r="T37" s="6">
        <f>(T4+T5)*28000</f>
        <v>1400000</v>
      </c>
      <c r="U37" s="6">
        <f>(U4+U5)*28000</f>
        <v>1400000</v>
      </c>
      <c r="V37" s="6">
        <f>(V4+V5)*28000</f>
        <v>1400000</v>
      </c>
      <c r="W37" s="6">
        <f>(W4+W5)*28000</f>
        <v>1400000</v>
      </c>
    </row>
    <row r="38" spans="1:23" x14ac:dyDescent="0.3">
      <c r="A38" s="9" t="s">
        <v>64</v>
      </c>
      <c r="D38" s="6">
        <f>D37-D25</f>
        <v>2240000</v>
      </c>
      <c r="E38" s="6">
        <f>D38+E37-E25</f>
        <v>7392000</v>
      </c>
      <c r="F38" s="6">
        <f>E38+F37-F25</f>
        <v>14873600</v>
      </c>
      <c r="G38" s="6">
        <f>F38+G37-G25</f>
        <v>24218880</v>
      </c>
      <c r="H38" s="6">
        <f>G38+H37-H25</f>
        <v>26767104</v>
      </c>
      <c r="I38" s="6">
        <f>H38+I37-I25</f>
        <v>23653683.199999999</v>
      </c>
      <c r="J38" s="6">
        <f>I38+J37-J25</f>
        <v>21162946.559999999</v>
      </c>
      <c r="K38" s="6">
        <f>J38+K37-K25</f>
        <v>19170357.248</v>
      </c>
      <c r="L38" s="6">
        <f>K38+L37-L25</f>
        <v>16456285.7984</v>
      </c>
      <c r="M38" s="6">
        <f>L38+M37-M25</f>
        <v>14285028.63872</v>
      </c>
      <c r="N38" s="6">
        <f>M38+N37-N25</f>
        <v>12548022.910976</v>
      </c>
      <c r="O38" s="6">
        <f>N38+O37-O25</f>
        <v>11158418.3287808</v>
      </c>
      <c r="P38" s="6">
        <f>O38+P37-P25</f>
        <v>10046734.66302464</v>
      </c>
      <c r="Q38" s="6">
        <f>P38+Q37-Q25</f>
        <v>9157387.7304197121</v>
      </c>
      <c r="R38" s="6">
        <f>Q38+R37-R25</f>
        <v>8445910.1843357701</v>
      </c>
      <c r="S38" s="6">
        <f>R38+S37-S25</f>
        <v>7876728.1474686163</v>
      </c>
      <c r="T38" s="6">
        <f>S38+T37-T25</f>
        <v>7421382.5179748917</v>
      </c>
      <c r="U38" s="6">
        <f>T38+U37-U25</f>
        <v>7057106.0143799121</v>
      </c>
      <c r="V38" s="6">
        <f>U38+V37-V25</f>
        <v>6765684.8115039282</v>
      </c>
      <c r="W38" s="6">
        <f>V38+W37-W25</f>
        <v>6532547.8492031423</v>
      </c>
    </row>
    <row r="39" spans="1:23" x14ac:dyDescent="0.3">
      <c r="A39" s="4" t="s">
        <v>67</v>
      </c>
      <c r="D39" s="10">
        <f>D4*Calculations!D18+'Feasibility Analysis'!D5*Calculations!D19</f>
        <v>510000</v>
      </c>
      <c r="E39" s="10">
        <f>E4*Calculations!E18+'Feasibility Analysis'!E5*Calculations!E19</f>
        <v>642000</v>
      </c>
      <c r="F39" s="10">
        <f>F4*Calculations!F18+'Feasibility Analysis'!F5*Calculations!F19</f>
        <v>1202145</v>
      </c>
      <c r="G39" s="10">
        <f>G4*Calculations!G18+'Feasibility Analysis'!G5*Calculations!G19</f>
        <v>1561929.825</v>
      </c>
      <c r="H39" s="10">
        <f>H4*Calculations!H18+'Feasibility Analysis'!H5*Calculations!H19</f>
        <v>1238702.22945</v>
      </c>
      <c r="I39" s="10">
        <f>I4*Calculations!I18+'Feasibility Analysis'!I5*Calculations!I19</f>
        <v>841531.03842</v>
      </c>
      <c r="J39" s="10">
        <f>J4*Calculations!J18+'Feasibility Analysis'!J5*Calculations!J19</f>
        <v>900438.21110940003</v>
      </c>
      <c r="K39" s="10">
        <f>K4*Calculations!K18+'Feasibility Analysis'!K5*Calculations!K19</f>
        <v>963468.8858870581</v>
      </c>
      <c r="L39" s="10">
        <f>L4*Calculations!L18+'Feasibility Analysis'!L5*Calculations!L19</f>
        <v>515455.85394957609</v>
      </c>
      <c r="M39" s="10">
        <f>M4*Calculations!M18+'Feasibility Analysis'!M5*Calculations!M19</f>
        <v>551537.76372604643</v>
      </c>
      <c r="N39" s="10">
        <f>N4*Calculations!N18+'Feasibility Analysis'!N5*Calculations!N19</f>
        <v>590145.40718686965</v>
      </c>
      <c r="O39" s="10">
        <f>O4*Calculations!O18+'Feasibility Analysis'!O5*Calculations!O19</f>
        <v>631455.58568995062</v>
      </c>
      <c r="P39" s="10">
        <f>P4*Calculations!P18+'Feasibility Analysis'!P5*Calculations!P19</f>
        <v>675657.47668824717</v>
      </c>
      <c r="Q39" s="10">
        <f>Q4*Calculations!Q18+'Feasibility Analysis'!Q5*Calculations!Q19</f>
        <v>722953.50005642453</v>
      </c>
      <c r="R39" s="10">
        <f>R4*Calculations!R18+'Feasibility Analysis'!R5*Calculations!R19</f>
        <v>773560.24506037415</v>
      </c>
      <c r="S39" s="10">
        <f>S4*Calculations!S18+'Feasibility Analysis'!S5*Calculations!S19</f>
        <v>827709.46221460029</v>
      </c>
      <c r="T39" s="10">
        <f>T4*Calculations!T18+'Feasibility Analysis'!T5*Calculations!T19</f>
        <v>885649.12456962233</v>
      </c>
      <c r="U39" s="10">
        <f>U4*Calculations!U18+'Feasibility Analysis'!U5*Calculations!U19</f>
        <v>947644.56328949577</v>
      </c>
      <c r="V39" s="10">
        <f>V4*Calculations!V18+'Feasibility Analysis'!V5*Calculations!V19</f>
        <v>1013979.6827197606</v>
      </c>
      <c r="W39" s="10">
        <f>W4*Calculations!W18+'Feasibility Analysis'!W5*Calculations!W19</f>
        <v>1084958.2605101438</v>
      </c>
    </row>
    <row r="40" spans="1:23" x14ac:dyDescent="0.3">
      <c r="A40" t="s">
        <v>68</v>
      </c>
      <c r="D40" s="11">
        <f>D39-D24</f>
        <v>408000</v>
      </c>
      <c r="E40" s="11">
        <f>D40+E39-E24</f>
        <v>840000</v>
      </c>
      <c r="F40" s="11">
        <f t="shared" ref="F40:W40" si="22">E40+F39-F24</f>
        <v>1633716</v>
      </c>
      <c r="G40" s="11">
        <f t="shared" si="22"/>
        <v>2556516.66</v>
      </c>
      <c r="H40" s="11">
        <f t="shared" si="22"/>
        <v>3036175.1115600001</v>
      </c>
      <c r="I40" s="11">
        <f t="shared" si="22"/>
        <v>3102164.9199840003</v>
      </c>
      <c r="J40" s="11">
        <f t="shared" si="22"/>
        <v>3202082.5048747202</v>
      </c>
      <c r="K40" s="11">
        <f t="shared" si="22"/>
        <v>3332441.1126094228</v>
      </c>
      <c r="L40" s="11">
        <f t="shared" si="22"/>
        <v>3078317.5732471989</v>
      </c>
      <c r="M40" s="11">
        <f t="shared" si="22"/>
        <v>2903884.2695785961</v>
      </c>
      <c r="N40" s="11">
        <f t="shared" si="22"/>
        <v>2795223.7414123723</v>
      </c>
      <c r="O40" s="11">
        <f t="shared" si="22"/>
        <v>2741343.4616818586</v>
      </c>
      <c r="P40" s="11">
        <f t="shared" si="22"/>
        <v>2733600.7506960845</v>
      </c>
      <c r="Q40" s="11">
        <f t="shared" si="22"/>
        <v>2765243.4006020073</v>
      </c>
      <c r="R40" s="11">
        <f t="shared" si="22"/>
        <v>2831042.9165299051</v>
      </c>
      <c r="S40" s="11">
        <f t="shared" si="22"/>
        <v>2927001.9029956041</v>
      </c>
      <c r="T40" s="11">
        <f t="shared" si="22"/>
        <v>3050120.8220521812</v>
      </c>
      <c r="U40" s="11">
        <f t="shared" si="22"/>
        <v>3198212.3082733415</v>
      </c>
      <c r="V40" s="11">
        <f t="shared" si="22"/>
        <v>3369753.5927944817</v>
      </c>
      <c r="W40" s="11">
        <f t="shared" si="22"/>
        <v>3563769.4826437002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0D2A-AA05-4F3C-A0F6-EF74C0195472}">
  <dimension ref="A1:Z44"/>
  <sheetViews>
    <sheetView zoomScale="82" workbookViewId="0">
      <selection activeCell="N24" sqref="N24"/>
    </sheetView>
  </sheetViews>
  <sheetFormatPr defaultRowHeight="14.4" x14ac:dyDescent="0.3"/>
  <cols>
    <col min="1" max="1" width="25.21875" bestFit="1" customWidth="1"/>
    <col min="4" max="6" width="10.88671875" bestFit="1" customWidth="1"/>
    <col min="7" max="18" width="11.88671875" bestFit="1" customWidth="1"/>
    <col min="19" max="24" width="13.44140625" bestFit="1" customWidth="1"/>
  </cols>
  <sheetData>
    <row r="1" spans="1:24" x14ac:dyDescent="0.3"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3">
      <c r="A2" t="s">
        <v>43</v>
      </c>
      <c r="D2">
        <f t="shared" ref="D2:X2" si="0">(D6*50)+(D4*250)+(C7*50)</f>
        <v>21000</v>
      </c>
      <c r="E2">
        <f t="shared" si="0"/>
        <v>27500</v>
      </c>
      <c r="F2">
        <f t="shared" si="0"/>
        <v>57500</v>
      </c>
      <c r="G2">
        <f t="shared" si="0"/>
        <v>85000</v>
      </c>
      <c r="H2">
        <f t="shared" si="0"/>
        <v>101500</v>
      </c>
      <c r="I2">
        <f t="shared" si="0"/>
        <v>106500</v>
      </c>
      <c r="J2">
        <f t="shared" si="0"/>
        <v>111500</v>
      </c>
      <c r="K2">
        <f t="shared" si="0"/>
        <v>116500</v>
      </c>
      <c r="L2">
        <f t="shared" si="0"/>
        <v>109000</v>
      </c>
      <c r="M2">
        <f t="shared" si="0"/>
        <v>111500</v>
      </c>
      <c r="N2">
        <f t="shared" si="0"/>
        <v>114000</v>
      </c>
      <c r="O2">
        <f t="shared" si="0"/>
        <v>116500</v>
      </c>
      <c r="P2">
        <f t="shared" si="0"/>
        <v>119000</v>
      </c>
      <c r="Q2">
        <f t="shared" si="0"/>
        <v>121500</v>
      </c>
      <c r="R2">
        <f t="shared" si="0"/>
        <v>124000</v>
      </c>
      <c r="S2">
        <f t="shared" si="0"/>
        <v>126500</v>
      </c>
      <c r="T2">
        <f t="shared" si="0"/>
        <v>129000</v>
      </c>
      <c r="U2">
        <f t="shared" si="0"/>
        <v>131500</v>
      </c>
      <c r="V2">
        <f t="shared" si="0"/>
        <v>134000</v>
      </c>
      <c r="W2">
        <f t="shared" si="0"/>
        <v>136500</v>
      </c>
      <c r="X2">
        <f t="shared" si="0"/>
        <v>139000</v>
      </c>
    </row>
    <row r="3" spans="1:24" x14ac:dyDescent="0.3">
      <c r="A3" t="s">
        <v>45</v>
      </c>
      <c r="D3">
        <f>D2</f>
        <v>21000</v>
      </c>
      <c r="E3" s="5">
        <f>D3+E2</f>
        <v>48500</v>
      </c>
      <c r="F3" s="5">
        <f t="shared" ref="F3:X3" si="1">E3+F2</f>
        <v>106000</v>
      </c>
      <c r="G3" s="5">
        <f t="shared" si="1"/>
        <v>191000</v>
      </c>
      <c r="H3" s="5">
        <f t="shared" si="1"/>
        <v>292500</v>
      </c>
      <c r="I3" s="5">
        <f t="shared" si="1"/>
        <v>399000</v>
      </c>
      <c r="J3" s="5">
        <f t="shared" si="1"/>
        <v>510500</v>
      </c>
      <c r="K3" s="5">
        <f t="shared" si="1"/>
        <v>627000</v>
      </c>
      <c r="L3" s="5">
        <f t="shared" si="1"/>
        <v>736000</v>
      </c>
      <c r="M3" s="5">
        <f t="shared" si="1"/>
        <v>847500</v>
      </c>
      <c r="N3" s="5">
        <f t="shared" si="1"/>
        <v>961500</v>
      </c>
      <c r="O3" s="5">
        <f t="shared" si="1"/>
        <v>1078000</v>
      </c>
      <c r="P3" s="5">
        <f t="shared" si="1"/>
        <v>1197000</v>
      </c>
      <c r="Q3" s="5">
        <f t="shared" si="1"/>
        <v>1318500</v>
      </c>
      <c r="R3" s="5">
        <f t="shared" si="1"/>
        <v>1442500</v>
      </c>
      <c r="S3" s="5">
        <f t="shared" si="1"/>
        <v>1569000</v>
      </c>
      <c r="T3" s="5">
        <f t="shared" si="1"/>
        <v>1698000</v>
      </c>
      <c r="U3" s="5">
        <f t="shared" si="1"/>
        <v>1829500</v>
      </c>
      <c r="V3" s="5">
        <f t="shared" si="1"/>
        <v>1963500</v>
      </c>
      <c r="W3" s="5">
        <f t="shared" si="1"/>
        <v>2100000</v>
      </c>
      <c r="X3" s="5">
        <f t="shared" si="1"/>
        <v>2239000</v>
      </c>
    </row>
    <row r="4" spans="1:24" x14ac:dyDescent="0.3">
      <c r="A4" t="s">
        <v>47</v>
      </c>
      <c r="D4">
        <v>80</v>
      </c>
      <c r="E4">
        <v>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</row>
    <row r="5" spans="1:24" x14ac:dyDescent="0.3">
      <c r="A5" t="s">
        <v>52</v>
      </c>
      <c r="D5">
        <f>D4</f>
        <v>80</v>
      </c>
      <c r="E5">
        <f>D5+E4</f>
        <v>130</v>
      </c>
      <c r="F5">
        <f t="shared" ref="F5:X5" si="2">E5+F4</f>
        <v>230</v>
      </c>
      <c r="G5">
        <f t="shared" si="2"/>
        <v>330</v>
      </c>
      <c r="H5">
        <f t="shared" si="2"/>
        <v>430</v>
      </c>
      <c r="I5">
        <f t="shared" si="2"/>
        <v>530</v>
      </c>
      <c r="J5">
        <f t="shared" si="2"/>
        <v>630</v>
      </c>
      <c r="K5">
        <f t="shared" si="2"/>
        <v>730</v>
      </c>
      <c r="L5">
        <f t="shared" si="2"/>
        <v>780</v>
      </c>
      <c r="M5">
        <f t="shared" si="2"/>
        <v>830</v>
      </c>
      <c r="N5">
        <f t="shared" si="2"/>
        <v>880</v>
      </c>
      <c r="O5">
        <f t="shared" si="2"/>
        <v>930</v>
      </c>
      <c r="P5">
        <f t="shared" si="2"/>
        <v>980</v>
      </c>
      <c r="Q5">
        <f t="shared" si="2"/>
        <v>1030</v>
      </c>
      <c r="R5">
        <f t="shared" si="2"/>
        <v>1080</v>
      </c>
      <c r="S5">
        <f t="shared" si="2"/>
        <v>1130</v>
      </c>
      <c r="T5">
        <f t="shared" si="2"/>
        <v>1180</v>
      </c>
      <c r="U5">
        <f t="shared" si="2"/>
        <v>1230</v>
      </c>
      <c r="V5">
        <f t="shared" si="2"/>
        <v>1280</v>
      </c>
      <c r="W5">
        <f t="shared" si="2"/>
        <v>1330</v>
      </c>
      <c r="X5">
        <f t="shared" si="2"/>
        <v>1380</v>
      </c>
    </row>
    <row r="6" spans="1:24" x14ac:dyDescent="0.3">
      <c r="A6" t="s">
        <v>46</v>
      </c>
      <c r="D6">
        <v>20</v>
      </c>
      <c r="E6" s="5">
        <v>200</v>
      </c>
      <c r="F6">
        <v>300</v>
      </c>
      <c r="G6">
        <v>450</v>
      </c>
      <c r="H6">
        <v>230</v>
      </c>
    </row>
    <row r="7" spans="1:24" x14ac:dyDescent="0.3">
      <c r="A7" t="s">
        <v>44</v>
      </c>
      <c r="D7">
        <f>D4+D6</f>
        <v>100</v>
      </c>
      <c r="E7" s="5">
        <f t="shared" ref="E7:X7" si="3">E4+E6+D7</f>
        <v>350</v>
      </c>
      <c r="F7" s="5">
        <f t="shared" si="3"/>
        <v>750</v>
      </c>
      <c r="G7" s="5">
        <f t="shared" si="3"/>
        <v>1300</v>
      </c>
      <c r="H7" s="5">
        <f t="shared" si="3"/>
        <v>1630</v>
      </c>
      <c r="I7" s="5">
        <f t="shared" si="3"/>
        <v>1730</v>
      </c>
      <c r="J7" s="5">
        <f t="shared" si="3"/>
        <v>1830</v>
      </c>
      <c r="K7" s="5">
        <f t="shared" si="3"/>
        <v>1930</v>
      </c>
      <c r="L7" s="5">
        <f t="shared" si="3"/>
        <v>1980</v>
      </c>
      <c r="M7" s="5">
        <f t="shared" si="3"/>
        <v>2030</v>
      </c>
      <c r="N7" s="5">
        <f t="shared" si="3"/>
        <v>2080</v>
      </c>
      <c r="O7" s="5">
        <f t="shared" si="3"/>
        <v>2130</v>
      </c>
      <c r="P7" s="5">
        <f t="shared" si="3"/>
        <v>2180</v>
      </c>
      <c r="Q7" s="5">
        <f t="shared" si="3"/>
        <v>2230</v>
      </c>
      <c r="R7" s="5">
        <f t="shared" si="3"/>
        <v>2280</v>
      </c>
      <c r="S7" s="5">
        <f t="shared" si="3"/>
        <v>2330</v>
      </c>
      <c r="T7" s="5">
        <f t="shared" si="3"/>
        <v>2380</v>
      </c>
      <c r="U7" s="5">
        <f t="shared" si="3"/>
        <v>2430</v>
      </c>
      <c r="V7" s="5">
        <f t="shared" si="3"/>
        <v>2480</v>
      </c>
      <c r="W7" s="5">
        <f t="shared" si="3"/>
        <v>2530</v>
      </c>
      <c r="X7" s="5">
        <f t="shared" si="3"/>
        <v>2580</v>
      </c>
    </row>
    <row r="8" spans="1:24" x14ac:dyDescent="0.3">
      <c r="E8" s="5"/>
      <c r="F8" s="5"/>
    </row>
    <row r="9" spans="1:24" x14ac:dyDescent="0.3">
      <c r="A9" s="1" t="s">
        <v>37</v>
      </c>
    </row>
    <row r="10" spans="1:24" x14ac:dyDescent="0.3">
      <c r="A10" t="s">
        <v>48</v>
      </c>
      <c r="D10" s="6">
        <v>450</v>
      </c>
      <c r="E10" s="6">
        <f>D10+D10*0.05</f>
        <v>472.5</v>
      </c>
      <c r="F10" s="6">
        <f t="shared" ref="F10:X10" si="4">E10+E10*0.05</f>
        <v>496.125</v>
      </c>
      <c r="G10" s="6">
        <f t="shared" si="4"/>
        <v>520.93124999999998</v>
      </c>
      <c r="H10" s="6">
        <f t="shared" si="4"/>
        <v>546.97781250000003</v>
      </c>
      <c r="I10" s="6">
        <f t="shared" si="4"/>
        <v>574.32670312499999</v>
      </c>
      <c r="J10" s="6">
        <f t="shared" si="4"/>
        <v>603.04303828125001</v>
      </c>
      <c r="K10" s="6">
        <f t="shared" si="4"/>
        <v>633.19519019531253</v>
      </c>
      <c r="L10" s="6">
        <f t="shared" si="4"/>
        <v>664.85494970507818</v>
      </c>
      <c r="M10" s="6">
        <f t="shared" si="4"/>
        <v>698.09769719033204</v>
      </c>
      <c r="N10" s="6">
        <f t="shared" si="4"/>
        <v>733.00258204984868</v>
      </c>
      <c r="O10" s="6">
        <f t="shared" si="4"/>
        <v>769.65271115234111</v>
      </c>
      <c r="P10" s="6">
        <f t="shared" si="4"/>
        <v>808.13534670995818</v>
      </c>
      <c r="Q10" s="6">
        <f t="shared" si="4"/>
        <v>848.54211404545606</v>
      </c>
      <c r="R10" s="6">
        <f t="shared" si="4"/>
        <v>890.96921974772886</v>
      </c>
      <c r="S10" s="6">
        <f t="shared" si="4"/>
        <v>935.51768073511528</v>
      </c>
      <c r="T10" s="6">
        <f t="shared" si="4"/>
        <v>982.29356477187105</v>
      </c>
      <c r="U10" s="6">
        <f t="shared" si="4"/>
        <v>1031.4082430104645</v>
      </c>
      <c r="V10" s="6">
        <f t="shared" si="4"/>
        <v>1082.9786551609877</v>
      </c>
      <c r="W10" s="6">
        <f t="shared" si="4"/>
        <v>1137.1275879190371</v>
      </c>
      <c r="X10" s="6">
        <f t="shared" si="4"/>
        <v>1193.9839673149888</v>
      </c>
    </row>
    <row r="11" spans="1:24" x14ac:dyDescent="0.3">
      <c r="A11" t="s">
        <v>38</v>
      </c>
      <c r="D11" s="6"/>
      <c r="E11" s="6">
        <f>E6*50000*2</f>
        <v>20000000</v>
      </c>
      <c r="F11" s="6">
        <f>F6*50000*2</f>
        <v>30000000</v>
      </c>
      <c r="G11" s="6">
        <f>G6*50000*2</f>
        <v>45000000</v>
      </c>
      <c r="H11" s="6">
        <f>H6*50000*2</f>
        <v>23000000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3">
      <c r="A12" t="s">
        <v>0</v>
      </c>
      <c r="D12" s="6">
        <f>SUM(D10:D11)</f>
        <v>450</v>
      </c>
      <c r="E12" s="6">
        <f t="shared" ref="E12:X12" si="5">SUM(E10:E11)</f>
        <v>20000472.5</v>
      </c>
      <c r="F12" s="6">
        <f t="shared" si="5"/>
        <v>30000496.125</v>
      </c>
      <c r="G12" s="6">
        <f t="shared" si="5"/>
        <v>45000520.931249999</v>
      </c>
      <c r="H12" s="6">
        <f t="shared" si="5"/>
        <v>23000546.977812499</v>
      </c>
      <c r="I12" s="6">
        <f t="shared" si="5"/>
        <v>574.32670312499999</v>
      </c>
      <c r="J12" s="6">
        <f t="shared" si="5"/>
        <v>603.04303828125001</v>
      </c>
      <c r="K12" s="6">
        <f t="shared" si="5"/>
        <v>633.19519019531253</v>
      </c>
      <c r="L12" s="6">
        <f t="shared" si="5"/>
        <v>664.85494970507818</v>
      </c>
      <c r="M12" s="6">
        <f t="shared" si="5"/>
        <v>698.09769719033204</v>
      </c>
      <c r="N12" s="6">
        <f t="shared" si="5"/>
        <v>733.00258204984868</v>
      </c>
      <c r="O12" s="6">
        <f t="shared" si="5"/>
        <v>769.65271115234111</v>
      </c>
      <c r="P12" s="6">
        <f t="shared" si="5"/>
        <v>808.13534670995818</v>
      </c>
      <c r="Q12" s="6">
        <f t="shared" si="5"/>
        <v>848.54211404545606</v>
      </c>
      <c r="R12" s="6">
        <f t="shared" si="5"/>
        <v>890.96921974772886</v>
      </c>
      <c r="S12" s="6">
        <f t="shared" si="5"/>
        <v>935.51768073511528</v>
      </c>
      <c r="T12" s="6">
        <f t="shared" si="5"/>
        <v>982.29356477187105</v>
      </c>
      <c r="U12" s="6">
        <f t="shared" si="5"/>
        <v>1031.4082430104645</v>
      </c>
      <c r="V12" s="6">
        <f t="shared" si="5"/>
        <v>1082.9786551609877</v>
      </c>
      <c r="W12" s="6">
        <f t="shared" si="5"/>
        <v>1137.1275879190371</v>
      </c>
      <c r="X12" s="6">
        <f t="shared" si="5"/>
        <v>1193.9839673149888</v>
      </c>
    </row>
    <row r="13" spans="1:24" x14ac:dyDescent="0.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3">
      <c r="A14" s="2" t="s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3">
      <c r="A15" t="s">
        <v>54</v>
      </c>
      <c r="D15" s="6">
        <v>28000</v>
      </c>
      <c r="E15" s="6">
        <f>D15+D15*0.1</f>
        <v>30800</v>
      </c>
      <c r="F15" s="6">
        <f t="shared" ref="F15:X15" si="6">(F4+F6)*28000</f>
        <v>11200000</v>
      </c>
      <c r="G15" s="6">
        <f t="shared" si="6"/>
        <v>15400000</v>
      </c>
      <c r="H15" s="6">
        <f t="shared" si="6"/>
        <v>9240000</v>
      </c>
      <c r="I15" s="6">
        <f t="shared" si="6"/>
        <v>2800000</v>
      </c>
      <c r="J15" s="6">
        <f t="shared" si="6"/>
        <v>2800000</v>
      </c>
      <c r="K15" s="6">
        <f t="shared" si="6"/>
        <v>2800000</v>
      </c>
      <c r="L15" s="6">
        <f t="shared" si="6"/>
        <v>1400000</v>
      </c>
      <c r="M15" s="6">
        <f t="shared" si="6"/>
        <v>1400000</v>
      </c>
      <c r="N15" s="6">
        <f t="shared" si="6"/>
        <v>1400000</v>
      </c>
      <c r="O15" s="6">
        <f t="shared" si="6"/>
        <v>1400000</v>
      </c>
      <c r="P15" s="6">
        <f t="shared" si="6"/>
        <v>1400000</v>
      </c>
      <c r="Q15" s="6">
        <f t="shared" si="6"/>
        <v>1400000</v>
      </c>
      <c r="R15" s="6">
        <f t="shared" si="6"/>
        <v>1400000</v>
      </c>
      <c r="S15" s="6">
        <f t="shared" si="6"/>
        <v>1400000</v>
      </c>
      <c r="T15" s="6">
        <f t="shared" si="6"/>
        <v>1400000</v>
      </c>
      <c r="U15" s="6">
        <f t="shared" si="6"/>
        <v>1400000</v>
      </c>
      <c r="V15" s="6">
        <f t="shared" si="6"/>
        <v>1400000</v>
      </c>
      <c r="W15" s="6">
        <f t="shared" si="6"/>
        <v>1400000</v>
      </c>
      <c r="X15" s="6">
        <f t="shared" si="6"/>
        <v>1400000</v>
      </c>
    </row>
    <row r="16" spans="1:24" x14ac:dyDescent="0.3">
      <c r="A16" t="s">
        <v>49</v>
      </c>
      <c r="D16" s="6">
        <v>8500</v>
      </c>
      <c r="E16" s="6">
        <f>D16+D16*0.1</f>
        <v>9350</v>
      </c>
      <c r="F16" s="6">
        <f t="shared" ref="F16:X16" si="7">E16+E16*0.1</f>
        <v>10285</v>
      </c>
      <c r="G16" s="6">
        <f t="shared" si="7"/>
        <v>11313.5</v>
      </c>
      <c r="H16" s="6">
        <f t="shared" si="7"/>
        <v>12444.85</v>
      </c>
      <c r="I16" s="6">
        <f t="shared" si="7"/>
        <v>13689.335000000001</v>
      </c>
      <c r="J16" s="6">
        <f t="shared" si="7"/>
        <v>15058.268500000002</v>
      </c>
      <c r="K16" s="6">
        <f t="shared" si="7"/>
        <v>16564.095350000003</v>
      </c>
      <c r="L16" s="6">
        <f t="shared" si="7"/>
        <v>18220.504885000002</v>
      </c>
      <c r="M16" s="6">
        <f t="shared" si="7"/>
        <v>20042.555373500003</v>
      </c>
      <c r="N16" s="6">
        <f t="shared" si="7"/>
        <v>22046.810910850003</v>
      </c>
      <c r="O16" s="6">
        <f t="shared" si="7"/>
        <v>24251.492001935003</v>
      </c>
      <c r="P16" s="6">
        <f t="shared" si="7"/>
        <v>26676.641202128503</v>
      </c>
      <c r="Q16" s="6">
        <f t="shared" si="7"/>
        <v>29344.305322341352</v>
      </c>
      <c r="R16" s="6">
        <f t="shared" si="7"/>
        <v>32278.735854575487</v>
      </c>
      <c r="S16" s="6">
        <f t="shared" si="7"/>
        <v>35506.609440033033</v>
      </c>
      <c r="T16" s="6">
        <f t="shared" si="7"/>
        <v>39057.270384036339</v>
      </c>
      <c r="U16" s="6">
        <f t="shared" si="7"/>
        <v>42962.99742243997</v>
      </c>
      <c r="V16" s="6">
        <f t="shared" si="7"/>
        <v>47259.297164683965</v>
      </c>
      <c r="W16" s="6">
        <f t="shared" si="7"/>
        <v>51985.226881152361</v>
      </c>
      <c r="X16" s="6">
        <f t="shared" si="7"/>
        <v>57183.749569267595</v>
      </c>
    </row>
    <row r="17" spans="1:26" x14ac:dyDescent="0.3">
      <c r="A17" t="s">
        <v>50</v>
      </c>
      <c r="D17" s="6">
        <v>1100</v>
      </c>
      <c r="E17" s="6">
        <f>D17+D17*0.05</f>
        <v>1155</v>
      </c>
      <c r="F17" s="6">
        <f t="shared" ref="F17:X17" si="8">E17+E17*0.05</f>
        <v>1212.75</v>
      </c>
      <c r="G17" s="6">
        <f t="shared" si="8"/>
        <v>1273.3875</v>
      </c>
      <c r="H17" s="6">
        <f t="shared" si="8"/>
        <v>1337.056875</v>
      </c>
      <c r="I17" s="6">
        <f t="shared" si="8"/>
        <v>1403.9097187499999</v>
      </c>
      <c r="J17" s="6">
        <f t="shared" si="8"/>
        <v>1474.1052046875</v>
      </c>
      <c r="K17" s="6">
        <f t="shared" si="8"/>
        <v>1547.8104649218749</v>
      </c>
      <c r="L17" s="6">
        <f t="shared" si="8"/>
        <v>1625.2009881679687</v>
      </c>
      <c r="M17" s="6">
        <f t="shared" si="8"/>
        <v>1706.4610375763671</v>
      </c>
      <c r="N17" s="6">
        <f t="shared" si="8"/>
        <v>1791.7840894551855</v>
      </c>
      <c r="O17" s="6">
        <f t="shared" si="8"/>
        <v>1881.3732939279448</v>
      </c>
      <c r="P17" s="6">
        <f t="shared" si="8"/>
        <v>1975.4419586243421</v>
      </c>
      <c r="Q17" s="6">
        <f t="shared" si="8"/>
        <v>2074.2140565555592</v>
      </c>
      <c r="R17" s="6">
        <f t="shared" si="8"/>
        <v>2177.924759383337</v>
      </c>
      <c r="S17" s="6">
        <f t="shared" si="8"/>
        <v>2286.820997352504</v>
      </c>
      <c r="T17" s="6">
        <f t="shared" si="8"/>
        <v>2401.1620472201294</v>
      </c>
      <c r="U17" s="6">
        <f t="shared" si="8"/>
        <v>2521.220149581136</v>
      </c>
      <c r="V17" s="6">
        <f t="shared" si="8"/>
        <v>2647.2811570601925</v>
      </c>
      <c r="W17" s="6">
        <f t="shared" si="8"/>
        <v>2779.6452149132019</v>
      </c>
      <c r="X17" s="6">
        <f t="shared" si="8"/>
        <v>2918.6274756588618</v>
      </c>
    </row>
    <row r="18" spans="1:26" x14ac:dyDescent="0.3">
      <c r="A18" t="s">
        <v>55</v>
      </c>
      <c r="D18" s="6">
        <v>6000</v>
      </c>
      <c r="E18" s="6">
        <f>D18+D18*0.07</f>
        <v>6420</v>
      </c>
      <c r="F18" s="6">
        <f t="shared" ref="F18:X18" si="9">E18+E18*0.07</f>
        <v>6869.4</v>
      </c>
      <c r="G18" s="6">
        <f t="shared" si="9"/>
        <v>7350.2579999999998</v>
      </c>
      <c r="H18" s="6">
        <f t="shared" si="9"/>
        <v>7864.7760600000001</v>
      </c>
      <c r="I18" s="6">
        <f t="shared" si="9"/>
        <v>8415.3103842</v>
      </c>
      <c r="J18" s="6">
        <f t="shared" si="9"/>
        <v>9004.3821110940007</v>
      </c>
      <c r="K18" s="6">
        <f t="shared" si="9"/>
        <v>9634.6888588705806</v>
      </c>
      <c r="L18" s="6">
        <f t="shared" si="9"/>
        <v>10309.117078991521</v>
      </c>
      <c r="M18" s="6">
        <f t="shared" si="9"/>
        <v>11030.755274520929</v>
      </c>
      <c r="N18" s="6">
        <f t="shared" si="9"/>
        <v>11802.908143737393</v>
      </c>
      <c r="O18" s="6">
        <f t="shared" si="9"/>
        <v>12629.111713799011</v>
      </c>
      <c r="P18" s="6">
        <f t="shared" si="9"/>
        <v>13513.149533764943</v>
      </c>
      <c r="Q18" s="6">
        <f t="shared" si="9"/>
        <v>14459.07000112849</v>
      </c>
      <c r="R18" s="6">
        <f t="shared" si="9"/>
        <v>15471.204901207484</v>
      </c>
      <c r="S18" s="6">
        <f t="shared" si="9"/>
        <v>16554.189244292007</v>
      </c>
      <c r="T18" s="6">
        <f t="shared" si="9"/>
        <v>17712.982491392446</v>
      </c>
      <c r="U18" s="6">
        <f t="shared" si="9"/>
        <v>18952.891265789916</v>
      </c>
      <c r="V18" s="6">
        <f t="shared" si="9"/>
        <v>20279.593654395212</v>
      </c>
      <c r="W18" s="6">
        <f t="shared" si="9"/>
        <v>21699.165210202878</v>
      </c>
      <c r="X18" s="6">
        <f t="shared" si="9"/>
        <v>23218.10677491708</v>
      </c>
    </row>
    <row r="19" spans="1:26" x14ac:dyDescent="0.3">
      <c r="A19" t="s">
        <v>58</v>
      </c>
      <c r="D19" s="6">
        <v>1500</v>
      </c>
      <c r="E19" s="6">
        <f>D19+D19*0.07</f>
        <v>1605</v>
      </c>
      <c r="F19" s="6">
        <f t="shared" ref="F19:X19" si="10">E19+E19*0.07</f>
        <v>1717.35</v>
      </c>
      <c r="G19" s="6">
        <f t="shared" si="10"/>
        <v>1837.5645</v>
      </c>
      <c r="H19" s="6">
        <f t="shared" si="10"/>
        <v>1966.194015</v>
      </c>
      <c r="I19" s="6">
        <f t="shared" si="10"/>
        <v>2103.82759605</v>
      </c>
      <c r="J19" s="6">
        <f t="shared" si="10"/>
        <v>2251.0955277735002</v>
      </c>
      <c r="K19" s="6">
        <f t="shared" si="10"/>
        <v>2408.6722147176451</v>
      </c>
      <c r="L19" s="6">
        <f t="shared" si="10"/>
        <v>2577.2792697478803</v>
      </c>
      <c r="M19" s="6">
        <f t="shared" si="10"/>
        <v>2757.6888186302322</v>
      </c>
      <c r="N19" s="6">
        <f t="shared" si="10"/>
        <v>2950.7270359343484</v>
      </c>
      <c r="O19" s="6">
        <f t="shared" si="10"/>
        <v>3157.2779284497528</v>
      </c>
      <c r="P19" s="6">
        <f t="shared" si="10"/>
        <v>3378.2873834412358</v>
      </c>
      <c r="Q19" s="6">
        <f t="shared" si="10"/>
        <v>3614.7675002821225</v>
      </c>
      <c r="R19" s="6">
        <f t="shared" si="10"/>
        <v>3867.801225301871</v>
      </c>
      <c r="S19" s="6">
        <f t="shared" si="10"/>
        <v>4138.5473110730018</v>
      </c>
      <c r="T19" s="6">
        <f t="shared" si="10"/>
        <v>4428.2456228481115</v>
      </c>
      <c r="U19" s="6">
        <f t="shared" si="10"/>
        <v>4738.2228164474791</v>
      </c>
      <c r="V19" s="6">
        <f t="shared" si="10"/>
        <v>5069.898413598803</v>
      </c>
      <c r="W19" s="6">
        <f t="shared" si="10"/>
        <v>5424.7913025507196</v>
      </c>
      <c r="X19" s="6">
        <f t="shared" si="10"/>
        <v>5804.5266937292699</v>
      </c>
    </row>
    <row r="20" spans="1:26" x14ac:dyDescent="0.3">
      <c r="A20" t="s">
        <v>57</v>
      </c>
      <c r="D20" s="6">
        <f>SUM(D18:D19)</f>
        <v>7500</v>
      </c>
      <c r="E20" s="6">
        <f t="shared" ref="E20:X20" si="11">SUM(E18:E19)</f>
        <v>8025</v>
      </c>
      <c r="F20" s="6">
        <f t="shared" si="11"/>
        <v>8586.75</v>
      </c>
      <c r="G20" s="6">
        <f t="shared" si="11"/>
        <v>9187.8225000000002</v>
      </c>
      <c r="H20" s="6">
        <f t="shared" si="11"/>
        <v>9830.9700750000011</v>
      </c>
      <c r="I20" s="6">
        <f t="shared" si="11"/>
        <v>10519.13798025</v>
      </c>
      <c r="J20" s="6">
        <f t="shared" si="11"/>
        <v>11255.477638867502</v>
      </c>
      <c r="K20" s="6">
        <f t="shared" si="11"/>
        <v>12043.361073588225</v>
      </c>
      <c r="L20" s="6">
        <f t="shared" si="11"/>
        <v>12886.396348739401</v>
      </c>
      <c r="M20" s="6">
        <f t="shared" si="11"/>
        <v>13788.44409315116</v>
      </c>
      <c r="N20" s="6">
        <f t="shared" si="11"/>
        <v>14753.635179671743</v>
      </c>
      <c r="O20" s="6">
        <f t="shared" si="11"/>
        <v>15786.389642248763</v>
      </c>
      <c r="P20" s="6">
        <f t="shared" si="11"/>
        <v>16891.436917206178</v>
      </c>
      <c r="Q20" s="6">
        <f t="shared" si="11"/>
        <v>18073.837501410613</v>
      </c>
      <c r="R20" s="6">
        <f t="shared" si="11"/>
        <v>19339.006126509354</v>
      </c>
      <c r="S20" s="6">
        <f t="shared" si="11"/>
        <v>20692.736555365009</v>
      </c>
      <c r="T20" s="6">
        <f t="shared" si="11"/>
        <v>22141.228114240555</v>
      </c>
      <c r="U20" s="6">
        <f t="shared" si="11"/>
        <v>23691.114082237396</v>
      </c>
      <c r="V20" s="6">
        <f t="shared" si="11"/>
        <v>25349.492067994015</v>
      </c>
      <c r="W20" s="6">
        <f t="shared" si="11"/>
        <v>27123.956512753597</v>
      </c>
      <c r="X20" s="6">
        <f t="shared" si="11"/>
        <v>29022.633468646349</v>
      </c>
    </row>
    <row r="21" spans="1:26" x14ac:dyDescent="0.3">
      <c r="A21" t="s">
        <v>56</v>
      </c>
      <c r="D21" s="6">
        <v>5000</v>
      </c>
      <c r="E21" s="6">
        <f>D21+D21*0.07</f>
        <v>5350</v>
      </c>
      <c r="F21" s="6">
        <f t="shared" ref="F21:X21" si="12">E21+E21*0.07</f>
        <v>5724.5</v>
      </c>
      <c r="G21" s="6">
        <f t="shared" si="12"/>
        <v>6125.2150000000001</v>
      </c>
      <c r="H21" s="6">
        <f t="shared" si="12"/>
        <v>6553.9800500000001</v>
      </c>
      <c r="I21" s="6">
        <f t="shared" si="12"/>
        <v>7012.7586535</v>
      </c>
      <c r="J21" s="6">
        <f t="shared" si="12"/>
        <v>7503.651759245</v>
      </c>
      <c r="K21" s="6">
        <f t="shared" si="12"/>
        <v>8028.9073823921499</v>
      </c>
      <c r="L21" s="6">
        <f t="shared" si="12"/>
        <v>8590.9308991596008</v>
      </c>
      <c r="M21" s="6">
        <f t="shared" si="12"/>
        <v>9192.2960621007733</v>
      </c>
      <c r="N21" s="6">
        <f t="shared" si="12"/>
        <v>9835.7567864478278</v>
      </c>
      <c r="O21" s="6">
        <f t="shared" si="12"/>
        <v>10524.259761499176</v>
      </c>
      <c r="P21" s="6">
        <f t="shared" si="12"/>
        <v>11260.957944804119</v>
      </c>
      <c r="Q21" s="6">
        <f t="shared" si="12"/>
        <v>12049.225000940407</v>
      </c>
      <c r="R21" s="6">
        <f t="shared" si="12"/>
        <v>12892.670751006235</v>
      </c>
      <c r="S21" s="6">
        <f t="shared" si="12"/>
        <v>13795.157703576671</v>
      </c>
      <c r="T21" s="6">
        <f t="shared" si="12"/>
        <v>14760.818742827039</v>
      </c>
      <c r="U21" s="6">
        <f t="shared" si="12"/>
        <v>15794.076054824933</v>
      </c>
      <c r="V21" s="6">
        <f t="shared" si="12"/>
        <v>16899.661378662677</v>
      </c>
      <c r="W21" s="6">
        <f t="shared" si="12"/>
        <v>18082.637675169062</v>
      </c>
      <c r="X21" s="6">
        <f t="shared" si="12"/>
        <v>19348.422312430896</v>
      </c>
    </row>
    <row r="22" spans="1:26" x14ac:dyDescent="0.3">
      <c r="A22" t="s">
        <v>59</v>
      </c>
      <c r="D22" s="6">
        <v>4000</v>
      </c>
      <c r="E22" s="6">
        <f>D22+D22*0.07</f>
        <v>4280</v>
      </c>
      <c r="F22" s="6">
        <f t="shared" ref="F22:X22" si="13">E22+E22*0.07</f>
        <v>4579.6000000000004</v>
      </c>
      <c r="G22" s="6">
        <f t="shared" si="13"/>
        <v>4900.1720000000005</v>
      </c>
      <c r="H22" s="6">
        <f t="shared" si="13"/>
        <v>5243.1840400000001</v>
      </c>
      <c r="I22" s="6">
        <f t="shared" si="13"/>
        <v>5610.2069228</v>
      </c>
      <c r="J22" s="6">
        <f t="shared" si="13"/>
        <v>6002.9214073960002</v>
      </c>
      <c r="K22" s="6">
        <f t="shared" si="13"/>
        <v>6423.1259059137201</v>
      </c>
      <c r="L22" s="6">
        <f t="shared" si="13"/>
        <v>6872.7447193276803</v>
      </c>
      <c r="M22" s="6">
        <f t="shared" si="13"/>
        <v>7353.8368496806179</v>
      </c>
      <c r="N22" s="6">
        <f t="shared" si="13"/>
        <v>7868.6054291582614</v>
      </c>
      <c r="O22" s="6">
        <f t="shared" si="13"/>
        <v>8419.4078091993397</v>
      </c>
      <c r="P22" s="6">
        <f t="shared" si="13"/>
        <v>9008.7663558432941</v>
      </c>
      <c r="Q22" s="6">
        <f t="shared" si="13"/>
        <v>9639.3800007523241</v>
      </c>
      <c r="R22" s="6">
        <f t="shared" si="13"/>
        <v>10314.136600804986</v>
      </c>
      <c r="S22" s="6">
        <f t="shared" si="13"/>
        <v>11036.126162861336</v>
      </c>
      <c r="T22" s="6">
        <f t="shared" si="13"/>
        <v>11808.654994261629</v>
      </c>
      <c r="U22" s="6">
        <f t="shared" si="13"/>
        <v>12635.260843859944</v>
      </c>
      <c r="V22" s="6">
        <f t="shared" si="13"/>
        <v>13519.72910293014</v>
      </c>
      <c r="W22" s="6">
        <f t="shared" si="13"/>
        <v>14466.11014013525</v>
      </c>
      <c r="X22" s="6">
        <f t="shared" si="13"/>
        <v>15478.737849944717</v>
      </c>
    </row>
    <row r="23" spans="1:26" x14ac:dyDescent="0.3">
      <c r="A23" t="s">
        <v>65</v>
      </c>
      <c r="D23" s="6">
        <f>SUM(D21:D22)</f>
        <v>9000</v>
      </c>
      <c r="E23" s="6">
        <f t="shared" ref="E23:X23" si="14">SUM(E21:E22)</f>
        <v>9630</v>
      </c>
      <c r="F23" s="6">
        <f t="shared" si="14"/>
        <v>10304.1</v>
      </c>
      <c r="G23" s="6">
        <f t="shared" si="14"/>
        <v>11025.387000000001</v>
      </c>
      <c r="H23" s="6">
        <f t="shared" si="14"/>
        <v>11797.16409</v>
      </c>
      <c r="I23" s="6">
        <f t="shared" si="14"/>
        <v>12622.965576300001</v>
      </c>
      <c r="J23" s="6">
        <f t="shared" si="14"/>
        <v>13506.573166640999</v>
      </c>
      <c r="K23" s="6">
        <f t="shared" si="14"/>
        <v>14452.033288305869</v>
      </c>
      <c r="L23" s="6">
        <f t="shared" si="14"/>
        <v>15463.675618487281</v>
      </c>
      <c r="M23" s="6">
        <f t="shared" si="14"/>
        <v>16546.132911781391</v>
      </c>
      <c r="N23" s="6">
        <f t="shared" si="14"/>
        <v>17704.362215606088</v>
      </c>
      <c r="O23" s="6">
        <f t="shared" si="14"/>
        <v>18943.667570698515</v>
      </c>
      <c r="P23" s="6">
        <f t="shared" si="14"/>
        <v>20269.724300647413</v>
      </c>
      <c r="Q23" s="6">
        <f t="shared" si="14"/>
        <v>21688.605001692733</v>
      </c>
      <c r="R23" s="6">
        <f t="shared" si="14"/>
        <v>23206.807351811221</v>
      </c>
      <c r="S23" s="6">
        <f t="shared" si="14"/>
        <v>24831.283866438007</v>
      </c>
      <c r="T23" s="6">
        <f t="shared" si="14"/>
        <v>26569.473737088669</v>
      </c>
      <c r="U23" s="6">
        <f t="shared" si="14"/>
        <v>28429.336898684876</v>
      </c>
      <c r="V23" s="6">
        <f t="shared" si="14"/>
        <v>30419.390481592818</v>
      </c>
      <c r="W23" s="6">
        <f t="shared" si="14"/>
        <v>32548.747815304312</v>
      </c>
      <c r="X23" s="6">
        <f t="shared" si="14"/>
        <v>34827.160162375614</v>
      </c>
    </row>
    <row r="24" spans="1:26" x14ac:dyDescent="0.3">
      <c r="A24" t="s">
        <v>72</v>
      </c>
      <c r="D24" s="6">
        <v>15000</v>
      </c>
      <c r="E24" s="6">
        <f>D24+D24*0.1</f>
        <v>16500</v>
      </c>
      <c r="F24" s="6">
        <f t="shared" ref="F24:X24" si="15">E24+E24*0.1</f>
        <v>18150</v>
      </c>
      <c r="G24" s="6">
        <f t="shared" si="15"/>
        <v>19965</v>
      </c>
      <c r="H24" s="6">
        <f t="shared" si="15"/>
        <v>21961.5</v>
      </c>
      <c r="I24" s="6">
        <f t="shared" si="15"/>
        <v>24157.65</v>
      </c>
      <c r="J24" s="6">
        <f t="shared" si="15"/>
        <v>26573.415000000001</v>
      </c>
      <c r="K24" s="6">
        <f t="shared" si="15"/>
        <v>29230.756500000003</v>
      </c>
      <c r="L24" s="6">
        <f t="shared" si="15"/>
        <v>32153.832150000002</v>
      </c>
      <c r="M24" s="6">
        <f t="shared" si="15"/>
        <v>35369.215365000004</v>
      </c>
      <c r="N24" s="6">
        <f>M24-M24*0.05</f>
        <v>33600.754596750005</v>
      </c>
      <c r="O24" s="6">
        <f t="shared" ref="O24:X24" si="16">N24-N24*0.05</f>
        <v>31920.716866912506</v>
      </c>
      <c r="P24" s="6">
        <f t="shared" si="16"/>
        <v>30324.681023566882</v>
      </c>
      <c r="Q24" s="6">
        <f t="shared" si="16"/>
        <v>28808.446972388538</v>
      </c>
      <c r="R24" s="6">
        <f t="shared" si="16"/>
        <v>27368.02462376911</v>
      </c>
      <c r="S24" s="6">
        <f t="shared" si="16"/>
        <v>25999.623392580655</v>
      </c>
      <c r="T24" s="6">
        <f t="shared" si="16"/>
        <v>24699.642222951621</v>
      </c>
      <c r="U24" s="6">
        <f t="shared" si="16"/>
        <v>23464.660111804042</v>
      </c>
      <c r="V24" s="6">
        <f t="shared" si="16"/>
        <v>22291.42710621384</v>
      </c>
      <c r="W24" s="6">
        <f t="shared" si="16"/>
        <v>21176.855750903149</v>
      </c>
      <c r="X24" s="6">
        <f t="shared" si="16"/>
        <v>20118.012963357993</v>
      </c>
    </row>
    <row r="25" spans="1:26" x14ac:dyDescent="0.3">
      <c r="A25" t="s">
        <v>14</v>
      </c>
      <c r="D25" s="6">
        <v>200000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6" x14ac:dyDescent="0.3">
      <c r="A26" t="s">
        <v>51</v>
      </c>
      <c r="D26" s="6">
        <v>1500</v>
      </c>
      <c r="E26" s="6">
        <f>D26+D26*0.1</f>
        <v>1650</v>
      </c>
      <c r="F26" s="6">
        <f t="shared" ref="F26:X26" si="17">E26+E26*0.1</f>
        <v>1815</v>
      </c>
      <c r="G26" s="6">
        <f t="shared" si="17"/>
        <v>1996.5</v>
      </c>
      <c r="H26" s="6">
        <f t="shared" si="17"/>
        <v>2196.15</v>
      </c>
      <c r="I26" s="6">
        <f t="shared" si="17"/>
        <v>2415.7650000000003</v>
      </c>
      <c r="J26" s="6">
        <f t="shared" si="17"/>
        <v>2657.3415000000005</v>
      </c>
      <c r="K26" s="6">
        <f t="shared" si="17"/>
        <v>2923.0756500000007</v>
      </c>
      <c r="L26" s="6">
        <f t="shared" si="17"/>
        <v>3215.3832150000007</v>
      </c>
      <c r="M26" s="6">
        <f t="shared" si="17"/>
        <v>3536.9215365000009</v>
      </c>
      <c r="N26" s="6">
        <f t="shared" si="17"/>
        <v>3890.6136901500013</v>
      </c>
      <c r="O26" s="6">
        <f t="shared" si="17"/>
        <v>4279.6750591650016</v>
      </c>
      <c r="P26" s="6">
        <f t="shared" si="17"/>
        <v>4707.6425650815017</v>
      </c>
      <c r="Q26" s="6">
        <f t="shared" si="17"/>
        <v>5178.4068215896523</v>
      </c>
      <c r="R26" s="6">
        <f t="shared" si="17"/>
        <v>5696.2475037486174</v>
      </c>
      <c r="S26" s="6">
        <f t="shared" si="17"/>
        <v>6265.8722541234793</v>
      </c>
      <c r="T26" s="6">
        <f t="shared" si="17"/>
        <v>6892.4594795358271</v>
      </c>
      <c r="U26" s="6">
        <f t="shared" si="17"/>
        <v>7581.7054274894099</v>
      </c>
      <c r="V26" s="6">
        <f t="shared" si="17"/>
        <v>8339.8759702383504</v>
      </c>
      <c r="W26" s="6">
        <f t="shared" si="17"/>
        <v>9173.8635672621858</v>
      </c>
      <c r="X26" s="6">
        <f t="shared" si="17"/>
        <v>10091.249923988404</v>
      </c>
      <c r="Y26" s="6"/>
      <c r="Z26" s="6"/>
    </row>
    <row r="27" spans="1:26" x14ac:dyDescent="0.3">
      <c r="A27" t="s">
        <v>15</v>
      </c>
      <c r="D27" s="6">
        <v>2500000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6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6" x14ac:dyDescent="0.3">
      <c r="A29" s="3" t="s">
        <v>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6" x14ac:dyDescent="0.3">
      <c r="A30" t="s">
        <v>60</v>
      </c>
      <c r="D30" s="6">
        <f>D18*0.2</f>
        <v>1200</v>
      </c>
      <c r="E30" s="6">
        <f>E18*0.2</f>
        <v>1284</v>
      </c>
      <c r="F30" s="6">
        <f>F18*0.2</f>
        <v>1373.88</v>
      </c>
      <c r="G30" s="6">
        <f>G18*0.2</f>
        <v>1470.0516</v>
      </c>
      <c r="H30" s="6">
        <f>H18*0.2</f>
        <v>1572.9552120000001</v>
      </c>
      <c r="I30" s="6">
        <f>I18*0.2</f>
        <v>1683.0620768400001</v>
      </c>
      <c r="J30" s="6">
        <f>J18*0.2</f>
        <v>1800.8764222188001</v>
      </c>
      <c r="K30" s="6">
        <f>K18*0.2</f>
        <v>1926.9377717741163</v>
      </c>
      <c r="L30" s="6">
        <f>L18*0.2</f>
        <v>2061.8234157983043</v>
      </c>
      <c r="M30" s="6">
        <f>M18*0.2</f>
        <v>2206.1510549041859</v>
      </c>
      <c r="N30" s="6">
        <f>N18*0.2</f>
        <v>2360.5816287474786</v>
      </c>
      <c r="O30" s="6">
        <f>O18*0.2</f>
        <v>2525.8223427598023</v>
      </c>
      <c r="P30" s="6">
        <f>P18*0.2</f>
        <v>2702.629906752989</v>
      </c>
      <c r="Q30" s="6">
        <f>Q18*0.2</f>
        <v>2891.8140002256982</v>
      </c>
      <c r="R30" s="6">
        <f>R18*0.2</f>
        <v>3094.2409802414968</v>
      </c>
      <c r="S30" s="6">
        <f>S18*0.2</f>
        <v>3310.8378488584017</v>
      </c>
      <c r="T30" s="6">
        <f>T18*0.2</f>
        <v>3542.5964982784894</v>
      </c>
      <c r="U30" s="6">
        <f>U18*0.2</f>
        <v>3790.5782531579835</v>
      </c>
      <c r="V30" s="6">
        <f>V18*0.2</f>
        <v>4055.9187308790424</v>
      </c>
      <c r="W30" s="6">
        <f>W18*0.2</f>
        <v>4339.8330420405755</v>
      </c>
      <c r="X30" s="6">
        <f>X18*0.2</f>
        <v>4643.6213549834165</v>
      </c>
    </row>
    <row r="31" spans="1:26" x14ac:dyDescent="0.3">
      <c r="A31" t="s">
        <v>61</v>
      </c>
      <c r="D31" s="6">
        <f>D19*0.2</f>
        <v>300</v>
      </c>
      <c r="E31" s="6">
        <f t="shared" ref="E31:X31" si="18">E19*0.2</f>
        <v>321</v>
      </c>
      <c r="F31" s="6">
        <f t="shared" si="18"/>
        <v>343.47</v>
      </c>
      <c r="G31" s="6">
        <f t="shared" si="18"/>
        <v>367.5129</v>
      </c>
      <c r="H31" s="6">
        <f t="shared" si="18"/>
        <v>393.23880300000002</v>
      </c>
      <c r="I31" s="6">
        <f t="shared" si="18"/>
        <v>420.76551921000004</v>
      </c>
      <c r="J31" s="6">
        <f t="shared" si="18"/>
        <v>450.21910555470004</v>
      </c>
      <c r="K31" s="6">
        <f t="shared" si="18"/>
        <v>481.73444294352907</v>
      </c>
      <c r="L31" s="6">
        <f t="shared" si="18"/>
        <v>515.45585394957607</v>
      </c>
      <c r="M31" s="6">
        <f t="shared" si="18"/>
        <v>551.53776372604648</v>
      </c>
      <c r="N31" s="6">
        <f t="shared" si="18"/>
        <v>590.14540718686965</v>
      </c>
      <c r="O31" s="6">
        <f t="shared" si="18"/>
        <v>631.45558568995057</v>
      </c>
      <c r="P31" s="6">
        <f t="shared" si="18"/>
        <v>675.65747668824724</v>
      </c>
      <c r="Q31" s="6">
        <f t="shared" si="18"/>
        <v>722.95350005642456</v>
      </c>
      <c r="R31" s="6">
        <f t="shared" si="18"/>
        <v>773.5602450603742</v>
      </c>
      <c r="S31" s="6">
        <f t="shared" si="18"/>
        <v>827.70946221460042</v>
      </c>
      <c r="T31" s="6">
        <f t="shared" si="18"/>
        <v>885.64912456962236</v>
      </c>
      <c r="U31" s="6">
        <f t="shared" si="18"/>
        <v>947.64456328949586</v>
      </c>
      <c r="V31" s="6">
        <f t="shared" si="18"/>
        <v>1013.9796827197606</v>
      </c>
      <c r="W31" s="6">
        <f t="shared" si="18"/>
        <v>1084.9582605101439</v>
      </c>
      <c r="X31" s="6">
        <f t="shared" si="18"/>
        <v>1160.9053387458541</v>
      </c>
    </row>
    <row r="32" spans="1:26" x14ac:dyDescent="0.3">
      <c r="A32" t="s">
        <v>4</v>
      </c>
      <c r="D32" s="6">
        <v>288000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3">
      <c r="A33" t="s">
        <v>5</v>
      </c>
      <c r="D33" s="6">
        <v>560000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3">
      <c r="A34" t="s">
        <v>6</v>
      </c>
      <c r="D34" s="6">
        <v>22000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3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3">
      <c r="A37" s="4" t="s">
        <v>7</v>
      </c>
      <c r="D37" s="6">
        <f>SUM(D30:D34)</f>
        <v>871500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3">
      <c r="A38" s="4" t="s">
        <v>8</v>
      </c>
      <c r="D38" s="6">
        <f>SUM(D15:D27)</f>
        <v>2787100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3">
      <c r="A39" s="4" t="s">
        <v>39</v>
      </c>
      <c r="D39" s="6">
        <f>D12</f>
        <v>450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3">
      <c r="A40" s="4" t="s">
        <v>9</v>
      </c>
      <c r="D40" s="6">
        <f>D39-D38</f>
        <v>-2786650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3">
      <c r="A41" s="4" t="s">
        <v>41</v>
      </c>
      <c r="D41" s="6">
        <f>D40-D37</f>
        <v>-3658150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3">
      <c r="A42" s="4" t="s">
        <v>40</v>
      </c>
      <c r="D42" s="6">
        <f>D41*21.73%</f>
        <v>-794915.995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3">
      <c r="A43" s="4" t="s">
        <v>10</v>
      </c>
      <c r="D43" s="6">
        <f>D41-D42</f>
        <v>-2863234.0049999999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3">
      <c r="A44" s="4" t="s">
        <v>11</v>
      </c>
      <c r="D44" s="8">
        <f>(D43/D38)*100</f>
        <v>-102.73165673998062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EF1F-2BAB-42E9-B5CE-96B96B12DC58}">
  <dimension ref="A1:W39"/>
  <sheetViews>
    <sheetView topLeftCell="A2" zoomScale="82" workbookViewId="0">
      <selection activeCell="D36" sqref="D36"/>
    </sheetView>
  </sheetViews>
  <sheetFormatPr defaultRowHeight="14.4" x14ac:dyDescent="0.3"/>
  <cols>
    <col min="1" max="1" width="38" bestFit="1" customWidth="1"/>
    <col min="2" max="2" width="13.33203125" bestFit="1" customWidth="1"/>
    <col min="4" max="4" width="13.88671875" bestFit="1" customWidth="1"/>
    <col min="5" max="11" width="14.88671875" bestFit="1" customWidth="1"/>
    <col min="12" max="23" width="15.88671875" bestFit="1" customWidth="1"/>
  </cols>
  <sheetData>
    <row r="1" spans="1:23" x14ac:dyDescent="0.3">
      <c r="A1" s="14"/>
      <c r="B1" s="14"/>
      <c r="C1" s="14"/>
      <c r="D1" s="14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</row>
    <row r="2" spans="1:23" x14ac:dyDescent="0.3">
      <c r="A2" t="s">
        <v>43</v>
      </c>
      <c r="D2">
        <f t="shared" ref="D2:W2" si="0">(D5*50)+(D4*250)+(C6*50)</f>
        <v>21000</v>
      </c>
      <c r="E2">
        <f t="shared" si="0"/>
        <v>27500</v>
      </c>
      <c r="F2">
        <f t="shared" si="0"/>
        <v>57500</v>
      </c>
      <c r="G2">
        <f t="shared" si="0"/>
        <v>85000</v>
      </c>
      <c r="H2">
        <f t="shared" si="0"/>
        <v>101500</v>
      </c>
      <c r="I2">
        <f t="shared" si="0"/>
        <v>106500</v>
      </c>
      <c r="J2">
        <f t="shared" si="0"/>
        <v>111500</v>
      </c>
      <c r="K2">
        <f t="shared" si="0"/>
        <v>116500</v>
      </c>
      <c r="L2">
        <f t="shared" si="0"/>
        <v>109000</v>
      </c>
      <c r="M2">
        <f t="shared" si="0"/>
        <v>111500</v>
      </c>
      <c r="N2">
        <f t="shared" si="0"/>
        <v>114000</v>
      </c>
      <c r="O2">
        <f t="shared" si="0"/>
        <v>116500</v>
      </c>
      <c r="P2">
        <f t="shared" si="0"/>
        <v>119000</v>
      </c>
      <c r="Q2">
        <f t="shared" si="0"/>
        <v>121500</v>
      </c>
      <c r="R2">
        <f t="shared" si="0"/>
        <v>124000</v>
      </c>
      <c r="S2">
        <f t="shared" si="0"/>
        <v>126500</v>
      </c>
      <c r="T2">
        <f t="shared" si="0"/>
        <v>129000</v>
      </c>
      <c r="U2">
        <f t="shared" si="0"/>
        <v>131500</v>
      </c>
      <c r="V2">
        <f t="shared" si="0"/>
        <v>134000</v>
      </c>
      <c r="W2">
        <f t="shared" si="0"/>
        <v>136500</v>
      </c>
    </row>
    <row r="3" spans="1:23" x14ac:dyDescent="0.3">
      <c r="A3" t="s">
        <v>45</v>
      </c>
      <c r="D3">
        <f>D2</f>
        <v>21000</v>
      </c>
      <c r="E3" s="5">
        <f>D3+E2</f>
        <v>48500</v>
      </c>
      <c r="F3" s="5">
        <f t="shared" ref="F3:W3" si="1">E3+F2</f>
        <v>106000</v>
      </c>
      <c r="G3" s="5">
        <f t="shared" si="1"/>
        <v>191000</v>
      </c>
      <c r="H3" s="5">
        <f t="shared" si="1"/>
        <v>292500</v>
      </c>
      <c r="I3" s="5">
        <f t="shared" si="1"/>
        <v>399000</v>
      </c>
      <c r="J3" s="5">
        <f t="shared" si="1"/>
        <v>510500</v>
      </c>
      <c r="K3" s="5">
        <f t="shared" si="1"/>
        <v>627000</v>
      </c>
      <c r="L3" s="5">
        <f t="shared" si="1"/>
        <v>736000</v>
      </c>
      <c r="M3" s="5">
        <f t="shared" si="1"/>
        <v>847500</v>
      </c>
      <c r="N3" s="5">
        <f t="shared" si="1"/>
        <v>961500</v>
      </c>
      <c r="O3" s="5">
        <f t="shared" si="1"/>
        <v>1078000</v>
      </c>
      <c r="P3" s="5">
        <f t="shared" si="1"/>
        <v>1197000</v>
      </c>
      <c r="Q3" s="5">
        <f t="shared" si="1"/>
        <v>1318500</v>
      </c>
      <c r="R3" s="5">
        <f t="shared" si="1"/>
        <v>1442500</v>
      </c>
      <c r="S3" s="5">
        <f t="shared" si="1"/>
        <v>1569000</v>
      </c>
      <c r="T3" s="5">
        <f t="shared" si="1"/>
        <v>1698000</v>
      </c>
      <c r="U3" s="5">
        <f t="shared" si="1"/>
        <v>1829500</v>
      </c>
      <c r="V3" s="5">
        <f t="shared" si="1"/>
        <v>1963500</v>
      </c>
      <c r="W3" s="5">
        <f t="shared" si="1"/>
        <v>2100000</v>
      </c>
    </row>
    <row r="4" spans="1:23" x14ac:dyDescent="0.3">
      <c r="A4" t="s">
        <v>47</v>
      </c>
      <c r="D4">
        <v>80</v>
      </c>
      <c r="E4">
        <v>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</row>
    <row r="5" spans="1:23" x14ac:dyDescent="0.3">
      <c r="A5" t="s">
        <v>46</v>
      </c>
      <c r="D5">
        <v>20</v>
      </c>
      <c r="E5" s="5">
        <v>200</v>
      </c>
      <c r="F5">
        <v>300</v>
      </c>
      <c r="G5">
        <v>450</v>
      </c>
      <c r="H5">
        <v>230</v>
      </c>
    </row>
    <row r="6" spans="1:23" x14ac:dyDescent="0.3">
      <c r="A6" t="s">
        <v>44</v>
      </c>
      <c r="D6">
        <f>D4+D5</f>
        <v>100</v>
      </c>
      <c r="E6" s="5">
        <f t="shared" ref="E6:W6" si="2">E4+E5+D6</f>
        <v>350</v>
      </c>
      <c r="F6" s="5">
        <f t="shared" si="2"/>
        <v>750</v>
      </c>
      <c r="G6" s="5">
        <f t="shared" si="2"/>
        <v>1300</v>
      </c>
      <c r="H6" s="5">
        <f t="shared" si="2"/>
        <v>1630</v>
      </c>
      <c r="I6" s="5">
        <f t="shared" si="2"/>
        <v>1730</v>
      </c>
      <c r="J6" s="5">
        <f t="shared" si="2"/>
        <v>1830</v>
      </c>
      <c r="K6" s="5">
        <f t="shared" si="2"/>
        <v>1930</v>
      </c>
      <c r="L6" s="5">
        <f t="shared" si="2"/>
        <v>1980</v>
      </c>
      <c r="M6" s="5">
        <f t="shared" si="2"/>
        <v>2030</v>
      </c>
      <c r="N6" s="5">
        <f t="shared" si="2"/>
        <v>2080</v>
      </c>
      <c r="O6" s="5">
        <f t="shared" si="2"/>
        <v>2130</v>
      </c>
      <c r="P6" s="5">
        <f t="shared" si="2"/>
        <v>2180</v>
      </c>
      <c r="Q6" s="5">
        <f t="shared" si="2"/>
        <v>2230</v>
      </c>
      <c r="R6" s="5">
        <f t="shared" si="2"/>
        <v>2280</v>
      </c>
      <c r="S6" s="5">
        <f t="shared" si="2"/>
        <v>2330</v>
      </c>
      <c r="T6" s="5">
        <f t="shared" si="2"/>
        <v>2380</v>
      </c>
      <c r="U6" s="5">
        <f t="shared" si="2"/>
        <v>2430</v>
      </c>
      <c r="V6" s="5">
        <f t="shared" si="2"/>
        <v>2480</v>
      </c>
      <c r="W6" s="5">
        <f t="shared" si="2"/>
        <v>2530</v>
      </c>
    </row>
    <row r="7" spans="1:23" x14ac:dyDescent="0.3">
      <c r="E7" s="5"/>
      <c r="F7" s="5"/>
    </row>
    <row r="8" spans="1:23" x14ac:dyDescent="0.3">
      <c r="A8" s="15" t="s">
        <v>37</v>
      </c>
    </row>
    <row r="9" spans="1:23" x14ac:dyDescent="0.3">
      <c r="A9" t="s">
        <v>76</v>
      </c>
      <c r="D9" s="10">
        <f>(D4+D5)*6000</f>
        <v>600000</v>
      </c>
      <c r="E9" s="10">
        <f t="shared" ref="E9:W9" si="3">(E4+E5)*6000</f>
        <v>1500000</v>
      </c>
      <c r="F9" s="10">
        <f t="shared" si="3"/>
        <v>2400000</v>
      </c>
      <c r="G9" s="10">
        <f t="shared" si="3"/>
        <v>3300000</v>
      </c>
      <c r="H9" s="10">
        <f t="shared" si="3"/>
        <v>1980000</v>
      </c>
      <c r="I9" s="10">
        <f t="shared" si="3"/>
        <v>600000</v>
      </c>
      <c r="J9" s="10">
        <f t="shared" si="3"/>
        <v>600000</v>
      </c>
      <c r="K9" s="10">
        <f t="shared" si="3"/>
        <v>600000</v>
      </c>
      <c r="L9" s="10">
        <f t="shared" si="3"/>
        <v>300000</v>
      </c>
      <c r="M9" s="10">
        <f t="shared" si="3"/>
        <v>300000</v>
      </c>
      <c r="N9" s="10">
        <f t="shared" si="3"/>
        <v>300000</v>
      </c>
      <c r="O9" s="10">
        <f t="shared" si="3"/>
        <v>300000</v>
      </c>
      <c r="P9" s="10">
        <f t="shared" si="3"/>
        <v>300000</v>
      </c>
      <c r="Q9" s="10">
        <f t="shared" si="3"/>
        <v>300000</v>
      </c>
      <c r="R9" s="10">
        <f t="shared" si="3"/>
        <v>300000</v>
      </c>
      <c r="S9" s="10">
        <f t="shared" si="3"/>
        <v>300000</v>
      </c>
      <c r="T9" s="10">
        <f t="shared" si="3"/>
        <v>300000</v>
      </c>
      <c r="U9" s="10">
        <f t="shared" si="3"/>
        <v>300000</v>
      </c>
      <c r="V9" s="10">
        <f t="shared" si="3"/>
        <v>300000</v>
      </c>
      <c r="W9" s="10">
        <f t="shared" si="3"/>
        <v>300000</v>
      </c>
    </row>
    <row r="10" spans="1:23" x14ac:dyDescent="0.3">
      <c r="A10" t="s">
        <v>77</v>
      </c>
      <c r="D10" s="10">
        <f>D6*Calculations!D16</f>
        <v>850000</v>
      </c>
      <c r="E10" s="10">
        <f>E6*Calculations!E16</f>
        <v>3272500</v>
      </c>
      <c r="F10" s="10">
        <f>F6*Calculations!F16</f>
        <v>7713750</v>
      </c>
      <c r="G10" s="10">
        <f>G6*Calculations!G16</f>
        <v>14707550</v>
      </c>
      <c r="H10" s="10">
        <f>H6*Calculations!H16</f>
        <v>20285105.5</v>
      </c>
      <c r="I10" s="10">
        <f>I6*Calculations!I16</f>
        <v>23682549.550000001</v>
      </c>
      <c r="J10" s="10">
        <f>J6*Calculations!J16</f>
        <v>27556631.355000004</v>
      </c>
      <c r="K10" s="10">
        <f>K6*Calculations!K16</f>
        <v>31968704.025500007</v>
      </c>
      <c r="L10" s="10">
        <f>L6*Calculations!L16</f>
        <v>36076599.672300003</v>
      </c>
      <c r="M10" s="10">
        <f>M6*Calculations!M16</f>
        <v>40686387.408205003</v>
      </c>
      <c r="N10" s="10">
        <f>N6*Calculations!N16</f>
        <v>45857366.694568008</v>
      </c>
      <c r="O10" s="10">
        <f>O6*Calculations!O16</f>
        <v>51655677.964121558</v>
      </c>
      <c r="P10" s="10">
        <f>P6*Calculations!P16</f>
        <v>58155077.820640139</v>
      </c>
      <c r="Q10" s="10">
        <f>Q6*Calculations!Q16</f>
        <v>65437800.868821211</v>
      </c>
      <c r="R10" s="10">
        <f>R6*Calculations!R16</f>
        <v>73595517.748432115</v>
      </c>
      <c r="S10" s="10">
        <f>S6*Calculations!S16</f>
        <v>82730399.995276973</v>
      </c>
      <c r="T10" s="10">
        <f>T6*Calculations!T16</f>
        <v>92956303.514006481</v>
      </c>
      <c r="U10" s="10">
        <f>U6*Calculations!U16</f>
        <v>104400083.73652913</v>
      </c>
      <c r="V10" s="10">
        <f>V6*Calculations!V16</f>
        <v>117203056.96841623</v>
      </c>
      <c r="W10" s="10">
        <f>W6*Calculations!W16</f>
        <v>131522624.00931548</v>
      </c>
    </row>
    <row r="11" spans="1:23" x14ac:dyDescent="0.3">
      <c r="A11" t="s">
        <v>78</v>
      </c>
      <c r="D11" s="10">
        <v>200000</v>
      </c>
      <c r="E11" s="10">
        <v>0</v>
      </c>
      <c r="F11" s="10">
        <v>0</v>
      </c>
      <c r="G11" s="10">
        <v>0</v>
      </c>
      <c r="H11" s="10">
        <v>0</v>
      </c>
      <c r="I11" s="10">
        <v>250000</v>
      </c>
      <c r="J11" s="10">
        <v>0</v>
      </c>
      <c r="K11" s="10">
        <v>0</v>
      </c>
      <c r="L11" s="10">
        <v>0</v>
      </c>
      <c r="M11" s="10">
        <v>0</v>
      </c>
      <c r="N11" s="10">
        <v>350000</v>
      </c>
      <c r="O11" s="10">
        <v>0</v>
      </c>
      <c r="P11" s="10">
        <v>0</v>
      </c>
      <c r="Q11" s="10">
        <v>0</v>
      </c>
      <c r="R11" s="10">
        <v>0</v>
      </c>
      <c r="S11" s="10">
        <v>500000</v>
      </c>
      <c r="T11" s="10">
        <v>0</v>
      </c>
      <c r="U11" s="10">
        <v>0</v>
      </c>
      <c r="V11" s="10">
        <v>0</v>
      </c>
      <c r="W11" s="10">
        <v>0</v>
      </c>
    </row>
    <row r="12" spans="1:23" x14ac:dyDescent="0.3">
      <c r="A12" t="s">
        <v>53</v>
      </c>
      <c r="D12" s="10">
        <v>5000000</v>
      </c>
      <c r="E12" s="10">
        <v>5000000</v>
      </c>
      <c r="F12" s="10">
        <v>10000000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</row>
    <row r="13" spans="1:23" x14ac:dyDescent="0.3">
      <c r="A13" t="s">
        <v>79</v>
      </c>
      <c r="D13" s="10">
        <f>D6*Calculations!D24</f>
        <v>1500000</v>
      </c>
      <c r="E13" s="10">
        <f>E6*Calculations!E24</f>
        <v>5775000</v>
      </c>
      <c r="F13" s="10">
        <f>F6*Calculations!F24</f>
        <v>13612500</v>
      </c>
      <c r="G13" s="10">
        <f>G6*Calculations!G24</f>
        <v>25954500</v>
      </c>
      <c r="H13" s="10">
        <f>H6*Calculations!H24</f>
        <v>35797245</v>
      </c>
      <c r="I13" s="10">
        <f>I6*Calculations!I24</f>
        <v>41792734.5</v>
      </c>
      <c r="J13" s="10">
        <f>J6*Calculations!J24</f>
        <v>48629349.450000003</v>
      </c>
      <c r="K13" s="10">
        <f>K6*Calculations!K24</f>
        <v>56415360.045000009</v>
      </c>
      <c r="L13" s="10">
        <f>L6*Calculations!L24</f>
        <v>63664587.657000005</v>
      </c>
      <c r="M13" s="10">
        <f>M6*Calculations!M24</f>
        <v>71799507.190950006</v>
      </c>
      <c r="N13" s="10">
        <f>N6*Calculations!N24</f>
        <v>69889569.561240003</v>
      </c>
      <c r="O13" s="10">
        <f>O6*Calculations!O24</f>
        <v>67991126.926523641</v>
      </c>
      <c r="P13" s="10">
        <f>P6*Calculations!P24</f>
        <v>66107804.631375805</v>
      </c>
      <c r="Q13" s="10">
        <f>Q6*Calculations!Q24</f>
        <v>64242836.748426437</v>
      </c>
      <c r="R13" s="10">
        <f>R6*Calculations!R24</f>
        <v>62399096.142193571</v>
      </c>
      <c r="S13" s="10">
        <f>S6*Calculations!S24</f>
        <v>60579122.504712924</v>
      </c>
      <c r="T13" s="10">
        <f>T6*Calculations!T24</f>
        <v>58785148.49062486</v>
      </c>
      <c r="U13" s="10">
        <f>U6*Calculations!U24</f>
        <v>57019124.071683824</v>
      </c>
      <c r="V13" s="10">
        <f>V6*Calculations!V24</f>
        <v>55282739.223410323</v>
      </c>
      <c r="W13" s="10">
        <f>W6*Calculations!W24</f>
        <v>53577445.049784966</v>
      </c>
    </row>
    <row r="14" spans="1:23" x14ac:dyDescent="0.3">
      <c r="A14" t="s">
        <v>80</v>
      </c>
      <c r="D14" s="10">
        <v>0</v>
      </c>
      <c r="E14" s="10">
        <v>0</v>
      </c>
      <c r="F14" s="10">
        <v>0</v>
      </c>
      <c r="G14" s="10">
        <v>0</v>
      </c>
      <c r="H14" s="10">
        <v>10000000</v>
      </c>
      <c r="I14" s="10">
        <v>0</v>
      </c>
      <c r="J14" s="10">
        <v>0</v>
      </c>
      <c r="K14" s="10">
        <v>0</v>
      </c>
      <c r="L14" s="10">
        <v>0</v>
      </c>
      <c r="M14" s="10">
        <v>15000000</v>
      </c>
      <c r="N14" s="10">
        <v>0</v>
      </c>
      <c r="O14" s="10">
        <v>0</v>
      </c>
      <c r="P14" s="10">
        <v>0</v>
      </c>
      <c r="Q14" s="10">
        <v>0</v>
      </c>
      <c r="R14" s="10">
        <v>20000000</v>
      </c>
      <c r="S14" s="10">
        <v>0</v>
      </c>
      <c r="T14" s="10">
        <v>0</v>
      </c>
      <c r="U14" s="10">
        <v>0</v>
      </c>
      <c r="V14" s="10">
        <v>0</v>
      </c>
      <c r="W14" s="10">
        <v>25000000</v>
      </c>
    </row>
    <row r="15" spans="1:23" x14ac:dyDescent="0.3">
      <c r="A15" t="s">
        <v>0</v>
      </c>
      <c r="D15" s="10">
        <f>SUM(D9:D14)</f>
        <v>8150000</v>
      </c>
      <c r="E15" s="10">
        <f t="shared" ref="E15:W15" si="4">SUM(E9:E14)</f>
        <v>15547500</v>
      </c>
      <c r="F15" s="10">
        <f t="shared" si="4"/>
        <v>33726250</v>
      </c>
      <c r="G15" s="10">
        <f t="shared" si="4"/>
        <v>43962050</v>
      </c>
      <c r="H15" s="10">
        <f t="shared" si="4"/>
        <v>68062350.5</v>
      </c>
      <c r="I15" s="10">
        <f t="shared" si="4"/>
        <v>66325284.049999997</v>
      </c>
      <c r="J15" s="10">
        <f t="shared" si="4"/>
        <v>76785980.805000007</v>
      </c>
      <c r="K15" s="10">
        <f t="shared" si="4"/>
        <v>88984064.070500016</v>
      </c>
      <c r="L15" s="10">
        <f t="shared" si="4"/>
        <v>100041187.32930002</v>
      </c>
      <c r="M15" s="10">
        <f t="shared" si="4"/>
        <v>127785894.59915501</v>
      </c>
      <c r="N15" s="10">
        <f t="shared" si="4"/>
        <v>116396936.25580801</v>
      </c>
      <c r="O15" s="10">
        <f t="shared" si="4"/>
        <v>119946804.89064521</v>
      </c>
      <c r="P15" s="10">
        <f t="shared" si="4"/>
        <v>124562882.45201594</v>
      </c>
      <c r="Q15" s="10">
        <f t="shared" si="4"/>
        <v>129980637.61724764</v>
      </c>
      <c r="R15" s="10">
        <f t="shared" si="4"/>
        <v>156294613.89062569</v>
      </c>
      <c r="S15" s="10">
        <f t="shared" si="4"/>
        <v>144109522.4999899</v>
      </c>
      <c r="T15" s="10">
        <f t="shared" si="4"/>
        <v>152041452.00463134</v>
      </c>
      <c r="U15" s="10">
        <f t="shared" si="4"/>
        <v>161719207.80821294</v>
      </c>
      <c r="V15" s="10">
        <f t="shared" si="4"/>
        <v>172785796.19182655</v>
      </c>
      <c r="W15" s="10">
        <f t="shared" si="4"/>
        <v>210400069.05910045</v>
      </c>
    </row>
    <row r="16" spans="1:23" x14ac:dyDescent="0.3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s="12" t="s">
        <v>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t="s">
        <v>87</v>
      </c>
      <c r="D18" s="10">
        <v>4500000</v>
      </c>
      <c r="E18" s="10">
        <v>250000</v>
      </c>
      <c r="F18" s="10">
        <f>E18+E18*0.1</f>
        <v>275000</v>
      </c>
      <c r="G18" s="10">
        <f t="shared" ref="G18:J18" si="5">F18+F18*0.1</f>
        <v>302500</v>
      </c>
      <c r="H18" s="10">
        <f t="shared" si="5"/>
        <v>332750</v>
      </c>
      <c r="I18" s="10">
        <f t="shared" si="5"/>
        <v>366025</v>
      </c>
      <c r="J18" s="10">
        <f t="shared" si="5"/>
        <v>402627.5</v>
      </c>
      <c r="K18" s="10">
        <v>3000000</v>
      </c>
      <c r="L18" s="10">
        <v>350000</v>
      </c>
      <c r="M18" s="10">
        <f>L18+L18*0.1</f>
        <v>385000</v>
      </c>
      <c r="N18" s="10">
        <f t="shared" ref="N18:R18" si="6">M18+M18*0.1</f>
        <v>423500</v>
      </c>
      <c r="O18" s="10">
        <f t="shared" si="6"/>
        <v>465850</v>
      </c>
      <c r="P18" s="10">
        <f t="shared" si="6"/>
        <v>512435</v>
      </c>
      <c r="Q18" s="10">
        <f t="shared" si="6"/>
        <v>563678.5</v>
      </c>
      <c r="R18" s="10">
        <f t="shared" si="6"/>
        <v>620046.35</v>
      </c>
      <c r="S18" s="10">
        <v>3500000</v>
      </c>
      <c r="T18" s="10">
        <v>400000</v>
      </c>
      <c r="U18" s="10">
        <f>T18+T18*0.1</f>
        <v>440000</v>
      </c>
      <c r="V18" s="10">
        <f t="shared" ref="V18:W18" si="7">U18+U18*0.1</f>
        <v>484000</v>
      </c>
      <c r="W18" s="10">
        <f t="shared" si="7"/>
        <v>532400</v>
      </c>
    </row>
    <row r="19" spans="1:23" x14ac:dyDescent="0.3">
      <c r="A19" t="s">
        <v>82</v>
      </c>
      <c r="D19" s="10">
        <f>D6*D34</f>
        <v>600000</v>
      </c>
      <c r="E19" s="10">
        <f>E6*E34</f>
        <v>2310000</v>
      </c>
      <c r="F19" s="10">
        <f>F6*F34</f>
        <v>5445000</v>
      </c>
      <c r="G19" s="10">
        <f>G6*G34</f>
        <v>10381800</v>
      </c>
      <c r="H19" s="10">
        <f>H6*H34</f>
        <v>14318898</v>
      </c>
      <c r="I19" s="10">
        <f>I6*I34</f>
        <v>16717093.800000003</v>
      </c>
      <c r="J19" s="10">
        <f>J6*J34</f>
        <v>19451739.780000005</v>
      </c>
      <c r="K19" s="10">
        <f>K6*K34</f>
        <v>22566144.018000007</v>
      </c>
      <c r="L19" s="10">
        <f>L6*L34</f>
        <v>25465835.062800005</v>
      </c>
      <c r="M19" s="10">
        <f>M6*M34</f>
        <v>28719802.876380008</v>
      </c>
      <c r="N19" s="10">
        <f>N6*N34</f>
        <v>32369905.90204801</v>
      </c>
      <c r="O19" s="10">
        <f>O6*O34</f>
        <v>36462831.504085816</v>
      </c>
      <c r="P19" s="10">
        <f>P6*P34</f>
        <v>41050643.167510696</v>
      </c>
      <c r="Q19" s="10">
        <f>Q6*Q34</f>
        <v>46191388.848579697</v>
      </c>
      <c r="R19" s="10">
        <f>R6*R34</f>
        <v>51949777.234187394</v>
      </c>
      <c r="S19" s="10">
        <f>S6*S34</f>
        <v>58397929.40843083</v>
      </c>
      <c r="T19" s="10">
        <f>T6*T34</f>
        <v>65616214.245181076</v>
      </c>
      <c r="U19" s="10">
        <f>U6*U34</f>
        <v>73694176.755197063</v>
      </c>
      <c r="V19" s="10">
        <f>V6*V34</f>
        <v>82731569.624764442</v>
      </c>
      <c r="W19" s="10">
        <f>W6*W34</f>
        <v>92839499.300693318</v>
      </c>
    </row>
    <row r="20" spans="1:23" x14ac:dyDescent="0.3">
      <c r="A20" t="s">
        <v>69</v>
      </c>
      <c r="D20" s="10">
        <v>125000</v>
      </c>
      <c r="E20" s="10">
        <v>0</v>
      </c>
      <c r="F20" s="10">
        <v>0</v>
      </c>
      <c r="G20" s="10">
        <v>0</v>
      </c>
      <c r="H20" s="10">
        <v>0</v>
      </c>
      <c r="I20" s="10">
        <v>200000</v>
      </c>
      <c r="J20" s="10">
        <v>0</v>
      </c>
      <c r="K20" s="10">
        <v>0</v>
      </c>
      <c r="L20" s="10">
        <v>0</v>
      </c>
      <c r="M20" s="10">
        <v>0</v>
      </c>
      <c r="N20" s="10">
        <v>275000</v>
      </c>
      <c r="O20" s="10">
        <v>0</v>
      </c>
      <c r="P20" s="10">
        <v>0</v>
      </c>
      <c r="Q20" s="10">
        <v>0</v>
      </c>
      <c r="R20" s="10">
        <v>0</v>
      </c>
      <c r="S20" s="10">
        <v>425000</v>
      </c>
      <c r="T20" s="10">
        <v>0</v>
      </c>
      <c r="U20" s="10">
        <v>0</v>
      </c>
      <c r="V20" s="10">
        <v>0</v>
      </c>
      <c r="W20" s="10">
        <v>0</v>
      </c>
    </row>
    <row r="21" spans="1:23" x14ac:dyDescent="0.3">
      <c r="A21" t="s">
        <v>83</v>
      </c>
      <c r="D21" s="10">
        <f>D6*D35</f>
        <v>1050000</v>
      </c>
      <c r="E21" s="10">
        <f>E6*E35</f>
        <v>4042500</v>
      </c>
      <c r="F21" s="10">
        <f>F6*F35</f>
        <v>9528750</v>
      </c>
      <c r="G21" s="10">
        <f>G6*G35</f>
        <v>18168150</v>
      </c>
      <c r="H21" s="10">
        <f>H6*H35</f>
        <v>25058071.5</v>
      </c>
      <c r="I21" s="10">
        <f>I6*I35</f>
        <v>29254914.149999999</v>
      </c>
      <c r="J21" s="10">
        <f>J6*J35</f>
        <v>34040544.615000002</v>
      </c>
      <c r="K21" s="10">
        <f>K6*K35</f>
        <v>39490752.031500004</v>
      </c>
      <c r="L21" s="10">
        <f>L6*L35</f>
        <v>44565211.359900005</v>
      </c>
      <c r="M21" s="10">
        <f>M6*M35</f>
        <v>50259655.033665009</v>
      </c>
      <c r="N21" s="10">
        <f>N6*N35</f>
        <v>48922698.692868009</v>
      </c>
      <c r="O21" s="10">
        <f>O6*O35</f>
        <v>47593788.848566547</v>
      </c>
      <c r="P21" s="10">
        <f>P6*P35</f>
        <v>46275463.241963059</v>
      </c>
      <c r="Q21" s="10">
        <f>Q6*Q35</f>
        <v>44969985.7238985</v>
      </c>
      <c r="R21" s="10">
        <f>R6*R35</f>
        <v>43679367.299535498</v>
      </c>
      <c r="S21" s="10">
        <f>S6*S35</f>
        <v>42405385.753299043</v>
      </c>
      <c r="T21" s="10">
        <f>T6*T35</f>
        <v>41149603.943437397</v>
      </c>
      <c r="U21" s="10">
        <f>U6*U35</f>
        <v>39913386.850178666</v>
      </c>
      <c r="V21" s="10">
        <f>V6*V35</f>
        <v>38697917.456387214</v>
      </c>
      <c r="W21" s="10">
        <f>W6*W35</f>
        <v>37504211.534849465</v>
      </c>
    </row>
    <row r="22" spans="1:23" x14ac:dyDescent="0.3">
      <c r="A22" t="s">
        <v>71</v>
      </c>
      <c r="D22" s="10">
        <v>0</v>
      </c>
      <c r="E22" s="10">
        <v>0</v>
      </c>
      <c r="F22" s="10">
        <v>0</v>
      </c>
      <c r="G22" s="10">
        <v>0</v>
      </c>
      <c r="H22" s="10">
        <v>6000000</v>
      </c>
      <c r="I22" s="10">
        <v>0</v>
      </c>
      <c r="J22" s="10">
        <v>0</v>
      </c>
      <c r="K22" s="10">
        <v>0</v>
      </c>
      <c r="L22" s="10">
        <v>0</v>
      </c>
      <c r="M22" s="10">
        <v>12000000</v>
      </c>
      <c r="N22" s="10">
        <v>0</v>
      </c>
      <c r="O22" s="10">
        <v>0</v>
      </c>
      <c r="P22" s="10">
        <v>0</v>
      </c>
      <c r="Q22" s="10">
        <v>0</v>
      </c>
      <c r="R22" s="10">
        <v>16000000</v>
      </c>
      <c r="S22" s="10">
        <v>0</v>
      </c>
      <c r="T22" s="10">
        <v>0</v>
      </c>
      <c r="U22" s="10">
        <v>0</v>
      </c>
      <c r="V22" s="10">
        <v>0</v>
      </c>
      <c r="W22" s="10">
        <v>20000000</v>
      </c>
    </row>
    <row r="23" spans="1:23" x14ac:dyDescent="0.3">
      <c r="A23" t="s">
        <v>85</v>
      </c>
      <c r="D23" s="10">
        <v>125000</v>
      </c>
      <c r="E23" s="10">
        <f>D23+D23*0.1</f>
        <v>137500</v>
      </c>
      <c r="F23" s="10">
        <f t="shared" ref="F23:W23" si="8">E23+E23*0.1</f>
        <v>151250</v>
      </c>
      <c r="G23" s="10">
        <f t="shared" si="8"/>
        <v>166375</v>
      </c>
      <c r="H23" s="10">
        <f t="shared" si="8"/>
        <v>183012.5</v>
      </c>
      <c r="I23" s="10">
        <f t="shared" si="8"/>
        <v>201313.75</v>
      </c>
      <c r="J23" s="10">
        <f t="shared" si="8"/>
        <v>221445.125</v>
      </c>
      <c r="K23" s="10">
        <f t="shared" si="8"/>
        <v>243589.63750000001</v>
      </c>
      <c r="L23" s="10">
        <f t="shared" si="8"/>
        <v>267948.60125000001</v>
      </c>
      <c r="M23" s="10">
        <f t="shared" si="8"/>
        <v>294743.46137500001</v>
      </c>
      <c r="N23" s="10">
        <f t="shared" si="8"/>
        <v>324217.80751250003</v>
      </c>
      <c r="O23" s="10">
        <f t="shared" si="8"/>
        <v>356639.58826375002</v>
      </c>
      <c r="P23" s="10">
        <f t="shared" si="8"/>
        <v>392303.54709012504</v>
      </c>
      <c r="Q23" s="10">
        <f t="shared" si="8"/>
        <v>431533.90179913753</v>
      </c>
      <c r="R23" s="10">
        <f t="shared" si="8"/>
        <v>474687.29197905131</v>
      </c>
      <c r="S23" s="10">
        <f t="shared" si="8"/>
        <v>522156.02117695648</v>
      </c>
      <c r="T23" s="10">
        <f t="shared" si="8"/>
        <v>574371.62329465209</v>
      </c>
      <c r="U23" s="10">
        <f t="shared" si="8"/>
        <v>631808.78562411736</v>
      </c>
      <c r="V23" s="10">
        <f t="shared" si="8"/>
        <v>694989.66418652912</v>
      </c>
      <c r="W23" s="10">
        <f t="shared" si="8"/>
        <v>764488.63060518203</v>
      </c>
    </row>
    <row r="24" spans="1:23" x14ac:dyDescent="0.3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3">
      <c r="A25" s="13" t="s">
        <v>8</v>
      </c>
      <c r="D25" s="10">
        <f>SUM(D18:D23)</f>
        <v>6400000</v>
      </c>
      <c r="E25" s="10">
        <f t="shared" ref="E25:W25" si="9">SUM(E18:E23)</f>
        <v>6740000</v>
      </c>
      <c r="F25" s="10">
        <f t="shared" si="9"/>
        <v>15400000</v>
      </c>
      <c r="G25" s="10">
        <f t="shared" si="9"/>
        <v>29018825</v>
      </c>
      <c r="H25" s="10">
        <f t="shared" si="9"/>
        <v>45892732</v>
      </c>
      <c r="I25" s="10">
        <f t="shared" si="9"/>
        <v>46739346.700000003</v>
      </c>
      <c r="J25" s="10">
        <f t="shared" si="9"/>
        <v>54116357.020000011</v>
      </c>
      <c r="K25" s="10">
        <f t="shared" si="9"/>
        <v>65300485.687000014</v>
      </c>
      <c r="L25" s="10">
        <f t="shared" si="9"/>
        <v>70648995.023950011</v>
      </c>
      <c r="M25" s="10">
        <f t="shared" si="9"/>
        <v>91659201.371420011</v>
      </c>
      <c r="N25" s="10">
        <f t="shared" si="9"/>
        <v>82315322.402428523</v>
      </c>
      <c r="O25" s="10">
        <f t="shared" si="9"/>
        <v>84879109.940916121</v>
      </c>
      <c r="P25" s="10">
        <f t="shared" si="9"/>
        <v>88230844.956563875</v>
      </c>
      <c r="Q25" s="10">
        <f t="shared" si="9"/>
        <v>92156586.974277347</v>
      </c>
      <c r="R25" s="10">
        <f t="shared" si="9"/>
        <v>112723878.17570195</v>
      </c>
      <c r="S25" s="10">
        <f t="shared" si="9"/>
        <v>105250471.18290682</v>
      </c>
      <c r="T25" s="10">
        <f t="shared" si="9"/>
        <v>107740189.81191313</v>
      </c>
      <c r="U25" s="10">
        <f t="shared" si="9"/>
        <v>114679372.39099985</v>
      </c>
      <c r="V25" s="10">
        <f t="shared" si="9"/>
        <v>122608476.74533819</v>
      </c>
      <c r="W25" s="10">
        <f t="shared" si="9"/>
        <v>151640599.46614799</v>
      </c>
    </row>
    <row r="26" spans="1:23" x14ac:dyDescent="0.3">
      <c r="A26" s="13" t="s">
        <v>39</v>
      </c>
      <c r="D26" s="10">
        <f>D15</f>
        <v>8150000</v>
      </c>
      <c r="E26" s="10">
        <f>E15</f>
        <v>15547500</v>
      </c>
      <c r="F26" s="10">
        <f>F15</f>
        <v>33726250</v>
      </c>
      <c r="G26" s="10">
        <f>G15</f>
        <v>43962050</v>
      </c>
      <c r="H26" s="10">
        <f>H15</f>
        <v>68062350.5</v>
      </c>
      <c r="I26" s="10">
        <f>I15</f>
        <v>66325284.049999997</v>
      </c>
      <c r="J26" s="10">
        <f>J15</f>
        <v>76785980.805000007</v>
      </c>
      <c r="K26" s="10">
        <f>K15</f>
        <v>88984064.070500016</v>
      </c>
      <c r="L26" s="10">
        <f>L15</f>
        <v>100041187.32930002</v>
      </c>
      <c r="M26" s="10">
        <f>M15</f>
        <v>127785894.59915501</v>
      </c>
      <c r="N26" s="10">
        <f>N15</f>
        <v>116396936.25580801</v>
      </c>
      <c r="O26" s="10">
        <f>O15</f>
        <v>119946804.89064521</v>
      </c>
      <c r="P26" s="10">
        <f>P15</f>
        <v>124562882.45201594</v>
      </c>
      <c r="Q26" s="10">
        <f>Q15</f>
        <v>129980637.61724764</v>
      </c>
      <c r="R26" s="10">
        <f>R15</f>
        <v>156294613.89062569</v>
      </c>
      <c r="S26" s="10">
        <f>S15</f>
        <v>144109522.4999899</v>
      </c>
      <c r="T26" s="10">
        <f>T15</f>
        <v>152041452.00463134</v>
      </c>
      <c r="U26" s="10">
        <f>U15</f>
        <v>161719207.80821294</v>
      </c>
      <c r="V26" s="10">
        <f>V15</f>
        <v>172785796.19182655</v>
      </c>
      <c r="W26" s="10">
        <f>W15</f>
        <v>210400069.05910045</v>
      </c>
    </row>
    <row r="27" spans="1:23" x14ac:dyDescent="0.3">
      <c r="A27" s="13" t="s">
        <v>9</v>
      </c>
      <c r="D27" s="10">
        <f>D26-D25</f>
        <v>1750000</v>
      </c>
      <c r="E27" s="10">
        <f t="shared" ref="E27:W27" si="10">E26-E25</f>
        <v>8807500</v>
      </c>
      <c r="F27" s="10">
        <f t="shared" si="10"/>
        <v>18326250</v>
      </c>
      <c r="G27" s="10">
        <f t="shared" si="10"/>
        <v>14943225</v>
      </c>
      <c r="H27" s="10">
        <f t="shared" si="10"/>
        <v>22169618.5</v>
      </c>
      <c r="I27" s="10">
        <f t="shared" si="10"/>
        <v>19585937.349999994</v>
      </c>
      <c r="J27" s="10">
        <f t="shared" si="10"/>
        <v>22669623.784999996</v>
      </c>
      <c r="K27" s="10">
        <f t="shared" si="10"/>
        <v>23683578.383500002</v>
      </c>
      <c r="L27" s="10">
        <f t="shared" si="10"/>
        <v>29392192.305350006</v>
      </c>
      <c r="M27" s="10">
        <f t="shared" si="10"/>
        <v>36126693.227734998</v>
      </c>
      <c r="N27" s="10">
        <f t="shared" si="10"/>
        <v>34081613.853379488</v>
      </c>
      <c r="O27" s="10">
        <f t="shared" si="10"/>
        <v>35067694.949729085</v>
      </c>
      <c r="P27" s="10">
        <f t="shared" si="10"/>
        <v>36332037.495452061</v>
      </c>
      <c r="Q27" s="10">
        <f t="shared" si="10"/>
        <v>37824050.642970294</v>
      </c>
      <c r="R27" s="10">
        <f t="shared" si="10"/>
        <v>43570735.714923739</v>
      </c>
      <c r="S27" s="10">
        <f t="shared" si="10"/>
        <v>38859051.317083076</v>
      </c>
      <c r="T27" s="10">
        <f t="shared" si="10"/>
        <v>44301262.192718208</v>
      </c>
      <c r="U27" s="10">
        <f t="shared" si="10"/>
        <v>47039835.417213082</v>
      </c>
      <c r="V27" s="10">
        <f t="shared" si="10"/>
        <v>50177319.446488366</v>
      </c>
      <c r="W27" s="10">
        <f t="shared" si="10"/>
        <v>58759469.59295246</v>
      </c>
    </row>
    <row r="28" spans="1:23" x14ac:dyDescent="0.3">
      <c r="A28" s="13" t="s">
        <v>86</v>
      </c>
      <c r="D28" s="10">
        <f>D27*0.23</f>
        <v>402500</v>
      </c>
      <c r="E28" s="10">
        <f t="shared" ref="E28:W28" si="11">E27*21.73%</f>
        <v>1913869.75</v>
      </c>
      <c r="F28" s="10">
        <f t="shared" si="11"/>
        <v>3982294.125</v>
      </c>
      <c r="G28" s="10">
        <f t="shared" si="11"/>
        <v>3247162.7925</v>
      </c>
      <c r="H28" s="10">
        <f t="shared" si="11"/>
        <v>4817458.1000499995</v>
      </c>
      <c r="I28" s="10">
        <f t="shared" si="11"/>
        <v>4256024.1861549988</v>
      </c>
      <c r="J28" s="10">
        <f t="shared" si="11"/>
        <v>4926109.2484804988</v>
      </c>
      <c r="K28" s="10">
        <f t="shared" si="11"/>
        <v>5146441.5827345503</v>
      </c>
      <c r="L28" s="10">
        <f t="shared" si="11"/>
        <v>6386923.3879525559</v>
      </c>
      <c r="M28" s="10">
        <f t="shared" si="11"/>
        <v>7850330.4383868147</v>
      </c>
      <c r="N28" s="10">
        <f t="shared" si="11"/>
        <v>7405934.6903393622</v>
      </c>
      <c r="O28" s="10">
        <f t="shared" si="11"/>
        <v>7620210.1125761298</v>
      </c>
      <c r="P28" s="10">
        <f t="shared" si="11"/>
        <v>7894951.7477617329</v>
      </c>
      <c r="Q28" s="10">
        <f t="shared" si="11"/>
        <v>8219166.2047174443</v>
      </c>
      <c r="R28" s="10">
        <f t="shared" si="11"/>
        <v>9467920.8708529286</v>
      </c>
      <c r="S28" s="10">
        <f t="shared" si="11"/>
        <v>8444071.8512021527</v>
      </c>
      <c r="T28" s="10">
        <f t="shared" si="11"/>
        <v>9626664.2744776662</v>
      </c>
      <c r="U28" s="10">
        <f t="shared" si="11"/>
        <v>10221756.236160403</v>
      </c>
      <c r="V28" s="10">
        <f t="shared" si="11"/>
        <v>10903531.515721921</v>
      </c>
      <c r="W28" s="10">
        <f t="shared" si="11"/>
        <v>12768432.74254857</v>
      </c>
    </row>
    <row r="29" spans="1:23" x14ac:dyDescent="0.3">
      <c r="A29" s="13" t="s">
        <v>10</v>
      </c>
      <c r="D29" s="10">
        <f>D27-D28</f>
        <v>1347500</v>
      </c>
      <c r="E29" s="10">
        <f t="shared" ref="E29:W29" si="12">E27-E28</f>
        <v>6893630.25</v>
      </c>
      <c r="F29" s="10">
        <f t="shared" si="12"/>
        <v>14343955.875</v>
      </c>
      <c r="G29" s="10">
        <f t="shared" si="12"/>
        <v>11696062.2075</v>
      </c>
      <c r="H29" s="10">
        <f t="shared" si="12"/>
        <v>17352160.399950001</v>
      </c>
      <c r="I29" s="10">
        <f t="shared" si="12"/>
        <v>15329913.163844995</v>
      </c>
      <c r="J29" s="10">
        <f t="shared" si="12"/>
        <v>17743514.536519498</v>
      </c>
      <c r="K29" s="10">
        <f t="shared" si="12"/>
        <v>18537136.800765451</v>
      </c>
      <c r="L29" s="10">
        <f t="shared" si="12"/>
        <v>23005268.917397451</v>
      </c>
      <c r="M29" s="10">
        <f t="shared" si="12"/>
        <v>28276362.789348185</v>
      </c>
      <c r="N29" s="10">
        <f t="shared" si="12"/>
        <v>26675679.163040124</v>
      </c>
      <c r="O29" s="10">
        <f t="shared" si="12"/>
        <v>27447484.837152954</v>
      </c>
      <c r="P29" s="10">
        <f t="shared" si="12"/>
        <v>28437085.747690327</v>
      </c>
      <c r="Q29" s="10">
        <f t="shared" si="12"/>
        <v>29604884.438252851</v>
      </c>
      <c r="R29" s="10">
        <f t="shared" si="12"/>
        <v>34102814.844070807</v>
      </c>
      <c r="S29" s="10">
        <f t="shared" si="12"/>
        <v>30414979.465880923</v>
      </c>
      <c r="T29" s="10">
        <f t="shared" si="12"/>
        <v>34674597.91824054</v>
      </c>
      <c r="U29" s="10">
        <f t="shared" si="12"/>
        <v>36818079.181052677</v>
      </c>
      <c r="V29" s="10">
        <f t="shared" si="12"/>
        <v>39273787.930766448</v>
      </c>
      <c r="W29" s="10">
        <f t="shared" si="12"/>
        <v>45991036.85040389</v>
      </c>
    </row>
    <row r="30" spans="1:23" x14ac:dyDescent="0.3">
      <c r="A30" s="13" t="s">
        <v>73</v>
      </c>
      <c r="D30" s="17">
        <f>(D29/D25)*100</f>
        <v>21.0546875</v>
      </c>
      <c r="E30" s="17">
        <f t="shared" ref="E30:W30" si="13">(E29/E25)*100</f>
        <v>102.27938056379821</v>
      </c>
      <c r="F30" s="17">
        <f t="shared" si="13"/>
        <v>93.14257061688312</v>
      </c>
      <c r="G30" s="17">
        <f t="shared" si="13"/>
        <v>40.305085431612063</v>
      </c>
      <c r="H30" s="17">
        <f t="shared" si="13"/>
        <v>37.810258059925481</v>
      </c>
      <c r="I30" s="17">
        <f t="shared" si="13"/>
        <v>32.798732216436811</v>
      </c>
      <c r="J30" s="17">
        <f t="shared" si="13"/>
        <v>32.787710617627035</v>
      </c>
      <c r="K30" s="17">
        <f t="shared" si="13"/>
        <v>28.387440929027907</v>
      </c>
      <c r="L30" s="17">
        <f t="shared" si="13"/>
        <v>32.562768811642215</v>
      </c>
      <c r="M30" s="17">
        <f t="shared" si="13"/>
        <v>30.84945359142629</v>
      </c>
      <c r="N30" s="17">
        <f t="shared" si="13"/>
        <v>32.4066994874008</v>
      </c>
      <c r="O30" s="17">
        <f t="shared" si="13"/>
        <v>32.337149690022663</v>
      </c>
      <c r="P30" s="17">
        <f t="shared" si="13"/>
        <v>32.230322356869564</v>
      </c>
      <c r="Q30" s="17">
        <f t="shared" si="13"/>
        <v>32.124545201002434</v>
      </c>
      <c r="R30" s="17">
        <f t="shared" si="13"/>
        <v>30.25340805868565</v>
      </c>
      <c r="S30" s="17">
        <f t="shared" si="13"/>
        <v>28.897713353724598</v>
      </c>
      <c r="T30" s="17">
        <f t="shared" si="13"/>
        <v>32.183531492541022</v>
      </c>
      <c r="U30" s="17">
        <f t="shared" si="13"/>
        <v>32.105232539572384</v>
      </c>
      <c r="V30" s="17">
        <f t="shared" si="13"/>
        <v>32.031870041367036</v>
      </c>
      <c r="W30" s="17">
        <f t="shared" si="13"/>
        <v>30.328973251435119</v>
      </c>
    </row>
    <row r="31" spans="1:23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3">
      <c r="A34" t="s">
        <v>81</v>
      </c>
      <c r="D34" s="10">
        <v>6000</v>
      </c>
      <c r="E34" s="10">
        <f>D34+D34*0.1</f>
        <v>6600</v>
      </c>
      <c r="F34" s="10">
        <f t="shared" ref="F34:W34" si="14">E34+E34*0.1</f>
        <v>7260</v>
      </c>
      <c r="G34" s="10">
        <f t="shared" si="14"/>
        <v>7986</v>
      </c>
      <c r="H34" s="10">
        <f t="shared" si="14"/>
        <v>8784.6</v>
      </c>
      <c r="I34" s="10">
        <f t="shared" si="14"/>
        <v>9663.0600000000013</v>
      </c>
      <c r="J34" s="10">
        <f t="shared" si="14"/>
        <v>10629.366000000002</v>
      </c>
      <c r="K34" s="10">
        <f t="shared" si="14"/>
        <v>11692.302600000003</v>
      </c>
      <c r="L34" s="10">
        <f t="shared" si="14"/>
        <v>12861.532860000003</v>
      </c>
      <c r="M34" s="10">
        <f t="shared" si="14"/>
        <v>14147.686146000004</v>
      </c>
      <c r="N34" s="10">
        <f t="shared" si="14"/>
        <v>15562.454760600005</v>
      </c>
      <c r="O34" s="10">
        <f t="shared" si="14"/>
        <v>17118.700236660006</v>
      </c>
      <c r="P34" s="10">
        <f t="shared" si="14"/>
        <v>18830.570260326007</v>
      </c>
      <c r="Q34" s="10">
        <f t="shared" si="14"/>
        <v>20713.627286358609</v>
      </c>
      <c r="R34" s="10">
        <f t="shared" si="14"/>
        <v>22784.99001499447</v>
      </c>
      <c r="S34" s="10">
        <f t="shared" si="14"/>
        <v>25063.489016493917</v>
      </c>
      <c r="T34" s="10">
        <f t="shared" si="14"/>
        <v>27569.837918143308</v>
      </c>
      <c r="U34" s="10">
        <f t="shared" si="14"/>
        <v>30326.82170995764</v>
      </c>
      <c r="V34" s="10">
        <f t="shared" si="14"/>
        <v>33359.503880953402</v>
      </c>
      <c r="W34" s="10">
        <f t="shared" si="14"/>
        <v>36695.454269048743</v>
      </c>
    </row>
    <row r="35" spans="1:23" x14ac:dyDescent="0.3">
      <c r="A35" t="s">
        <v>84</v>
      </c>
      <c r="D35" s="10">
        <v>10500</v>
      </c>
      <c r="E35" s="10">
        <f>D35+D35*0.1</f>
        <v>11550</v>
      </c>
      <c r="F35" s="10">
        <f t="shared" ref="F35:W35" si="15">E35+E35*0.1</f>
        <v>12705</v>
      </c>
      <c r="G35" s="10">
        <f t="shared" si="15"/>
        <v>13975.5</v>
      </c>
      <c r="H35" s="10">
        <f t="shared" si="15"/>
        <v>15373.05</v>
      </c>
      <c r="I35" s="10">
        <f t="shared" si="15"/>
        <v>16910.355</v>
      </c>
      <c r="J35" s="10">
        <f t="shared" si="15"/>
        <v>18601.390500000001</v>
      </c>
      <c r="K35" s="10">
        <f t="shared" si="15"/>
        <v>20461.529550000003</v>
      </c>
      <c r="L35" s="10">
        <f t="shared" si="15"/>
        <v>22507.682505000004</v>
      </c>
      <c r="M35" s="10">
        <f t="shared" si="15"/>
        <v>24758.450755500005</v>
      </c>
      <c r="N35" s="10">
        <f>M35-M35*0.05</f>
        <v>23520.528217725005</v>
      </c>
      <c r="O35" s="10">
        <f t="shared" ref="O35:W35" si="16">N35-N35*0.05</f>
        <v>22344.501806838754</v>
      </c>
      <c r="P35" s="10">
        <f t="shared" si="16"/>
        <v>21227.276716496817</v>
      </c>
      <c r="Q35" s="10">
        <f t="shared" si="16"/>
        <v>20165.912880671975</v>
      </c>
      <c r="R35" s="10">
        <f t="shared" si="16"/>
        <v>19157.617236638376</v>
      </c>
      <c r="S35" s="10">
        <f t="shared" si="16"/>
        <v>18199.736374806456</v>
      </c>
      <c r="T35" s="10">
        <f t="shared" si="16"/>
        <v>17289.749556066134</v>
      </c>
      <c r="U35" s="10">
        <f t="shared" si="16"/>
        <v>16425.262078262826</v>
      </c>
      <c r="V35" s="10">
        <f t="shared" si="16"/>
        <v>15603.998974349684</v>
      </c>
      <c r="W35" s="10">
        <f t="shared" si="16"/>
        <v>14823.799025632201</v>
      </c>
    </row>
    <row r="39" spans="1:23" x14ac:dyDescent="0.3">
      <c r="B3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Analysis</vt:lpstr>
      <vt:lpstr>Calculations</vt:lpstr>
      <vt:lpstr>Revoledge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Reeny Susan Roy</dc:creator>
  <cp:lastModifiedBy>bhavya jain</cp:lastModifiedBy>
  <dcterms:created xsi:type="dcterms:W3CDTF">2015-06-05T18:17:20Z</dcterms:created>
  <dcterms:modified xsi:type="dcterms:W3CDTF">2023-10-06T23:37:25Z</dcterms:modified>
</cp:coreProperties>
</file>