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sc\630_BAN\04_nonlinear_optimization\case#3\"/>
    </mc:Choice>
  </mc:AlternateContent>
  <xr:revisionPtr revIDLastSave="0" documentId="8_{30DD10C5-56B4-4B14-B006-1066DC3D25AC}" xr6:coauthVersionLast="47" xr6:coauthVersionMax="47" xr10:uidLastSave="{00000000-0000-0000-0000-000000000000}"/>
  <bookViews>
    <workbookView xWindow="-108" yWindow="-108" windowWidth="23256" windowHeight="13176" tabRatio="917" xr2:uid="{00000000-000D-0000-FFFF-FFFF00000000}"/>
  </bookViews>
  <sheets>
    <sheet name="Q1_demand" sheetId="51" r:id="rId1"/>
    <sheet name="Q2_model" sheetId="46" r:id="rId2"/>
    <sheet name="hot_tubs_STS" sheetId="43" state="veryHidden" r:id="rId3"/>
    <sheet name="product_mix_STS" sheetId="31" state="veryHidden" r:id="rId4"/>
    <sheet name="Q3_solution" sheetId="52" r:id="rId5"/>
    <sheet name="Q4_max_price" sheetId="61" r:id="rId6"/>
    <sheet name="Q2_solution_STS" sheetId="48" state="veryHidden" r:id="rId7"/>
    <sheet name="Q4_max_price_STS" sheetId="62" state="veryHidden" r:id="rId8"/>
    <sheet name="Q2_solution (2)_STS" sheetId="55" state="veryHidden" r:id="rId9"/>
    <sheet name="Q3_solution_STS" sheetId="58" state="veryHidden" r:id="rId10"/>
    <sheet name="Q5_sensitivity" sheetId="66" r:id="rId11"/>
  </sheets>
  <definedNames>
    <definedName name="ChartData" localSheetId="10">Q5_sensitivity!$K$5:$K$45</definedName>
    <definedName name="InputValues" localSheetId="10">Q5_sensitivity!$A$5:$A$45</definedName>
    <definedName name="invest_decisions" localSheetId="4">#REF!</definedName>
    <definedName name="invest_decisions" localSheetId="5">#REF!</definedName>
    <definedName name="invest_decisions">#REF!</definedName>
    <definedName name="OutputAddresses" localSheetId="10">Q5_sensitivity!$B$4:$F$4</definedName>
    <definedName name="OutputValues" localSheetId="10">Q5_sensitivity!$B$5:$F$45</definedName>
    <definedName name="solver_adj" localSheetId="0" hidden="1">Q1_demand!#REF!</definedName>
    <definedName name="solver_adj" localSheetId="4" hidden="1">Q3_solution!$C$11:$C$12</definedName>
    <definedName name="solver_adj" localSheetId="5" hidden="1">Q4_max_price!$C$11:$C$12</definedName>
    <definedName name="solver_cvg" localSheetId="0" hidden="1">0.0001</definedName>
    <definedName name="solver_cvg" localSheetId="4" hidden="1">0.0001</definedName>
    <definedName name="solver_cvg" localSheetId="5" hidden="1">0.0001</definedName>
    <definedName name="solver_drv" localSheetId="0" hidden="1">1</definedName>
    <definedName name="solver_drv" localSheetId="4" hidden="1">1</definedName>
    <definedName name="solver_drv" localSheetId="5" hidden="1">1</definedName>
    <definedName name="solver_eng" localSheetId="0" hidden="1">1</definedName>
    <definedName name="solver_eng" localSheetId="4" hidden="1">1</definedName>
    <definedName name="solver_eng" localSheetId="5" hidden="1">1</definedName>
    <definedName name="solver_est" localSheetId="0" hidden="1">1</definedName>
    <definedName name="solver_est" localSheetId="4" hidden="1">1</definedName>
    <definedName name="solver_est" localSheetId="5" hidden="1">1</definedName>
    <definedName name="solver_ibd" localSheetId="0" hidden="1">2</definedName>
    <definedName name="solver_itr" localSheetId="0" hidden="1">100</definedName>
    <definedName name="solver_itr" localSheetId="4" hidden="1">2147483647</definedName>
    <definedName name="solver_itr" localSheetId="5" hidden="1">2147483647</definedName>
    <definedName name="solver_lhs1" localSheetId="0" hidden="1">Q1_demand!#REF!</definedName>
    <definedName name="solver_lhs1" localSheetId="4" hidden="1">Q3_solution!$B$20:$B$22</definedName>
    <definedName name="solver_lhs1" localSheetId="5" hidden="1">Q4_max_price!$B$19:$B$23</definedName>
    <definedName name="solver_lhs2" localSheetId="4" hidden="1">Q3_solution!#REF!</definedName>
    <definedName name="solver_lhs2" localSheetId="5" hidden="1">Q4_max_price!#REF!</definedName>
    <definedName name="solver_lhs3" localSheetId="4" hidden="1">Q3_solution!#REF!</definedName>
    <definedName name="solver_lhs3" localSheetId="5" hidden="1">Q4_max_price!#REF!</definedName>
    <definedName name="solver_lhs4" localSheetId="4" hidden="1">Q3_solution!#REF!</definedName>
    <definedName name="solver_lhs4" localSheetId="5" hidden="1">Q4_max_price!#REF!</definedName>
    <definedName name="solver_lin" localSheetId="0" hidden="1">2</definedName>
    <definedName name="solver_lin" localSheetId="4" hidden="1">1</definedName>
    <definedName name="solver_lin" localSheetId="5" hidden="1">1</definedName>
    <definedName name="solver_lva" localSheetId="0" hidden="1">2</definedName>
    <definedName name="solver_mip" localSheetId="0" hidden="1">5000</definedName>
    <definedName name="solver_mip" localSheetId="4" hidden="1">2147483647</definedName>
    <definedName name="solver_mip" localSheetId="5" hidden="1">2147483647</definedName>
    <definedName name="solver_mni" localSheetId="0" hidden="1">30</definedName>
    <definedName name="solver_mni" localSheetId="4" hidden="1">30</definedName>
    <definedName name="solver_mni" localSheetId="5" hidden="1">30</definedName>
    <definedName name="solver_mrt" localSheetId="0" hidden="1">0.075</definedName>
    <definedName name="solver_mrt" localSheetId="4" hidden="1">0.075</definedName>
    <definedName name="solver_mrt" localSheetId="5" hidden="1">0.075</definedName>
    <definedName name="solver_msl" localSheetId="0" hidden="1">1</definedName>
    <definedName name="solver_msl" localSheetId="4" hidden="1">1</definedName>
    <definedName name="solver_msl" localSheetId="5" hidden="1">1</definedName>
    <definedName name="solver_neg" localSheetId="0" hidden="1">2</definedName>
    <definedName name="solver_neg" localSheetId="4" hidden="1">1</definedName>
    <definedName name="solver_neg" localSheetId="5" hidden="1">1</definedName>
    <definedName name="solver_nod" localSheetId="0" hidden="1">5000</definedName>
    <definedName name="solver_nod" localSheetId="4" hidden="1">2147483647</definedName>
    <definedName name="solver_nod" localSheetId="5" hidden="1">2147483647</definedName>
    <definedName name="solver_num" localSheetId="0" hidden="1">1</definedName>
    <definedName name="solver_num" localSheetId="4" hidden="1">1</definedName>
    <definedName name="solver_num" localSheetId="5" hidden="1">1</definedName>
    <definedName name="solver_nwt" localSheetId="0" hidden="1">1</definedName>
    <definedName name="solver_nwt" localSheetId="4" hidden="1">1</definedName>
    <definedName name="solver_nwt" localSheetId="5" hidden="1">1</definedName>
    <definedName name="solver_ofx" localSheetId="0" hidden="1">2</definedName>
    <definedName name="solver_opt" localSheetId="0" hidden="1">Q1_demand!#REF!</definedName>
    <definedName name="solver_opt" localSheetId="4" hidden="1">Q3_solution!$C$17</definedName>
    <definedName name="solver_opt" localSheetId="5" hidden="1">Q4_max_price!$C$16</definedName>
    <definedName name="solver_piv" localSheetId="0" hidden="1">0.000001</definedName>
    <definedName name="solver_pre" localSheetId="0" hidden="1">0.000001</definedName>
    <definedName name="solver_pre" localSheetId="4" hidden="1">0.000001</definedName>
    <definedName name="solver_pre" localSheetId="5" hidden="1">0.000001</definedName>
    <definedName name="solver_pro" localSheetId="0" hidden="1">2</definedName>
    <definedName name="solver_rbv" localSheetId="0" hidden="1">2</definedName>
    <definedName name="solver_rbv" localSheetId="4" hidden="1">2</definedName>
    <definedName name="solver_rbv" localSheetId="5" hidden="1">2</definedName>
    <definedName name="solver_red" localSheetId="0" hidden="1">0.000001</definedName>
    <definedName name="solver_rel1" localSheetId="0" hidden="1">3</definedName>
    <definedName name="solver_rel1" localSheetId="4" hidden="1">1</definedName>
    <definedName name="solver_rel1" localSheetId="5" hidden="1">1</definedName>
    <definedName name="solver_rel2" localSheetId="4" hidden="1">1</definedName>
    <definedName name="solver_rel2" localSheetId="5" hidden="1">1</definedName>
    <definedName name="solver_rel3" localSheetId="4" hidden="1">1</definedName>
    <definedName name="solver_rel3" localSheetId="5" hidden="1">1</definedName>
    <definedName name="solver_rel4" localSheetId="4" hidden="1">3</definedName>
    <definedName name="solver_rel4" localSheetId="5" hidden="1">3</definedName>
    <definedName name="solver_reo" localSheetId="0" hidden="1">2</definedName>
    <definedName name="solver_rep" localSheetId="0" hidden="1">2</definedName>
    <definedName name="solver_rhs1" localSheetId="0" hidden="1">Q1_demand!#REF!</definedName>
    <definedName name="solver_rhs1" localSheetId="4" hidden="1">Q3_solution!$D$20:$D$22</definedName>
    <definedName name="solver_rhs1" localSheetId="5" hidden="1">Q4_max_price!$D$19:$D$23</definedName>
    <definedName name="solver_rhs2" localSheetId="4" hidden="1">Q3_solution!#REF!</definedName>
    <definedName name="solver_rhs2" localSheetId="5" hidden="1">Q4_max_price!#REF!</definedName>
    <definedName name="solver_rhs3" localSheetId="4" hidden="1">Q3_solution!#REF!</definedName>
    <definedName name="solver_rhs3" localSheetId="5" hidden="1">Q4_max_price!#REF!</definedName>
    <definedName name="solver_rhs4" localSheetId="4" hidden="1">Q3_solution!#REF!</definedName>
    <definedName name="solver_rhs4" localSheetId="5" hidden="1">Q4_max_price!#REF!</definedName>
    <definedName name="solver_rlx" localSheetId="0" hidden="1">2</definedName>
    <definedName name="solver_rlx" localSheetId="4" hidden="1">2</definedName>
    <definedName name="solver_rlx" localSheetId="5" hidden="1">2</definedName>
    <definedName name="solver_rsd" localSheetId="0" hidden="1">0</definedName>
    <definedName name="solver_rsd" localSheetId="4" hidden="1">0</definedName>
    <definedName name="solver_rsd" localSheetId="5" hidden="1">0</definedName>
    <definedName name="solver_scl" localSheetId="0" hidden="1">2</definedName>
    <definedName name="solver_scl" localSheetId="4" hidden="1">1</definedName>
    <definedName name="solver_scl" localSheetId="5" hidden="1">1</definedName>
    <definedName name="solver_sho" localSheetId="0" hidden="1">2</definedName>
    <definedName name="solver_sho" localSheetId="4" hidden="1">2</definedName>
    <definedName name="solver_sho" localSheetId="5" hidden="1">2</definedName>
    <definedName name="solver_ssz" localSheetId="0" hidden="1">100</definedName>
    <definedName name="solver_ssz" localSheetId="4" hidden="1">100</definedName>
    <definedName name="solver_ssz" localSheetId="5" hidden="1">100</definedName>
    <definedName name="solver_std" localSheetId="0" hidden="1">1</definedName>
    <definedName name="solver_tim" localSheetId="0" hidden="1">100</definedName>
    <definedName name="solver_tim" localSheetId="4" hidden="1">2147483647</definedName>
    <definedName name="solver_tim" localSheetId="5" hidden="1">2147483647</definedName>
    <definedName name="solver_tol" localSheetId="0" hidden="1">0.0005</definedName>
    <definedName name="solver_tol" localSheetId="4" hidden="1">0.01</definedName>
    <definedName name="solver_tol" localSheetId="5" hidden="1">0.01</definedName>
    <definedName name="solver_typ" localSheetId="0" hidden="1">1</definedName>
    <definedName name="solver_typ" localSheetId="4" hidden="1">1</definedName>
    <definedName name="solver_typ" localSheetId="5" hidden="1">1</definedName>
    <definedName name="solver_val" localSheetId="0" hidden="1">0</definedName>
    <definedName name="solver_val" localSheetId="4" hidden="1">0</definedName>
    <definedName name="solver_val" localSheetId="5" hidden="1">0</definedName>
    <definedName name="solver_ver" localSheetId="0" hidden="1">3</definedName>
    <definedName name="solver_ver" localSheetId="4" hidden="1">3</definedName>
    <definedName name="solver_ver" localSheetId="5" hidden="1">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" i="66" l="1"/>
  <c r="J4" i="66"/>
  <c r="K45" i="66"/>
  <c r="K44" i="66"/>
  <c r="K43" i="66"/>
  <c r="K42" i="66"/>
  <c r="K41" i="66"/>
  <c r="K40" i="66"/>
  <c r="K39" i="66"/>
  <c r="K38" i="66"/>
  <c r="K37" i="66"/>
  <c r="K36" i="66"/>
  <c r="K35" i="66"/>
  <c r="K34" i="66"/>
  <c r="K33" i="66"/>
  <c r="K32" i="66"/>
  <c r="K31" i="66"/>
  <c r="K30" i="66"/>
  <c r="K29" i="66"/>
  <c r="K28" i="66"/>
  <c r="K27" i="66"/>
  <c r="K26" i="66"/>
  <c r="K25" i="66"/>
  <c r="K24" i="66"/>
  <c r="K23" i="66"/>
  <c r="K22" i="66"/>
  <c r="K21" i="66"/>
  <c r="K20" i="66"/>
  <c r="K19" i="66"/>
  <c r="K18" i="66"/>
  <c r="K17" i="66"/>
  <c r="K16" i="66"/>
  <c r="K15" i="66"/>
  <c r="K14" i="66"/>
  <c r="K13" i="66"/>
  <c r="K12" i="66"/>
  <c r="K11" i="66"/>
  <c r="K10" i="66"/>
  <c r="K9" i="66"/>
  <c r="K8" i="66"/>
  <c r="K7" i="66"/>
  <c r="K6" i="66"/>
  <c r="K5" i="66"/>
  <c r="C14" i="61"/>
  <c r="C13" i="61"/>
  <c r="C13" i="52"/>
  <c r="C14" i="52"/>
  <c r="C17" i="52"/>
  <c r="D23" i="61"/>
  <c r="D22" i="61"/>
  <c r="D21" i="61"/>
  <c r="D20" i="61"/>
  <c r="B20" i="61"/>
  <c r="D19" i="61"/>
  <c r="B19" i="61"/>
  <c r="C16" i="61"/>
  <c r="D22" i="52"/>
  <c r="D21" i="52"/>
  <c r="D20" i="52"/>
  <c r="B20" i="52"/>
  <c r="B21" i="52"/>
  <c r="B22" i="52"/>
  <c r="B21" i="61"/>
  <c r="B22" i="61"/>
  <c r="B23" i="6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Zinovy Radovilsky</author>
  </authors>
  <commentList>
    <comment ref="B5" authorId="0" shapeId="0" xr:uid="{4B65D997-C022-447E-AC9E-0A7B0D644AC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" authorId="0" shapeId="0" xr:uid="{B3154BF1-029B-4DBA-B482-105EE7AF309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7" authorId="0" shapeId="0" xr:uid="{95E5C4EB-052A-49F0-BE50-F9949DC5EFF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" authorId="0" shapeId="0" xr:uid="{CE286694-616D-4538-8341-993FA659CC4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9" authorId="0" shapeId="0" xr:uid="{1000C79E-2134-4044-8F1A-CBB0DA1D9B2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0" authorId="0" shapeId="0" xr:uid="{5911DACD-CFE6-4892-8079-1CC14226168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1" authorId="0" shapeId="0" xr:uid="{50430F9F-52EF-4950-A986-6824C8B1C19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2" authorId="0" shapeId="0" xr:uid="{CE10430A-3AB9-48AE-8F74-356C01B2BD7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3" authorId="0" shapeId="0" xr:uid="{1577D573-7697-4182-A243-B24DB9B2E08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4" authorId="0" shapeId="0" xr:uid="{BD57E033-2BBC-4B11-9773-5BDAAAB8E4F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5" authorId="0" shapeId="0" xr:uid="{D0D521AE-248D-4859-91AF-2615BE79C23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6" authorId="0" shapeId="0" xr:uid="{9DD244FA-59F7-4A0B-BF2A-B580C121044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7" authorId="0" shapeId="0" xr:uid="{8084F622-4AAD-49FA-A564-AD549832828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8" authorId="0" shapeId="0" xr:uid="{CB733C6C-3051-421A-A9E3-55A8A63B627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9" authorId="0" shapeId="0" xr:uid="{6374CD2E-E5B1-4D43-BE36-94DCC29947B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0" authorId="0" shapeId="0" xr:uid="{73BE5782-0FAF-4119-B584-40AFF9A13B2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1" authorId="0" shapeId="0" xr:uid="{66625373-373E-4F76-89C5-942BE1790A78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22" authorId="0" shapeId="0" xr:uid="{44100006-2939-48B6-B258-F7F4B4F41F76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23" authorId="0" shapeId="0" xr:uid="{3EA43B7B-2FDF-46F6-9A8F-62D4FA3F7EFE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24" authorId="0" shapeId="0" xr:uid="{98ABB711-F802-4F2B-9B60-6272C990F3F4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25" authorId="0" shapeId="0" xr:uid="{05921E28-6003-4C09-8F4B-6F27E04E0FC4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26" authorId="0" shapeId="0" xr:uid="{093D729F-8C37-463F-B6D1-5722D3FC1698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27" authorId="0" shapeId="0" xr:uid="{BB2D39F7-9123-4CAC-890F-64538DD00FA8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28" authorId="0" shapeId="0" xr:uid="{2AA6D5E8-0A37-477B-B933-F45F6BA5C55E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29" authorId="0" shapeId="0" xr:uid="{ED0B8A49-26C1-401C-88E3-B729520957D7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30" authorId="0" shapeId="0" xr:uid="{E0CBACE9-9D0D-4792-9B65-255EE5E33C63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31" authorId="0" shapeId="0" xr:uid="{A7EC921B-8D74-4639-9962-CCFD5E14482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32" authorId="0" shapeId="0" xr:uid="{ECC06522-C184-4337-9BC2-7BB7214A3CCF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33" authorId="0" shapeId="0" xr:uid="{F05F5968-7B7C-41E4-A2BB-005AB450EAEA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34" authorId="0" shapeId="0" xr:uid="{CFCEEC54-6514-4D91-ACB5-1378F1084664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35" authorId="0" shapeId="0" xr:uid="{6F1CF002-A6DC-4B4C-BAF8-7CF12B935B46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36" authorId="0" shapeId="0" xr:uid="{43A7E675-1CD8-4301-8FBD-AEEF0650E76B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37" authorId="0" shapeId="0" xr:uid="{159B496F-82ED-4E60-8CA0-B00422910CE2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38" authorId="0" shapeId="0" xr:uid="{19A26681-41DA-43AE-9CD4-AC5F1D0829D6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39" authorId="0" shapeId="0" xr:uid="{0A5D31C2-C9B7-48D4-BB6C-DAF03DE0AAAF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40" authorId="0" shapeId="0" xr:uid="{1DDA5052-D6BC-45D8-9D9D-57C6AB2045DC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41" authorId="0" shapeId="0" xr:uid="{D230F479-EBC3-4DC5-AE8D-3F85F11886CD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42" authorId="0" shapeId="0" xr:uid="{476C5D4B-A8D3-40D0-9344-EBDC858CF205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43" authorId="0" shapeId="0" xr:uid="{C892265D-F881-4309-B2BB-0DE4EC478865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44" authorId="0" shapeId="0" xr:uid="{CBD2002A-7686-46E9-81C8-18960A7FD21B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45" authorId="0" shapeId="0" xr:uid="{26179111-44C0-467A-8C44-4FEFACA8DC97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</commentList>
</comments>
</file>

<file path=xl/sharedStrings.xml><?xml version="1.0" encoding="utf-8"?>
<sst xmlns="http://schemas.openxmlformats.org/spreadsheetml/2006/main" count="177" uniqueCount="109">
  <si>
    <t>RHS</t>
  </si>
  <si>
    <t>Constraints</t>
  </si>
  <si>
    <t>LHS</t>
  </si>
  <si>
    <t>&lt;=</t>
  </si>
  <si>
    <t>Data for chart</t>
  </si>
  <si>
    <t>Storage Space</t>
  </si>
  <si>
    <t>Ph=</t>
  </si>
  <si>
    <t>Demand</t>
  </si>
  <si>
    <t>Max Price, $</t>
  </si>
  <si>
    <t>Tubing resource, feet</t>
  </si>
  <si>
    <t>Pump resource, units</t>
  </si>
  <si>
    <t>$D$18</t>
  </si>
  <si>
    <t>$C$9,$C$5</t>
  </si>
  <si>
    <t>Maximum price for Aqua-Spa, $</t>
  </si>
  <si>
    <t>Maximum price for Hydro-Luxe, $</t>
  </si>
  <si>
    <t>$D$15</t>
  </si>
  <si>
    <t>$C$8:$C$9,$C$12</t>
  </si>
  <si>
    <t>Input</t>
  </si>
  <si>
    <t>Non-negativity</t>
  </si>
  <si>
    <t>Decision Variables</t>
  </si>
  <si>
    <t>Pa, Ph &gt;= 0</t>
  </si>
  <si>
    <t>Pa - price per Aqua-Spa hot tub</t>
  </si>
  <si>
    <t>Ph - price per Hydro-Luxe hot tub</t>
  </si>
  <si>
    <t>Price per Aqua-Spa hot tub, $</t>
  </si>
  <si>
    <t>Price of Hydro-Luxe hot tub, $</t>
  </si>
  <si>
    <t xml:space="preserve">Objective function </t>
  </si>
  <si>
    <t>Maximize total monthly profit</t>
  </si>
  <si>
    <t>Total available resource</t>
  </si>
  <si>
    <t>Tubing, feet</t>
  </si>
  <si>
    <t>Pump, unit</t>
  </si>
  <si>
    <t>Cost per unit, $</t>
  </si>
  <si>
    <t>Pump per unit</t>
  </si>
  <si>
    <t>Tubing per unit, feet</t>
  </si>
  <si>
    <t>Objective Function: maximize total monthly profit, $</t>
  </si>
  <si>
    <t>Labor resource, hrs.</t>
  </si>
  <si>
    <t>Labor, hrs.</t>
  </si>
  <si>
    <t>Labor per Unit, hrs.</t>
  </si>
  <si>
    <t>$C$10,$C$11,$C$14</t>
  </si>
  <si>
    <t>$C$11</t>
  </si>
  <si>
    <t>$C$14</t>
  </si>
  <si>
    <t>Maximum price for Hydro-Luxe</t>
  </si>
  <si>
    <t>Demand/Prodution</t>
  </si>
  <si>
    <t>Hydro-Luxe units, Dh</t>
  </si>
  <si>
    <t>Period</t>
  </si>
  <si>
    <t>Price</t>
  </si>
  <si>
    <t>$D$10</t>
  </si>
  <si>
    <t/>
  </si>
  <si>
    <t>$D$11</t>
  </si>
  <si>
    <t>$C$10:$C$11,$C$14</t>
  </si>
  <si>
    <t>Input1</t>
  </si>
  <si>
    <t>Input2</t>
  </si>
  <si>
    <t>$E$8</t>
  </si>
  <si>
    <t>$C$10:$C$11,$C$4:$C$5,$C$14</t>
  </si>
  <si>
    <t>Q2. Model formulation</t>
  </si>
  <si>
    <t>10Da + 16Dh &lt;= 2700</t>
  </si>
  <si>
    <t>Q3. Optimal solution</t>
  </si>
  <si>
    <t>Availalbe number of pumps</t>
  </si>
  <si>
    <t>Q1. Price and Demand for Aqua-Spa</t>
  </si>
  <si>
    <t>Q1. Price and Demand for Hydro-Luxe</t>
  </si>
  <si>
    <r>
      <t>Da = 4,999,940.50Pa</t>
    </r>
    <r>
      <rPr>
        <b/>
        <vertAlign val="superscript"/>
        <sz val="10"/>
        <rFont val="Arial"/>
        <family val="2"/>
      </rPr>
      <t>-1.53</t>
    </r>
  </si>
  <si>
    <r>
      <t>Dh =1,994,141.79Ph</t>
    </r>
    <r>
      <rPr>
        <b/>
        <vertAlign val="superscript"/>
        <sz val="10"/>
        <rFont val="Arial"/>
        <family val="2"/>
      </rPr>
      <t>-1.35</t>
    </r>
  </si>
  <si>
    <t>Da + Dh &lt;= 180</t>
  </si>
  <si>
    <t>4*Da + 6*Dh &lt;= 1100</t>
  </si>
  <si>
    <t>Max (Pa - 430)*Da + (Ph - 510)*Dh</t>
  </si>
  <si>
    <t xml:space="preserve">(Optional) Notice that the demand/production units for hot tubs are not decision variables, </t>
  </si>
  <si>
    <t>because they are dependent on price. In an LP or non-linear optimization model, the decision</t>
  </si>
  <si>
    <t xml:space="preserve">variables should be  independent, and not related to each other. </t>
  </si>
  <si>
    <t>Inputs</t>
  </si>
  <si>
    <t>Decision Variables and Demand Output</t>
  </si>
  <si>
    <t>Pa=</t>
  </si>
  <si>
    <t>Number of Aqua-Spa units produced (demand)</t>
  </si>
  <si>
    <t>Da=</t>
  </si>
  <si>
    <t>Number of Hydro-Luxe units produced (demand)</t>
  </si>
  <si>
    <t>Dh=</t>
  </si>
  <si>
    <t xml:space="preserve">    all the constraints remain feasible. </t>
  </si>
  <si>
    <t xml:space="preserve">The optimal solution in this case is to assign a unit price for Aqua-Spa to be equal to $1,241.32, and a unit price for Hydro-Luxe </t>
  </si>
  <si>
    <t xml:space="preserve">    to be equal to $1,1967.14, which provide the maximum monthly profit of $178,797.13. The optimal number of units produced</t>
  </si>
  <si>
    <t xml:space="preserve">    (demanded) is 92.33 for Aqua-Spa and 71.30 for Hydro-Luxe.</t>
  </si>
  <si>
    <t xml:space="preserve">Assuming that the optimal production of units should be integer, we can round them to the nearest integer values of 92 units </t>
  </si>
  <si>
    <t>Q4. Solutions with Upper Limits for Prices</t>
  </si>
  <si>
    <t>According to the simple regression analysis (Trendline), the constant</t>
  </si>
  <si>
    <t xml:space="preserve">elasticity demand function for demand (production) of Aqua-Spa hot tubs is: </t>
  </si>
  <si>
    <t xml:space="preserve">elasticity demand function for demand (production) of Hydro-Luxe hot tubs is: </t>
  </si>
  <si>
    <r>
      <t xml:space="preserve">                Demand = 4,999,940.50*Price</t>
    </r>
    <r>
      <rPr>
        <b/>
        <vertAlign val="superscript"/>
        <sz val="11"/>
        <rFont val="Calibri"/>
        <family val="2"/>
        <scheme val="minor"/>
      </rPr>
      <t>-1.53</t>
    </r>
  </si>
  <si>
    <r>
      <t xml:space="preserve">                        Demand = 1,994,141.79*Price</t>
    </r>
    <r>
      <rPr>
        <b/>
        <vertAlign val="superscript"/>
        <sz val="11"/>
        <rFont val="Calibri"/>
        <family val="2"/>
        <scheme val="minor"/>
      </rPr>
      <t>-1.35</t>
    </r>
  </si>
  <si>
    <t>Aqua-Spa units, Da</t>
  </si>
  <si>
    <t xml:space="preserve">The optimal solution in this case is to assign a unit price for Aqua-Spa to be equal to $1,220.00, and a unit price for Hydro-Luxe </t>
  </si>
  <si>
    <t xml:space="preserve">    to be equal to $1,800.00, which provide the maximum monthly profit of $178,584.32. The optimal number of units produced</t>
  </si>
  <si>
    <t xml:space="preserve">    (demanded) is 94.81 for Aqua-Spa and 80.38 for Hydro-Luxe, which can be rounded to the nearest integers as 95 and </t>
  </si>
  <si>
    <t xml:space="preserve">    80 units respectively. </t>
  </si>
  <si>
    <t xml:space="preserve">By assigning the upper limits for the hot tub prices, the optimal profit will be reduced by only $212.81 (178,797.13-178,584.32). The </t>
  </si>
  <si>
    <t xml:space="preserve">    optimal units produced in this case versus the model in question 3 (the integer values), will increase for Aqua-Spa from</t>
  </si>
  <si>
    <t xml:space="preserve">     92 to 95 units, and will also increase for Hydro-Luxe  from 71 to 80 units. </t>
  </si>
  <si>
    <t>$C$7</t>
  </si>
  <si>
    <t>$C$11:$C$14,$C$16</t>
  </si>
  <si>
    <t>Maximum number of pumps</t>
  </si>
  <si>
    <t>Maximum number of pumps (cell $C$7) values along side, output cell(s) along top</t>
  </si>
  <si>
    <t>$C$12</t>
  </si>
  <si>
    <t>$C$13</t>
  </si>
  <si>
    <t>$C$16</t>
  </si>
  <si>
    <t>Not feasible</t>
  </si>
  <si>
    <t>Q5. Oneway analysis for Solver model in Q4_max_price worksheet</t>
  </si>
  <si>
    <t>As can be seen from the sensitivity table and associated charts, for the</t>
  </si>
  <si>
    <t xml:space="preserve">number of pumps between 100 and 175, there is no optimal solution (no feasible </t>
  </si>
  <si>
    <t>solution). At the same time, when the number of pumps is 225 units or more,</t>
  </si>
  <si>
    <t xml:space="preserve">the optimal solution for the prices,number of produced units, and maximum profit </t>
  </si>
  <si>
    <t>remains the same, or otherwise, insensitive to variations of the</t>
  </si>
  <si>
    <t xml:space="preserve">maximum number of pumps from 225 to 300. </t>
  </si>
  <si>
    <t xml:space="preserve">    of Aqua-Spa and 71 units of Hydro-Luxe produced. The objective function will then reduce insignificantly to $178,098.40, while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</si>
</sst>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00"/>
    <numFmt numFmtId="166" formatCode="&quot;$&quot;#,##0.00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b/>
      <i/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name val="Arial"/>
      <family val="2"/>
    </font>
    <font>
      <sz val="10"/>
      <color rgb="FFFFFFFF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i/>
      <sz val="10"/>
      <color rgb="FF0000FF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vertAlign val="superscript"/>
      <sz val="10"/>
      <name val="Arial"/>
      <family val="2"/>
    </font>
    <font>
      <b/>
      <vertAlign val="superscript"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7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8" fillId="0" borderId="0"/>
    <xf numFmtId="43" fontId="14" fillId="0" borderId="0" applyFont="0" applyFill="0" applyBorder="0" applyAlignment="0" applyProtection="0"/>
    <xf numFmtId="0" fontId="1" fillId="0" borderId="0"/>
  </cellStyleXfs>
  <cellXfs count="117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4" fillId="0" borderId="1" xfId="0" applyNumberFormat="1" applyFont="1" applyBorder="1"/>
    <xf numFmtId="2" fontId="3" fillId="0" borderId="1" xfId="0" applyNumberFormat="1" applyFont="1" applyBorder="1" applyAlignment="1">
      <alignment horizontal="center"/>
    </xf>
    <xf numFmtId="0" fontId="6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0" xfId="0" applyBorder="1"/>
    <xf numFmtId="2" fontId="7" fillId="0" borderId="1" xfId="0" applyNumberFormat="1" applyFont="1" applyBorder="1" applyAlignment="1">
      <alignment horizontal="center"/>
    </xf>
    <xf numFmtId="0" fontId="2" fillId="0" borderId="0" xfId="0" applyFont="1" applyBorder="1"/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wrapText="1"/>
    </xf>
    <xf numFmtId="164" fontId="2" fillId="2" borderId="1" xfId="0" applyNumberFormat="1" applyFont="1" applyFill="1" applyBorder="1" applyAlignment="1">
      <alignment horizontal="center"/>
    </xf>
    <xf numFmtId="0" fontId="11" fillId="0" borderId="1" xfId="0" applyFont="1" applyBorder="1"/>
    <xf numFmtId="1" fontId="2" fillId="5" borderId="1" xfId="0" applyNumberFormat="1" applyFont="1" applyFill="1" applyBorder="1" applyAlignment="1">
      <alignment horizontal="center"/>
    </xf>
    <xf numFmtId="49" fontId="0" fillId="0" borderId="0" xfId="0" applyNumberFormat="1"/>
    <xf numFmtId="0" fontId="12" fillId="0" borderId="0" xfId="0" applyFont="1"/>
    <xf numFmtId="164" fontId="2" fillId="5" borderId="1" xfId="0" applyNumberFormat="1" applyFont="1" applyFill="1" applyBorder="1" applyAlignment="1">
      <alignment horizontal="center"/>
    </xf>
    <xf numFmtId="0" fontId="1" fillId="0" borderId="0" xfId="3"/>
    <xf numFmtId="0" fontId="1" fillId="0" borderId="0" xfId="3" applyBorder="1"/>
    <xf numFmtId="0" fontId="15" fillId="0" borderId="0" xfId="3" applyFont="1" applyBorder="1"/>
    <xf numFmtId="0" fontId="9" fillId="0" borderId="1" xfId="3" applyFont="1" applyBorder="1"/>
    <xf numFmtId="0" fontId="10" fillId="0" borderId="1" xfId="3" applyFont="1" applyBorder="1"/>
    <xf numFmtId="0" fontId="17" fillId="0" borderId="0" xfId="0" applyFont="1" applyBorder="1"/>
    <xf numFmtId="0" fontId="17" fillId="0" borderId="0" xfId="0" applyFont="1"/>
    <xf numFmtId="0" fontId="17" fillId="0" borderId="0" xfId="3" applyFont="1"/>
    <xf numFmtId="0" fontId="15" fillId="0" borderId="2" xfId="3" applyFont="1" applyBorder="1"/>
    <xf numFmtId="0" fontId="15" fillId="0" borderId="3" xfId="3" applyFont="1" applyBorder="1"/>
    <xf numFmtId="0" fontId="15" fillId="0" borderId="4" xfId="3" applyFont="1" applyBorder="1"/>
    <xf numFmtId="0" fontId="15" fillId="0" borderId="5" xfId="3" applyFont="1" applyBorder="1"/>
    <xf numFmtId="0" fontId="15" fillId="0" borderId="6" xfId="3" applyFont="1" applyBorder="1"/>
    <xf numFmtId="0" fontId="15" fillId="0" borderId="7" xfId="3" applyFont="1" applyBorder="1"/>
    <xf numFmtId="2" fontId="7" fillId="3" borderId="1" xfId="0" applyNumberFormat="1" applyFont="1" applyFill="1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5" xfId="0" applyBorder="1"/>
    <xf numFmtId="0" fontId="0" fillId="0" borderId="9" xfId="0" applyBorder="1"/>
    <xf numFmtId="0" fontId="0" fillId="0" borderId="7" xfId="0" applyBorder="1"/>
    <xf numFmtId="0" fontId="2" fillId="0" borderId="2" xfId="0" applyFont="1" applyBorder="1"/>
    <xf numFmtId="0" fontId="2" fillId="0" borderId="8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9" xfId="0" applyFont="1" applyBorder="1"/>
    <xf numFmtId="0" fontId="18" fillId="0" borderId="0" xfId="1" applyFont="1"/>
    <xf numFmtId="0" fontId="19" fillId="0" borderId="0" xfId="1" applyFont="1"/>
    <xf numFmtId="0" fontId="20" fillId="0" borderId="1" xfId="1" applyFont="1" applyBorder="1" applyAlignment="1">
      <alignment horizontal="center"/>
    </xf>
    <xf numFmtId="0" fontId="18" fillId="0" borderId="1" xfId="1" applyFont="1" applyBorder="1" applyAlignment="1">
      <alignment horizontal="center"/>
    </xf>
    <xf numFmtId="166" fontId="18" fillId="0" borderId="1" xfId="1" applyNumberFormat="1" applyFont="1" applyBorder="1" applyAlignment="1">
      <alignment horizontal="center"/>
    </xf>
    <xf numFmtId="0" fontId="20" fillId="0" borderId="0" xfId="1" applyFont="1" applyBorder="1" applyAlignment="1">
      <alignment horizontal="center"/>
    </xf>
    <xf numFmtId="0" fontId="18" fillId="0" borderId="0" xfId="1" applyFont="1" applyBorder="1" applyAlignment="1">
      <alignment horizontal="center"/>
    </xf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right" textRotation="90"/>
    </xf>
    <xf numFmtId="0" fontId="0" fillId="6" borderId="0" xfId="0" applyFill="1" applyAlignment="1">
      <alignment horizontal="right" textRotation="90"/>
    </xf>
    <xf numFmtId="2" fontId="0" fillId="0" borderId="13" xfId="0" applyNumberFormat="1" applyBorder="1"/>
    <xf numFmtId="2" fontId="0" fillId="0" borderId="0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166" fontId="18" fillId="0" borderId="0" xfId="1" applyNumberFormat="1" applyFont="1" applyBorder="1" applyAlignment="1">
      <alignment horizontal="center"/>
    </xf>
    <xf numFmtId="0" fontId="16" fillId="0" borderId="0" xfId="1" applyFont="1"/>
    <xf numFmtId="0" fontId="18" fillId="0" borderId="18" xfId="1" applyFont="1" applyBorder="1" applyAlignment="1">
      <alignment horizontal="center"/>
    </xf>
    <xf numFmtId="166" fontId="18" fillId="0" borderId="2" xfId="1" applyNumberFormat="1" applyFont="1" applyBorder="1" applyAlignment="1">
      <alignment horizontal="left"/>
    </xf>
    <xf numFmtId="0" fontId="18" fillId="0" borderId="8" xfId="1" applyFont="1" applyBorder="1" applyAlignment="1">
      <alignment horizontal="center"/>
    </xf>
    <xf numFmtId="0" fontId="18" fillId="0" borderId="3" xfId="1" applyFont="1" applyBorder="1" applyAlignment="1">
      <alignment horizontal="center"/>
    </xf>
    <xf numFmtId="166" fontId="18" fillId="0" borderId="4" xfId="1" applyNumberFormat="1" applyFont="1" applyBorder="1" applyAlignment="1">
      <alignment horizontal="left"/>
    </xf>
    <xf numFmtId="0" fontId="18" fillId="0" borderId="5" xfId="1" applyFont="1" applyBorder="1" applyAlignment="1">
      <alignment horizontal="center"/>
    </xf>
    <xf numFmtId="166" fontId="18" fillId="0" borderId="6" xfId="1" applyNumberFormat="1" applyFont="1" applyBorder="1" applyAlignment="1">
      <alignment horizontal="center"/>
    </xf>
    <xf numFmtId="0" fontId="18" fillId="0" borderId="9" xfId="1" applyFont="1" applyBorder="1" applyAlignment="1">
      <alignment horizontal="left"/>
    </xf>
    <xf numFmtId="0" fontId="18" fillId="0" borderId="9" xfId="1" applyFont="1" applyBorder="1" applyAlignment="1">
      <alignment horizontal="center"/>
    </xf>
    <xf numFmtId="0" fontId="18" fillId="0" borderId="7" xfId="1" applyFont="1" applyBorder="1" applyAlignment="1">
      <alignment horizontal="center"/>
    </xf>
    <xf numFmtId="0" fontId="2" fillId="0" borderId="3" xfId="0" applyFont="1" applyBorder="1"/>
    <xf numFmtId="0" fontId="2" fillId="0" borderId="5" xfId="0" applyFont="1" applyBorder="1"/>
    <xf numFmtId="0" fontId="2" fillId="0" borderId="7" xfId="0" applyFont="1" applyBorder="1"/>
    <xf numFmtId="0" fontId="17" fillId="0" borderId="0" xfId="1" applyFont="1"/>
    <xf numFmtId="2" fontId="7" fillId="4" borderId="1" xfId="0" applyNumberFormat="1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17" fillId="0" borderId="1" xfId="0" applyFont="1" applyBorder="1"/>
    <xf numFmtId="164" fontId="7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4" fontId="7" fillId="4" borderId="1" xfId="2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10" fillId="0" borderId="18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164" fontId="2" fillId="2" borderId="18" xfId="0" applyNumberFormat="1" applyFont="1" applyFill="1" applyBorder="1" applyAlignment="1">
      <alignment horizontal="center"/>
    </xf>
    <xf numFmtId="0" fontId="8" fillId="0" borderId="0" xfId="0" applyFont="1"/>
    <xf numFmtId="164" fontId="2" fillId="0" borderId="18" xfId="0" applyNumberFormat="1" applyFont="1" applyBorder="1" applyAlignment="1">
      <alignment horizontal="center"/>
    </xf>
    <xf numFmtId="0" fontId="0" fillId="0" borderId="18" xfId="0" applyBorder="1"/>
    <xf numFmtId="2" fontId="2" fillId="0" borderId="0" xfId="0" applyNumberFormat="1" applyFont="1" applyAlignment="1">
      <alignment horizontal="center"/>
    </xf>
    <xf numFmtId="2" fontId="2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/>
    </xf>
    <xf numFmtId="165" fontId="4" fillId="0" borderId="18" xfId="0" applyNumberFormat="1" applyFont="1" applyBorder="1"/>
    <xf numFmtId="165" fontId="2" fillId="0" borderId="0" xfId="0" applyNumberFormat="1" applyFont="1"/>
    <xf numFmtId="4" fontId="7" fillId="0" borderId="1" xfId="2" applyNumberFormat="1" applyFont="1" applyFill="1" applyBorder="1" applyAlignment="1">
      <alignment horizontal="center"/>
    </xf>
    <xf numFmtId="4" fontId="7" fillId="0" borderId="18" xfId="2" applyNumberFormat="1" applyFont="1" applyFill="1" applyBorder="1" applyAlignment="1">
      <alignment horizontal="center"/>
    </xf>
    <xf numFmtId="4" fontId="2" fillId="0" borderId="0" xfId="2" applyNumberFormat="1" applyFont="1" applyFill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11" fillId="0" borderId="0" xfId="0" applyFont="1" applyAlignment="1">
      <alignment horizontal="center"/>
    </xf>
    <xf numFmtId="1" fontId="2" fillId="0" borderId="18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7" borderId="10" xfId="0" applyFill="1" applyBorder="1"/>
    <xf numFmtId="0" fontId="0" fillId="7" borderId="13" xfId="0" applyFill="1" applyBorder="1"/>
    <xf numFmtId="4" fontId="0" fillId="0" borderId="14" xfId="0" applyNumberFormat="1" applyBorder="1"/>
    <xf numFmtId="4" fontId="0" fillId="0" borderId="17" xfId="0" applyNumberFormat="1" applyBorder="1"/>
  </cellXfs>
  <cellStyles count="4">
    <cellStyle name="Comma" xfId="2" builtinId="3"/>
    <cellStyle name="Normal" xfId="0" builtinId="0"/>
    <cellStyle name="Normal 2" xfId="1" xr:uid="{00000000-0005-0000-0000-000002000000}"/>
    <cellStyle name="Normal 3" xfId="3" xr:uid="{00000000-0005-0000-0000-000003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Q1_demand!$N$3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2859889606822401"/>
                  <c:y val="7.0512421412439727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Q1_demand!$M$4:$M$27</c:f>
              <c:numCache>
                <c:formatCode>"$"#,##0.00</c:formatCode>
                <c:ptCount val="24"/>
                <c:pt idx="0">
                  <c:v>1280</c:v>
                </c:pt>
                <c:pt idx="1">
                  <c:v>1290</c:v>
                </c:pt>
                <c:pt idx="2">
                  <c:v>1210</c:v>
                </c:pt>
                <c:pt idx="3">
                  <c:v>1190</c:v>
                </c:pt>
                <c:pt idx="4">
                  <c:v>1250</c:v>
                </c:pt>
                <c:pt idx="5">
                  <c:v>1299</c:v>
                </c:pt>
                <c:pt idx="6">
                  <c:v>1149</c:v>
                </c:pt>
                <c:pt idx="7">
                  <c:v>1149</c:v>
                </c:pt>
                <c:pt idx="8">
                  <c:v>1145</c:v>
                </c:pt>
                <c:pt idx="9">
                  <c:v>1195</c:v>
                </c:pt>
                <c:pt idx="10">
                  <c:v>1195</c:v>
                </c:pt>
                <c:pt idx="11">
                  <c:v>1210</c:v>
                </c:pt>
                <c:pt idx="12">
                  <c:v>1315</c:v>
                </c:pt>
                <c:pt idx="13">
                  <c:v>1190</c:v>
                </c:pt>
                <c:pt idx="14">
                  <c:v>1199</c:v>
                </c:pt>
                <c:pt idx="15">
                  <c:v>1210</c:v>
                </c:pt>
                <c:pt idx="16">
                  <c:v>1230</c:v>
                </c:pt>
                <c:pt idx="17">
                  <c:v>1250</c:v>
                </c:pt>
                <c:pt idx="18">
                  <c:v>1199</c:v>
                </c:pt>
                <c:pt idx="19">
                  <c:v>1149</c:v>
                </c:pt>
                <c:pt idx="20">
                  <c:v>1199</c:v>
                </c:pt>
                <c:pt idx="21">
                  <c:v>1112</c:v>
                </c:pt>
                <c:pt idx="22">
                  <c:v>1109</c:v>
                </c:pt>
                <c:pt idx="23">
                  <c:v>1115</c:v>
                </c:pt>
              </c:numCache>
            </c:numRef>
          </c:xVal>
          <c:yVal>
            <c:numRef>
              <c:f>Q1_demand!$N$4:$N$27</c:f>
              <c:numCache>
                <c:formatCode>General</c:formatCode>
                <c:ptCount val="24"/>
                <c:pt idx="0">
                  <c:v>133</c:v>
                </c:pt>
                <c:pt idx="1">
                  <c:v>129</c:v>
                </c:pt>
                <c:pt idx="2">
                  <c:v>143</c:v>
                </c:pt>
                <c:pt idx="3">
                  <c:v>152</c:v>
                </c:pt>
                <c:pt idx="4">
                  <c:v>136</c:v>
                </c:pt>
                <c:pt idx="5">
                  <c:v>125</c:v>
                </c:pt>
                <c:pt idx="6">
                  <c:v>144</c:v>
                </c:pt>
                <c:pt idx="7">
                  <c:v>153</c:v>
                </c:pt>
                <c:pt idx="8">
                  <c:v>154</c:v>
                </c:pt>
                <c:pt idx="9">
                  <c:v>148</c:v>
                </c:pt>
                <c:pt idx="10">
                  <c:v>141</c:v>
                </c:pt>
                <c:pt idx="11">
                  <c:v>137</c:v>
                </c:pt>
                <c:pt idx="12">
                  <c:v>126</c:v>
                </c:pt>
                <c:pt idx="13">
                  <c:v>146</c:v>
                </c:pt>
                <c:pt idx="14">
                  <c:v>147</c:v>
                </c:pt>
                <c:pt idx="15">
                  <c:v>148</c:v>
                </c:pt>
                <c:pt idx="16">
                  <c:v>139</c:v>
                </c:pt>
                <c:pt idx="17">
                  <c:v>134</c:v>
                </c:pt>
                <c:pt idx="18">
                  <c:v>144</c:v>
                </c:pt>
                <c:pt idx="19">
                  <c:v>155</c:v>
                </c:pt>
                <c:pt idx="20">
                  <c:v>145</c:v>
                </c:pt>
                <c:pt idx="21">
                  <c:v>154</c:v>
                </c:pt>
                <c:pt idx="22">
                  <c:v>158</c:v>
                </c:pt>
                <c:pt idx="23">
                  <c:v>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D0-4A0A-8AEE-80A9415BC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215424"/>
        <c:axId val="545210176"/>
      </c:scatterChart>
      <c:valAx>
        <c:axId val="54521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10176"/>
        <c:crosses val="autoZero"/>
        <c:crossBetween val="midCat"/>
      </c:valAx>
      <c:valAx>
        <c:axId val="545210176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1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Q1_demand!$C$3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1184558180227472"/>
                  <c:y val="2.9278579760863226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Q1_demand!$B$4:$B$27</c:f>
              <c:numCache>
                <c:formatCode>"$"#,##0.00</c:formatCode>
                <c:ptCount val="24"/>
                <c:pt idx="0">
                  <c:v>1100</c:v>
                </c:pt>
                <c:pt idx="1">
                  <c:v>1250</c:v>
                </c:pt>
                <c:pt idx="2">
                  <c:v>1180</c:v>
                </c:pt>
                <c:pt idx="3">
                  <c:v>1290</c:v>
                </c:pt>
                <c:pt idx="4">
                  <c:v>1290</c:v>
                </c:pt>
                <c:pt idx="5">
                  <c:v>1190</c:v>
                </c:pt>
                <c:pt idx="6">
                  <c:v>1010</c:v>
                </c:pt>
                <c:pt idx="7">
                  <c:v>899</c:v>
                </c:pt>
                <c:pt idx="8">
                  <c:v>1095</c:v>
                </c:pt>
                <c:pt idx="9">
                  <c:v>1095</c:v>
                </c:pt>
                <c:pt idx="10">
                  <c:v>999</c:v>
                </c:pt>
                <c:pt idx="11">
                  <c:v>989</c:v>
                </c:pt>
                <c:pt idx="12">
                  <c:v>1115</c:v>
                </c:pt>
                <c:pt idx="13">
                  <c:v>990</c:v>
                </c:pt>
                <c:pt idx="14">
                  <c:v>890</c:v>
                </c:pt>
                <c:pt idx="15">
                  <c:v>1090</c:v>
                </c:pt>
                <c:pt idx="16">
                  <c:v>1190</c:v>
                </c:pt>
                <c:pt idx="17">
                  <c:v>1250</c:v>
                </c:pt>
                <c:pt idx="18">
                  <c:v>1140</c:v>
                </c:pt>
                <c:pt idx="19">
                  <c:v>1019</c:v>
                </c:pt>
                <c:pt idx="20">
                  <c:v>999</c:v>
                </c:pt>
                <c:pt idx="21">
                  <c:v>912</c:v>
                </c:pt>
                <c:pt idx="22">
                  <c:v>1020</c:v>
                </c:pt>
                <c:pt idx="23">
                  <c:v>1115</c:v>
                </c:pt>
              </c:numCache>
            </c:numRef>
          </c:xVal>
          <c:yVal>
            <c:numRef>
              <c:f>Q1_demand!$C$4:$C$27</c:f>
              <c:numCache>
                <c:formatCode>General</c:formatCode>
                <c:ptCount val="24"/>
                <c:pt idx="0">
                  <c:v>120</c:v>
                </c:pt>
                <c:pt idx="1">
                  <c:v>90</c:v>
                </c:pt>
                <c:pt idx="2">
                  <c:v>106</c:v>
                </c:pt>
                <c:pt idx="3">
                  <c:v>79</c:v>
                </c:pt>
                <c:pt idx="4">
                  <c:v>91</c:v>
                </c:pt>
                <c:pt idx="5">
                  <c:v>97</c:v>
                </c:pt>
                <c:pt idx="6">
                  <c:v>138</c:v>
                </c:pt>
                <c:pt idx="7">
                  <c:v>146</c:v>
                </c:pt>
                <c:pt idx="8">
                  <c:v>122</c:v>
                </c:pt>
                <c:pt idx="9">
                  <c:v>110</c:v>
                </c:pt>
                <c:pt idx="10">
                  <c:v>140</c:v>
                </c:pt>
                <c:pt idx="11">
                  <c:v>126</c:v>
                </c:pt>
                <c:pt idx="12">
                  <c:v>117</c:v>
                </c:pt>
                <c:pt idx="13">
                  <c:v>142</c:v>
                </c:pt>
                <c:pt idx="14">
                  <c:v>143</c:v>
                </c:pt>
                <c:pt idx="15">
                  <c:v>110</c:v>
                </c:pt>
                <c:pt idx="16">
                  <c:v>105</c:v>
                </c:pt>
                <c:pt idx="17">
                  <c:v>89</c:v>
                </c:pt>
                <c:pt idx="18">
                  <c:v>113</c:v>
                </c:pt>
                <c:pt idx="19">
                  <c:v>128</c:v>
                </c:pt>
                <c:pt idx="20">
                  <c:v>139</c:v>
                </c:pt>
                <c:pt idx="21">
                  <c:v>142</c:v>
                </c:pt>
                <c:pt idx="22">
                  <c:v>136</c:v>
                </c:pt>
                <c:pt idx="23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8-44BE-B072-5B7077D96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206240"/>
        <c:axId val="545203616"/>
      </c:scatterChart>
      <c:valAx>
        <c:axId val="545206240"/>
        <c:scaling>
          <c:orientation val="minMax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03616"/>
        <c:crosses val="autoZero"/>
        <c:crossBetween val="midCat"/>
      </c:valAx>
      <c:valAx>
        <c:axId val="545203616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0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Q5_sensitivity!$K$1</c:f>
          <c:strCache>
            <c:ptCount val="1"/>
            <c:pt idx="0">
              <c:v>Sensitivity of $C$11 to Maximum number of pumps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Q5_sensitivity!$A$5:$A$45</c:f>
              <c:numCache>
                <c:formatCode>0.0</c:formatCode>
                <c:ptCount val="41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175</c:v>
                </c:pt>
                <c:pt idx="16">
                  <c:v>180</c:v>
                </c:pt>
                <c:pt idx="17">
                  <c:v>185</c:v>
                </c:pt>
                <c:pt idx="18">
                  <c:v>190</c:v>
                </c:pt>
                <c:pt idx="19">
                  <c:v>195</c:v>
                </c:pt>
                <c:pt idx="20">
                  <c:v>200</c:v>
                </c:pt>
                <c:pt idx="21">
                  <c:v>205</c:v>
                </c:pt>
                <c:pt idx="22">
                  <c:v>210</c:v>
                </c:pt>
                <c:pt idx="23">
                  <c:v>215</c:v>
                </c:pt>
                <c:pt idx="24">
                  <c:v>220</c:v>
                </c:pt>
                <c:pt idx="25">
                  <c:v>225</c:v>
                </c:pt>
                <c:pt idx="26">
                  <c:v>230</c:v>
                </c:pt>
                <c:pt idx="27">
                  <c:v>235</c:v>
                </c:pt>
                <c:pt idx="28">
                  <c:v>240</c:v>
                </c:pt>
                <c:pt idx="29">
                  <c:v>245</c:v>
                </c:pt>
                <c:pt idx="30">
                  <c:v>250</c:v>
                </c:pt>
                <c:pt idx="31">
                  <c:v>255</c:v>
                </c:pt>
                <c:pt idx="32">
                  <c:v>260</c:v>
                </c:pt>
                <c:pt idx="33">
                  <c:v>265</c:v>
                </c:pt>
                <c:pt idx="34">
                  <c:v>270</c:v>
                </c:pt>
                <c:pt idx="35">
                  <c:v>275</c:v>
                </c:pt>
                <c:pt idx="36">
                  <c:v>280</c:v>
                </c:pt>
                <c:pt idx="37">
                  <c:v>285</c:v>
                </c:pt>
                <c:pt idx="38">
                  <c:v>290</c:v>
                </c:pt>
                <c:pt idx="39">
                  <c:v>295</c:v>
                </c:pt>
                <c:pt idx="40">
                  <c:v>300</c:v>
                </c:pt>
              </c:numCache>
            </c:numRef>
          </c:cat>
          <c:val>
            <c:numRef>
              <c:f>Q5_sensitivity!$K$5:$K$45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1220</c:v>
                </c:pt>
                <c:pt idx="17">
                  <c:v>1220</c:v>
                </c:pt>
                <c:pt idx="18">
                  <c:v>1220</c:v>
                </c:pt>
                <c:pt idx="19">
                  <c:v>1220</c:v>
                </c:pt>
                <c:pt idx="20">
                  <c:v>1220</c:v>
                </c:pt>
                <c:pt idx="21">
                  <c:v>1220</c:v>
                </c:pt>
                <c:pt idx="22">
                  <c:v>1220</c:v>
                </c:pt>
                <c:pt idx="23">
                  <c:v>1220</c:v>
                </c:pt>
                <c:pt idx="24">
                  <c:v>1220</c:v>
                </c:pt>
                <c:pt idx="25">
                  <c:v>1220</c:v>
                </c:pt>
                <c:pt idx="26">
                  <c:v>1220</c:v>
                </c:pt>
                <c:pt idx="27">
                  <c:v>1220</c:v>
                </c:pt>
                <c:pt idx="28">
                  <c:v>1220</c:v>
                </c:pt>
                <c:pt idx="29">
                  <c:v>1220</c:v>
                </c:pt>
                <c:pt idx="30">
                  <c:v>1220</c:v>
                </c:pt>
                <c:pt idx="31">
                  <c:v>1220</c:v>
                </c:pt>
                <c:pt idx="32">
                  <c:v>1220</c:v>
                </c:pt>
                <c:pt idx="33">
                  <c:v>1220</c:v>
                </c:pt>
                <c:pt idx="34">
                  <c:v>1220</c:v>
                </c:pt>
                <c:pt idx="35">
                  <c:v>1220</c:v>
                </c:pt>
                <c:pt idx="36">
                  <c:v>1220</c:v>
                </c:pt>
                <c:pt idx="37">
                  <c:v>1220</c:v>
                </c:pt>
                <c:pt idx="38">
                  <c:v>1220</c:v>
                </c:pt>
                <c:pt idx="39">
                  <c:v>1220</c:v>
                </c:pt>
                <c:pt idx="40">
                  <c:v>1220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59-4138-B729-2F6B4135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115064"/>
        <c:axId val="532118344"/>
      </c:lineChart>
      <c:catAx>
        <c:axId val="532115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Maximum number of pumps ($C$7)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532118344"/>
        <c:crosses val="autoZero"/>
        <c:auto val="1"/>
        <c:lblAlgn val="ctr"/>
        <c:lblOffset val="100"/>
        <c:noMultiLvlLbl val="0"/>
      </c:catAx>
      <c:valAx>
        <c:axId val="532118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211506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121920</xdr:colOff>
      <xdr:row>2</xdr:row>
      <xdr:rowOff>30480</xdr:rowOff>
    </xdr:from>
    <xdr:to>
      <xdr:col>20</xdr:col>
      <xdr:colOff>967740</xdr:colOff>
      <xdr:row>17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3AAFAC2-90CF-4FC1-88F8-7D5B00E4C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99060</xdr:colOff>
      <xdr:row>2</xdr:row>
      <xdr:rowOff>38100</xdr:rowOff>
    </xdr:from>
    <xdr:to>
      <xdr:col>9</xdr:col>
      <xdr:colOff>708660</xdr:colOff>
      <xdr:row>18</xdr:row>
      <xdr:rowOff>15240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11F6991-A3FA-42B6-8706-50DB881E2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121920</xdr:colOff>
      <xdr:row>4</xdr:row>
      <xdr:rowOff>106680</xdr:rowOff>
    </xdr:from>
    <xdr:to>
      <xdr:col>19</xdr:col>
      <xdr:colOff>121920</xdr:colOff>
      <xdr:row>21</xdr:row>
      <xdr:rowOff>114300</xdr:rowOff>
    </xdr:to>
    <xdr:graphicFrame macro="">
      <xdr:nvGraphicFramePr>
        <xdr:cNvPr id="2" name="STS_2_Chart">
          <a:extLst>
            <a:ext uri="{FF2B5EF4-FFF2-40B4-BE49-F238E27FC236}">
              <a16:creationId xmlns:a16="http://schemas.microsoft.com/office/drawing/2014/main" id="{A657FE13-5D45-4F7D-B629-EC00A4281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31"/>
  <sheetViews>
    <sheetView tabSelected="1" workbookViewId="0"/>
  </sheetViews>
  <sheetFormatPr defaultRowHeight="14.4" x14ac:dyDescent="0.3"/>
  <cols>
    <col min="1" max="1" width="8.21875" style="49" customWidth="1"/>
    <col min="2" max="2" width="9.109375" style="49" bestFit="1" customWidth="1"/>
    <col min="3" max="9" width="8.88671875" style="49"/>
    <col min="10" max="10" width="12.21875" style="49" customWidth="1"/>
    <col min="11" max="11" width="3.77734375" style="49" customWidth="1"/>
    <col min="12" max="12" width="8.88671875" style="49"/>
    <col min="13" max="13" width="9.109375" style="49" bestFit="1" customWidth="1"/>
    <col min="14" max="20" width="8.88671875" style="49"/>
    <col min="21" max="21" width="14.44140625" style="49" customWidth="1"/>
    <col min="22" max="256" width="8.88671875" style="49"/>
    <col min="257" max="257" width="22.88671875" style="49" customWidth="1"/>
    <col min="258" max="258" width="16.44140625" style="49" customWidth="1"/>
    <col min="259" max="259" width="8.88671875" style="49"/>
    <col min="260" max="260" width="16.44140625" style="49" customWidth="1"/>
    <col min="261" max="512" width="8.88671875" style="49"/>
    <col min="513" max="513" width="22.88671875" style="49" customWidth="1"/>
    <col min="514" max="514" width="16.44140625" style="49" customWidth="1"/>
    <col min="515" max="515" width="8.88671875" style="49"/>
    <col min="516" max="516" width="16.44140625" style="49" customWidth="1"/>
    <col min="517" max="768" width="8.88671875" style="49"/>
    <col min="769" max="769" width="22.88671875" style="49" customWidth="1"/>
    <col min="770" max="770" width="16.44140625" style="49" customWidth="1"/>
    <col min="771" max="771" width="8.88671875" style="49"/>
    <col min="772" max="772" width="16.44140625" style="49" customWidth="1"/>
    <col min="773" max="1024" width="8.88671875" style="49"/>
    <col min="1025" max="1025" width="22.88671875" style="49" customWidth="1"/>
    <col min="1026" max="1026" width="16.44140625" style="49" customWidth="1"/>
    <col min="1027" max="1027" width="8.88671875" style="49"/>
    <col min="1028" max="1028" width="16.44140625" style="49" customWidth="1"/>
    <col min="1029" max="1280" width="8.88671875" style="49"/>
    <col min="1281" max="1281" width="22.88671875" style="49" customWidth="1"/>
    <col min="1282" max="1282" width="16.44140625" style="49" customWidth="1"/>
    <col min="1283" max="1283" width="8.88671875" style="49"/>
    <col min="1284" max="1284" width="16.44140625" style="49" customWidth="1"/>
    <col min="1285" max="1536" width="8.88671875" style="49"/>
    <col min="1537" max="1537" width="22.88671875" style="49" customWidth="1"/>
    <col min="1538" max="1538" width="16.44140625" style="49" customWidth="1"/>
    <col min="1539" max="1539" width="8.88671875" style="49"/>
    <col min="1540" max="1540" width="16.44140625" style="49" customWidth="1"/>
    <col min="1541" max="1792" width="8.88671875" style="49"/>
    <col min="1793" max="1793" width="22.88671875" style="49" customWidth="1"/>
    <col min="1794" max="1794" width="16.44140625" style="49" customWidth="1"/>
    <col min="1795" max="1795" width="8.88671875" style="49"/>
    <col min="1796" max="1796" width="16.44140625" style="49" customWidth="1"/>
    <col min="1797" max="2048" width="8.88671875" style="49"/>
    <col min="2049" max="2049" width="22.88671875" style="49" customWidth="1"/>
    <col min="2050" max="2050" width="16.44140625" style="49" customWidth="1"/>
    <col min="2051" max="2051" width="8.88671875" style="49"/>
    <col min="2052" max="2052" width="16.44140625" style="49" customWidth="1"/>
    <col min="2053" max="2304" width="8.88671875" style="49"/>
    <col min="2305" max="2305" width="22.88671875" style="49" customWidth="1"/>
    <col min="2306" max="2306" width="16.44140625" style="49" customWidth="1"/>
    <col min="2307" max="2307" width="8.88671875" style="49"/>
    <col min="2308" max="2308" width="16.44140625" style="49" customWidth="1"/>
    <col min="2309" max="2560" width="8.88671875" style="49"/>
    <col min="2561" max="2561" width="22.88671875" style="49" customWidth="1"/>
    <col min="2562" max="2562" width="16.44140625" style="49" customWidth="1"/>
    <col min="2563" max="2563" width="8.88671875" style="49"/>
    <col min="2564" max="2564" width="16.44140625" style="49" customWidth="1"/>
    <col min="2565" max="2816" width="8.88671875" style="49"/>
    <col min="2817" max="2817" width="22.88671875" style="49" customWidth="1"/>
    <col min="2818" max="2818" width="16.44140625" style="49" customWidth="1"/>
    <col min="2819" max="2819" width="8.88671875" style="49"/>
    <col min="2820" max="2820" width="16.44140625" style="49" customWidth="1"/>
    <col min="2821" max="3072" width="8.88671875" style="49"/>
    <col min="3073" max="3073" width="22.88671875" style="49" customWidth="1"/>
    <col min="3074" max="3074" width="16.44140625" style="49" customWidth="1"/>
    <col min="3075" max="3075" width="8.88671875" style="49"/>
    <col min="3076" max="3076" width="16.44140625" style="49" customWidth="1"/>
    <col min="3077" max="3328" width="8.88671875" style="49"/>
    <col min="3329" max="3329" width="22.88671875" style="49" customWidth="1"/>
    <col min="3330" max="3330" width="16.44140625" style="49" customWidth="1"/>
    <col min="3331" max="3331" width="8.88671875" style="49"/>
    <col min="3332" max="3332" width="16.44140625" style="49" customWidth="1"/>
    <col min="3333" max="3584" width="8.88671875" style="49"/>
    <col min="3585" max="3585" width="22.88671875" style="49" customWidth="1"/>
    <col min="3586" max="3586" width="16.44140625" style="49" customWidth="1"/>
    <col min="3587" max="3587" width="8.88671875" style="49"/>
    <col min="3588" max="3588" width="16.44140625" style="49" customWidth="1"/>
    <col min="3589" max="3840" width="8.88671875" style="49"/>
    <col min="3841" max="3841" width="22.88671875" style="49" customWidth="1"/>
    <col min="3842" max="3842" width="16.44140625" style="49" customWidth="1"/>
    <col min="3843" max="3843" width="8.88671875" style="49"/>
    <col min="3844" max="3844" width="16.44140625" style="49" customWidth="1"/>
    <col min="3845" max="4096" width="8.88671875" style="49"/>
    <col min="4097" max="4097" width="22.88671875" style="49" customWidth="1"/>
    <col min="4098" max="4098" width="16.44140625" style="49" customWidth="1"/>
    <col min="4099" max="4099" width="8.88671875" style="49"/>
    <col min="4100" max="4100" width="16.44140625" style="49" customWidth="1"/>
    <col min="4101" max="4352" width="8.88671875" style="49"/>
    <col min="4353" max="4353" width="22.88671875" style="49" customWidth="1"/>
    <col min="4354" max="4354" width="16.44140625" style="49" customWidth="1"/>
    <col min="4355" max="4355" width="8.88671875" style="49"/>
    <col min="4356" max="4356" width="16.44140625" style="49" customWidth="1"/>
    <col min="4357" max="4608" width="8.88671875" style="49"/>
    <col min="4609" max="4609" width="22.88671875" style="49" customWidth="1"/>
    <col min="4610" max="4610" width="16.44140625" style="49" customWidth="1"/>
    <col min="4611" max="4611" width="8.88671875" style="49"/>
    <col min="4612" max="4612" width="16.44140625" style="49" customWidth="1"/>
    <col min="4613" max="4864" width="8.88671875" style="49"/>
    <col min="4865" max="4865" width="22.88671875" style="49" customWidth="1"/>
    <col min="4866" max="4866" width="16.44140625" style="49" customWidth="1"/>
    <col min="4867" max="4867" width="8.88671875" style="49"/>
    <col min="4868" max="4868" width="16.44140625" style="49" customWidth="1"/>
    <col min="4869" max="5120" width="8.88671875" style="49"/>
    <col min="5121" max="5121" width="22.88671875" style="49" customWidth="1"/>
    <col min="5122" max="5122" width="16.44140625" style="49" customWidth="1"/>
    <col min="5123" max="5123" width="8.88671875" style="49"/>
    <col min="5124" max="5124" width="16.44140625" style="49" customWidth="1"/>
    <col min="5125" max="5376" width="8.88671875" style="49"/>
    <col min="5377" max="5377" width="22.88671875" style="49" customWidth="1"/>
    <col min="5378" max="5378" width="16.44140625" style="49" customWidth="1"/>
    <col min="5379" max="5379" width="8.88671875" style="49"/>
    <col min="5380" max="5380" width="16.44140625" style="49" customWidth="1"/>
    <col min="5381" max="5632" width="8.88671875" style="49"/>
    <col min="5633" max="5633" width="22.88671875" style="49" customWidth="1"/>
    <col min="5634" max="5634" width="16.44140625" style="49" customWidth="1"/>
    <col min="5635" max="5635" width="8.88671875" style="49"/>
    <col min="5636" max="5636" width="16.44140625" style="49" customWidth="1"/>
    <col min="5637" max="5888" width="8.88671875" style="49"/>
    <col min="5889" max="5889" width="22.88671875" style="49" customWidth="1"/>
    <col min="5890" max="5890" width="16.44140625" style="49" customWidth="1"/>
    <col min="5891" max="5891" width="8.88671875" style="49"/>
    <col min="5892" max="5892" width="16.44140625" style="49" customWidth="1"/>
    <col min="5893" max="6144" width="8.88671875" style="49"/>
    <col min="6145" max="6145" width="22.88671875" style="49" customWidth="1"/>
    <col min="6146" max="6146" width="16.44140625" style="49" customWidth="1"/>
    <col min="6147" max="6147" width="8.88671875" style="49"/>
    <col min="6148" max="6148" width="16.44140625" style="49" customWidth="1"/>
    <col min="6149" max="6400" width="8.88671875" style="49"/>
    <col min="6401" max="6401" width="22.88671875" style="49" customWidth="1"/>
    <col min="6402" max="6402" width="16.44140625" style="49" customWidth="1"/>
    <col min="6403" max="6403" width="8.88671875" style="49"/>
    <col min="6404" max="6404" width="16.44140625" style="49" customWidth="1"/>
    <col min="6405" max="6656" width="8.88671875" style="49"/>
    <col min="6657" max="6657" width="22.88671875" style="49" customWidth="1"/>
    <col min="6658" max="6658" width="16.44140625" style="49" customWidth="1"/>
    <col min="6659" max="6659" width="8.88671875" style="49"/>
    <col min="6660" max="6660" width="16.44140625" style="49" customWidth="1"/>
    <col min="6661" max="6912" width="8.88671875" style="49"/>
    <col min="6913" max="6913" width="22.88671875" style="49" customWidth="1"/>
    <col min="6914" max="6914" width="16.44140625" style="49" customWidth="1"/>
    <col min="6915" max="6915" width="8.88671875" style="49"/>
    <col min="6916" max="6916" width="16.44140625" style="49" customWidth="1"/>
    <col min="6917" max="7168" width="8.88671875" style="49"/>
    <col min="7169" max="7169" width="22.88671875" style="49" customWidth="1"/>
    <col min="7170" max="7170" width="16.44140625" style="49" customWidth="1"/>
    <col min="7171" max="7171" width="8.88671875" style="49"/>
    <col min="7172" max="7172" width="16.44140625" style="49" customWidth="1"/>
    <col min="7173" max="7424" width="8.88671875" style="49"/>
    <col min="7425" max="7425" width="22.88671875" style="49" customWidth="1"/>
    <col min="7426" max="7426" width="16.44140625" style="49" customWidth="1"/>
    <col min="7427" max="7427" width="8.88671875" style="49"/>
    <col min="7428" max="7428" width="16.44140625" style="49" customWidth="1"/>
    <col min="7429" max="7680" width="8.88671875" style="49"/>
    <col min="7681" max="7681" width="22.88671875" style="49" customWidth="1"/>
    <col min="7682" max="7682" width="16.44140625" style="49" customWidth="1"/>
    <col min="7683" max="7683" width="8.88671875" style="49"/>
    <col min="7684" max="7684" width="16.44140625" style="49" customWidth="1"/>
    <col min="7685" max="7936" width="8.88671875" style="49"/>
    <col min="7937" max="7937" width="22.88671875" style="49" customWidth="1"/>
    <col min="7938" max="7938" width="16.44140625" style="49" customWidth="1"/>
    <col min="7939" max="7939" width="8.88671875" style="49"/>
    <col min="7940" max="7940" width="16.44140625" style="49" customWidth="1"/>
    <col min="7941" max="8192" width="8.88671875" style="49"/>
    <col min="8193" max="8193" width="22.88671875" style="49" customWidth="1"/>
    <col min="8194" max="8194" width="16.44140625" style="49" customWidth="1"/>
    <col min="8195" max="8195" width="8.88671875" style="49"/>
    <col min="8196" max="8196" width="16.44140625" style="49" customWidth="1"/>
    <col min="8197" max="8448" width="8.88671875" style="49"/>
    <col min="8449" max="8449" width="22.88671875" style="49" customWidth="1"/>
    <col min="8450" max="8450" width="16.44140625" style="49" customWidth="1"/>
    <col min="8451" max="8451" width="8.88671875" style="49"/>
    <col min="8452" max="8452" width="16.44140625" style="49" customWidth="1"/>
    <col min="8453" max="8704" width="8.88671875" style="49"/>
    <col min="8705" max="8705" width="22.88671875" style="49" customWidth="1"/>
    <col min="8706" max="8706" width="16.44140625" style="49" customWidth="1"/>
    <col min="8707" max="8707" width="8.88671875" style="49"/>
    <col min="8708" max="8708" width="16.44140625" style="49" customWidth="1"/>
    <col min="8709" max="8960" width="8.88671875" style="49"/>
    <col min="8961" max="8961" width="22.88671875" style="49" customWidth="1"/>
    <col min="8962" max="8962" width="16.44140625" style="49" customWidth="1"/>
    <col min="8963" max="8963" width="8.88671875" style="49"/>
    <col min="8964" max="8964" width="16.44140625" style="49" customWidth="1"/>
    <col min="8965" max="9216" width="8.88671875" style="49"/>
    <col min="9217" max="9217" width="22.88671875" style="49" customWidth="1"/>
    <col min="9218" max="9218" width="16.44140625" style="49" customWidth="1"/>
    <col min="9219" max="9219" width="8.88671875" style="49"/>
    <col min="9220" max="9220" width="16.44140625" style="49" customWidth="1"/>
    <col min="9221" max="9472" width="8.88671875" style="49"/>
    <col min="9473" max="9473" width="22.88671875" style="49" customWidth="1"/>
    <col min="9474" max="9474" width="16.44140625" style="49" customWidth="1"/>
    <col min="9475" max="9475" width="8.88671875" style="49"/>
    <col min="9476" max="9476" width="16.44140625" style="49" customWidth="1"/>
    <col min="9477" max="9728" width="8.88671875" style="49"/>
    <col min="9729" max="9729" width="22.88671875" style="49" customWidth="1"/>
    <col min="9730" max="9730" width="16.44140625" style="49" customWidth="1"/>
    <col min="9731" max="9731" width="8.88671875" style="49"/>
    <col min="9732" max="9732" width="16.44140625" style="49" customWidth="1"/>
    <col min="9733" max="9984" width="8.88671875" style="49"/>
    <col min="9985" max="9985" width="22.88671875" style="49" customWidth="1"/>
    <col min="9986" max="9986" width="16.44140625" style="49" customWidth="1"/>
    <col min="9987" max="9987" width="8.88671875" style="49"/>
    <col min="9988" max="9988" width="16.44140625" style="49" customWidth="1"/>
    <col min="9989" max="10240" width="8.88671875" style="49"/>
    <col min="10241" max="10241" width="22.88671875" style="49" customWidth="1"/>
    <col min="10242" max="10242" width="16.44140625" style="49" customWidth="1"/>
    <col min="10243" max="10243" width="8.88671875" style="49"/>
    <col min="10244" max="10244" width="16.44140625" style="49" customWidth="1"/>
    <col min="10245" max="10496" width="8.88671875" style="49"/>
    <col min="10497" max="10497" width="22.88671875" style="49" customWidth="1"/>
    <col min="10498" max="10498" width="16.44140625" style="49" customWidth="1"/>
    <col min="10499" max="10499" width="8.88671875" style="49"/>
    <col min="10500" max="10500" width="16.44140625" style="49" customWidth="1"/>
    <col min="10501" max="10752" width="8.88671875" style="49"/>
    <col min="10753" max="10753" width="22.88671875" style="49" customWidth="1"/>
    <col min="10754" max="10754" width="16.44140625" style="49" customWidth="1"/>
    <col min="10755" max="10755" width="8.88671875" style="49"/>
    <col min="10756" max="10756" width="16.44140625" style="49" customWidth="1"/>
    <col min="10757" max="11008" width="8.88671875" style="49"/>
    <col min="11009" max="11009" width="22.88671875" style="49" customWidth="1"/>
    <col min="11010" max="11010" width="16.44140625" style="49" customWidth="1"/>
    <col min="11011" max="11011" width="8.88671875" style="49"/>
    <col min="11012" max="11012" width="16.44140625" style="49" customWidth="1"/>
    <col min="11013" max="11264" width="8.88671875" style="49"/>
    <col min="11265" max="11265" width="22.88671875" style="49" customWidth="1"/>
    <col min="11266" max="11266" width="16.44140625" style="49" customWidth="1"/>
    <col min="11267" max="11267" width="8.88671875" style="49"/>
    <col min="11268" max="11268" width="16.44140625" style="49" customWidth="1"/>
    <col min="11269" max="11520" width="8.88671875" style="49"/>
    <col min="11521" max="11521" width="22.88671875" style="49" customWidth="1"/>
    <col min="11522" max="11522" width="16.44140625" style="49" customWidth="1"/>
    <col min="11523" max="11523" width="8.88671875" style="49"/>
    <col min="11524" max="11524" width="16.44140625" style="49" customWidth="1"/>
    <col min="11525" max="11776" width="8.88671875" style="49"/>
    <col min="11777" max="11777" width="22.88671875" style="49" customWidth="1"/>
    <col min="11778" max="11778" width="16.44140625" style="49" customWidth="1"/>
    <col min="11779" max="11779" width="8.88671875" style="49"/>
    <col min="11780" max="11780" width="16.44140625" style="49" customWidth="1"/>
    <col min="11781" max="12032" width="8.88671875" style="49"/>
    <col min="12033" max="12033" width="22.88671875" style="49" customWidth="1"/>
    <col min="12034" max="12034" width="16.44140625" style="49" customWidth="1"/>
    <col min="12035" max="12035" width="8.88671875" style="49"/>
    <col min="12036" max="12036" width="16.44140625" style="49" customWidth="1"/>
    <col min="12037" max="12288" width="8.88671875" style="49"/>
    <col min="12289" max="12289" width="22.88671875" style="49" customWidth="1"/>
    <col min="12290" max="12290" width="16.44140625" style="49" customWidth="1"/>
    <col min="12291" max="12291" width="8.88671875" style="49"/>
    <col min="12292" max="12292" width="16.44140625" style="49" customWidth="1"/>
    <col min="12293" max="12544" width="8.88671875" style="49"/>
    <col min="12545" max="12545" width="22.88671875" style="49" customWidth="1"/>
    <col min="12546" max="12546" width="16.44140625" style="49" customWidth="1"/>
    <col min="12547" max="12547" width="8.88671875" style="49"/>
    <col min="12548" max="12548" width="16.44140625" style="49" customWidth="1"/>
    <col min="12549" max="12800" width="8.88671875" style="49"/>
    <col min="12801" max="12801" width="22.88671875" style="49" customWidth="1"/>
    <col min="12802" max="12802" width="16.44140625" style="49" customWidth="1"/>
    <col min="12803" max="12803" width="8.88671875" style="49"/>
    <col min="12804" max="12804" width="16.44140625" style="49" customWidth="1"/>
    <col min="12805" max="13056" width="8.88671875" style="49"/>
    <col min="13057" max="13057" width="22.88671875" style="49" customWidth="1"/>
    <col min="13058" max="13058" width="16.44140625" style="49" customWidth="1"/>
    <col min="13059" max="13059" width="8.88671875" style="49"/>
    <col min="13060" max="13060" width="16.44140625" style="49" customWidth="1"/>
    <col min="13061" max="13312" width="8.88671875" style="49"/>
    <col min="13313" max="13313" width="22.88671875" style="49" customWidth="1"/>
    <col min="13314" max="13314" width="16.44140625" style="49" customWidth="1"/>
    <col min="13315" max="13315" width="8.88671875" style="49"/>
    <col min="13316" max="13316" width="16.44140625" style="49" customWidth="1"/>
    <col min="13317" max="13568" width="8.88671875" style="49"/>
    <col min="13569" max="13569" width="22.88671875" style="49" customWidth="1"/>
    <col min="13570" max="13570" width="16.44140625" style="49" customWidth="1"/>
    <col min="13571" max="13571" width="8.88671875" style="49"/>
    <col min="13572" max="13572" width="16.44140625" style="49" customWidth="1"/>
    <col min="13573" max="13824" width="8.88671875" style="49"/>
    <col min="13825" max="13825" width="22.88671875" style="49" customWidth="1"/>
    <col min="13826" max="13826" width="16.44140625" style="49" customWidth="1"/>
    <col min="13827" max="13827" width="8.88671875" style="49"/>
    <col min="13828" max="13828" width="16.44140625" style="49" customWidth="1"/>
    <col min="13829" max="14080" width="8.88671875" style="49"/>
    <col min="14081" max="14081" width="22.88671875" style="49" customWidth="1"/>
    <col min="14082" max="14082" width="16.44140625" style="49" customWidth="1"/>
    <col min="14083" max="14083" width="8.88671875" style="49"/>
    <col min="14084" max="14084" width="16.44140625" style="49" customWidth="1"/>
    <col min="14085" max="14336" width="8.88671875" style="49"/>
    <col min="14337" max="14337" width="22.88671875" style="49" customWidth="1"/>
    <col min="14338" max="14338" width="16.44140625" style="49" customWidth="1"/>
    <col min="14339" max="14339" width="8.88671875" style="49"/>
    <col min="14340" max="14340" width="16.44140625" style="49" customWidth="1"/>
    <col min="14341" max="14592" width="8.88671875" style="49"/>
    <col min="14593" max="14593" width="22.88671875" style="49" customWidth="1"/>
    <col min="14594" max="14594" width="16.44140625" style="49" customWidth="1"/>
    <col min="14595" max="14595" width="8.88671875" style="49"/>
    <col min="14596" max="14596" width="16.44140625" style="49" customWidth="1"/>
    <col min="14597" max="14848" width="8.88671875" style="49"/>
    <col min="14849" max="14849" width="22.88671875" style="49" customWidth="1"/>
    <col min="14850" max="14850" width="16.44140625" style="49" customWidth="1"/>
    <col min="14851" max="14851" width="8.88671875" style="49"/>
    <col min="14852" max="14852" width="16.44140625" style="49" customWidth="1"/>
    <col min="14853" max="15104" width="8.88671875" style="49"/>
    <col min="15105" max="15105" width="22.88671875" style="49" customWidth="1"/>
    <col min="15106" max="15106" width="16.44140625" style="49" customWidth="1"/>
    <col min="15107" max="15107" width="8.88671875" style="49"/>
    <col min="15108" max="15108" width="16.44140625" style="49" customWidth="1"/>
    <col min="15109" max="15360" width="8.88671875" style="49"/>
    <col min="15361" max="15361" width="22.88671875" style="49" customWidth="1"/>
    <col min="15362" max="15362" width="16.44140625" style="49" customWidth="1"/>
    <col min="15363" max="15363" width="8.88671875" style="49"/>
    <col min="15364" max="15364" width="16.44140625" style="49" customWidth="1"/>
    <col min="15365" max="15616" width="8.88671875" style="49"/>
    <col min="15617" max="15617" width="22.88671875" style="49" customWidth="1"/>
    <col min="15618" max="15618" width="16.44140625" style="49" customWidth="1"/>
    <col min="15619" max="15619" width="8.88671875" style="49"/>
    <col min="15620" max="15620" width="16.44140625" style="49" customWidth="1"/>
    <col min="15621" max="15872" width="8.88671875" style="49"/>
    <col min="15873" max="15873" width="22.88671875" style="49" customWidth="1"/>
    <col min="15874" max="15874" width="16.44140625" style="49" customWidth="1"/>
    <col min="15875" max="15875" width="8.88671875" style="49"/>
    <col min="15876" max="15876" width="16.44140625" style="49" customWidth="1"/>
    <col min="15877" max="16128" width="8.88671875" style="49"/>
    <col min="16129" max="16129" width="22.88671875" style="49" customWidth="1"/>
    <col min="16130" max="16130" width="16.44140625" style="49" customWidth="1"/>
    <col min="16131" max="16131" width="8.88671875" style="49"/>
    <col min="16132" max="16132" width="16.44140625" style="49" customWidth="1"/>
    <col min="16133" max="16384" width="8.88671875" style="49"/>
  </cols>
  <sheetData>
    <row r="1" spans="1:14" x14ac:dyDescent="0.3">
      <c r="A1" s="78" t="s">
        <v>57</v>
      </c>
      <c r="L1" s="64" t="s">
        <v>58</v>
      </c>
    </row>
    <row r="2" spans="1:14" x14ac:dyDescent="0.3">
      <c r="A2" s="64"/>
      <c r="L2" s="64"/>
    </row>
    <row r="3" spans="1:14" x14ac:dyDescent="0.3">
      <c r="A3" s="50" t="s">
        <v>43</v>
      </c>
      <c r="B3" s="50" t="s">
        <v>44</v>
      </c>
      <c r="C3" s="50" t="s">
        <v>7</v>
      </c>
      <c r="D3" s="53"/>
      <c r="E3" s="53"/>
      <c r="F3" s="53"/>
      <c r="G3" s="53"/>
      <c r="H3" s="53"/>
      <c r="I3" s="53"/>
      <c r="J3" s="53"/>
      <c r="L3" s="50" t="s">
        <v>43</v>
      </c>
      <c r="M3" s="50" t="s">
        <v>44</v>
      </c>
      <c r="N3" s="50" t="s">
        <v>7</v>
      </c>
    </row>
    <row r="4" spans="1:14" x14ac:dyDescent="0.3">
      <c r="A4" s="51">
        <v>1</v>
      </c>
      <c r="B4" s="52">
        <v>1100</v>
      </c>
      <c r="C4" s="51">
        <v>120</v>
      </c>
      <c r="D4" s="63"/>
      <c r="E4" s="54"/>
      <c r="F4" s="54"/>
      <c r="G4" s="54"/>
      <c r="H4" s="54"/>
      <c r="I4" s="54"/>
      <c r="J4" s="54"/>
      <c r="L4" s="51">
        <v>1</v>
      </c>
      <c r="M4" s="52">
        <v>1280</v>
      </c>
      <c r="N4" s="51">
        <v>133</v>
      </c>
    </row>
    <row r="5" spans="1:14" x14ac:dyDescent="0.3">
      <c r="A5" s="51">
        <v>2</v>
      </c>
      <c r="B5" s="52">
        <v>1250</v>
      </c>
      <c r="C5" s="51">
        <v>90</v>
      </c>
      <c r="D5" s="63"/>
      <c r="E5" s="54"/>
      <c r="F5" s="54"/>
      <c r="G5" s="54"/>
      <c r="H5" s="54"/>
      <c r="I5" s="54"/>
      <c r="J5" s="54"/>
      <c r="L5" s="51">
        <v>2</v>
      </c>
      <c r="M5" s="52">
        <v>1290</v>
      </c>
      <c r="N5" s="51">
        <v>129</v>
      </c>
    </row>
    <row r="6" spans="1:14" x14ac:dyDescent="0.3">
      <c r="A6" s="51">
        <v>3</v>
      </c>
      <c r="B6" s="52">
        <v>1180</v>
      </c>
      <c r="C6" s="51">
        <v>106</v>
      </c>
      <c r="D6" s="63"/>
      <c r="E6" s="54"/>
      <c r="F6" s="54"/>
      <c r="G6" s="54"/>
      <c r="H6" s="54"/>
      <c r="I6" s="54"/>
      <c r="J6" s="54"/>
      <c r="L6" s="51">
        <v>3</v>
      </c>
      <c r="M6" s="52">
        <v>1210</v>
      </c>
      <c r="N6" s="51">
        <v>143</v>
      </c>
    </row>
    <row r="7" spans="1:14" x14ac:dyDescent="0.3">
      <c r="A7" s="51">
        <v>4</v>
      </c>
      <c r="B7" s="52">
        <v>1290</v>
      </c>
      <c r="C7" s="51">
        <v>79</v>
      </c>
      <c r="D7" s="63"/>
      <c r="E7" s="54"/>
      <c r="F7" s="54"/>
      <c r="G7" s="54"/>
      <c r="H7" s="54"/>
      <c r="I7" s="54"/>
      <c r="J7" s="54"/>
      <c r="L7" s="51">
        <v>4</v>
      </c>
      <c r="M7" s="52">
        <v>1190</v>
      </c>
      <c r="N7" s="51">
        <v>152</v>
      </c>
    </row>
    <row r="8" spans="1:14" x14ac:dyDescent="0.3">
      <c r="A8" s="51">
        <v>5</v>
      </c>
      <c r="B8" s="52">
        <v>1290</v>
      </c>
      <c r="C8" s="51">
        <v>91</v>
      </c>
      <c r="D8" s="63"/>
      <c r="E8" s="54"/>
      <c r="F8" s="54"/>
      <c r="G8" s="54"/>
      <c r="H8" s="54"/>
      <c r="I8" s="54"/>
      <c r="J8" s="54"/>
      <c r="L8" s="51">
        <v>5</v>
      </c>
      <c r="M8" s="52">
        <v>1250</v>
      </c>
      <c r="N8" s="51">
        <v>136</v>
      </c>
    </row>
    <row r="9" spans="1:14" x14ac:dyDescent="0.3">
      <c r="A9" s="51">
        <v>6</v>
      </c>
      <c r="B9" s="52">
        <v>1190</v>
      </c>
      <c r="C9" s="51">
        <v>97</v>
      </c>
      <c r="D9" s="63"/>
      <c r="E9" s="54"/>
      <c r="F9" s="54"/>
      <c r="G9" s="54"/>
      <c r="H9" s="54"/>
      <c r="I9" s="54"/>
      <c r="J9" s="54"/>
      <c r="L9" s="51">
        <v>6</v>
      </c>
      <c r="M9" s="52">
        <v>1299</v>
      </c>
      <c r="N9" s="51">
        <v>125</v>
      </c>
    </row>
    <row r="10" spans="1:14" x14ac:dyDescent="0.3">
      <c r="A10" s="51">
        <v>7</v>
      </c>
      <c r="B10" s="52">
        <v>1010</v>
      </c>
      <c r="C10" s="51">
        <v>138</v>
      </c>
      <c r="D10" s="63"/>
      <c r="E10" s="54"/>
      <c r="F10" s="54"/>
      <c r="G10" s="54"/>
      <c r="H10" s="54"/>
      <c r="I10" s="54"/>
      <c r="J10" s="54"/>
      <c r="L10" s="51">
        <v>7</v>
      </c>
      <c r="M10" s="52">
        <v>1149</v>
      </c>
      <c r="N10" s="51">
        <v>144</v>
      </c>
    </row>
    <row r="11" spans="1:14" x14ac:dyDescent="0.3">
      <c r="A11" s="51">
        <v>8</v>
      </c>
      <c r="B11" s="52">
        <v>899</v>
      </c>
      <c r="C11" s="51">
        <v>146</v>
      </c>
      <c r="D11" s="63"/>
      <c r="E11" s="54"/>
      <c r="F11" s="54"/>
      <c r="G11" s="54"/>
      <c r="H11" s="54"/>
      <c r="I11" s="54"/>
      <c r="J11" s="54"/>
      <c r="L11" s="51">
        <v>8</v>
      </c>
      <c r="M11" s="52">
        <v>1149</v>
      </c>
      <c r="N11" s="51">
        <v>153</v>
      </c>
    </row>
    <row r="12" spans="1:14" x14ac:dyDescent="0.3">
      <c r="A12" s="51">
        <v>9</v>
      </c>
      <c r="B12" s="52">
        <v>1095</v>
      </c>
      <c r="C12" s="51">
        <v>122</v>
      </c>
      <c r="D12" s="63"/>
      <c r="E12" s="54"/>
      <c r="F12" s="54"/>
      <c r="G12" s="54"/>
      <c r="H12" s="54"/>
      <c r="I12" s="54"/>
      <c r="J12" s="54"/>
      <c r="L12" s="51">
        <v>9</v>
      </c>
      <c r="M12" s="52">
        <v>1145</v>
      </c>
      <c r="N12" s="51">
        <v>154</v>
      </c>
    </row>
    <row r="13" spans="1:14" x14ac:dyDescent="0.3">
      <c r="A13" s="51">
        <v>10</v>
      </c>
      <c r="B13" s="52">
        <v>1095</v>
      </c>
      <c r="C13" s="51">
        <v>110</v>
      </c>
      <c r="D13" s="63"/>
      <c r="E13" s="54"/>
      <c r="F13" s="54"/>
      <c r="G13" s="54"/>
      <c r="H13" s="54"/>
      <c r="I13" s="54"/>
      <c r="J13" s="54"/>
      <c r="L13" s="51">
        <v>10</v>
      </c>
      <c r="M13" s="52">
        <v>1195</v>
      </c>
      <c r="N13" s="51">
        <v>148</v>
      </c>
    </row>
    <row r="14" spans="1:14" x14ac:dyDescent="0.3">
      <c r="A14" s="51">
        <v>11</v>
      </c>
      <c r="B14" s="52">
        <v>999</v>
      </c>
      <c r="C14" s="51">
        <v>140</v>
      </c>
      <c r="D14" s="63"/>
      <c r="E14" s="54"/>
      <c r="F14" s="54"/>
      <c r="G14" s="54"/>
      <c r="H14" s="54"/>
      <c r="I14" s="54"/>
      <c r="J14" s="54"/>
      <c r="L14" s="51">
        <v>11</v>
      </c>
      <c r="M14" s="52">
        <v>1195</v>
      </c>
      <c r="N14" s="51">
        <v>141</v>
      </c>
    </row>
    <row r="15" spans="1:14" x14ac:dyDescent="0.3">
      <c r="A15" s="51">
        <v>12</v>
      </c>
      <c r="B15" s="52">
        <v>989</v>
      </c>
      <c r="C15" s="51">
        <v>126</v>
      </c>
      <c r="D15" s="63"/>
      <c r="E15" s="54"/>
      <c r="F15" s="54"/>
      <c r="G15" s="54"/>
      <c r="H15" s="54"/>
      <c r="I15" s="54"/>
      <c r="J15" s="54"/>
      <c r="L15" s="51">
        <v>12</v>
      </c>
      <c r="M15" s="52">
        <v>1210</v>
      </c>
      <c r="N15" s="51">
        <v>137</v>
      </c>
    </row>
    <row r="16" spans="1:14" x14ac:dyDescent="0.3">
      <c r="A16" s="51">
        <v>13</v>
      </c>
      <c r="B16" s="52">
        <v>1115</v>
      </c>
      <c r="C16" s="51">
        <v>117</v>
      </c>
      <c r="D16" s="63"/>
      <c r="E16" s="54"/>
      <c r="F16" s="54"/>
      <c r="G16" s="54"/>
      <c r="H16" s="54"/>
      <c r="I16" s="54"/>
      <c r="J16" s="54"/>
      <c r="L16" s="51">
        <v>13</v>
      </c>
      <c r="M16" s="52">
        <v>1315</v>
      </c>
      <c r="N16" s="51">
        <v>126</v>
      </c>
    </row>
    <row r="17" spans="1:21" x14ac:dyDescent="0.3">
      <c r="A17" s="51">
        <v>14</v>
      </c>
      <c r="B17" s="52">
        <v>990</v>
      </c>
      <c r="C17" s="51">
        <v>142</v>
      </c>
      <c r="D17" s="63"/>
      <c r="E17" s="54"/>
      <c r="F17" s="54"/>
      <c r="G17" s="54"/>
      <c r="H17" s="54"/>
      <c r="I17" s="54"/>
      <c r="J17" s="54"/>
      <c r="L17" s="51">
        <v>14</v>
      </c>
      <c r="M17" s="52">
        <v>1190</v>
      </c>
      <c r="N17" s="51">
        <v>146</v>
      </c>
    </row>
    <row r="18" spans="1:21" x14ac:dyDescent="0.3">
      <c r="A18" s="51">
        <v>15</v>
      </c>
      <c r="B18" s="52">
        <v>890</v>
      </c>
      <c r="C18" s="51">
        <v>143</v>
      </c>
      <c r="D18" s="63"/>
      <c r="E18" s="54"/>
      <c r="F18" s="54"/>
      <c r="G18" s="54"/>
      <c r="H18" s="54"/>
      <c r="I18" s="54"/>
      <c r="J18" s="54"/>
      <c r="L18" s="51">
        <v>15</v>
      </c>
      <c r="M18" s="52">
        <v>1199</v>
      </c>
      <c r="N18" s="51">
        <v>147</v>
      </c>
    </row>
    <row r="19" spans="1:21" ht="15" thickBot="1" x14ac:dyDescent="0.35">
      <c r="A19" s="51">
        <v>16</v>
      </c>
      <c r="B19" s="52">
        <v>1090</v>
      </c>
      <c r="C19" s="51">
        <v>110</v>
      </c>
      <c r="D19" s="63"/>
      <c r="E19" s="54"/>
      <c r="F19" s="54"/>
      <c r="G19" s="54"/>
      <c r="H19" s="54"/>
      <c r="I19" s="54"/>
      <c r="J19" s="54"/>
      <c r="L19" s="51">
        <v>16</v>
      </c>
      <c r="M19" s="52">
        <v>1210</v>
      </c>
      <c r="N19" s="51">
        <v>148</v>
      </c>
    </row>
    <row r="20" spans="1:21" x14ac:dyDescent="0.3">
      <c r="A20" s="51">
        <v>17</v>
      </c>
      <c r="B20" s="52">
        <v>1190</v>
      </c>
      <c r="C20" s="65">
        <v>105</v>
      </c>
      <c r="D20" s="66" t="s">
        <v>80</v>
      </c>
      <c r="E20" s="67"/>
      <c r="F20" s="67"/>
      <c r="G20" s="67"/>
      <c r="H20" s="67"/>
      <c r="I20" s="67"/>
      <c r="J20" s="68"/>
      <c r="L20" s="51">
        <v>17</v>
      </c>
      <c r="M20" s="52">
        <v>1230</v>
      </c>
      <c r="N20" s="51">
        <v>139</v>
      </c>
      <c r="O20" s="66" t="s">
        <v>80</v>
      </c>
      <c r="P20" s="67"/>
      <c r="Q20" s="67"/>
      <c r="R20" s="67"/>
      <c r="S20" s="67"/>
      <c r="T20" s="67"/>
      <c r="U20" s="68"/>
    </row>
    <row r="21" spans="1:21" x14ac:dyDescent="0.3">
      <c r="A21" s="51">
        <v>18</v>
      </c>
      <c r="B21" s="52">
        <v>1250</v>
      </c>
      <c r="C21" s="65">
        <v>89</v>
      </c>
      <c r="D21" s="69" t="s">
        <v>81</v>
      </c>
      <c r="E21" s="54"/>
      <c r="F21" s="54"/>
      <c r="G21" s="54"/>
      <c r="H21" s="54"/>
      <c r="I21" s="54"/>
      <c r="J21" s="70"/>
      <c r="L21" s="51">
        <v>18</v>
      </c>
      <c r="M21" s="52">
        <v>1250</v>
      </c>
      <c r="N21" s="51">
        <v>134</v>
      </c>
      <c r="O21" s="69" t="s">
        <v>82</v>
      </c>
      <c r="P21" s="54"/>
      <c r="Q21" s="54"/>
      <c r="R21" s="54"/>
      <c r="S21" s="54"/>
      <c r="T21" s="54"/>
      <c r="U21" s="70"/>
    </row>
    <row r="22" spans="1:21" ht="16.8" thickBot="1" x14ac:dyDescent="0.35">
      <c r="A22" s="51">
        <v>19</v>
      </c>
      <c r="B22" s="52">
        <v>1140</v>
      </c>
      <c r="C22" s="65">
        <v>113</v>
      </c>
      <c r="D22" s="71"/>
      <c r="E22" s="72" t="s">
        <v>83</v>
      </c>
      <c r="F22" s="73"/>
      <c r="G22" s="73"/>
      <c r="H22" s="73"/>
      <c r="I22" s="73"/>
      <c r="J22" s="74"/>
      <c r="L22" s="51">
        <v>19</v>
      </c>
      <c r="M22" s="52">
        <v>1199</v>
      </c>
      <c r="N22" s="51">
        <v>144</v>
      </c>
      <c r="O22" s="71"/>
      <c r="P22" s="72" t="s">
        <v>84</v>
      </c>
      <c r="Q22" s="73"/>
      <c r="R22" s="73"/>
      <c r="S22" s="73"/>
      <c r="T22" s="73"/>
      <c r="U22" s="74"/>
    </row>
    <row r="23" spans="1:21" x14ac:dyDescent="0.3">
      <c r="A23" s="51">
        <v>20</v>
      </c>
      <c r="B23" s="52">
        <v>1019</v>
      </c>
      <c r="C23" s="51">
        <v>128</v>
      </c>
      <c r="D23" s="63"/>
      <c r="F23" s="54"/>
      <c r="G23" s="54"/>
      <c r="H23" s="54"/>
      <c r="I23" s="54"/>
      <c r="J23" s="54"/>
      <c r="L23" s="51">
        <v>20</v>
      </c>
      <c r="M23" s="52">
        <v>1149</v>
      </c>
      <c r="N23" s="51">
        <v>155</v>
      </c>
    </row>
    <row r="24" spans="1:21" x14ac:dyDescent="0.3">
      <c r="A24" s="51">
        <v>21</v>
      </c>
      <c r="B24" s="52">
        <v>999</v>
      </c>
      <c r="C24" s="51">
        <v>139</v>
      </c>
      <c r="D24" s="63"/>
      <c r="E24" s="54"/>
      <c r="F24" s="54"/>
      <c r="G24" s="54"/>
      <c r="H24" s="54"/>
      <c r="I24" s="54"/>
      <c r="J24" s="54"/>
      <c r="L24" s="51">
        <v>21</v>
      </c>
      <c r="M24" s="52">
        <v>1199</v>
      </c>
      <c r="N24" s="51">
        <v>145</v>
      </c>
    </row>
    <row r="25" spans="1:21" x14ac:dyDescent="0.3">
      <c r="A25" s="51">
        <v>22</v>
      </c>
      <c r="B25" s="52">
        <v>912</v>
      </c>
      <c r="C25" s="51">
        <v>142</v>
      </c>
      <c r="D25" s="63"/>
      <c r="E25" s="54"/>
      <c r="F25" s="54"/>
      <c r="G25" s="54"/>
      <c r="H25" s="54"/>
      <c r="I25" s="54"/>
      <c r="J25" s="54"/>
      <c r="L25" s="51">
        <v>22</v>
      </c>
      <c r="M25" s="52">
        <v>1112</v>
      </c>
      <c r="N25" s="51">
        <v>154</v>
      </c>
    </row>
    <row r="26" spans="1:21" x14ac:dyDescent="0.3">
      <c r="A26" s="51">
        <v>23</v>
      </c>
      <c r="B26" s="52">
        <v>1020</v>
      </c>
      <c r="C26" s="51">
        <v>136</v>
      </c>
      <c r="D26" s="63"/>
      <c r="E26" s="54"/>
      <c r="F26" s="54"/>
      <c r="G26" s="54"/>
      <c r="H26" s="54"/>
      <c r="I26" s="54"/>
      <c r="J26" s="54"/>
      <c r="L26" s="51">
        <v>23</v>
      </c>
      <c r="M26" s="52">
        <v>1109</v>
      </c>
      <c r="N26" s="51">
        <v>158</v>
      </c>
    </row>
    <row r="27" spans="1:21" x14ac:dyDescent="0.3">
      <c r="A27" s="51">
        <v>24</v>
      </c>
      <c r="B27" s="52">
        <v>1115</v>
      </c>
      <c r="C27" s="51">
        <v>110</v>
      </c>
      <c r="D27" s="63"/>
      <c r="E27" s="54"/>
      <c r="F27" s="54"/>
      <c r="G27" s="54"/>
      <c r="H27" s="54"/>
      <c r="I27" s="54"/>
      <c r="J27" s="54"/>
      <c r="L27" s="51">
        <v>24</v>
      </c>
      <c r="M27" s="52">
        <v>1115</v>
      </c>
      <c r="N27" s="51">
        <v>159</v>
      </c>
    </row>
    <row r="28" spans="1:21" x14ac:dyDescent="0.3">
      <c r="A28" s="48"/>
      <c r="B28" s="48"/>
    </row>
    <row r="29" spans="1:21" x14ac:dyDescent="0.3">
      <c r="A29" s="48"/>
      <c r="B29" s="48"/>
    </row>
    <row r="30" spans="1:21" x14ac:dyDescent="0.3">
      <c r="A30" s="48"/>
      <c r="B30" s="48"/>
    </row>
    <row r="31" spans="1:21" x14ac:dyDescent="0.3">
      <c r="A31" s="48"/>
      <c r="B31" s="48"/>
    </row>
  </sheetData>
  <printOptions headings="1" gridLines="1"/>
  <pageMargins left="0.75" right="0.75" top="1" bottom="1" header="0.5" footer="0.5"/>
  <pageSetup scale="72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5"/>
  <sheetViews>
    <sheetView workbookViewId="0"/>
  </sheetViews>
  <sheetFormatPr defaultRowHeight="13.2" x14ac:dyDescent="0.25"/>
  <sheetData>
    <row r="1" spans="1:2" x14ac:dyDescent="0.25">
      <c r="A1">
        <v>1</v>
      </c>
    </row>
    <row r="2" spans="1:2" x14ac:dyDescent="0.25">
      <c r="A2" t="s">
        <v>51</v>
      </c>
    </row>
    <row r="3" spans="1:2" x14ac:dyDescent="0.25">
      <c r="A3">
        <v>1</v>
      </c>
    </row>
    <row r="4" spans="1:2" x14ac:dyDescent="0.25">
      <c r="A4">
        <v>10</v>
      </c>
    </row>
    <row r="5" spans="1:2" x14ac:dyDescent="0.25">
      <c r="A5">
        <v>300</v>
      </c>
    </row>
    <row r="6" spans="1:2" x14ac:dyDescent="0.25">
      <c r="A6">
        <v>10</v>
      </c>
    </row>
    <row r="8" spans="1:2" x14ac:dyDescent="0.25">
      <c r="A8" s="20"/>
      <c r="B8" s="20"/>
    </row>
    <row r="9" spans="1:2" x14ac:dyDescent="0.25">
      <c r="A9" t="s">
        <v>52</v>
      </c>
    </row>
    <row r="10" spans="1:2" x14ac:dyDescent="0.25">
      <c r="A10" t="s">
        <v>56</v>
      </c>
    </row>
    <row r="15" spans="1:2" x14ac:dyDescent="0.25">
      <c r="B15" s="2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20EEA-75A4-43FD-9E02-BAFB7255088D}">
  <dimension ref="A1:K53"/>
  <sheetViews>
    <sheetView workbookViewId="0">
      <selection activeCell="B32" sqref="B32"/>
    </sheetView>
  </sheetViews>
  <sheetFormatPr defaultRowHeight="13.2" x14ac:dyDescent="0.25"/>
  <cols>
    <col min="6" max="6" width="10.109375" bestFit="1" customWidth="1"/>
    <col min="8" max="8" width="9.77734375" customWidth="1"/>
  </cols>
  <sheetData>
    <row r="1" spans="1:11" x14ac:dyDescent="0.25">
      <c r="A1" s="29" t="s">
        <v>101</v>
      </c>
      <c r="K1" s="21" t="str">
        <f>CONCATENATE("Sensitivity of ",$K$4," to ","Maximum number of pumps")</f>
        <v>Sensitivity of $C$11 to Maximum number of pumps</v>
      </c>
    </row>
    <row r="3" spans="1:11" x14ac:dyDescent="0.25">
      <c r="A3" t="s">
        <v>96</v>
      </c>
      <c r="K3" t="s">
        <v>4</v>
      </c>
    </row>
    <row r="4" spans="1:11" ht="34.200000000000003" x14ac:dyDescent="0.25">
      <c r="B4" s="57" t="s">
        <v>38</v>
      </c>
      <c r="C4" s="57" t="s">
        <v>97</v>
      </c>
      <c r="D4" s="57" t="s">
        <v>98</v>
      </c>
      <c r="E4" s="57" t="s">
        <v>39</v>
      </c>
      <c r="F4" s="57" t="s">
        <v>99</v>
      </c>
      <c r="J4" s="21">
        <f>MATCH($K$4,OutputAddresses,0)</f>
        <v>1</v>
      </c>
      <c r="K4" s="58" t="s">
        <v>38</v>
      </c>
    </row>
    <row r="5" spans="1:11" x14ac:dyDescent="0.25">
      <c r="A5" s="56">
        <v>100</v>
      </c>
      <c r="B5" s="113" t="s">
        <v>100</v>
      </c>
      <c r="C5" s="110"/>
      <c r="D5" s="110"/>
      <c r="E5" s="110"/>
      <c r="F5" s="111"/>
      <c r="K5" t="str">
        <f>INDEX(OutputValues,1,$J$4)</f>
        <v>Not feasible</v>
      </c>
    </row>
    <row r="6" spans="1:11" x14ac:dyDescent="0.25">
      <c r="A6" s="56">
        <v>105</v>
      </c>
      <c r="B6" s="114" t="s">
        <v>100</v>
      </c>
      <c r="C6" s="12"/>
      <c r="D6" s="12"/>
      <c r="E6" s="12"/>
      <c r="F6" s="112"/>
      <c r="K6" t="str">
        <f>INDEX(OutputValues,2,$J$4)</f>
        <v>Not feasible</v>
      </c>
    </row>
    <row r="7" spans="1:11" x14ac:dyDescent="0.25">
      <c r="A7" s="56">
        <v>110</v>
      </c>
      <c r="B7" s="114" t="s">
        <v>100</v>
      </c>
      <c r="C7" s="12"/>
      <c r="D7" s="12"/>
      <c r="E7" s="12"/>
      <c r="F7" s="112"/>
      <c r="K7" t="str">
        <f>INDEX(OutputValues,3,$J$4)</f>
        <v>Not feasible</v>
      </c>
    </row>
    <row r="8" spans="1:11" x14ac:dyDescent="0.25">
      <c r="A8" s="56">
        <v>115</v>
      </c>
      <c r="B8" s="114" t="s">
        <v>100</v>
      </c>
      <c r="C8" s="12"/>
      <c r="D8" s="12"/>
      <c r="E8" s="12"/>
      <c r="F8" s="112"/>
      <c r="K8" t="str">
        <f>INDEX(OutputValues,4,$J$4)</f>
        <v>Not feasible</v>
      </c>
    </row>
    <row r="9" spans="1:11" x14ac:dyDescent="0.25">
      <c r="A9" s="56">
        <v>120</v>
      </c>
      <c r="B9" s="114" t="s">
        <v>100</v>
      </c>
      <c r="C9" s="12"/>
      <c r="D9" s="12"/>
      <c r="E9" s="12"/>
      <c r="F9" s="112"/>
      <c r="K9" t="str">
        <f>INDEX(OutputValues,5,$J$4)</f>
        <v>Not feasible</v>
      </c>
    </row>
    <row r="10" spans="1:11" x14ac:dyDescent="0.25">
      <c r="A10" s="56">
        <v>125</v>
      </c>
      <c r="B10" s="114" t="s">
        <v>100</v>
      </c>
      <c r="C10" s="12"/>
      <c r="D10" s="12"/>
      <c r="E10" s="12"/>
      <c r="F10" s="112"/>
      <c r="K10" t="str">
        <f>INDEX(OutputValues,6,$J$4)</f>
        <v>Not feasible</v>
      </c>
    </row>
    <row r="11" spans="1:11" x14ac:dyDescent="0.25">
      <c r="A11" s="56">
        <v>130</v>
      </c>
      <c r="B11" s="114" t="s">
        <v>100</v>
      </c>
      <c r="C11" s="12"/>
      <c r="D11" s="12"/>
      <c r="E11" s="12"/>
      <c r="F11" s="112"/>
      <c r="K11" t="str">
        <f>INDEX(OutputValues,7,$J$4)</f>
        <v>Not feasible</v>
      </c>
    </row>
    <row r="12" spans="1:11" x14ac:dyDescent="0.25">
      <c r="A12" s="56">
        <v>135</v>
      </c>
      <c r="B12" s="114" t="s">
        <v>100</v>
      </c>
      <c r="C12" s="12"/>
      <c r="D12" s="12"/>
      <c r="E12" s="12"/>
      <c r="F12" s="112"/>
      <c r="K12" t="str">
        <f>INDEX(OutputValues,8,$J$4)</f>
        <v>Not feasible</v>
      </c>
    </row>
    <row r="13" spans="1:11" x14ac:dyDescent="0.25">
      <c r="A13" s="56">
        <v>140</v>
      </c>
      <c r="B13" s="114" t="s">
        <v>100</v>
      </c>
      <c r="C13" s="12"/>
      <c r="D13" s="12"/>
      <c r="E13" s="12"/>
      <c r="F13" s="112"/>
      <c r="K13" t="str">
        <f>INDEX(OutputValues,9,$J$4)</f>
        <v>Not feasible</v>
      </c>
    </row>
    <row r="14" spans="1:11" x14ac:dyDescent="0.25">
      <c r="A14" s="56">
        <v>145</v>
      </c>
      <c r="B14" s="114" t="s">
        <v>100</v>
      </c>
      <c r="C14" s="12"/>
      <c r="D14" s="12"/>
      <c r="E14" s="12"/>
      <c r="F14" s="112"/>
      <c r="K14" t="str">
        <f>INDEX(OutputValues,10,$J$4)</f>
        <v>Not feasible</v>
      </c>
    </row>
    <row r="15" spans="1:11" x14ac:dyDescent="0.25">
      <c r="A15" s="56">
        <v>150</v>
      </c>
      <c r="B15" s="114" t="s">
        <v>100</v>
      </c>
      <c r="C15" s="12"/>
      <c r="D15" s="12"/>
      <c r="E15" s="12"/>
      <c r="F15" s="112"/>
      <c r="K15" t="str">
        <f>INDEX(OutputValues,11,$J$4)</f>
        <v>Not feasible</v>
      </c>
    </row>
    <row r="16" spans="1:11" x14ac:dyDescent="0.25">
      <c r="A16" s="56">
        <v>155</v>
      </c>
      <c r="B16" s="114" t="s">
        <v>100</v>
      </c>
      <c r="C16" s="12"/>
      <c r="D16" s="12"/>
      <c r="E16" s="12"/>
      <c r="F16" s="112"/>
      <c r="K16" t="str">
        <f>INDEX(OutputValues,12,$J$4)</f>
        <v>Not feasible</v>
      </c>
    </row>
    <row r="17" spans="1:11" x14ac:dyDescent="0.25">
      <c r="A17" s="56">
        <v>160</v>
      </c>
      <c r="B17" s="114" t="s">
        <v>100</v>
      </c>
      <c r="C17" s="12"/>
      <c r="D17" s="12"/>
      <c r="E17" s="12"/>
      <c r="F17" s="112"/>
      <c r="K17" t="str">
        <f>INDEX(OutputValues,13,$J$4)</f>
        <v>Not feasible</v>
      </c>
    </row>
    <row r="18" spans="1:11" x14ac:dyDescent="0.25">
      <c r="A18" s="56">
        <v>165</v>
      </c>
      <c r="B18" s="114" t="s">
        <v>100</v>
      </c>
      <c r="C18" s="12"/>
      <c r="D18" s="12"/>
      <c r="E18" s="12"/>
      <c r="F18" s="112"/>
      <c r="K18" t="str">
        <f>INDEX(OutputValues,14,$J$4)</f>
        <v>Not feasible</v>
      </c>
    </row>
    <row r="19" spans="1:11" x14ac:dyDescent="0.25">
      <c r="A19" s="56">
        <v>170</v>
      </c>
      <c r="B19" s="114" t="s">
        <v>100</v>
      </c>
      <c r="C19" s="12"/>
      <c r="D19" s="12"/>
      <c r="E19" s="12"/>
      <c r="F19" s="112"/>
      <c r="K19" t="str">
        <f>INDEX(OutputValues,15,$J$4)</f>
        <v>Not feasible</v>
      </c>
    </row>
    <row r="20" spans="1:11" x14ac:dyDescent="0.25">
      <c r="A20" s="56">
        <v>175</v>
      </c>
      <c r="B20" s="114" t="s">
        <v>100</v>
      </c>
      <c r="C20" s="12"/>
      <c r="D20" s="12"/>
      <c r="E20" s="12"/>
      <c r="F20" s="112"/>
      <c r="K20" t="str">
        <f>INDEX(OutputValues,16,$J$4)</f>
        <v>Not feasible</v>
      </c>
    </row>
    <row r="21" spans="1:11" x14ac:dyDescent="0.25">
      <c r="A21" s="56">
        <v>180</v>
      </c>
      <c r="B21" s="59">
        <v>1220</v>
      </c>
      <c r="C21" s="60">
        <v>1800</v>
      </c>
      <c r="D21" s="60">
        <v>94.805666397933763</v>
      </c>
      <c r="E21" s="60">
        <v>80.378177165924228</v>
      </c>
      <c r="F21" s="115">
        <v>178584.32499840992</v>
      </c>
      <c r="K21">
        <f>INDEX(OutputValues,17,$J$4)</f>
        <v>1220</v>
      </c>
    </row>
    <row r="22" spans="1:11" x14ac:dyDescent="0.25">
      <c r="A22" s="56">
        <v>185</v>
      </c>
      <c r="B22" s="59">
        <v>1220</v>
      </c>
      <c r="C22" s="60">
        <v>1800</v>
      </c>
      <c r="D22" s="60">
        <v>94.805666397933763</v>
      </c>
      <c r="E22" s="60">
        <v>80.378177165924228</v>
      </c>
      <c r="F22" s="115">
        <v>178584.32499840992</v>
      </c>
      <c r="K22">
        <f>INDEX(OutputValues,18,$J$4)</f>
        <v>1220</v>
      </c>
    </row>
    <row r="23" spans="1:11" x14ac:dyDescent="0.25">
      <c r="A23" s="56">
        <v>190</v>
      </c>
      <c r="B23" s="59">
        <v>1220</v>
      </c>
      <c r="C23" s="60">
        <v>1800</v>
      </c>
      <c r="D23" s="60">
        <v>94.805666397933763</v>
      </c>
      <c r="E23" s="60">
        <v>80.378177165924228</v>
      </c>
      <c r="F23" s="115">
        <v>178584.32499840992</v>
      </c>
      <c r="K23">
        <f>INDEX(OutputValues,19,$J$4)</f>
        <v>1220</v>
      </c>
    </row>
    <row r="24" spans="1:11" x14ac:dyDescent="0.25">
      <c r="A24" s="56">
        <v>195</v>
      </c>
      <c r="B24" s="59">
        <v>1220</v>
      </c>
      <c r="C24" s="60">
        <v>1800</v>
      </c>
      <c r="D24" s="60">
        <v>94.805666397933763</v>
      </c>
      <c r="E24" s="60">
        <v>80.378177165924228</v>
      </c>
      <c r="F24" s="115">
        <v>178584.32499840992</v>
      </c>
      <c r="K24">
        <f>INDEX(OutputValues,20,$J$4)</f>
        <v>1220</v>
      </c>
    </row>
    <row r="25" spans="1:11" x14ac:dyDescent="0.25">
      <c r="A25" s="56">
        <v>200</v>
      </c>
      <c r="B25" s="59">
        <v>1220</v>
      </c>
      <c r="C25" s="60">
        <v>1800</v>
      </c>
      <c r="D25" s="60">
        <v>94.805666397933763</v>
      </c>
      <c r="E25" s="60">
        <v>80.378177165924228</v>
      </c>
      <c r="F25" s="115">
        <v>178584.32499840992</v>
      </c>
      <c r="K25">
        <f>INDEX(OutputValues,21,$J$4)</f>
        <v>1220</v>
      </c>
    </row>
    <row r="26" spans="1:11" x14ac:dyDescent="0.25">
      <c r="A26" s="56">
        <v>205</v>
      </c>
      <c r="B26" s="59">
        <v>1220</v>
      </c>
      <c r="C26" s="60">
        <v>1800</v>
      </c>
      <c r="D26" s="60">
        <v>94.805666397933763</v>
      </c>
      <c r="E26" s="60">
        <v>80.378177165924228</v>
      </c>
      <c r="F26" s="115">
        <v>178584.32499840992</v>
      </c>
      <c r="K26">
        <f>INDEX(OutputValues,22,$J$4)</f>
        <v>1220</v>
      </c>
    </row>
    <row r="27" spans="1:11" x14ac:dyDescent="0.25">
      <c r="A27" s="56">
        <v>210</v>
      </c>
      <c r="B27" s="59">
        <v>1220</v>
      </c>
      <c r="C27" s="60">
        <v>1800</v>
      </c>
      <c r="D27" s="60">
        <v>94.805666397933763</v>
      </c>
      <c r="E27" s="60">
        <v>80.378177165924228</v>
      </c>
      <c r="F27" s="115">
        <v>178584.32499840992</v>
      </c>
      <c r="K27">
        <f>INDEX(OutputValues,23,$J$4)</f>
        <v>1220</v>
      </c>
    </row>
    <row r="28" spans="1:11" x14ac:dyDescent="0.25">
      <c r="A28" s="56">
        <v>215</v>
      </c>
      <c r="B28" s="59">
        <v>1220</v>
      </c>
      <c r="C28" s="60">
        <v>1800</v>
      </c>
      <c r="D28" s="60">
        <v>94.805666397933763</v>
      </c>
      <c r="E28" s="60">
        <v>80.378177165924228</v>
      </c>
      <c r="F28" s="115">
        <v>178584.32499840992</v>
      </c>
      <c r="K28">
        <f>INDEX(OutputValues,24,$J$4)</f>
        <v>1220</v>
      </c>
    </row>
    <row r="29" spans="1:11" x14ac:dyDescent="0.25">
      <c r="A29" s="56">
        <v>220</v>
      </c>
      <c r="B29" s="59">
        <v>1220</v>
      </c>
      <c r="C29" s="60">
        <v>1800</v>
      </c>
      <c r="D29" s="60">
        <v>94.805666397933763</v>
      </c>
      <c r="E29" s="60">
        <v>80.378177165924228</v>
      </c>
      <c r="F29" s="115">
        <v>178584.32499840992</v>
      </c>
      <c r="K29">
        <f>INDEX(OutputValues,25,$J$4)</f>
        <v>1220</v>
      </c>
    </row>
    <row r="30" spans="1:11" x14ac:dyDescent="0.25">
      <c r="A30" s="56">
        <v>225</v>
      </c>
      <c r="B30" s="59">
        <v>1220</v>
      </c>
      <c r="C30" s="60">
        <v>1800</v>
      </c>
      <c r="D30" s="60">
        <v>94.805666397933763</v>
      </c>
      <c r="E30" s="60">
        <v>80.378177165924228</v>
      </c>
      <c r="F30" s="115">
        <v>178584.32499840992</v>
      </c>
      <c r="K30">
        <f>INDEX(OutputValues,26,$J$4)</f>
        <v>1220</v>
      </c>
    </row>
    <row r="31" spans="1:11" x14ac:dyDescent="0.25">
      <c r="A31" s="56">
        <v>230</v>
      </c>
      <c r="B31" s="59">
        <v>1220</v>
      </c>
      <c r="C31" s="60">
        <v>1800</v>
      </c>
      <c r="D31" s="60">
        <v>94.805666397933763</v>
      </c>
      <c r="E31" s="60">
        <v>80.378177165924228</v>
      </c>
      <c r="F31" s="115">
        <v>178584.32499840992</v>
      </c>
      <c r="K31">
        <f>INDEX(OutputValues,27,$J$4)</f>
        <v>1220</v>
      </c>
    </row>
    <row r="32" spans="1:11" x14ac:dyDescent="0.25">
      <c r="A32" s="56">
        <v>235</v>
      </c>
      <c r="B32" s="59">
        <v>1220</v>
      </c>
      <c r="C32" s="60">
        <v>1800</v>
      </c>
      <c r="D32" s="60">
        <v>94.805666397933763</v>
      </c>
      <c r="E32" s="60">
        <v>80.378177165924228</v>
      </c>
      <c r="F32" s="115">
        <v>178584.32499840992</v>
      </c>
      <c r="K32">
        <f>INDEX(OutputValues,28,$J$4)</f>
        <v>1220</v>
      </c>
    </row>
    <row r="33" spans="1:11" x14ac:dyDescent="0.25">
      <c r="A33" s="56">
        <v>240</v>
      </c>
      <c r="B33" s="59">
        <v>1220</v>
      </c>
      <c r="C33" s="60">
        <v>1800</v>
      </c>
      <c r="D33" s="60">
        <v>94.805666397933763</v>
      </c>
      <c r="E33" s="60">
        <v>80.378177165924228</v>
      </c>
      <c r="F33" s="115">
        <v>178584.32499840992</v>
      </c>
      <c r="K33">
        <f>INDEX(OutputValues,29,$J$4)</f>
        <v>1220</v>
      </c>
    </row>
    <row r="34" spans="1:11" x14ac:dyDescent="0.25">
      <c r="A34" s="56">
        <v>245</v>
      </c>
      <c r="B34" s="59">
        <v>1220</v>
      </c>
      <c r="C34" s="60">
        <v>1800</v>
      </c>
      <c r="D34" s="60">
        <v>94.805666397933763</v>
      </c>
      <c r="E34" s="60">
        <v>80.378177165924228</v>
      </c>
      <c r="F34" s="115">
        <v>178584.32499840992</v>
      </c>
      <c r="K34">
        <f>INDEX(OutputValues,30,$J$4)</f>
        <v>1220</v>
      </c>
    </row>
    <row r="35" spans="1:11" x14ac:dyDescent="0.25">
      <c r="A35" s="56">
        <v>250</v>
      </c>
      <c r="B35" s="59">
        <v>1220</v>
      </c>
      <c r="C35" s="60">
        <v>1800</v>
      </c>
      <c r="D35" s="60">
        <v>94.805666397933763</v>
      </c>
      <c r="E35" s="60">
        <v>80.378177165924228</v>
      </c>
      <c r="F35" s="115">
        <v>178584.32499840992</v>
      </c>
      <c r="K35">
        <f>INDEX(OutputValues,31,$J$4)</f>
        <v>1220</v>
      </c>
    </row>
    <row r="36" spans="1:11" x14ac:dyDescent="0.25">
      <c r="A36" s="56">
        <v>255</v>
      </c>
      <c r="B36" s="59">
        <v>1220</v>
      </c>
      <c r="C36" s="60">
        <v>1800</v>
      </c>
      <c r="D36" s="60">
        <v>94.805666397933763</v>
      </c>
      <c r="E36" s="60">
        <v>80.378177165924228</v>
      </c>
      <c r="F36" s="115">
        <v>178584.32499840992</v>
      </c>
      <c r="K36">
        <f>INDEX(OutputValues,32,$J$4)</f>
        <v>1220</v>
      </c>
    </row>
    <row r="37" spans="1:11" x14ac:dyDescent="0.25">
      <c r="A37" s="56">
        <v>260</v>
      </c>
      <c r="B37" s="59">
        <v>1220</v>
      </c>
      <c r="C37" s="60">
        <v>1800</v>
      </c>
      <c r="D37" s="60">
        <v>94.805666397933763</v>
      </c>
      <c r="E37" s="60">
        <v>80.378177165924228</v>
      </c>
      <c r="F37" s="115">
        <v>178584.32499840992</v>
      </c>
      <c r="K37">
        <f>INDEX(OutputValues,33,$J$4)</f>
        <v>1220</v>
      </c>
    </row>
    <row r="38" spans="1:11" x14ac:dyDescent="0.25">
      <c r="A38" s="56">
        <v>265</v>
      </c>
      <c r="B38" s="59">
        <v>1220</v>
      </c>
      <c r="C38" s="60">
        <v>1800</v>
      </c>
      <c r="D38" s="60">
        <v>94.805666397933763</v>
      </c>
      <c r="E38" s="60">
        <v>80.378177165924228</v>
      </c>
      <c r="F38" s="115">
        <v>178584.32499840992</v>
      </c>
      <c r="K38">
        <f>INDEX(OutputValues,34,$J$4)</f>
        <v>1220</v>
      </c>
    </row>
    <row r="39" spans="1:11" x14ac:dyDescent="0.25">
      <c r="A39" s="56">
        <v>270</v>
      </c>
      <c r="B39" s="59">
        <v>1220</v>
      </c>
      <c r="C39" s="60">
        <v>1800</v>
      </c>
      <c r="D39" s="60">
        <v>94.805666397933763</v>
      </c>
      <c r="E39" s="60">
        <v>80.378177165924228</v>
      </c>
      <c r="F39" s="115">
        <v>178584.32499840992</v>
      </c>
      <c r="K39">
        <f>INDEX(OutputValues,35,$J$4)</f>
        <v>1220</v>
      </c>
    </row>
    <row r="40" spans="1:11" x14ac:dyDescent="0.25">
      <c r="A40" s="56">
        <v>275</v>
      </c>
      <c r="B40" s="59">
        <v>1220</v>
      </c>
      <c r="C40" s="60">
        <v>1800</v>
      </c>
      <c r="D40" s="60">
        <v>94.805666397933763</v>
      </c>
      <c r="E40" s="60">
        <v>80.378177165924228</v>
      </c>
      <c r="F40" s="115">
        <v>178584.32499840992</v>
      </c>
      <c r="K40">
        <f>INDEX(OutputValues,36,$J$4)</f>
        <v>1220</v>
      </c>
    </row>
    <row r="41" spans="1:11" x14ac:dyDescent="0.25">
      <c r="A41" s="56">
        <v>280</v>
      </c>
      <c r="B41" s="59">
        <v>1220</v>
      </c>
      <c r="C41" s="60">
        <v>1800</v>
      </c>
      <c r="D41" s="60">
        <v>94.805666397933763</v>
      </c>
      <c r="E41" s="60">
        <v>80.378177165924228</v>
      </c>
      <c r="F41" s="115">
        <v>178584.32499840992</v>
      </c>
      <c r="K41">
        <f>INDEX(OutputValues,37,$J$4)</f>
        <v>1220</v>
      </c>
    </row>
    <row r="42" spans="1:11" x14ac:dyDescent="0.25">
      <c r="A42" s="56">
        <v>285</v>
      </c>
      <c r="B42" s="59">
        <v>1220</v>
      </c>
      <c r="C42" s="60">
        <v>1800</v>
      </c>
      <c r="D42" s="60">
        <v>94.805666397933763</v>
      </c>
      <c r="E42" s="60">
        <v>80.378177165924228</v>
      </c>
      <c r="F42" s="115">
        <v>178584.32499840992</v>
      </c>
      <c r="K42">
        <f>INDEX(OutputValues,38,$J$4)</f>
        <v>1220</v>
      </c>
    </row>
    <row r="43" spans="1:11" x14ac:dyDescent="0.25">
      <c r="A43" s="56">
        <v>290</v>
      </c>
      <c r="B43" s="59">
        <v>1220</v>
      </c>
      <c r="C43" s="60">
        <v>1800</v>
      </c>
      <c r="D43" s="60">
        <v>94.805666397933763</v>
      </c>
      <c r="E43" s="60">
        <v>80.378177165924228</v>
      </c>
      <c r="F43" s="115">
        <v>178584.32499840992</v>
      </c>
      <c r="K43">
        <f>INDEX(OutputValues,39,$J$4)</f>
        <v>1220</v>
      </c>
    </row>
    <row r="44" spans="1:11" x14ac:dyDescent="0.25">
      <c r="A44" s="56">
        <v>295</v>
      </c>
      <c r="B44" s="59">
        <v>1220</v>
      </c>
      <c r="C44" s="60">
        <v>1800</v>
      </c>
      <c r="D44" s="60">
        <v>94.805666397933763</v>
      </c>
      <c r="E44" s="60">
        <v>80.378177165924228</v>
      </c>
      <c r="F44" s="115">
        <v>178584.32499840992</v>
      </c>
      <c r="K44">
        <f>INDEX(OutputValues,40,$J$4)</f>
        <v>1220</v>
      </c>
    </row>
    <row r="45" spans="1:11" x14ac:dyDescent="0.25">
      <c r="A45" s="56">
        <v>300</v>
      </c>
      <c r="B45" s="61">
        <v>1220</v>
      </c>
      <c r="C45" s="62">
        <v>1800</v>
      </c>
      <c r="D45" s="62">
        <v>94.805666397933763</v>
      </c>
      <c r="E45" s="62">
        <v>80.378177165924228</v>
      </c>
      <c r="F45" s="116">
        <v>178584.32499840992</v>
      </c>
      <c r="K45">
        <f>INDEX(OutputValues,41,$J$4)</f>
        <v>1220</v>
      </c>
    </row>
    <row r="46" spans="1:11" ht="13.8" thickBot="1" x14ac:dyDescent="0.3"/>
    <row r="47" spans="1:11" x14ac:dyDescent="0.25">
      <c r="A47" s="43" t="s">
        <v>102</v>
      </c>
      <c r="B47" s="44"/>
      <c r="C47" s="44"/>
      <c r="D47" s="44"/>
      <c r="E47" s="44"/>
      <c r="F47" s="44"/>
      <c r="G47" s="44"/>
      <c r="H47" s="75"/>
    </row>
    <row r="48" spans="1:11" x14ac:dyDescent="0.25">
      <c r="A48" s="45" t="s">
        <v>103</v>
      </c>
      <c r="B48" s="14"/>
      <c r="C48" s="14"/>
      <c r="D48" s="14"/>
      <c r="E48" s="14"/>
      <c r="F48" s="14"/>
      <c r="G48" s="14"/>
      <c r="H48" s="76"/>
    </row>
    <row r="49" spans="1:8" x14ac:dyDescent="0.25">
      <c r="A49" s="45" t="s">
        <v>104</v>
      </c>
      <c r="B49" s="14"/>
      <c r="C49" s="14"/>
      <c r="D49" s="14"/>
      <c r="E49" s="14"/>
      <c r="F49" s="14"/>
      <c r="G49" s="14"/>
      <c r="H49" s="76"/>
    </row>
    <row r="50" spans="1:8" x14ac:dyDescent="0.25">
      <c r="A50" s="45" t="s">
        <v>105</v>
      </c>
      <c r="B50" s="14"/>
      <c r="C50" s="14"/>
      <c r="D50" s="14"/>
      <c r="E50" s="14"/>
      <c r="F50" s="14"/>
      <c r="G50" s="14"/>
      <c r="H50" s="76"/>
    </row>
    <row r="51" spans="1:8" x14ac:dyDescent="0.25">
      <c r="A51" s="45" t="s">
        <v>106</v>
      </c>
      <c r="B51" s="14"/>
      <c r="C51" s="14"/>
      <c r="D51" s="14"/>
      <c r="E51" s="14"/>
      <c r="F51" s="14"/>
      <c r="G51" s="14"/>
      <c r="H51" s="76"/>
    </row>
    <row r="52" spans="1:8" ht="13.8" thickBot="1" x14ac:dyDescent="0.3">
      <c r="A52" s="46" t="s">
        <v>107</v>
      </c>
      <c r="B52" s="47"/>
      <c r="C52" s="47"/>
      <c r="D52" s="47"/>
      <c r="E52" s="47"/>
      <c r="F52" s="47"/>
      <c r="G52" s="47"/>
      <c r="H52" s="77"/>
    </row>
    <row r="53" spans="1:8" x14ac:dyDescent="0.25">
      <c r="A53" s="14"/>
      <c r="B53" s="14"/>
      <c r="C53" s="14"/>
      <c r="D53" s="14"/>
      <c r="E53" s="14"/>
      <c r="F53" s="14"/>
      <c r="G53" s="14"/>
      <c r="H53" s="14"/>
    </row>
  </sheetData>
  <dataValidations count="1">
    <dataValidation type="list" allowBlank="1" showInputMessage="1" showErrorMessage="1" sqref="K4" xr:uid="{29760F8F-641D-4BEE-B30F-E91331689E4C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"/>
  <sheetViews>
    <sheetView workbookViewId="0"/>
  </sheetViews>
  <sheetFormatPr defaultRowHeight="14.4" x14ac:dyDescent="0.3"/>
  <cols>
    <col min="1" max="1" width="30.44140625" style="23" customWidth="1"/>
    <col min="2" max="2" width="50.88671875" style="23" customWidth="1"/>
    <col min="3" max="7" width="8.88671875" style="24"/>
    <col min="8" max="16384" width="8.88671875" style="23"/>
  </cols>
  <sheetData>
    <row r="1" spans="1:6" ht="12.6" customHeight="1" x14ac:dyDescent="0.3">
      <c r="A1" s="30" t="s">
        <v>53</v>
      </c>
    </row>
    <row r="3" spans="1:6" x14ac:dyDescent="0.3">
      <c r="A3" s="26" t="s">
        <v>19</v>
      </c>
      <c r="B3" s="27"/>
      <c r="C3" s="25"/>
      <c r="D3" s="25"/>
      <c r="E3" s="25"/>
      <c r="F3" s="25"/>
    </row>
    <row r="4" spans="1:6" x14ac:dyDescent="0.3">
      <c r="A4" s="27" t="s">
        <v>21</v>
      </c>
      <c r="B4" s="27"/>
      <c r="C4" s="25"/>
      <c r="D4" s="25"/>
      <c r="E4" s="25"/>
      <c r="F4" s="25"/>
    </row>
    <row r="5" spans="1:6" x14ac:dyDescent="0.3">
      <c r="A5" s="27" t="s">
        <v>22</v>
      </c>
      <c r="B5" s="27"/>
      <c r="C5" s="25"/>
      <c r="D5" s="25"/>
      <c r="E5" s="25"/>
      <c r="F5" s="25"/>
    </row>
    <row r="6" spans="1:6" x14ac:dyDescent="0.3">
      <c r="A6" s="27"/>
      <c r="B6" s="27"/>
      <c r="C6" s="25"/>
      <c r="D6" s="25"/>
      <c r="E6" s="25"/>
      <c r="F6" s="25"/>
    </row>
    <row r="7" spans="1:6" x14ac:dyDescent="0.3">
      <c r="A7" s="26" t="s">
        <v>41</v>
      </c>
      <c r="B7" s="27"/>
      <c r="C7" s="25"/>
      <c r="D7" s="25"/>
      <c r="E7" s="25"/>
      <c r="F7" s="25"/>
    </row>
    <row r="8" spans="1:6" ht="16.2" x14ac:dyDescent="0.3">
      <c r="A8" s="27" t="s">
        <v>85</v>
      </c>
      <c r="B8" s="2" t="s">
        <v>59</v>
      </c>
      <c r="C8" s="25"/>
      <c r="D8" s="25"/>
      <c r="E8" s="25"/>
      <c r="F8" s="25"/>
    </row>
    <row r="9" spans="1:6" ht="16.2" x14ac:dyDescent="0.3">
      <c r="A9" s="27" t="s">
        <v>42</v>
      </c>
      <c r="B9" s="2" t="s">
        <v>60</v>
      </c>
      <c r="C9" s="25"/>
      <c r="D9" s="25"/>
      <c r="E9" s="25"/>
      <c r="F9" s="25"/>
    </row>
    <row r="10" spans="1:6" x14ac:dyDescent="0.3">
      <c r="A10" s="27"/>
      <c r="B10" s="27"/>
      <c r="C10" s="25"/>
      <c r="D10" s="25"/>
      <c r="E10" s="25"/>
      <c r="F10" s="25"/>
    </row>
    <row r="11" spans="1:6" x14ac:dyDescent="0.3">
      <c r="A11" s="26" t="s">
        <v>25</v>
      </c>
      <c r="B11" s="27"/>
      <c r="C11" s="25"/>
      <c r="D11" s="25"/>
      <c r="E11" s="25"/>
      <c r="F11" s="25"/>
    </row>
    <row r="12" spans="1:6" x14ac:dyDescent="0.3">
      <c r="A12" s="27" t="s">
        <v>26</v>
      </c>
      <c r="B12" s="27" t="s">
        <v>63</v>
      </c>
      <c r="C12" s="25"/>
      <c r="D12" s="25"/>
      <c r="E12" s="25"/>
      <c r="F12" s="25"/>
    </row>
    <row r="13" spans="1:6" x14ac:dyDescent="0.3">
      <c r="A13" s="27"/>
      <c r="B13" s="27"/>
      <c r="C13" s="25"/>
      <c r="D13" s="25"/>
      <c r="E13" s="25"/>
      <c r="F13" s="25"/>
    </row>
    <row r="14" spans="1:6" x14ac:dyDescent="0.3">
      <c r="A14" s="26" t="s">
        <v>1</v>
      </c>
      <c r="B14" s="27"/>
      <c r="C14" s="25"/>
      <c r="D14" s="25"/>
      <c r="E14" s="25"/>
      <c r="F14" s="25"/>
    </row>
    <row r="15" spans="1:6" x14ac:dyDescent="0.3">
      <c r="A15" s="5" t="s">
        <v>10</v>
      </c>
      <c r="B15" s="27" t="s">
        <v>61</v>
      </c>
      <c r="C15" s="25"/>
      <c r="D15" s="25"/>
      <c r="E15" s="25"/>
      <c r="F15" s="25"/>
    </row>
    <row r="16" spans="1:6" x14ac:dyDescent="0.3">
      <c r="A16" s="5" t="s">
        <v>9</v>
      </c>
      <c r="B16" s="27" t="s">
        <v>54</v>
      </c>
      <c r="C16" s="25"/>
      <c r="D16" s="25"/>
      <c r="E16" s="25"/>
      <c r="F16" s="25"/>
    </row>
    <row r="17" spans="1:6" x14ac:dyDescent="0.3">
      <c r="A17" s="27" t="s">
        <v>34</v>
      </c>
      <c r="B17" s="27" t="s">
        <v>62</v>
      </c>
      <c r="C17" s="25"/>
      <c r="D17" s="25"/>
      <c r="E17" s="25"/>
      <c r="F17" s="25"/>
    </row>
    <row r="18" spans="1:6" x14ac:dyDescent="0.3">
      <c r="A18" s="27" t="s">
        <v>18</v>
      </c>
      <c r="B18" s="27" t="s">
        <v>20</v>
      </c>
      <c r="C18" s="25"/>
      <c r="D18" s="25"/>
      <c r="E18" s="25"/>
      <c r="F18" s="25"/>
    </row>
    <row r="19" spans="1:6" ht="15" thickBot="1" x14ac:dyDescent="0.35"/>
    <row r="20" spans="1:6" x14ac:dyDescent="0.3">
      <c r="A20" s="31" t="s">
        <v>64</v>
      </c>
      <c r="B20" s="32"/>
    </row>
    <row r="21" spans="1:6" x14ac:dyDescent="0.3">
      <c r="A21" s="33" t="s">
        <v>65</v>
      </c>
      <c r="B21" s="34"/>
    </row>
    <row r="22" spans="1:6" ht="15" thickBot="1" x14ac:dyDescent="0.35">
      <c r="A22" s="35" t="s">
        <v>66</v>
      </c>
      <c r="B22" s="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workbookViewId="0"/>
  </sheetViews>
  <sheetFormatPr defaultRowHeight="13.2" x14ac:dyDescent="0.25"/>
  <sheetData>
    <row r="1" spans="1:2" x14ac:dyDescent="0.25">
      <c r="A1">
        <v>1</v>
      </c>
    </row>
    <row r="2" spans="1:2" x14ac:dyDescent="0.25">
      <c r="A2" t="s">
        <v>15</v>
      </c>
    </row>
    <row r="3" spans="1:2" x14ac:dyDescent="0.25">
      <c r="A3">
        <v>1</v>
      </c>
    </row>
    <row r="4" spans="1:2" x14ac:dyDescent="0.25">
      <c r="A4">
        <v>1000</v>
      </c>
    </row>
    <row r="5" spans="1:2" x14ac:dyDescent="0.25">
      <c r="A5">
        <v>3000</v>
      </c>
    </row>
    <row r="6" spans="1:2" x14ac:dyDescent="0.25">
      <c r="A6">
        <v>100</v>
      </c>
    </row>
    <row r="8" spans="1:2" x14ac:dyDescent="0.25">
      <c r="A8" s="20"/>
      <c r="B8" s="20"/>
    </row>
    <row r="9" spans="1:2" x14ac:dyDescent="0.25">
      <c r="A9" t="s">
        <v>16</v>
      </c>
    </row>
    <row r="10" spans="1:2" x14ac:dyDescent="0.25">
      <c r="A10" t="s">
        <v>17</v>
      </c>
    </row>
    <row r="15" spans="1:2" x14ac:dyDescent="0.25">
      <c r="B15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5"/>
  <sheetViews>
    <sheetView workbookViewId="0"/>
  </sheetViews>
  <sheetFormatPr defaultRowHeight="13.2" x14ac:dyDescent="0.25"/>
  <sheetData>
    <row r="1" spans="1:2" x14ac:dyDescent="0.25">
      <c r="A1">
        <v>1</v>
      </c>
    </row>
    <row r="2" spans="1:2" x14ac:dyDescent="0.25">
      <c r="A2" t="s">
        <v>11</v>
      </c>
    </row>
    <row r="3" spans="1:2" x14ac:dyDescent="0.25">
      <c r="A3">
        <v>1</v>
      </c>
    </row>
    <row r="4" spans="1:2" x14ac:dyDescent="0.25">
      <c r="A4">
        <v>1000</v>
      </c>
    </row>
    <row r="5" spans="1:2" x14ac:dyDescent="0.25">
      <c r="A5">
        <v>4000</v>
      </c>
    </row>
    <row r="6" spans="1:2" x14ac:dyDescent="0.25">
      <c r="A6">
        <v>100</v>
      </c>
    </row>
    <row r="8" spans="1:2" x14ac:dyDescent="0.25">
      <c r="A8" s="20"/>
      <c r="B8" s="20"/>
    </row>
    <row r="9" spans="1:2" x14ac:dyDescent="0.25">
      <c r="A9" t="s">
        <v>12</v>
      </c>
    </row>
    <row r="10" spans="1:2" x14ac:dyDescent="0.25">
      <c r="A10" t="s">
        <v>5</v>
      </c>
    </row>
    <row r="15" spans="1:2" x14ac:dyDescent="0.25">
      <c r="B15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9"/>
  <sheetViews>
    <sheetView zoomScale="90" zoomScaleNormal="90" workbookViewId="0"/>
  </sheetViews>
  <sheetFormatPr defaultRowHeight="13.2" x14ac:dyDescent="0.25"/>
  <cols>
    <col min="1" max="1" width="44.33203125" customWidth="1"/>
    <col min="2" max="2" width="12.44140625" customWidth="1"/>
    <col min="3" max="3" width="16" bestFit="1" customWidth="1"/>
    <col min="4" max="4" width="11.88671875" customWidth="1"/>
    <col min="5" max="5" width="10.88671875" customWidth="1"/>
    <col min="7" max="7" width="9.21875" customWidth="1"/>
  </cols>
  <sheetData>
    <row r="1" spans="1:8" ht="12" customHeight="1" x14ac:dyDescent="0.25">
      <c r="A1" s="28" t="s">
        <v>55</v>
      </c>
    </row>
    <row r="3" spans="1:8" ht="40.200000000000003" customHeight="1" x14ac:dyDescent="0.25">
      <c r="A3" s="80" t="s">
        <v>67</v>
      </c>
      <c r="B3" s="16" t="s">
        <v>30</v>
      </c>
      <c r="C3" s="16" t="s">
        <v>31</v>
      </c>
      <c r="D3" s="16" t="s">
        <v>32</v>
      </c>
      <c r="E3" s="16" t="s">
        <v>36</v>
      </c>
    </row>
    <row r="4" spans="1:8" x14ac:dyDescent="0.25">
      <c r="A4" s="1"/>
      <c r="B4" s="17">
        <v>430</v>
      </c>
      <c r="C4" s="17">
        <v>1</v>
      </c>
      <c r="D4" s="17">
        <v>10</v>
      </c>
      <c r="E4" s="17">
        <v>4</v>
      </c>
    </row>
    <row r="5" spans="1:8" x14ac:dyDescent="0.25">
      <c r="A5" s="1"/>
      <c r="B5" s="17">
        <v>510</v>
      </c>
      <c r="C5" s="17">
        <v>1</v>
      </c>
      <c r="D5" s="17">
        <v>16</v>
      </c>
      <c r="E5" s="17">
        <v>6</v>
      </c>
    </row>
    <row r="6" spans="1:8" x14ac:dyDescent="0.25">
      <c r="A6" s="1"/>
      <c r="B6" s="4"/>
      <c r="C6" s="7" t="s">
        <v>29</v>
      </c>
      <c r="D6" s="7" t="s">
        <v>28</v>
      </c>
      <c r="E6" s="7" t="s">
        <v>35</v>
      </c>
      <c r="F6" s="81"/>
      <c r="G6" s="81"/>
    </row>
    <row r="7" spans="1:8" ht="12.6" customHeight="1" x14ac:dyDescent="0.25">
      <c r="A7" s="2" t="s">
        <v>27</v>
      </c>
      <c r="B7" s="4"/>
      <c r="C7" s="17">
        <v>180</v>
      </c>
      <c r="D7" s="17">
        <v>2700</v>
      </c>
      <c r="E7" s="17">
        <v>1100</v>
      </c>
    </row>
    <row r="8" spans="1:8" x14ac:dyDescent="0.25">
      <c r="A8" s="1"/>
      <c r="B8" s="1"/>
      <c r="C8" s="1"/>
      <c r="D8" s="1"/>
      <c r="E8" s="1"/>
    </row>
    <row r="9" spans="1:8" x14ac:dyDescent="0.25">
      <c r="A9" s="82" t="s">
        <v>68</v>
      </c>
      <c r="B9" s="4"/>
      <c r="C9" s="83"/>
      <c r="D9" s="84"/>
      <c r="E9" s="1"/>
      <c r="F9" s="85"/>
      <c r="G9" s="85"/>
      <c r="H9" s="85"/>
    </row>
    <row r="10" spans="1:8" x14ac:dyDescent="0.25">
      <c r="A10" s="18"/>
      <c r="B10" s="4"/>
      <c r="C10" s="83"/>
      <c r="D10" s="84"/>
      <c r="E10" s="1"/>
      <c r="F10" s="85"/>
      <c r="G10" s="85"/>
      <c r="H10" s="85"/>
    </row>
    <row r="11" spans="1:8" x14ac:dyDescent="0.25">
      <c r="A11" s="2" t="s">
        <v>23</v>
      </c>
      <c r="B11" s="4" t="s">
        <v>69</v>
      </c>
      <c r="C11" s="37">
        <v>1241.3201118176285</v>
      </c>
      <c r="D11" s="84"/>
      <c r="E11" s="1"/>
      <c r="F11" s="85"/>
      <c r="G11" s="85"/>
      <c r="H11" s="85"/>
    </row>
    <row r="12" spans="1:8" x14ac:dyDescent="0.25">
      <c r="A12" s="2" t="s">
        <v>24</v>
      </c>
      <c r="B12" s="4" t="s">
        <v>6</v>
      </c>
      <c r="C12" s="37">
        <v>1967.1401605403184</v>
      </c>
      <c r="D12" s="7"/>
      <c r="E12" s="1"/>
      <c r="F12" s="81"/>
      <c r="G12" s="81"/>
      <c r="H12" s="81"/>
    </row>
    <row r="13" spans="1:8" x14ac:dyDescent="0.25">
      <c r="A13" s="2" t="s">
        <v>70</v>
      </c>
      <c r="B13" s="4" t="s">
        <v>71</v>
      </c>
      <c r="C13" s="79">
        <f>4999940.5*(C11^(-1.53))</f>
        <v>92.32570543145421</v>
      </c>
      <c r="D13" s="7"/>
      <c r="E13" s="1"/>
      <c r="F13" s="81"/>
      <c r="G13" s="81"/>
      <c r="H13" s="81"/>
    </row>
    <row r="14" spans="1:8" x14ac:dyDescent="0.25">
      <c r="A14" s="2" t="s">
        <v>72</v>
      </c>
      <c r="B14" s="4" t="s">
        <v>73</v>
      </c>
      <c r="C14" s="79">
        <f>1994141.79*(C12^(-1.35))</f>
        <v>71.298168390015306</v>
      </c>
      <c r="D14" s="7"/>
      <c r="E14" s="1"/>
      <c r="F14" s="81"/>
      <c r="G14" s="81"/>
      <c r="H14" s="81"/>
    </row>
    <row r="15" spans="1:8" x14ac:dyDescent="0.25">
      <c r="A15" s="11"/>
      <c r="B15" s="18"/>
      <c r="C15" s="7"/>
      <c r="D15" s="9"/>
      <c r="E15" s="9"/>
      <c r="F15" s="55"/>
    </row>
    <row r="16" spans="1:8" x14ac:dyDescent="0.25">
      <c r="A16" s="4"/>
      <c r="B16" s="3"/>
      <c r="C16" s="8"/>
      <c r="D16" s="8"/>
      <c r="E16" s="8"/>
      <c r="F16" s="55"/>
    </row>
    <row r="17" spans="1:7" x14ac:dyDescent="0.25">
      <c r="A17" s="80" t="s">
        <v>33</v>
      </c>
      <c r="B17" s="10"/>
      <c r="C17" s="86">
        <f>(C11-B4)*C13+(C12-B5)*C14</f>
        <v>178797.12618834642</v>
      </c>
      <c r="D17" s="13"/>
      <c r="E17" s="13"/>
    </row>
    <row r="18" spans="1:7" x14ac:dyDescent="0.25">
      <c r="A18" s="1"/>
      <c r="B18" s="1"/>
      <c r="C18" s="1"/>
      <c r="D18" s="1"/>
      <c r="E18" s="1"/>
      <c r="G18" s="55"/>
    </row>
    <row r="19" spans="1:7" x14ac:dyDescent="0.25">
      <c r="A19" s="80" t="s">
        <v>1</v>
      </c>
      <c r="B19" s="15" t="s">
        <v>2</v>
      </c>
      <c r="C19" s="15"/>
      <c r="D19" s="15" t="s">
        <v>0</v>
      </c>
      <c r="E19" s="87"/>
      <c r="F19" s="88"/>
      <c r="G19" s="88"/>
    </row>
    <row r="20" spans="1:7" x14ac:dyDescent="0.25">
      <c r="A20" s="5" t="s">
        <v>10</v>
      </c>
      <c r="B20" s="22">
        <f>SUMPRODUCT(C4:C5*C13:C14)</f>
        <v>163.62387382146952</v>
      </c>
      <c r="C20" s="6" t="s">
        <v>3</v>
      </c>
      <c r="D20" s="19">
        <f>C7</f>
        <v>180</v>
      </c>
      <c r="E20" s="4"/>
    </row>
    <row r="21" spans="1:7" x14ac:dyDescent="0.25">
      <c r="A21" s="5" t="s">
        <v>9</v>
      </c>
      <c r="B21" s="22">
        <f>SUMPRODUCT(D4:D5*C13:C14)</f>
        <v>2064.0277485547867</v>
      </c>
      <c r="C21" s="6" t="s">
        <v>3</v>
      </c>
      <c r="D21" s="19">
        <f>D7</f>
        <v>2700</v>
      </c>
      <c r="E21" s="6"/>
    </row>
    <row r="22" spans="1:7" x14ac:dyDescent="0.25">
      <c r="A22" s="5" t="s">
        <v>34</v>
      </c>
      <c r="B22" s="22">
        <f>SUMPRODUCT(E4:E5*C13:C14)</f>
        <v>797.09183206590865</v>
      </c>
      <c r="C22" s="6" t="s">
        <v>3</v>
      </c>
      <c r="D22" s="19">
        <f>E7</f>
        <v>1100</v>
      </c>
      <c r="E22" s="1"/>
    </row>
    <row r="23" spans="1:7" ht="13.8" thickBot="1" x14ac:dyDescent="0.3"/>
    <row r="24" spans="1:7" x14ac:dyDescent="0.25">
      <c r="A24" s="89" t="s">
        <v>75</v>
      </c>
      <c r="B24" s="38"/>
      <c r="C24" s="38"/>
      <c r="D24" s="38"/>
      <c r="E24" s="38"/>
      <c r="F24" s="38"/>
      <c r="G24" s="39"/>
    </row>
    <row r="25" spans="1:7" x14ac:dyDescent="0.25">
      <c r="A25" s="90" t="s">
        <v>76</v>
      </c>
      <c r="G25" s="40"/>
    </row>
    <row r="26" spans="1:7" x14ac:dyDescent="0.25">
      <c r="A26" s="90" t="s">
        <v>77</v>
      </c>
      <c r="G26" s="40"/>
    </row>
    <row r="27" spans="1:7" x14ac:dyDescent="0.25">
      <c r="A27" s="90" t="s">
        <v>78</v>
      </c>
      <c r="G27" s="40"/>
    </row>
    <row r="28" spans="1:7" x14ac:dyDescent="0.25">
      <c r="A28" s="90" t="s">
        <v>108</v>
      </c>
      <c r="G28" s="40"/>
    </row>
    <row r="29" spans="1:7" ht="13.8" thickBot="1" x14ac:dyDescent="0.3">
      <c r="A29" s="91" t="s">
        <v>74</v>
      </c>
      <c r="B29" s="41"/>
      <c r="C29" s="41"/>
      <c r="D29" s="41"/>
      <c r="E29" s="41"/>
      <c r="F29" s="41"/>
      <c r="G29" s="4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5E8E-3D72-4A07-97AF-DB8F38C14ADA}">
  <dimension ref="A1:F31"/>
  <sheetViews>
    <sheetView zoomScale="90" zoomScaleNormal="90" workbookViewId="0"/>
  </sheetViews>
  <sheetFormatPr defaultRowHeight="13.2" x14ac:dyDescent="0.25"/>
  <cols>
    <col min="1" max="1" width="50.44140625" customWidth="1"/>
    <col min="3" max="3" width="13.44140625" customWidth="1"/>
    <col min="4" max="4" width="11.88671875" customWidth="1"/>
    <col min="5" max="5" width="10.88671875" customWidth="1"/>
    <col min="6" max="6" width="17.88671875" customWidth="1"/>
  </cols>
  <sheetData>
    <row r="1" spans="1:6" ht="12" customHeight="1" x14ac:dyDescent="0.25">
      <c r="A1" s="29" t="s">
        <v>79</v>
      </c>
    </row>
    <row r="3" spans="1:6" ht="40.200000000000003" customHeight="1" x14ac:dyDescent="0.25">
      <c r="A3" s="80" t="s">
        <v>67</v>
      </c>
      <c r="B3" s="16" t="s">
        <v>30</v>
      </c>
      <c r="C3" s="16" t="s">
        <v>31</v>
      </c>
      <c r="D3" s="16" t="s">
        <v>32</v>
      </c>
      <c r="E3" s="92" t="s">
        <v>36</v>
      </c>
      <c r="F3" s="93"/>
    </row>
    <row r="4" spans="1:6" x14ac:dyDescent="0.25">
      <c r="A4" s="1"/>
      <c r="B4" s="17">
        <v>430</v>
      </c>
      <c r="C4" s="17">
        <v>1</v>
      </c>
      <c r="D4" s="17">
        <v>10</v>
      </c>
      <c r="E4" s="94">
        <v>4</v>
      </c>
      <c r="F4" s="95"/>
    </row>
    <row r="5" spans="1:6" x14ac:dyDescent="0.25">
      <c r="A5" s="1"/>
      <c r="B5" s="17">
        <v>510</v>
      </c>
      <c r="C5" s="17">
        <v>1</v>
      </c>
      <c r="D5" s="17">
        <v>16</v>
      </c>
      <c r="E5" s="94">
        <v>6</v>
      </c>
      <c r="F5" s="95"/>
    </row>
    <row r="6" spans="1:6" x14ac:dyDescent="0.25">
      <c r="B6" s="4"/>
      <c r="C6" s="7" t="s">
        <v>29</v>
      </c>
      <c r="D6" s="7" t="s">
        <v>28</v>
      </c>
      <c r="E6" s="96" t="s">
        <v>35</v>
      </c>
      <c r="F6" s="81"/>
    </row>
    <row r="7" spans="1:6" ht="24.6" customHeight="1" x14ac:dyDescent="0.25">
      <c r="A7" s="2" t="s">
        <v>27</v>
      </c>
      <c r="B7" s="4"/>
      <c r="C7" s="17">
        <v>180</v>
      </c>
      <c r="D7" s="17">
        <v>2700</v>
      </c>
      <c r="E7" s="94">
        <v>1100</v>
      </c>
      <c r="F7" s="81"/>
    </row>
    <row r="8" spans="1:6" x14ac:dyDescent="0.25">
      <c r="A8" s="1"/>
      <c r="B8" s="1"/>
      <c r="C8" s="1"/>
      <c r="D8" s="1"/>
      <c r="E8" s="97"/>
      <c r="F8" s="81"/>
    </row>
    <row r="9" spans="1:6" x14ac:dyDescent="0.25">
      <c r="A9" s="82" t="s">
        <v>68</v>
      </c>
      <c r="B9" s="4"/>
      <c r="C9" s="83"/>
      <c r="E9" s="97"/>
      <c r="F9" s="81"/>
    </row>
    <row r="10" spans="1:6" x14ac:dyDescent="0.25">
      <c r="A10" s="18"/>
      <c r="B10" s="4"/>
      <c r="C10" s="83"/>
      <c r="D10" s="84" t="s">
        <v>8</v>
      </c>
      <c r="E10" s="97"/>
      <c r="F10" s="98"/>
    </row>
    <row r="11" spans="1:6" x14ac:dyDescent="0.25">
      <c r="A11" s="2" t="s">
        <v>23</v>
      </c>
      <c r="B11" s="4" t="s">
        <v>69</v>
      </c>
      <c r="C11" s="37">
        <v>1220</v>
      </c>
      <c r="D11" s="99">
        <v>1220</v>
      </c>
      <c r="E11" s="97"/>
      <c r="F11" s="98"/>
    </row>
    <row r="12" spans="1:6" x14ac:dyDescent="0.25">
      <c r="A12" s="2" t="s">
        <v>24</v>
      </c>
      <c r="B12" s="4" t="s">
        <v>6</v>
      </c>
      <c r="C12" s="37">
        <v>1800</v>
      </c>
      <c r="D12" s="100">
        <v>1800</v>
      </c>
      <c r="E12" s="97"/>
      <c r="F12" s="98"/>
    </row>
    <row r="13" spans="1:6" x14ac:dyDescent="0.25">
      <c r="A13" s="2" t="s">
        <v>70</v>
      </c>
      <c r="B13" s="4" t="s">
        <v>71</v>
      </c>
      <c r="C13" s="79">
        <f>4999940.5*(C11^(-1.53))</f>
        <v>94.805666397933763</v>
      </c>
      <c r="D13" s="7"/>
      <c r="E13" s="97"/>
      <c r="F13" s="98"/>
    </row>
    <row r="14" spans="1:6" x14ac:dyDescent="0.25">
      <c r="A14" s="2" t="s">
        <v>72</v>
      </c>
      <c r="B14" s="4" t="s">
        <v>73</v>
      </c>
      <c r="C14" s="79">
        <f>1994141.79*(C12^(-1.35))</f>
        <v>80.378177165924228</v>
      </c>
      <c r="D14" s="7"/>
      <c r="E14" s="97"/>
      <c r="F14" s="81"/>
    </row>
    <row r="15" spans="1:6" x14ac:dyDescent="0.25">
      <c r="A15" s="4"/>
      <c r="B15" s="3"/>
      <c r="C15" s="8"/>
      <c r="D15" s="8"/>
      <c r="E15" s="101"/>
      <c r="F15" s="102"/>
    </row>
    <row r="16" spans="1:6" x14ac:dyDescent="0.25">
      <c r="A16" s="80" t="s">
        <v>33</v>
      </c>
      <c r="B16" s="10"/>
      <c r="C16" s="86">
        <f>(C11-B4)*C13+(C12-B5)*C14</f>
        <v>178584.32499840992</v>
      </c>
      <c r="D16" s="103"/>
      <c r="E16" s="104"/>
      <c r="F16" s="105"/>
    </row>
    <row r="17" spans="1:6" x14ac:dyDescent="0.25">
      <c r="A17" s="1"/>
      <c r="B17" s="1"/>
      <c r="C17" s="1"/>
      <c r="D17" s="1"/>
      <c r="E17" s="97"/>
      <c r="F17" s="95"/>
    </row>
    <row r="18" spans="1:6" x14ac:dyDescent="0.25">
      <c r="A18" s="80" t="s">
        <v>1</v>
      </c>
      <c r="B18" s="15" t="s">
        <v>2</v>
      </c>
      <c r="C18" s="15"/>
      <c r="D18" s="15" t="s">
        <v>0</v>
      </c>
      <c r="E18" s="106"/>
      <c r="F18" s="107"/>
    </row>
    <row r="19" spans="1:6" x14ac:dyDescent="0.25">
      <c r="A19" s="5" t="s">
        <v>13</v>
      </c>
      <c r="B19" s="22">
        <f>C11</f>
        <v>1220</v>
      </c>
      <c r="C19" s="6" t="s">
        <v>3</v>
      </c>
      <c r="D19" s="19">
        <f>D11</f>
        <v>1220</v>
      </c>
      <c r="E19" s="108"/>
      <c r="F19" s="109"/>
    </row>
    <row r="20" spans="1:6" x14ac:dyDescent="0.25">
      <c r="A20" s="5" t="s">
        <v>14</v>
      </c>
      <c r="B20" s="22">
        <f>C12</f>
        <v>1800</v>
      </c>
      <c r="C20" s="6" t="s">
        <v>3</v>
      </c>
      <c r="D20" s="19">
        <f>D12</f>
        <v>1800</v>
      </c>
      <c r="E20" s="108"/>
      <c r="F20" s="109"/>
    </row>
    <row r="21" spans="1:6" x14ac:dyDescent="0.25">
      <c r="A21" s="5" t="s">
        <v>10</v>
      </c>
      <c r="B21" s="22">
        <f>SUMPRODUCT(C4:C5*C13:C14)</f>
        <v>175.18384356385798</v>
      </c>
      <c r="C21" s="6" t="s">
        <v>3</v>
      </c>
      <c r="D21" s="19">
        <f>C7</f>
        <v>180</v>
      </c>
      <c r="E21" s="108"/>
      <c r="F21" s="109"/>
    </row>
    <row r="22" spans="1:6" x14ac:dyDescent="0.25">
      <c r="A22" s="5" t="s">
        <v>9</v>
      </c>
      <c r="B22" s="22">
        <f>SUMPRODUCT(D4:D5*C13:C14)</f>
        <v>2234.1074986341255</v>
      </c>
      <c r="C22" s="6" t="s">
        <v>3</v>
      </c>
      <c r="D22" s="19">
        <f>D7</f>
        <v>2700</v>
      </c>
      <c r="E22" s="108"/>
      <c r="F22" s="109"/>
    </row>
    <row r="23" spans="1:6" x14ac:dyDescent="0.25">
      <c r="A23" s="5" t="s">
        <v>34</v>
      </c>
      <c r="B23" s="22">
        <f>SUMPRODUCT(E4:E5*C13:C14)</f>
        <v>861.49172858728048</v>
      </c>
      <c r="C23" s="6" t="s">
        <v>3</v>
      </c>
      <c r="D23" s="19">
        <f>E7</f>
        <v>1100</v>
      </c>
      <c r="E23" s="108"/>
      <c r="F23" s="109"/>
    </row>
    <row r="24" spans="1:6" ht="13.8" thickBot="1" x14ac:dyDescent="0.3"/>
    <row r="25" spans="1:6" x14ac:dyDescent="0.25">
      <c r="A25" s="89" t="s">
        <v>86</v>
      </c>
      <c r="B25" s="38"/>
      <c r="C25" s="38"/>
      <c r="D25" s="38"/>
      <c r="E25" s="38"/>
      <c r="F25" s="39"/>
    </row>
    <row r="26" spans="1:6" x14ac:dyDescent="0.25">
      <c r="A26" s="90" t="s">
        <v>87</v>
      </c>
      <c r="F26" s="40"/>
    </row>
    <row r="27" spans="1:6" x14ac:dyDescent="0.25">
      <c r="A27" s="90" t="s">
        <v>88</v>
      </c>
      <c r="F27" s="40"/>
    </row>
    <row r="28" spans="1:6" x14ac:dyDescent="0.25">
      <c r="A28" s="90" t="s">
        <v>89</v>
      </c>
      <c r="F28" s="40"/>
    </row>
    <row r="29" spans="1:6" x14ac:dyDescent="0.25">
      <c r="A29" s="90" t="s">
        <v>90</v>
      </c>
      <c r="F29" s="40"/>
    </row>
    <row r="30" spans="1:6" x14ac:dyDescent="0.25">
      <c r="A30" s="90" t="s">
        <v>91</v>
      </c>
      <c r="F30" s="40"/>
    </row>
    <row r="31" spans="1:6" ht="13.8" thickBot="1" x14ac:dyDescent="0.3">
      <c r="A31" s="91" t="s">
        <v>92</v>
      </c>
      <c r="B31" s="41"/>
      <c r="C31" s="41"/>
      <c r="D31" s="41"/>
      <c r="E31" s="41"/>
      <c r="F31" s="4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8"/>
  <sheetViews>
    <sheetView workbookViewId="0"/>
  </sheetViews>
  <sheetFormatPr defaultRowHeight="13.2" x14ac:dyDescent="0.25"/>
  <sheetData>
    <row r="1" spans="1:2" x14ac:dyDescent="0.25">
      <c r="A1">
        <v>1</v>
      </c>
      <c r="B1">
        <v>1</v>
      </c>
    </row>
    <row r="2" spans="1:2" x14ac:dyDescent="0.25">
      <c r="A2" t="s">
        <v>45</v>
      </c>
      <c r="B2" t="s">
        <v>45</v>
      </c>
    </row>
    <row r="3" spans="1:2" x14ac:dyDescent="0.25">
      <c r="A3">
        <v>1</v>
      </c>
      <c r="B3">
        <v>1</v>
      </c>
    </row>
    <row r="4" spans="1:2" x14ac:dyDescent="0.25">
      <c r="A4">
        <v>500</v>
      </c>
      <c r="B4">
        <v>1000</v>
      </c>
    </row>
    <row r="5" spans="1:2" x14ac:dyDescent="0.25">
      <c r="A5">
        <v>3500</v>
      </c>
      <c r="B5">
        <v>2000</v>
      </c>
    </row>
    <row r="6" spans="1:2" x14ac:dyDescent="0.25">
      <c r="A6">
        <v>200</v>
      </c>
      <c r="B6">
        <v>100</v>
      </c>
    </row>
    <row r="8" spans="1:2" x14ac:dyDescent="0.25">
      <c r="A8" s="20"/>
      <c r="B8" s="20" t="s">
        <v>46</v>
      </c>
    </row>
    <row r="9" spans="1:2" x14ac:dyDescent="0.25">
      <c r="A9" t="s">
        <v>37</v>
      </c>
      <c r="B9" t="s">
        <v>47</v>
      </c>
    </row>
    <row r="10" spans="1:2" x14ac:dyDescent="0.25">
      <c r="A10" t="s">
        <v>40</v>
      </c>
      <c r="B10">
        <v>1</v>
      </c>
    </row>
    <row r="11" spans="1:2" x14ac:dyDescent="0.25">
      <c r="B11">
        <v>1000</v>
      </c>
    </row>
    <row r="12" spans="1:2" x14ac:dyDescent="0.25">
      <c r="B12">
        <v>2000</v>
      </c>
    </row>
    <row r="13" spans="1:2" x14ac:dyDescent="0.25">
      <c r="B13">
        <v>100</v>
      </c>
    </row>
    <row r="15" spans="1:2" x14ac:dyDescent="0.25">
      <c r="B15" s="20" t="s">
        <v>46</v>
      </c>
    </row>
    <row r="16" spans="1:2" x14ac:dyDescent="0.25">
      <c r="B16" t="s">
        <v>48</v>
      </c>
    </row>
    <row r="17" spans="2:2" x14ac:dyDescent="0.25">
      <c r="B17" t="s">
        <v>49</v>
      </c>
    </row>
    <row r="18" spans="2:2" x14ac:dyDescent="0.25">
      <c r="B18" t="s">
        <v>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861F5-3B7F-4BD6-996F-381599B8650E}">
  <dimension ref="A1:B15"/>
  <sheetViews>
    <sheetView workbookViewId="0"/>
  </sheetViews>
  <sheetFormatPr defaultRowHeight="13.2" x14ac:dyDescent="0.25"/>
  <sheetData>
    <row r="1" spans="1:2" x14ac:dyDescent="0.25">
      <c r="A1">
        <v>1</v>
      </c>
    </row>
    <row r="2" spans="1:2" x14ac:dyDescent="0.25">
      <c r="A2" t="s">
        <v>93</v>
      </c>
    </row>
    <row r="3" spans="1:2" x14ac:dyDescent="0.25">
      <c r="A3">
        <v>1</v>
      </c>
    </row>
    <row r="4" spans="1:2" x14ac:dyDescent="0.25">
      <c r="A4">
        <v>100</v>
      </c>
    </row>
    <row r="5" spans="1:2" x14ac:dyDescent="0.25">
      <c r="A5">
        <v>300</v>
      </c>
    </row>
    <row r="6" spans="1:2" x14ac:dyDescent="0.25">
      <c r="A6">
        <v>5</v>
      </c>
    </row>
    <row r="8" spans="1:2" x14ac:dyDescent="0.25">
      <c r="A8" s="20"/>
      <c r="B8" s="20"/>
    </row>
    <row r="9" spans="1:2" x14ac:dyDescent="0.25">
      <c r="A9" t="s">
        <v>94</v>
      </c>
    </row>
    <row r="10" spans="1:2" x14ac:dyDescent="0.25">
      <c r="A10" t="s">
        <v>95</v>
      </c>
    </row>
    <row r="15" spans="1:2" x14ac:dyDescent="0.25">
      <c r="B15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8"/>
  <sheetViews>
    <sheetView workbookViewId="0"/>
  </sheetViews>
  <sheetFormatPr defaultRowHeight="13.2" x14ac:dyDescent="0.25"/>
  <sheetData>
    <row r="1" spans="1:2" x14ac:dyDescent="0.25">
      <c r="A1">
        <v>1</v>
      </c>
      <c r="B1">
        <v>1</v>
      </c>
    </row>
    <row r="2" spans="1:2" x14ac:dyDescent="0.25">
      <c r="A2" t="s">
        <v>51</v>
      </c>
      <c r="B2" t="s">
        <v>45</v>
      </c>
    </row>
    <row r="3" spans="1:2" x14ac:dyDescent="0.25">
      <c r="A3">
        <v>1</v>
      </c>
      <c r="B3">
        <v>1</v>
      </c>
    </row>
    <row r="4" spans="1:2" x14ac:dyDescent="0.25">
      <c r="A4">
        <v>100</v>
      </c>
      <c r="B4">
        <v>500</v>
      </c>
    </row>
    <row r="5" spans="1:2" x14ac:dyDescent="0.25">
      <c r="A5">
        <v>350</v>
      </c>
      <c r="B5">
        <v>2000</v>
      </c>
    </row>
    <row r="6" spans="1:2" x14ac:dyDescent="0.25">
      <c r="A6">
        <v>10</v>
      </c>
      <c r="B6">
        <v>50</v>
      </c>
    </row>
    <row r="8" spans="1:2" x14ac:dyDescent="0.25">
      <c r="A8" s="20"/>
      <c r="B8" s="20" t="s">
        <v>46</v>
      </c>
    </row>
    <row r="9" spans="1:2" x14ac:dyDescent="0.25">
      <c r="A9" t="s">
        <v>48</v>
      </c>
      <c r="B9" t="s">
        <v>47</v>
      </c>
    </row>
    <row r="10" spans="1:2" x14ac:dyDescent="0.25">
      <c r="A10" t="s">
        <v>17</v>
      </c>
      <c r="B10">
        <v>1</v>
      </c>
    </row>
    <row r="11" spans="1:2" x14ac:dyDescent="0.25">
      <c r="B11">
        <v>500</v>
      </c>
    </row>
    <row r="12" spans="1:2" x14ac:dyDescent="0.25">
      <c r="B12">
        <v>2000</v>
      </c>
    </row>
    <row r="13" spans="1:2" x14ac:dyDescent="0.25">
      <c r="B13">
        <v>50</v>
      </c>
    </row>
    <row r="15" spans="1:2" x14ac:dyDescent="0.25">
      <c r="B15" s="20" t="s">
        <v>46</v>
      </c>
    </row>
    <row r="16" spans="1:2" x14ac:dyDescent="0.25">
      <c r="B16" t="s">
        <v>52</v>
      </c>
    </row>
    <row r="17" spans="2:2" x14ac:dyDescent="0.25">
      <c r="B17" t="s">
        <v>49</v>
      </c>
    </row>
    <row r="18" spans="2:2" x14ac:dyDescent="0.25">
      <c r="B18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Q1_demand</vt:lpstr>
      <vt:lpstr>Q2_model</vt:lpstr>
      <vt:lpstr>Q3_solution</vt:lpstr>
      <vt:lpstr>Q4_max_price</vt:lpstr>
      <vt:lpstr>Q5_sensitivity</vt:lpstr>
      <vt:lpstr>Q5_sensitivity!ChartData</vt:lpstr>
      <vt:lpstr>Q5_sensitivity!InputValues</vt:lpstr>
      <vt:lpstr>Q5_sensitivity!OutputAddresses</vt:lpstr>
      <vt:lpstr>Q5_sensitivity!OutputValues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Z.D.R.</dc:creator>
  <cp:lastModifiedBy>Zinovy Radovilsky</cp:lastModifiedBy>
  <dcterms:created xsi:type="dcterms:W3CDTF">2002-07-12T05:36:18Z</dcterms:created>
  <dcterms:modified xsi:type="dcterms:W3CDTF">2022-04-29T22:08:27Z</dcterms:modified>
</cp:coreProperties>
</file>