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\Desktop\"/>
    </mc:Choice>
  </mc:AlternateContent>
  <xr:revisionPtr revIDLastSave="0" documentId="13_ncr:1_{EB54250B-85C3-4059-AA41-AB06B85DF416}" xr6:coauthVersionLast="36" xr6:coauthVersionMax="36" xr10:uidLastSave="{00000000-0000-0000-0000-000000000000}"/>
  <bookViews>
    <workbookView xWindow="0" yWindow="0" windowWidth="19200" windowHeight="6930" activeTab="1" xr2:uid="{16CF1025-0483-4A4C-8E52-C324B8409A57}"/>
  </bookViews>
  <sheets>
    <sheet name="constant elasticity demand" sheetId="1" r:id="rId1"/>
    <sheet name="NLP Model" sheetId="2" r:id="rId2"/>
    <sheet name="NLP model new" sheetId="3" r:id="rId3"/>
    <sheet name="SolverTable-Aqua-Spa" sheetId="5" r:id="rId4"/>
    <sheet name="Solvertable-Hydro-Luxe" sheetId="6" r:id="rId5"/>
  </sheets>
  <definedNames>
    <definedName name="ChartData" localSheetId="3">'SolverTable-Aqua-Spa'!$K$5:$K$45</definedName>
    <definedName name="ChartData" localSheetId="4">'Solvertable-Hydro-Luxe'!$K$5:$K$45</definedName>
    <definedName name="InputValues" localSheetId="3">'SolverTable-Aqua-Spa'!$A$5:$A$45</definedName>
    <definedName name="InputValues" localSheetId="4">'Solvertable-Hydro-Luxe'!$A$5:$A$45</definedName>
    <definedName name="OutputAddresses" localSheetId="3">'SolverTable-Aqua-Spa'!$B$4:$D$4</definedName>
    <definedName name="OutputAddresses" localSheetId="4">'Solvertable-Hydro-Luxe'!$B$4:$D$4</definedName>
    <definedName name="OutputValues" localSheetId="3">'SolverTable-Aqua-Spa'!$B$5:$D$45</definedName>
    <definedName name="OutputValues" localSheetId="4">'Solvertable-Hydro-Luxe'!$B$5:$D$45</definedName>
    <definedName name="solver_adj" localSheetId="1" hidden="1">'NLP Model'!$D$12,'NLP Model'!$I$12</definedName>
    <definedName name="solver_adj" localSheetId="2" hidden="1">'NLP model new'!$D$12,'NLP model new'!$I$12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1" hidden="1">'NLP Model'!$J$25:$J$27</definedName>
    <definedName name="solver_lhs1" localSheetId="2" hidden="1">'NLP model new'!$J$25:$J$27</definedName>
    <definedName name="solver_lhs2" localSheetId="2" hidden="1">'NLP model new'!$J$28:$J$29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1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'NLP Model'!#REF!</definedName>
    <definedName name="solver_opt" localSheetId="1" hidden="1">'NLP Model'!$G$19</definedName>
    <definedName name="solver_opt" localSheetId="2" hidden="1">'NLP model new'!$G$19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2</definedName>
    <definedName name="solver_rel1" localSheetId="1" hidden="1">1</definedName>
    <definedName name="solver_rel1" localSheetId="2" hidden="1">1</definedName>
    <definedName name="solver_rel2" localSheetId="2" hidden="1">1</definedName>
    <definedName name="solver_rhs1" localSheetId="1" hidden="1">'NLP Model'!$L$25:$L$27</definedName>
    <definedName name="solver_rhs1" localSheetId="2" hidden="1">'NLP model new'!$L$25:$L$27</definedName>
    <definedName name="solver_rhs2" localSheetId="2" hidden="1">'NLP model new'!$L$28:$L$29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6" l="1"/>
  <c r="J4" i="6"/>
  <c r="K5" i="6"/>
  <c r="K8" i="6"/>
  <c r="K11" i="6"/>
  <c r="K12" i="6"/>
  <c r="K13" i="6"/>
  <c r="K14" i="6"/>
  <c r="K15" i="6"/>
  <c r="K16" i="6"/>
  <c r="K19" i="6"/>
  <c r="K20" i="6"/>
  <c r="K24" i="6"/>
  <c r="K25" i="6"/>
  <c r="K26" i="6"/>
  <c r="K27" i="6"/>
  <c r="K28" i="6"/>
  <c r="K31" i="6"/>
  <c r="K32" i="6"/>
  <c r="K33" i="6"/>
  <c r="K34" i="6"/>
  <c r="K39" i="6"/>
  <c r="K40" i="6"/>
  <c r="K43" i="6"/>
  <c r="K44" i="6"/>
  <c r="K45" i="6"/>
  <c r="K1" i="5"/>
  <c r="J4" i="5"/>
  <c r="K15" i="5"/>
  <c r="D13" i="3"/>
  <c r="I13" i="3"/>
  <c r="I14" i="3"/>
  <c r="D17" i="3"/>
  <c r="F17" i="3"/>
  <c r="I17" i="3"/>
  <c r="K17" i="3"/>
  <c r="J25" i="3"/>
  <c r="L25" i="3"/>
  <c r="L26" i="3"/>
  <c r="L27" i="3"/>
  <c r="J28" i="3"/>
  <c r="J29" i="3"/>
  <c r="D34" i="3"/>
  <c r="J34" i="3"/>
  <c r="C35" i="3"/>
  <c r="C36" i="3"/>
  <c r="D35" i="3"/>
  <c r="I35" i="3"/>
  <c r="J35" i="3"/>
  <c r="D13" i="2"/>
  <c r="I13" i="2"/>
  <c r="J25" i="2"/>
  <c r="I14" i="2"/>
  <c r="D17" i="2"/>
  <c r="F17" i="2"/>
  <c r="I17" i="2"/>
  <c r="K17" i="2"/>
  <c r="L25" i="2"/>
  <c r="L26" i="2"/>
  <c r="L27" i="2"/>
  <c r="D34" i="2"/>
  <c r="J34" i="2"/>
  <c r="C35" i="2"/>
  <c r="D35" i="2"/>
  <c r="I35" i="2"/>
  <c r="I36" i="2"/>
  <c r="J35" i="2"/>
  <c r="C36" i="2"/>
  <c r="D36" i="2"/>
  <c r="J26" i="3"/>
  <c r="J27" i="3"/>
  <c r="D14" i="2"/>
  <c r="G19" i="2"/>
  <c r="J27" i="2"/>
  <c r="J26" i="2"/>
  <c r="K38" i="6"/>
  <c r="K10" i="6"/>
  <c r="K37" i="6"/>
  <c r="K23" i="6"/>
  <c r="K9" i="6"/>
  <c r="K36" i="6"/>
  <c r="K22" i="6"/>
  <c r="K35" i="6"/>
  <c r="K21" i="6"/>
  <c r="K7" i="6"/>
  <c r="K42" i="6"/>
  <c r="K30" i="6"/>
  <c r="K18" i="6"/>
  <c r="K6" i="6"/>
  <c r="K41" i="6"/>
  <c r="K29" i="6"/>
  <c r="K17" i="6"/>
  <c r="K38" i="5"/>
  <c r="K26" i="5"/>
  <c r="K14" i="5"/>
  <c r="K37" i="5"/>
  <c r="K12" i="5"/>
  <c r="K11" i="5"/>
  <c r="K10" i="5"/>
  <c r="K33" i="5"/>
  <c r="K43" i="5"/>
  <c r="K7" i="5"/>
  <c r="K36" i="5"/>
  <c r="K23" i="5"/>
  <c r="K34" i="5"/>
  <c r="K21" i="5"/>
  <c r="K44" i="5"/>
  <c r="K8" i="5"/>
  <c r="K19" i="5"/>
  <c r="K42" i="5"/>
  <c r="K30" i="5"/>
  <c r="K18" i="5"/>
  <c r="K6" i="5"/>
  <c r="K25" i="5"/>
  <c r="K24" i="5"/>
  <c r="K35" i="5"/>
  <c r="K22" i="5"/>
  <c r="K45" i="5"/>
  <c r="K9" i="5"/>
  <c r="K32" i="5"/>
  <c r="K20" i="5"/>
  <c r="K31" i="5"/>
  <c r="K41" i="5"/>
  <c r="K29" i="5"/>
  <c r="K17" i="5"/>
  <c r="K5" i="5"/>
  <c r="K13" i="5"/>
  <c r="K40" i="5"/>
  <c r="K28" i="5"/>
  <c r="K16" i="5"/>
  <c r="K39" i="5"/>
  <c r="K27" i="5"/>
  <c r="D36" i="3"/>
  <c r="C37" i="3"/>
  <c r="I36" i="3"/>
  <c r="D14" i="3"/>
  <c r="G19" i="3"/>
  <c r="I37" i="2"/>
  <c r="J36" i="2"/>
  <c r="C37" i="2"/>
  <c r="I37" i="3"/>
  <c r="J36" i="3"/>
  <c r="D37" i="3"/>
  <c r="C38" i="3"/>
  <c r="D37" i="2"/>
  <c r="C38" i="2"/>
  <c r="I38" i="2"/>
  <c r="J37" i="2"/>
  <c r="C39" i="3"/>
  <c r="D38" i="3"/>
  <c r="I38" i="3"/>
  <c r="J37" i="3"/>
  <c r="D38" i="2"/>
  <c r="C39" i="2"/>
  <c r="I39" i="2"/>
  <c r="J38" i="2"/>
  <c r="D39" i="3"/>
  <c r="C40" i="3"/>
  <c r="J38" i="3"/>
  <c r="I39" i="3"/>
  <c r="I40" i="2"/>
  <c r="J39" i="2"/>
  <c r="D39" i="2"/>
  <c r="C40" i="2"/>
  <c r="I40" i="3"/>
  <c r="J39" i="3"/>
  <c r="D40" i="3"/>
  <c r="C41" i="3"/>
  <c r="D40" i="2"/>
  <c r="C41" i="2"/>
  <c r="J40" i="2"/>
  <c r="I41" i="2"/>
  <c r="C42" i="3"/>
  <c r="D41" i="3"/>
  <c r="I41" i="3"/>
  <c r="J40" i="3"/>
  <c r="I42" i="2"/>
  <c r="J41" i="2"/>
  <c r="C42" i="2"/>
  <c r="D41" i="2"/>
  <c r="J41" i="3"/>
  <c r="I42" i="3"/>
  <c r="C43" i="3"/>
  <c r="D42" i="3"/>
  <c r="D42" i="2"/>
  <c r="C43" i="2"/>
  <c r="I43" i="2"/>
  <c r="J42" i="2"/>
  <c r="C44" i="3"/>
  <c r="D43" i="3"/>
  <c r="J42" i="3"/>
  <c r="I43" i="3"/>
  <c r="C44" i="2"/>
  <c r="D43" i="2"/>
  <c r="I44" i="2"/>
  <c r="J43" i="2"/>
  <c r="J43" i="3"/>
  <c r="I44" i="3"/>
  <c r="C45" i="3"/>
  <c r="D44" i="3"/>
  <c r="I45" i="2"/>
  <c r="J44" i="2"/>
  <c r="C45" i="2"/>
  <c r="D44" i="2"/>
  <c r="C46" i="3"/>
  <c r="D45" i="3"/>
  <c r="J44" i="3"/>
  <c r="I45" i="3"/>
  <c r="D45" i="2"/>
  <c r="C46" i="2"/>
  <c r="I46" i="2"/>
  <c r="J45" i="2"/>
  <c r="J45" i="3"/>
  <c r="I46" i="3"/>
  <c r="D46" i="3"/>
  <c r="C47" i="3"/>
  <c r="I47" i="2"/>
  <c r="J46" i="2"/>
  <c r="D46" i="2"/>
  <c r="C47" i="2"/>
  <c r="C48" i="3"/>
  <c r="D47" i="3"/>
  <c r="I47" i="3"/>
  <c r="J46" i="3"/>
  <c r="D47" i="2"/>
  <c r="C48" i="2"/>
  <c r="I48" i="2"/>
  <c r="J47" i="2"/>
  <c r="J47" i="3"/>
  <c r="I48" i="3"/>
  <c r="D48" i="3"/>
  <c r="C49" i="3"/>
  <c r="I49" i="2"/>
  <c r="J48" i="2"/>
  <c r="D48" i="2"/>
  <c r="C49" i="2"/>
  <c r="D49" i="3"/>
  <c r="C50" i="3"/>
  <c r="I49" i="3"/>
  <c r="J48" i="3"/>
  <c r="D49" i="2"/>
  <c r="C50" i="2"/>
  <c r="J49" i="2"/>
  <c r="I50" i="2"/>
  <c r="J49" i="3"/>
  <c r="I50" i="3"/>
  <c r="C51" i="3"/>
  <c r="D50" i="3"/>
  <c r="D50" i="2"/>
  <c r="C51" i="2"/>
  <c r="I51" i="2"/>
  <c r="J50" i="2"/>
  <c r="C52" i="3"/>
  <c r="D51" i="3"/>
  <c r="J50" i="3"/>
  <c r="I51" i="3"/>
  <c r="J51" i="2"/>
  <c r="I52" i="2"/>
  <c r="D51" i="2"/>
  <c r="C52" i="2"/>
  <c r="J51" i="3"/>
  <c r="I52" i="3"/>
  <c r="C53" i="3"/>
  <c r="D52" i="3"/>
  <c r="J52" i="2"/>
  <c r="I53" i="2"/>
  <c r="D52" i="2"/>
  <c r="C53" i="2"/>
  <c r="C54" i="3"/>
  <c r="D53" i="3"/>
  <c r="J52" i="3"/>
  <c r="I53" i="3"/>
  <c r="I54" i="2"/>
  <c r="J53" i="2"/>
  <c r="C54" i="2"/>
  <c r="D53" i="2"/>
  <c r="J53" i="3"/>
  <c r="I54" i="3"/>
  <c r="D54" i="3"/>
  <c r="C55" i="3"/>
  <c r="D54" i="2"/>
  <c r="C55" i="2"/>
  <c r="I55" i="2"/>
  <c r="J54" i="2"/>
  <c r="D55" i="3"/>
  <c r="C56" i="3"/>
  <c r="J54" i="3"/>
  <c r="I55" i="3"/>
  <c r="I56" i="2"/>
  <c r="J55" i="2"/>
  <c r="D55" i="2"/>
  <c r="C56" i="2"/>
  <c r="I56" i="3"/>
  <c r="J55" i="3"/>
  <c r="D56" i="3"/>
  <c r="C57" i="3"/>
  <c r="D57" i="3"/>
  <c r="C57" i="2"/>
  <c r="D57" i="2"/>
  <c r="D56" i="2"/>
  <c r="J56" i="2"/>
  <c r="I57" i="2"/>
  <c r="J57" i="2"/>
  <c r="J56" i="3"/>
  <c r="I57" i="3"/>
  <c r="J5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9A228AE4-11E4-463F-92F1-9566C93513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28AC4B92-94FE-469E-B8B8-0535F479A2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07DED73A-250D-4F34-842D-5EC0B5481E4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393CC0A7-2A37-42C2-946D-C04B18505F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E552C45D-CCD1-4450-B2A3-08C1E04402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4058C739-31D9-48F1-8BBE-963E8116B3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4988EF50-E672-46AC-9001-18588A4420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A8E63BA3-123B-47D8-90E5-321D472A81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07B27455-CE97-4AAF-9100-A13392A298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47AD87EA-114B-4276-A594-C3F5459E09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41F6C63A-50A2-4E87-B98A-634DBBCFB4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827FA0DD-3B67-4302-95F4-0A18D3AA7A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452BF59B-2ABD-4510-8D66-5BC4088038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 shapeId="0" xr:uid="{12C162DA-F3DD-4217-8252-3DF565C6BA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A243BCFA-9017-4FB2-A014-310CEDCF00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70F40E40-FC96-4039-95C2-E336F166AF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A879B9EA-9E3E-459F-8082-FDABD9152C3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2" authorId="0" shapeId="0" xr:uid="{E6FA64A9-68D8-44A2-9AFE-C729C636933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3" authorId="0" shapeId="0" xr:uid="{B71A307B-3EB5-46E4-BF66-1D60663F362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4" authorId="0" shapeId="0" xr:uid="{C42789D1-53F5-4D47-9C1E-ABB6E5A416D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5" authorId="0" shapeId="0" xr:uid="{686B3F3B-FB7A-43B5-95E9-A98B9A96DF4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6" authorId="0" shapeId="0" xr:uid="{CED5BA92-CDB8-4239-9F2C-1E78BB61ACF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7" authorId="0" shapeId="0" xr:uid="{DED8CB1C-43C4-454B-A3C3-DF44CA0FD2A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8" authorId="0" shapeId="0" xr:uid="{060B6858-0061-4894-A36F-A7A90EF90DF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9" authorId="0" shapeId="0" xr:uid="{9891F9DD-BBAF-40EB-9181-C5EB328BC25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0" authorId="0" shapeId="0" xr:uid="{2E0777D3-54F1-4046-B64E-00AE3A5492C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1" authorId="0" shapeId="0" xr:uid="{FC1D4D66-8F71-44A7-B26E-8111A8A1177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2" authorId="0" shapeId="0" xr:uid="{4BB9C7B6-E813-409F-8D08-1E3F5A1E36F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3" authorId="0" shapeId="0" xr:uid="{4CC04951-B06B-4627-AA2E-D0F3FFE64BF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4" authorId="0" shapeId="0" xr:uid="{EA7435E2-23C1-41E4-B8D8-522561931BD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5" authorId="0" shapeId="0" xr:uid="{F7E55B48-F853-4805-800B-09373CB7C2E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6" authorId="0" shapeId="0" xr:uid="{10A7980C-8E8F-440C-9F72-7846B3916CF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7" authorId="0" shapeId="0" xr:uid="{00D9D1BF-4188-40CD-AE7C-2C4106E740D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8" authorId="0" shapeId="0" xr:uid="{8C20BD9A-0421-45EF-8560-8A9379255CA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9" authorId="0" shapeId="0" xr:uid="{0996FD4E-A46E-476D-B09C-9CA53984131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0" authorId="0" shapeId="0" xr:uid="{82F494BD-E355-45AB-9AE5-CB27AC75E9E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1" authorId="0" shapeId="0" xr:uid="{FE9F0ADC-6671-4BE5-B518-F8195D29FD2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2" authorId="0" shapeId="0" xr:uid="{583A7682-1A61-43A4-8B0E-7AC91EFC5C7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3" authorId="0" shapeId="0" xr:uid="{0A960976-11AE-4992-AED2-04E68F3E7F0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4" authorId="0" shapeId="0" xr:uid="{A3664CDE-FA34-4C35-8FE9-E9EDC06E0F6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5" authorId="0" shapeId="0" xr:uid="{DB2FCDEA-D5AD-41B3-9542-8D25D7B84DC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5C04D356-7954-4F1D-8984-EF0E4FB195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08A29D83-52EC-4B10-A40E-F3F1F97698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D177284A-6C48-458B-AFDC-E8FFABC5F9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018DDA50-A284-404D-9506-C417A7EED7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7D3E8B8A-98B3-4FAA-8581-693125CFE4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466A6BCF-9E69-4614-912F-FEBA2D2704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5F26EA98-248D-40C8-B7EB-7DBAEEE3FB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CF6E7468-0746-4BD1-B9EB-C92F461B27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A8EAD0CD-49EF-45D2-9886-593F742553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469593CE-5887-4C76-9F1A-78A105D4B3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44A631B6-92B6-4726-B0F1-6174B6A49D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A2552DD8-A5E1-4787-92DE-D9FB52AE1B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B09226B8-00B8-4214-A202-D9AB845F7A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 shapeId="0" xr:uid="{AE2375AF-7DB3-44DA-9F97-D54E1DC5AE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CBF72D43-E170-4418-B066-1DE49B7044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61E2310F-943D-472A-8ABE-232C86282A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E545D056-09BF-45B6-860B-DE93EEFFD40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2" authorId="0" shapeId="0" xr:uid="{556D574B-3BB7-45FD-9343-F0443FD57A3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3" authorId="0" shapeId="0" xr:uid="{05CEFC4E-9F0C-436E-84E7-4ABAE1D189B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4" authorId="0" shapeId="0" xr:uid="{B1DDE846-6AD3-4077-BE6D-62EA92CC557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5" authorId="0" shapeId="0" xr:uid="{73868540-7F39-4537-B984-6F2F6D6B447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6" authorId="0" shapeId="0" xr:uid="{66AF627D-0193-436B-AB0B-B7FD9CA077B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7" authorId="0" shapeId="0" xr:uid="{2C3B88E6-5C7F-4099-BD34-70637C1465C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8" authorId="0" shapeId="0" xr:uid="{9314CA27-3543-431B-8D74-98AF2DF4194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9" authorId="0" shapeId="0" xr:uid="{CEBB0FB2-500D-4CB8-B787-DEC484B281E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0" authorId="0" shapeId="0" xr:uid="{D303FD72-E957-4221-B6EC-67A0DB9668B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1" authorId="0" shapeId="0" xr:uid="{77076924-DBF7-4724-9959-F7C32EF2086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2" authorId="0" shapeId="0" xr:uid="{945A8D28-BB16-4BFE-A586-43FE8957B19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3" authorId="0" shapeId="0" xr:uid="{8FA52DE9-87DE-41CF-993C-17BF9E7FEE1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4" authorId="0" shapeId="0" xr:uid="{0763468E-016F-4DF7-B938-FC7F113FC90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5" authorId="0" shapeId="0" xr:uid="{75A65123-317A-469F-AC29-81A837C319B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6" authorId="0" shapeId="0" xr:uid="{D2E6A690-F927-497D-BB5F-35C3D860781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7" authorId="0" shapeId="0" xr:uid="{6EDED874-1658-41B3-A030-10E13500A81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8" authorId="0" shapeId="0" xr:uid="{D7923589-CDB5-477E-8180-8048FEB94C0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39" authorId="0" shapeId="0" xr:uid="{AF988223-3754-4200-9F24-867D3535217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0" authorId="0" shapeId="0" xr:uid="{82B5FEB4-4AE9-4AE7-B426-9118D1AC6BF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1" authorId="0" shapeId="0" xr:uid="{BD1335D1-8B01-4A07-8911-865BF8D9C67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2" authorId="0" shapeId="0" xr:uid="{4A7ABFD5-BA62-4A04-8D72-37EA0675902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3" authorId="0" shapeId="0" xr:uid="{0DF6B6F6-FDA7-4D91-A465-DD9462A82E7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4" authorId="0" shapeId="0" xr:uid="{E9B55DFD-75C6-4245-9049-BEDC7F138F7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45" authorId="0" shapeId="0" xr:uid="{2211052A-B733-445D-8050-53027A08F08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sharedStrings.xml><?xml version="1.0" encoding="utf-8"?>
<sst xmlns="http://schemas.openxmlformats.org/spreadsheetml/2006/main" count="179" uniqueCount="66">
  <si>
    <t>Demand</t>
  </si>
  <si>
    <t>Price</t>
  </si>
  <si>
    <t>Period</t>
  </si>
  <si>
    <t>Price and Demand for Hydro Luxe</t>
  </si>
  <si>
    <t>Demand and Price for Aqua Spa</t>
  </si>
  <si>
    <t>MAX</t>
  </si>
  <si>
    <t>&lt;=</t>
  </si>
  <si>
    <t>Labor required</t>
  </si>
  <si>
    <t xml:space="preserve">Tubing material required </t>
  </si>
  <si>
    <t>Supplier</t>
  </si>
  <si>
    <t xml:space="preserve">Quantity of pump required </t>
  </si>
  <si>
    <t>Hydro Luxe</t>
  </si>
  <si>
    <t>RHS</t>
  </si>
  <si>
    <t>LHS</t>
  </si>
  <si>
    <t>Aqua Spa</t>
  </si>
  <si>
    <t>CONSTRAINTS</t>
  </si>
  <si>
    <t>Labor</t>
  </si>
  <si>
    <t>TubeLength</t>
  </si>
  <si>
    <t>Pump</t>
  </si>
  <si>
    <t>Cost</t>
  </si>
  <si>
    <t>Objective to maximize total profit</t>
  </si>
  <si>
    <t>Total Profit</t>
  </si>
  <si>
    <t>&gt;=</t>
  </si>
  <si>
    <t>Minimum price</t>
  </si>
  <si>
    <t>Constraints</t>
  </si>
  <si>
    <t>Profit</t>
  </si>
  <si>
    <t>Demand based on price</t>
  </si>
  <si>
    <t>Decision variable</t>
  </si>
  <si>
    <t>Elasticity</t>
  </si>
  <si>
    <t>Constant</t>
  </si>
  <si>
    <t>Demand function</t>
  </si>
  <si>
    <t>Demand function Aqua Spa</t>
  </si>
  <si>
    <t>Unit cost</t>
  </si>
  <si>
    <t>Hydro Lux</t>
  </si>
  <si>
    <t>Price of Hydro Luxe new</t>
  </si>
  <si>
    <t>Price of Aqua Spa new</t>
  </si>
  <si>
    <t>Not feasible</t>
  </si>
  <si>
    <t>$D$12</t>
  </si>
  <si>
    <t>$G$20</t>
  </si>
  <si>
    <t>$D$13</t>
  </si>
  <si>
    <t>Data for chart</t>
  </si>
  <si>
    <t>Input (cell $L$26) values along side, output cell(s) along top</t>
  </si>
  <si>
    <t>Oneway analysis for Solver model in Sheet2 (3) worksheet</t>
  </si>
  <si>
    <t>$I$12</t>
  </si>
  <si>
    <t>$I$13</t>
  </si>
  <si>
    <t>R² = 0.89 tells that 89% of the variation in demand depends upon the price.</t>
  </si>
  <si>
    <r>
      <t>y = 4,999,940.50x</t>
    </r>
    <r>
      <rPr>
        <vertAlign val="superscript"/>
        <sz val="11"/>
        <color theme="1"/>
        <rFont val="Calibri"/>
        <family val="2"/>
        <scheme val="minor"/>
      </rPr>
      <t>-1.53</t>
    </r>
    <r>
      <rPr>
        <sz val="11"/>
        <color theme="1"/>
        <rFont val="Calibri"/>
        <family val="2"/>
        <scheme val="minor"/>
      </rPr>
      <t>, we use this to identify the cost.</t>
    </r>
  </si>
  <si>
    <t>R² = 0.88 tells that 88% of the variation in demand depends upon the price.</t>
  </si>
  <si>
    <t>y = 1,994,141.79x-1.35, we use this to identify the cost.</t>
  </si>
  <si>
    <t>by using the formula D= ap^b, where a is the constant 4,999,940.50,</t>
  </si>
  <si>
    <t>b is the power -1.53, p is the Price</t>
  </si>
  <si>
    <t>by using the formula D= ap^b, where a is the constant 1,994,141.79,</t>
  </si>
  <si>
    <t>b is the power -1.35, p is the Price</t>
  </si>
  <si>
    <t>The optimal solution of Apua-Spa is $1241.3 and for Hydro-Luxe is 1967.1</t>
  </si>
  <si>
    <t>The Profit margin is very high In  the Hydro-Luxe i.e. $1457.14 when compared to Aqua-Spa which has 811.32 only</t>
  </si>
  <si>
    <t xml:space="preserve">The demand of Apua-Spa is 21.03 more than Hydro-Luxe. </t>
  </si>
  <si>
    <t>However, irrespective of the demand the profit margin is much higher in Hydro-Luxe which is $103,891 and Aqua-Spa has only $74,904</t>
  </si>
  <si>
    <t>A difference of $28986</t>
  </si>
  <si>
    <t>Hydro-Luxe Demand increase by  9.07 however the profit margins decreases by $203</t>
  </si>
  <si>
    <t>Aqua-Spa Demand increase by 2.47  however the profit margins decreases by $10 only</t>
  </si>
  <si>
    <t>When adding new price constraints, they become the new binding constraints as both of them are smaller than the optimal solution.</t>
  </si>
  <si>
    <t>Before 180 number of pumps the solution is not feasiable and after 180 the optimal solution becomes $1220 and remains constant trough without any change in any of the variables</t>
  </si>
  <si>
    <t>Before 180 number of pumps the solution is not feasiable and after 180 the optimal solution becomes $1800 and remains constant trough without any change in any of the variables</t>
  </si>
  <si>
    <t>Because of the new Aqua-Spa price constraint acting as binding constraint.</t>
  </si>
  <si>
    <t>Because of the new Hydro-Luxe price constraint acting as binding constraint.</t>
  </si>
  <si>
    <t>Due to the new constraints the Total Profit decreases by $212.81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</si>
</sst>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7" formatCode="&quot;$&quot;#,##0.00_);\(&quot;$&quot;#,##0.00\)"/>
    <numFmt numFmtId="164" formatCode="&quot;$&quot;#,##0;\-&quot;$&quot;#,##0"/>
    <numFmt numFmtId="165" formatCode="&quot;$&quot;#,##0"/>
    <numFmt numFmtId="166" formatCode="&quot;$&quot;#,##0.0;\-&quot;$&quot;#,##0.0"/>
    <numFmt numFmtId="167" formatCode="0.0"/>
    <numFmt numFmtId="168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/>
    </xf>
    <xf numFmtId="164" fontId="6" fillId="4" borderId="6" xfId="1" applyNumberFormat="1" applyFont="1" applyFill="1" applyBorder="1" applyAlignment="1">
      <alignment horizontal="center"/>
    </xf>
    <xf numFmtId="0" fontId="6" fillId="0" borderId="6" xfId="1" applyFont="1" applyBorder="1"/>
    <xf numFmtId="164" fontId="6" fillId="3" borderId="6" xfId="1" applyNumberFormat="1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8" fillId="0" borderId="0" xfId="1" applyFont="1"/>
    <xf numFmtId="2" fontId="9" fillId="5" borderId="6" xfId="1" applyNumberFormat="1" applyFont="1" applyFill="1" applyBorder="1"/>
    <xf numFmtId="0" fontId="6" fillId="0" borderId="0" xfId="1" applyFont="1"/>
    <xf numFmtId="2" fontId="6" fillId="5" borderId="6" xfId="1" applyNumberFormat="1" applyFont="1" applyFill="1" applyBorder="1" applyAlignment="1">
      <alignment horizontal="left"/>
    </xf>
    <xf numFmtId="2" fontId="6" fillId="0" borderId="6" xfId="1" applyNumberFormat="1" applyFont="1" applyBorder="1" applyAlignment="1">
      <alignment horizontal="center"/>
    </xf>
    <xf numFmtId="2" fontId="6" fillId="5" borderId="6" xfId="1" applyNumberFormat="1" applyFont="1" applyFill="1" applyBorder="1"/>
    <xf numFmtId="0" fontId="6" fillId="0" borderId="0" xfId="1" applyFont="1" applyBorder="1"/>
    <xf numFmtId="0" fontId="6" fillId="0" borderId="0" xfId="1" applyFont="1" applyBorder="1" applyAlignment="1"/>
    <xf numFmtId="164" fontId="9" fillId="0" borderId="0" xfId="1" applyNumberFormat="1" applyFont="1" applyFill="1" applyBorder="1"/>
    <xf numFmtId="0" fontId="0" fillId="0" borderId="0" xfId="0" applyAlignment="1"/>
    <xf numFmtId="7" fontId="6" fillId="0" borderId="0" xfId="1" applyNumberFormat="1" applyFont="1" applyBorder="1" applyAlignment="1"/>
    <xf numFmtId="7" fontId="6" fillId="0" borderId="0" xfId="1" applyNumberFormat="1" applyFont="1" applyBorder="1"/>
    <xf numFmtId="164" fontId="6" fillId="0" borderId="6" xfId="1" applyNumberFormat="1" applyFont="1" applyBorder="1"/>
    <xf numFmtId="4" fontId="6" fillId="0" borderId="7" xfId="1" applyNumberFormat="1" applyFont="1" applyBorder="1" applyAlignment="1"/>
    <xf numFmtId="2" fontId="6" fillId="3" borderId="6" xfId="1" applyNumberFormat="1" applyFont="1" applyFill="1" applyBorder="1"/>
    <xf numFmtId="166" fontId="9" fillId="6" borderId="6" xfId="1" applyNumberFormat="1" applyFont="1" applyFill="1" applyBorder="1"/>
    <xf numFmtId="0" fontId="7" fillId="0" borderId="0" xfId="1" applyFont="1"/>
    <xf numFmtId="0" fontId="6" fillId="3" borderId="6" xfId="1" applyFont="1" applyFill="1" applyBorder="1"/>
    <xf numFmtId="167" fontId="6" fillId="0" borderId="0" xfId="1" applyNumberFormat="1" applyFont="1"/>
    <xf numFmtId="4" fontId="10" fillId="0" borderId="6" xfId="0" applyNumberFormat="1" applyFont="1" applyBorder="1"/>
    <xf numFmtId="0" fontId="7" fillId="0" borderId="0" xfId="1" applyFont="1" applyBorder="1"/>
    <xf numFmtId="0" fontId="8" fillId="0" borderId="0" xfId="1" applyFont="1" applyFill="1" applyBorder="1"/>
    <xf numFmtId="0" fontId="6" fillId="0" borderId="0" xfId="1" applyFont="1" applyFill="1" applyBorder="1"/>
    <xf numFmtId="164" fontId="6" fillId="3" borderId="6" xfId="1" applyNumberFormat="1" applyFont="1" applyFill="1" applyBorder="1"/>
    <xf numFmtId="166" fontId="2" fillId="0" borderId="2" xfId="0" applyNumberFormat="1" applyFont="1" applyBorder="1" applyAlignment="1">
      <alignment horizontal="center" vertical="center"/>
    </xf>
    <xf numFmtId="168" fontId="6" fillId="3" borderId="6" xfId="1" applyNumberFormat="1" applyFont="1" applyFill="1" applyBorder="1"/>
    <xf numFmtId="2" fontId="0" fillId="0" borderId="8" xfId="0" applyNumberFormat="1" applyBorder="1"/>
    <xf numFmtId="168" fontId="0" fillId="0" borderId="9" xfId="0" applyNumberFormat="1" applyBorder="1"/>
    <xf numFmtId="166" fontId="0" fillId="0" borderId="10" xfId="0" applyNumberFormat="1" applyBorder="1"/>
    <xf numFmtId="0" fontId="0" fillId="0" borderId="0" xfId="0" applyNumberFormat="1"/>
    <xf numFmtId="2" fontId="0" fillId="0" borderId="11" xfId="0" applyNumberFormat="1" applyBorder="1"/>
    <xf numFmtId="168" fontId="0" fillId="0" borderId="0" xfId="0" applyNumberFormat="1" applyBorder="1"/>
    <xf numFmtId="166" fontId="0" fillId="0" borderId="7" xfId="0" applyNumberFormat="1" applyBorder="1"/>
    <xf numFmtId="0" fontId="0" fillId="0" borderId="11" xfId="0" applyBorder="1"/>
    <xf numFmtId="0" fontId="0" fillId="0" borderId="0" xfId="0" applyBorder="1"/>
    <xf numFmtId="0" fontId="0" fillId="7" borderId="7" xfId="0" applyFill="1" applyBorder="1"/>
    <xf numFmtId="0" fontId="0" fillId="0" borderId="12" xfId="0" applyBorder="1"/>
    <xf numFmtId="0" fontId="0" fillId="0" borderId="13" xfId="0" applyBorder="1"/>
    <xf numFmtId="0" fontId="0" fillId="7" borderId="14" xfId="0" applyFill="1" applyBorder="1"/>
    <xf numFmtId="0" fontId="0" fillId="8" borderId="0" xfId="0" applyFill="1" applyAlignment="1">
      <alignment horizontal="right" textRotation="90"/>
    </xf>
    <xf numFmtId="0" fontId="11" fillId="0" borderId="0" xfId="0" applyFont="1"/>
    <xf numFmtId="0" fontId="0" fillId="0" borderId="0" xfId="0" applyAlignment="1">
      <alignment horizontal="right" textRotation="90"/>
    </xf>
    <xf numFmtId="0" fontId="1" fillId="0" borderId="0" xfId="0" applyFont="1"/>
    <xf numFmtId="7" fontId="0" fillId="0" borderId="0" xfId="0" applyNumberFormat="1"/>
    <xf numFmtId="2" fontId="0" fillId="0" borderId="0" xfId="0" applyNumberFormat="1"/>
    <xf numFmtId="164" fontId="6" fillId="0" borderId="0" xfId="1" applyNumberFormat="1" applyFont="1"/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7" fontId="6" fillId="0" borderId="7" xfId="1" applyNumberFormat="1" applyFont="1" applyBorder="1" applyAlignment="1"/>
    <xf numFmtId="0" fontId="0" fillId="0" borderId="0" xfId="0" applyAlignment="1"/>
    <xf numFmtId="4" fontId="6" fillId="0" borderId="7" xfId="1" applyNumberFormat="1" applyFont="1" applyBorder="1" applyAlignment="1"/>
  </cellXfs>
  <cellStyles count="2">
    <cellStyle name="Normal" xfId="0" builtinId="0"/>
    <cellStyle name="Normal 2" xfId="1" xr:uid="{A4F56DB6-8B3A-40A0-A077-5EE5B4FF4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  <a:r>
              <a:rPr lang="en-US" baseline="0"/>
              <a:t> VS Price</a:t>
            </a:r>
            <a:br>
              <a:rPr lang="en-US" baseline="0"/>
            </a:br>
            <a:r>
              <a:rPr lang="en-US" baseline="0"/>
              <a:t>Aqua Spa</a:t>
            </a:r>
            <a:endParaRPr lang="en-US"/>
          </a:p>
        </c:rich>
      </c:tx>
      <c:layout>
        <c:manualLayout>
          <c:xMode val="edge"/>
          <c:yMode val="edge"/>
          <c:x val="0.3569166666666666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'constant elasticity demand'!$C$4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055380577427822"/>
                  <c:y val="3.001749781277348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'constant elasticity demand'!$B$5:$B$28</c:f>
              <c:numCache>
                <c:formatCode>"$"#,##0_);[Red]\("$"#,##0\)</c:formatCode>
                <c:ptCount val="24"/>
                <c:pt idx="0">
                  <c:v>1100</c:v>
                </c:pt>
                <c:pt idx="1">
                  <c:v>1250</c:v>
                </c:pt>
                <c:pt idx="2">
                  <c:v>1180</c:v>
                </c:pt>
                <c:pt idx="3">
                  <c:v>1290</c:v>
                </c:pt>
                <c:pt idx="4">
                  <c:v>1290</c:v>
                </c:pt>
                <c:pt idx="5">
                  <c:v>1190</c:v>
                </c:pt>
                <c:pt idx="6">
                  <c:v>1010</c:v>
                </c:pt>
                <c:pt idx="7">
                  <c:v>899</c:v>
                </c:pt>
                <c:pt idx="8">
                  <c:v>1095</c:v>
                </c:pt>
                <c:pt idx="9">
                  <c:v>1095</c:v>
                </c:pt>
                <c:pt idx="10">
                  <c:v>999</c:v>
                </c:pt>
                <c:pt idx="11">
                  <c:v>989</c:v>
                </c:pt>
                <c:pt idx="12">
                  <c:v>1115</c:v>
                </c:pt>
                <c:pt idx="13">
                  <c:v>990</c:v>
                </c:pt>
                <c:pt idx="14">
                  <c:v>890</c:v>
                </c:pt>
                <c:pt idx="15">
                  <c:v>1090</c:v>
                </c:pt>
                <c:pt idx="16">
                  <c:v>1190</c:v>
                </c:pt>
                <c:pt idx="17">
                  <c:v>1250</c:v>
                </c:pt>
                <c:pt idx="18">
                  <c:v>1140</c:v>
                </c:pt>
                <c:pt idx="19">
                  <c:v>1019</c:v>
                </c:pt>
                <c:pt idx="20">
                  <c:v>999</c:v>
                </c:pt>
                <c:pt idx="21">
                  <c:v>912</c:v>
                </c:pt>
                <c:pt idx="22">
                  <c:v>1020</c:v>
                </c:pt>
                <c:pt idx="23">
                  <c:v>1115</c:v>
                </c:pt>
              </c:numCache>
            </c:numRef>
          </c:xVal>
          <c:yVal>
            <c:numRef>
              <c:f>'constant elasticity demand'!$C$5:$C$28</c:f>
              <c:numCache>
                <c:formatCode>General</c:formatCode>
                <c:ptCount val="24"/>
                <c:pt idx="0">
                  <c:v>120</c:v>
                </c:pt>
                <c:pt idx="1">
                  <c:v>90</c:v>
                </c:pt>
                <c:pt idx="2">
                  <c:v>106</c:v>
                </c:pt>
                <c:pt idx="3">
                  <c:v>79</c:v>
                </c:pt>
                <c:pt idx="4">
                  <c:v>91</c:v>
                </c:pt>
                <c:pt idx="5">
                  <c:v>97</c:v>
                </c:pt>
                <c:pt idx="6">
                  <c:v>138</c:v>
                </c:pt>
                <c:pt idx="7">
                  <c:v>146</c:v>
                </c:pt>
                <c:pt idx="8">
                  <c:v>122</c:v>
                </c:pt>
                <c:pt idx="9">
                  <c:v>110</c:v>
                </c:pt>
                <c:pt idx="10">
                  <c:v>140</c:v>
                </c:pt>
                <c:pt idx="11">
                  <c:v>126</c:v>
                </c:pt>
                <c:pt idx="12">
                  <c:v>117</c:v>
                </c:pt>
                <c:pt idx="13">
                  <c:v>142</c:v>
                </c:pt>
                <c:pt idx="14">
                  <c:v>143</c:v>
                </c:pt>
                <c:pt idx="15">
                  <c:v>110</c:v>
                </c:pt>
                <c:pt idx="16">
                  <c:v>105</c:v>
                </c:pt>
                <c:pt idx="17">
                  <c:v>89</c:v>
                </c:pt>
                <c:pt idx="18">
                  <c:v>113</c:v>
                </c:pt>
                <c:pt idx="19">
                  <c:v>128</c:v>
                </c:pt>
                <c:pt idx="20">
                  <c:v>139</c:v>
                </c:pt>
                <c:pt idx="21">
                  <c:v>142</c:v>
                </c:pt>
                <c:pt idx="22">
                  <c:v>136</c:v>
                </c:pt>
                <c:pt idx="23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F-42A2-B29D-929FE45C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89856"/>
        <c:axId val="1829567920"/>
      </c:scatterChart>
      <c:valAx>
        <c:axId val="1937289856"/>
        <c:scaling>
          <c:orientation val="minMax"/>
          <c:min val="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67920"/>
        <c:crosses val="autoZero"/>
        <c:crossBetween val="midCat"/>
      </c:valAx>
      <c:valAx>
        <c:axId val="18295679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Price</a:t>
            </a:r>
          </a:p>
          <a:p>
            <a:pPr>
              <a:defRPr/>
            </a:pPr>
            <a:r>
              <a:rPr lang="en-US"/>
              <a:t>Hydro</a:t>
            </a:r>
            <a:r>
              <a:rPr lang="en-US" baseline="0"/>
              <a:t>-Luxe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'constant elasticity demand'!$N$4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30546806649169"/>
                  <c:y val="-4.73308544765236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'constant elasticity demand'!$M$5:$M$28</c:f>
              <c:numCache>
                <c:formatCode>"$"#,##0_);[Red]\("$"#,##0\)</c:formatCode>
                <c:ptCount val="24"/>
                <c:pt idx="0">
                  <c:v>1280</c:v>
                </c:pt>
                <c:pt idx="1">
                  <c:v>1290</c:v>
                </c:pt>
                <c:pt idx="2">
                  <c:v>1210</c:v>
                </c:pt>
                <c:pt idx="3">
                  <c:v>1190</c:v>
                </c:pt>
                <c:pt idx="4">
                  <c:v>1250</c:v>
                </c:pt>
                <c:pt idx="5">
                  <c:v>1299</c:v>
                </c:pt>
                <c:pt idx="6">
                  <c:v>1149</c:v>
                </c:pt>
                <c:pt idx="7">
                  <c:v>1149</c:v>
                </c:pt>
                <c:pt idx="8">
                  <c:v>1145</c:v>
                </c:pt>
                <c:pt idx="9">
                  <c:v>1195</c:v>
                </c:pt>
                <c:pt idx="10">
                  <c:v>1195</c:v>
                </c:pt>
                <c:pt idx="11">
                  <c:v>1210</c:v>
                </c:pt>
                <c:pt idx="12">
                  <c:v>1315</c:v>
                </c:pt>
                <c:pt idx="13">
                  <c:v>1190</c:v>
                </c:pt>
                <c:pt idx="14">
                  <c:v>1199</c:v>
                </c:pt>
                <c:pt idx="15">
                  <c:v>1210</c:v>
                </c:pt>
                <c:pt idx="16">
                  <c:v>1230</c:v>
                </c:pt>
                <c:pt idx="17">
                  <c:v>1250</c:v>
                </c:pt>
                <c:pt idx="18">
                  <c:v>1199</c:v>
                </c:pt>
                <c:pt idx="19">
                  <c:v>1149</c:v>
                </c:pt>
                <c:pt idx="20">
                  <c:v>1199</c:v>
                </c:pt>
                <c:pt idx="21">
                  <c:v>1112</c:v>
                </c:pt>
                <c:pt idx="22">
                  <c:v>1109</c:v>
                </c:pt>
                <c:pt idx="23">
                  <c:v>1115</c:v>
                </c:pt>
              </c:numCache>
            </c:numRef>
          </c:xVal>
          <c:yVal>
            <c:numRef>
              <c:f>'constant elasticity demand'!$N$5:$N$28</c:f>
              <c:numCache>
                <c:formatCode>General</c:formatCode>
                <c:ptCount val="24"/>
                <c:pt idx="0">
                  <c:v>133</c:v>
                </c:pt>
                <c:pt idx="1">
                  <c:v>129</c:v>
                </c:pt>
                <c:pt idx="2">
                  <c:v>143</c:v>
                </c:pt>
                <c:pt idx="3">
                  <c:v>152</c:v>
                </c:pt>
                <c:pt idx="4">
                  <c:v>136</c:v>
                </c:pt>
                <c:pt idx="5">
                  <c:v>125</c:v>
                </c:pt>
                <c:pt idx="6">
                  <c:v>144</c:v>
                </c:pt>
                <c:pt idx="7">
                  <c:v>153</c:v>
                </c:pt>
                <c:pt idx="8">
                  <c:v>154</c:v>
                </c:pt>
                <c:pt idx="9">
                  <c:v>148</c:v>
                </c:pt>
                <c:pt idx="10">
                  <c:v>141</c:v>
                </c:pt>
                <c:pt idx="11">
                  <c:v>137</c:v>
                </c:pt>
                <c:pt idx="12">
                  <c:v>126</c:v>
                </c:pt>
                <c:pt idx="13">
                  <c:v>146</c:v>
                </c:pt>
                <c:pt idx="14">
                  <c:v>147</c:v>
                </c:pt>
                <c:pt idx="15">
                  <c:v>148</c:v>
                </c:pt>
                <c:pt idx="16">
                  <c:v>139</c:v>
                </c:pt>
                <c:pt idx="17">
                  <c:v>134</c:v>
                </c:pt>
                <c:pt idx="18">
                  <c:v>144</c:v>
                </c:pt>
                <c:pt idx="19">
                  <c:v>155</c:v>
                </c:pt>
                <c:pt idx="20">
                  <c:v>145</c:v>
                </c:pt>
                <c:pt idx="21">
                  <c:v>154</c:v>
                </c:pt>
                <c:pt idx="22">
                  <c:v>158</c:v>
                </c:pt>
                <c:pt idx="23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0-4AEA-80EE-52853C87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39584"/>
        <c:axId val="1827684480"/>
      </c:scatterChart>
      <c:valAx>
        <c:axId val="1659039584"/>
        <c:scaling>
          <c:orientation val="minMax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84480"/>
        <c:crosses val="autoZero"/>
        <c:crossBetween val="midCat"/>
      </c:valAx>
      <c:valAx>
        <c:axId val="1827684480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Aqua Spa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'NLP Model'!$D$33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'NLP Model'!$C$34:$C$57</c:f>
              <c:numCache>
                <c:formatCode>General</c:formatCode>
                <c:ptCount val="24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</c:numCache>
            </c:numRef>
          </c:xVal>
          <c:yVal>
            <c:numRef>
              <c:f>'NLP Model'!$D$34:$D$57</c:f>
              <c:numCache>
                <c:formatCode>General</c:formatCode>
                <c:ptCount val="24"/>
                <c:pt idx="0">
                  <c:v>66901.96598691339</c:v>
                </c:pt>
                <c:pt idx="1">
                  <c:v>69215.469678807538</c:v>
                </c:pt>
                <c:pt idx="2">
                  <c:v>70969.485158976531</c:v>
                </c:pt>
                <c:pt idx="3">
                  <c:v>72285.479087107189</c:v>
                </c:pt>
                <c:pt idx="4">
                  <c:v>73255.408059182839</c:v>
                </c:pt>
                <c:pt idx="5">
                  <c:v>73949.782010944546</c:v>
                </c:pt>
                <c:pt idx="6">
                  <c:v>74423.28414286951</c:v>
                </c:pt>
                <c:pt idx="7">
                  <c:v>74718.756726202424</c:v>
                </c:pt>
                <c:pt idx="8">
                  <c:v>74870.072714763679</c:v>
                </c:pt>
                <c:pt idx="9">
                  <c:v>74904.234271145397</c:v>
                </c:pt>
                <c:pt idx="10">
                  <c:v>74842.926309459566</c:v>
                </c:pt>
                <c:pt idx="11">
                  <c:v>74703.68025772192</c:v>
                </c:pt>
                <c:pt idx="12">
                  <c:v>74500.755328353393</c:v>
                </c:pt>
                <c:pt idx="13">
                  <c:v>74245.812548508882</c:v>
                </c:pt>
                <c:pt idx="14">
                  <c:v>73948.435042024154</c:v>
                </c:pt>
                <c:pt idx="15">
                  <c:v>73616.533059370136</c:v>
                </c:pt>
                <c:pt idx="16">
                  <c:v>73256.661778877955</c:v>
                </c:pt>
                <c:pt idx="17">
                  <c:v>72874.272496390506</c:v>
                </c:pt>
                <c:pt idx="18">
                  <c:v>72473.912522418759</c:v>
                </c:pt>
                <c:pt idx="19">
                  <c:v>72059.385274761938</c:v>
                </c:pt>
                <c:pt idx="20">
                  <c:v>71633.879256222761</c:v>
                </c:pt>
                <c:pt idx="21">
                  <c:v>71200.072543729184</c:v>
                </c:pt>
                <c:pt idx="22">
                  <c:v>70760.217880295619</c:v>
                </c:pt>
                <c:pt idx="23">
                  <c:v>70316.212309967843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5-44D7-8064-3D2B9FED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71712"/>
        <c:axId val="1829541712"/>
      </c:scatterChart>
      <c:valAx>
        <c:axId val="1934471712"/>
        <c:scaling>
          <c:orientation val="minMax"/>
          <c:max val="2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41712"/>
        <c:crosses val="autoZero"/>
        <c:crossBetween val="midCat"/>
      </c:valAx>
      <c:valAx>
        <c:axId val="18295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Hydro Luxe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'NLP Model'!$J$33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'NLP Model'!$I$34:$I$57</c:f>
              <c:numCache>
                <c:formatCode>General</c:formatCode>
                <c:ptCount val="24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</c:numCache>
            </c:numRef>
          </c:xVal>
          <c:yVal>
            <c:numRef>
              <c:f>'NLP Model'!$J$34:$J$57</c:f>
              <c:numCache>
                <c:formatCode>General</c:formatCode>
                <c:ptCount val="24"/>
                <c:pt idx="0">
                  <c:v>87086.756314351092</c:v>
                </c:pt>
                <c:pt idx="1">
                  <c:v>89855.412223193751</c:v>
                </c:pt>
                <c:pt idx="2">
                  <c:v>92199.36320392201</c:v>
                </c:pt>
                <c:pt idx="3">
                  <c:v>94187.641983367925</c:v>
                </c:pt>
                <c:pt idx="4">
                  <c:v>95876.118477068288</c:v>
                </c:pt>
                <c:pt idx="5">
                  <c:v>97310.395350210048</c:v>
                </c:pt>
                <c:pt idx="6">
                  <c:v>98527.984864194805</c:v>
                </c:pt>
                <c:pt idx="7">
                  <c:v>99559.964578828934</c:v>
                </c:pt>
                <c:pt idx="8">
                  <c:v>100432.25021711559</c:v>
                </c:pt>
                <c:pt idx="9">
                  <c:v>101166.58390645393</c:v>
                </c:pt>
                <c:pt idx="10">
                  <c:v>101781.30846305507</c:v>
                </c:pt>
                <c:pt idx="11">
                  <c:v>102291.97918767005</c:v>
                </c:pt>
                <c:pt idx="12">
                  <c:v>102711.85108264834</c:v>
                </c:pt>
                <c:pt idx="13">
                  <c:v>103052.26970773817</c:v>
                </c:pt>
                <c:pt idx="14">
                  <c:v>103322.98688352756</c:v>
                </c:pt>
                <c:pt idx="15">
                  <c:v>103532.41732959203</c:v>
                </c:pt>
                <c:pt idx="16">
                  <c:v>103687.84854404225</c:v>
                </c:pt>
                <c:pt idx="17">
                  <c:v>103795.61341481592</c:v>
                </c:pt>
                <c:pt idx="18">
                  <c:v>103861.23293650578</c:v>
                </c:pt>
                <c:pt idx="19">
                  <c:v>103889.53480273887</c:v>
                </c:pt>
                <c:pt idx="20">
                  <c:v>103884.75241944643</c:v>
                </c:pt>
                <c:pt idx="21">
                  <c:v>103850.60794231959</c:v>
                </c:pt>
                <c:pt idx="22">
                  <c:v>103790.38221207175</c:v>
                </c:pt>
                <c:pt idx="23">
                  <c:v>103706.97389223507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6-4A1E-A805-3007799F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65840"/>
        <c:axId val="1939100576"/>
      </c:scatterChart>
      <c:valAx>
        <c:axId val="1712265840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00576"/>
        <c:crosses val="autoZero"/>
        <c:crossBetween val="midCat"/>
      </c:valAx>
      <c:valAx>
        <c:axId val="1939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Aqua Spa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'NLP model new'!$D$33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'NLP model new'!$C$34:$C$57</c:f>
              <c:numCache>
                <c:formatCode>General</c:formatCode>
                <c:ptCount val="24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</c:numCache>
            </c:numRef>
          </c:xVal>
          <c:yVal>
            <c:numRef>
              <c:f>'NLP model new'!$D$34:$D$57</c:f>
              <c:numCache>
                <c:formatCode>General</c:formatCode>
                <c:ptCount val="24"/>
                <c:pt idx="0">
                  <c:v>66901.96598691339</c:v>
                </c:pt>
                <c:pt idx="1">
                  <c:v>69215.469678807538</c:v>
                </c:pt>
                <c:pt idx="2">
                  <c:v>70969.485158976531</c:v>
                </c:pt>
                <c:pt idx="3">
                  <c:v>72285.479087107189</c:v>
                </c:pt>
                <c:pt idx="4">
                  <c:v>73255.408059182839</c:v>
                </c:pt>
                <c:pt idx="5">
                  <c:v>73949.782010944546</c:v>
                </c:pt>
                <c:pt idx="6">
                  <c:v>74423.28414286951</c:v>
                </c:pt>
                <c:pt idx="7">
                  <c:v>74718.756726202424</c:v>
                </c:pt>
                <c:pt idx="8">
                  <c:v>74870.072714763679</c:v>
                </c:pt>
                <c:pt idx="9">
                  <c:v>74904.234271145397</c:v>
                </c:pt>
                <c:pt idx="10">
                  <c:v>74842.926309459566</c:v>
                </c:pt>
                <c:pt idx="11">
                  <c:v>74703.68025772192</c:v>
                </c:pt>
                <c:pt idx="12">
                  <c:v>74500.755328353393</c:v>
                </c:pt>
                <c:pt idx="13">
                  <c:v>74245.812548508882</c:v>
                </c:pt>
                <c:pt idx="14">
                  <c:v>73948.435042024154</c:v>
                </c:pt>
                <c:pt idx="15">
                  <c:v>73616.533059370136</c:v>
                </c:pt>
                <c:pt idx="16">
                  <c:v>73256.661778877955</c:v>
                </c:pt>
                <c:pt idx="17">
                  <c:v>72874.272496390506</c:v>
                </c:pt>
                <c:pt idx="18">
                  <c:v>72473.912522418759</c:v>
                </c:pt>
                <c:pt idx="19">
                  <c:v>72059.385274761938</c:v>
                </c:pt>
                <c:pt idx="20">
                  <c:v>71633.879256222761</c:v>
                </c:pt>
                <c:pt idx="21">
                  <c:v>71200.072543729184</c:v>
                </c:pt>
                <c:pt idx="22">
                  <c:v>70760.217880295619</c:v>
                </c:pt>
                <c:pt idx="23">
                  <c:v>70316.212309967843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8-44D3-A944-84F6DFE6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71712"/>
        <c:axId val="1829541712"/>
      </c:scatterChart>
      <c:valAx>
        <c:axId val="1934471712"/>
        <c:scaling>
          <c:orientation val="minMax"/>
          <c:max val="2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41712"/>
        <c:crosses val="autoZero"/>
        <c:crossBetween val="midCat"/>
      </c:valAx>
      <c:valAx>
        <c:axId val="18295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Hydro Luxe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'NLP model new'!$J$33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'NLP model new'!$I$34:$I$57</c:f>
              <c:numCache>
                <c:formatCode>General</c:formatCode>
                <c:ptCount val="24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</c:numCache>
            </c:numRef>
          </c:xVal>
          <c:yVal>
            <c:numRef>
              <c:f>'NLP model new'!$J$34:$J$57</c:f>
              <c:numCache>
                <c:formatCode>General</c:formatCode>
                <c:ptCount val="24"/>
                <c:pt idx="0">
                  <c:v>87086.756314351092</c:v>
                </c:pt>
                <c:pt idx="1">
                  <c:v>89855.412223193751</c:v>
                </c:pt>
                <c:pt idx="2">
                  <c:v>92199.36320392201</c:v>
                </c:pt>
                <c:pt idx="3">
                  <c:v>94187.641983367925</c:v>
                </c:pt>
                <c:pt idx="4">
                  <c:v>95876.118477068288</c:v>
                </c:pt>
                <c:pt idx="5">
                  <c:v>97310.395350210048</c:v>
                </c:pt>
                <c:pt idx="6">
                  <c:v>98527.984864194805</c:v>
                </c:pt>
                <c:pt idx="7">
                  <c:v>99559.964578828934</c:v>
                </c:pt>
                <c:pt idx="8">
                  <c:v>100432.25021711559</c:v>
                </c:pt>
                <c:pt idx="9">
                  <c:v>101166.58390645393</c:v>
                </c:pt>
                <c:pt idx="10">
                  <c:v>101781.30846305507</c:v>
                </c:pt>
                <c:pt idx="11">
                  <c:v>102291.97918767005</c:v>
                </c:pt>
                <c:pt idx="12">
                  <c:v>102711.85108264834</c:v>
                </c:pt>
                <c:pt idx="13">
                  <c:v>103052.26970773817</c:v>
                </c:pt>
                <c:pt idx="14">
                  <c:v>103322.98688352756</c:v>
                </c:pt>
                <c:pt idx="15">
                  <c:v>103532.41732959203</c:v>
                </c:pt>
                <c:pt idx="16">
                  <c:v>103687.84854404225</c:v>
                </c:pt>
                <c:pt idx="17">
                  <c:v>103795.61341481592</c:v>
                </c:pt>
                <c:pt idx="18">
                  <c:v>103861.23293650578</c:v>
                </c:pt>
                <c:pt idx="19">
                  <c:v>103889.53480273887</c:v>
                </c:pt>
                <c:pt idx="20">
                  <c:v>103884.75241944643</c:v>
                </c:pt>
                <c:pt idx="21">
                  <c:v>103850.60794231959</c:v>
                </c:pt>
                <c:pt idx="22">
                  <c:v>103790.38221207175</c:v>
                </c:pt>
                <c:pt idx="23">
                  <c:v>103706.97389223507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E-4FC7-B25B-D3282706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65840"/>
        <c:axId val="1939100576"/>
      </c:scatterChart>
      <c:valAx>
        <c:axId val="1712265840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00576"/>
        <c:crosses val="autoZero"/>
        <c:crossBetween val="midCat"/>
      </c:valAx>
      <c:valAx>
        <c:axId val="1939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'SolverTable-Aqua-Spa'!$K$1</c:f>
          <c:strCache>
            <c:ptCount val="1"/>
            <c:pt idx="0">
              <c:v>Sensitivity of $D$12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'SolverTable-Aqua-Spa'!$A$5:$A$45</c:f>
              <c:numCache>
                <c:formatCode>General</c:formatCode>
                <c:ptCount val="4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</c:numCache>
            </c:numRef>
          </c:cat>
          <c:val>
            <c:numRef>
              <c:f>'SolverTable-Aqua-Spa'!$K$5:$K$45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1220</c:v>
                </c:pt>
                <c:pt idx="17">
                  <c:v>1220</c:v>
                </c:pt>
                <c:pt idx="18">
                  <c:v>1220</c:v>
                </c:pt>
                <c:pt idx="19">
                  <c:v>1220</c:v>
                </c:pt>
                <c:pt idx="20">
                  <c:v>1220</c:v>
                </c:pt>
                <c:pt idx="21">
                  <c:v>1220</c:v>
                </c:pt>
                <c:pt idx="22">
                  <c:v>1220</c:v>
                </c:pt>
                <c:pt idx="23">
                  <c:v>1220</c:v>
                </c:pt>
                <c:pt idx="24">
                  <c:v>1220</c:v>
                </c:pt>
                <c:pt idx="25">
                  <c:v>1220</c:v>
                </c:pt>
                <c:pt idx="26">
                  <c:v>1220</c:v>
                </c:pt>
                <c:pt idx="27">
                  <c:v>1220</c:v>
                </c:pt>
                <c:pt idx="28">
                  <c:v>1220</c:v>
                </c:pt>
                <c:pt idx="29">
                  <c:v>1220</c:v>
                </c:pt>
                <c:pt idx="30">
                  <c:v>1220</c:v>
                </c:pt>
                <c:pt idx="31">
                  <c:v>1220</c:v>
                </c:pt>
                <c:pt idx="32">
                  <c:v>1220</c:v>
                </c:pt>
                <c:pt idx="33">
                  <c:v>1220</c:v>
                </c:pt>
                <c:pt idx="34">
                  <c:v>1220</c:v>
                </c:pt>
                <c:pt idx="35">
                  <c:v>1220</c:v>
                </c:pt>
                <c:pt idx="36">
                  <c:v>1220</c:v>
                </c:pt>
                <c:pt idx="37">
                  <c:v>1220</c:v>
                </c:pt>
                <c:pt idx="38">
                  <c:v>1220</c:v>
                </c:pt>
                <c:pt idx="39">
                  <c:v>1220</c:v>
                </c:pt>
                <c:pt idx="40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4-4EF6-A952-003565F9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328656"/>
        <c:axId val="1939106816"/>
      </c:lineChart>
      <c:catAx>
        <c:axId val="200232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($L$26)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106816"/>
        <c:crosses val="autoZero"/>
        <c:auto val="1"/>
        <c:lblAlgn val="ctr"/>
        <c:lblOffset val="100"/>
        <c:noMultiLvlLbl val="0"/>
      </c:catAx>
      <c:valAx>
        <c:axId val="19391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3286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'Solvertable-Hydro-Luxe'!$K$1</c:f>
          <c:strCache>
            <c:ptCount val="1"/>
            <c:pt idx="0">
              <c:v>Sensitivity of $I$12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'Solvertable-Hydro-Luxe'!$A$5:$A$45</c:f>
              <c:numCache>
                <c:formatCode>General</c:formatCode>
                <c:ptCount val="4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</c:numCache>
            </c:numRef>
          </c:cat>
          <c:val>
            <c:numRef>
              <c:f>'Solvertable-Hydro-Luxe'!$K$5:$K$45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7-4D29-BC7F-599B2889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82528"/>
        <c:axId val="1829567504"/>
      </c:lineChart>
      <c:catAx>
        <c:axId val="20306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($L$26)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567504"/>
        <c:crosses val="autoZero"/>
        <c:auto val="1"/>
        <c:lblAlgn val="ctr"/>
        <c:lblOffset val="100"/>
        <c:noMultiLvlLbl val="0"/>
      </c:catAx>
      <c:valAx>
        <c:axId val="182956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6825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171449</xdr:rowOff>
    </xdr:from>
    <xdr:to>
      <xdr:col>10</xdr:col>
      <xdr:colOff>317500</xdr:colOff>
      <xdr:row>16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3628F-C6A2-447A-8894-AADAECC79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46565</xdr:colOff>
      <xdr:row>1</xdr:row>
      <xdr:rowOff>177799</xdr:rowOff>
    </xdr:from>
    <xdr:to>
      <xdr:col>21</xdr:col>
      <xdr:colOff>139698</xdr:colOff>
      <xdr:row>16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2D9C1-C842-4FA6-8DBF-7E92B79E2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32</xdr:row>
      <xdr:rowOff>152400</xdr:rowOff>
    </xdr:from>
    <xdr:to>
      <xdr:col>7</xdr:col>
      <xdr:colOff>982133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6BF13-6736-4447-BFAE-5FA6FE5A3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143932</xdr:colOff>
      <xdr:row>45</xdr:row>
      <xdr:rowOff>186267</xdr:rowOff>
    </xdr:from>
    <xdr:to>
      <xdr:col>8</xdr:col>
      <xdr:colOff>29631</xdr:colOff>
      <xdr:row>56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ED0E2-FE4A-4077-89A8-3EBFE19D9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32</xdr:row>
      <xdr:rowOff>152400</xdr:rowOff>
    </xdr:from>
    <xdr:to>
      <xdr:col>7</xdr:col>
      <xdr:colOff>982133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C941E-E138-49C1-AD6C-8149081A8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143932</xdr:colOff>
      <xdr:row>45</xdr:row>
      <xdr:rowOff>186267</xdr:rowOff>
    </xdr:from>
    <xdr:to>
      <xdr:col>8</xdr:col>
      <xdr:colOff>29631</xdr:colOff>
      <xdr:row>56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72583-79F7-48AF-AE12-3EA3881A6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413295" y="1742171"/>
    <xdr:ext cx="4865353" cy="2916171"/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E6ABBAE1-6E9D-4F58-B4C4-7BD3DF3ED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299727" y="582501"/>
    <xdr:ext cx="2432677" cy="76951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32C57E-8C65-4736-BE5B-EEC6D592ACED}"/>
            </a:ext>
          </a:extLst>
        </xdr:cNvPr>
        <xdr:cNvSpPr txBox="1"/>
      </xdr:nvSpPr>
      <xdr:spPr>
        <a:xfrm>
          <a:off x="7299727" y="582501"/>
          <a:ext cx="2432677" cy="769512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448550" y="1612900"/>
    <xdr:ext cx="4876800" cy="2959100"/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BB010697-BFE3-428B-893E-6E58554A9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321550" y="590550"/>
    <xdr:ext cx="2438400" cy="7747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6C1222-7543-484C-B22D-C24FE11B319B}"/>
            </a:ext>
          </a:extLst>
        </xdr:cNvPr>
        <xdr:cNvSpPr txBox="1"/>
      </xdr:nvSpPr>
      <xdr:spPr>
        <a:xfrm>
          <a:off x="7321550" y="590550"/>
          <a:ext cx="2438400" cy="7747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1C2D-E38F-4192-8273-058593723E95}">
  <dimension ref="A2:O28"/>
  <sheetViews>
    <sheetView zoomScale="75" workbookViewId="0">
      <selection activeCell="B4" sqref="B4:C28"/>
    </sheetView>
  </sheetViews>
  <sheetFormatPr defaultRowHeight="14.5" x14ac:dyDescent="0.35"/>
  <cols>
    <col min="11" max="11" width="10.7265625" bestFit="1" customWidth="1"/>
    <col min="12" max="12" width="6.36328125" bestFit="1" customWidth="1"/>
    <col min="14" max="14" width="14.08984375" customWidth="1"/>
    <col min="15" max="15" width="11.7265625" bestFit="1" customWidth="1"/>
  </cols>
  <sheetData>
    <row r="2" spans="1:14" ht="15" thickBot="1" x14ac:dyDescent="0.4"/>
    <row r="3" spans="1:14" ht="15" thickBot="1" x14ac:dyDescent="0.4">
      <c r="A3" s="65" t="s">
        <v>4</v>
      </c>
      <c r="B3" s="66"/>
      <c r="C3" s="67"/>
      <c r="L3" s="68" t="s">
        <v>3</v>
      </c>
      <c r="M3" s="69"/>
      <c r="N3" s="70"/>
    </row>
    <row r="4" spans="1:14" ht="15" thickBot="1" x14ac:dyDescent="0.4">
      <c r="A4" s="5" t="s">
        <v>2</v>
      </c>
      <c r="B4" s="4" t="s">
        <v>1</v>
      </c>
      <c r="C4" s="4" t="s">
        <v>0</v>
      </c>
      <c r="L4" s="5" t="s">
        <v>2</v>
      </c>
      <c r="M4" s="4" t="s">
        <v>1</v>
      </c>
      <c r="N4" s="4" t="s">
        <v>0</v>
      </c>
    </row>
    <row r="5" spans="1:14" ht="15" thickBot="1" x14ac:dyDescent="0.4">
      <c r="A5" s="3">
        <v>1</v>
      </c>
      <c r="B5" s="2">
        <v>1100</v>
      </c>
      <c r="C5" s="1">
        <v>120</v>
      </c>
      <c r="L5" s="3">
        <v>1</v>
      </c>
      <c r="M5" s="2">
        <v>1280</v>
      </c>
      <c r="N5" s="1">
        <v>133</v>
      </c>
    </row>
    <row r="6" spans="1:14" ht="15" thickBot="1" x14ac:dyDescent="0.4">
      <c r="A6" s="3">
        <v>2</v>
      </c>
      <c r="B6" s="2">
        <v>1250</v>
      </c>
      <c r="C6" s="1">
        <v>90</v>
      </c>
      <c r="L6" s="3">
        <v>2</v>
      </c>
      <c r="M6" s="2">
        <v>1290</v>
      </c>
      <c r="N6" s="1">
        <v>129</v>
      </c>
    </row>
    <row r="7" spans="1:14" ht="15" thickBot="1" x14ac:dyDescent="0.4">
      <c r="A7" s="3">
        <v>3</v>
      </c>
      <c r="B7" s="2">
        <v>1180</v>
      </c>
      <c r="C7" s="1">
        <v>106</v>
      </c>
      <c r="L7" s="3">
        <v>3</v>
      </c>
      <c r="M7" s="2">
        <v>1210</v>
      </c>
      <c r="N7" s="1">
        <v>143</v>
      </c>
    </row>
    <row r="8" spans="1:14" ht="15" thickBot="1" x14ac:dyDescent="0.4">
      <c r="A8" s="3">
        <v>4</v>
      </c>
      <c r="B8" s="2">
        <v>1290</v>
      </c>
      <c r="C8" s="1">
        <v>79</v>
      </c>
      <c r="L8" s="3">
        <v>4</v>
      </c>
      <c r="M8" s="2">
        <v>1190</v>
      </c>
      <c r="N8" s="1">
        <v>152</v>
      </c>
    </row>
    <row r="9" spans="1:14" ht="15" thickBot="1" x14ac:dyDescent="0.4">
      <c r="A9" s="3">
        <v>5</v>
      </c>
      <c r="B9" s="2">
        <v>1290</v>
      </c>
      <c r="C9" s="1">
        <v>91</v>
      </c>
      <c r="L9" s="3">
        <v>5</v>
      </c>
      <c r="M9" s="2">
        <v>1250</v>
      </c>
      <c r="N9" s="1">
        <v>136</v>
      </c>
    </row>
    <row r="10" spans="1:14" ht="15" thickBot="1" x14ac:dyDescent="0.4">
      <c r="A10" s="3">
        <v>6</v>
      </c>
      <c r="B10" s="2">
        <v>1190</v>
      </c>
      <c r="C10" s="1">
        <v>97</v>
      </c>
      <c r="L10" s="3">
        <v>6</v>
      </c>
      <c r="M10" s="2">
        <v>1299</v>
      </c>
      <c r="N10" s="1">
        <v>125</v>
      </c>
    </row>
    <row r="11" spans="1:14" ht="15" thickBot="1" x14ac:dyDescent="0.4">
      <c r="A11" s="3">
        <v>7</v>
      </c>
      <c r="B11" s="2">
        <v>1010</v>
      </c>
      <c r="C11" s="1">
        <v>138</v>
      </c>
      <c r="L11" s="3">
        <v>7</v>
      </c>
      <c r="M11" s="2">
        <v>1149</v>
      </c>
      <c r="N11" s="1">
        <v>144</v>
      </c>
    </row>
    <row r="12" spans="1:14" ht="15" thickBot="1" x14ac:dyDescent="0.4">
      <c r="A12" s="3">
        <v>8</v>
      </c>
      <c r="B12" s="2">
        <v>899</v>
      </c>
      <c r="C12" s="1">
        <v>146</v>
      </c>
      <c r="L12" s="3">
        <v>8</v>
      </c>
      <c r="M12" s="2">
        <v>1149</v>
      </c>
      <c r="N12" s="1">
        <v>153</v>
      </c>
    </row>
    <row r="13" spans="1:14" ht="15" thickBot="1" x14ac:dyDescent="0.4">
      <c r="A13" s="3">
        <v>9</v>
      </c>
      <c r="B13" s="2">
        <v>1095</v>
      </c>
      <c r="C13" s="1">
        <v>122</v>
      </c>
      <c r="L13" s="3">
        <v>9</v>
      </c>
      <c r="M13" s="2">
        <v>1145</v>
      </c>
      <c r="N13" s="1">
        <v>154</v>
      </c>
    </row>
    <row r="14" spans="1:14" ht="15" thickBot="1" x14ac:dyDescent="0.4">
      <c r="A14" s="3">
        <v>10</v>
      </c>
      <c r="B14" s="2">
        <v>1095</v>
      </c>
      <c r="C14" s="1">
        <v>110</v>
      </c>
      <c r="L14" s="3">
        <v>10</v>
      </c>
      <c r="M14" s="2">
        <v>1195</v>
      </c>
      <c r="N14" s="1">
        <v>148</v>
      </c>
    </row>
    <row r="15" spans="1:14" ht="15" thickBot="1" x14ac:dyDescent="0.4">
      <c r="A15" s="3">
        <v>11</v>
      </c>
      <c r="B15" s="2">
        <v>999</v>
      </c>
      <c r="C15" s="1">
        <v>140</v>
      </c>
      <c r="L15" s="3">
        <v>11</v>
      </c>
      <c r="M15" s="2">
        <v>1195</v>
      </c>
      <c r="N15" s="1">
        <v>141</v>
      </c>
    </row>
    <row r="16" spans="1:14" ht="15" thickBot="1" x14ac:dyDescent="0.4">
      <c r="A16" s="3">
        <v>12</v>
      </c>
      <c r="B16" s="2">
        <v>989</v>
      </c>
      <c r="C16" s="1">
        <v>126</v>
      </c>
      <c r="L16" s="3">
        <v>12</v>
      </c>
      <c r="M16" s="2">
        <v>1210</v>
      </c>
      <c r="N16" s="1">
        <v>137</v>
      </c>
    </row>
    <row r="17" spans="1:15" ht="15" thickBot="1" x14ac:dyDescent="0.4">
      <c r="A17" s="3">
        <v>13</v>
      </c>
      <c r="B17" s="2">
        <v>1115</v>
      </c>
      <c r="C17" s="1">
        <v>117</v>
      </c>
      <c r="D17" t="s">
        <v>45</v>
      </c>
      <c r="L17" s="3">
        <v>13</v>
      </c>
      <c r="M17" s="2">
        <v>1315</v>
      </c>
      <c r="N17" s="1">
        <v>126</v>
      </c>
      <c r="O17" t="s">
        <v>47</v>
      </c>
    </row>
    <row r="18" spans="1:15" ht="17" thickBot="1" x14ac:dyDescent="0.4">
      <c r="A18" s="3">
        <v>14</v>
      </c>
      <c r="B18" s="2">
        <v>990</v>
      </c>
      <c r="C18" s="1">
        <v>142</v>
      </c>
      <c r="D18" t="s">
        <v>46</v>
      </c>
      <c r="L18" s="3">
        <v>14</v>
      </c>
      <c r="M18" s="2">
        <v>1190</v>
      </c>
      <c r="N18" s="1">
        <v>146</v>
      </c>
      <c r="O18" t="s">
        <v>48</v>
      </c>
    </row>
    <row r="19" spans="1:15" ht="15" thickBot="1" x14ac:dyDescent="0.4">
      <c r="A19" s="3">
        <v>15</v>
      </c>
      <c r="B19" s="2">
        <v>890</v>
      </c>
      <c r="C19" s="1">
        <v>143</v>
      </c>
      <c r="D19" t="s">
        <v>49</v>
      </c>
      <c r="L19" s="3">
        <v>15</v>
      </c>
      <c r="M19" s="2">
        <v>1199</v>
      </c>
      <c r="N19" s="1">
        <v>147</v>
      </c>
      <c r="O19" t="s">
        <v>51</v>
      </c>
    </row>
    <row r="20" spans="1:15" ht="15" thickBot="1" x14ac:dyDescent="0.4">
      <c r="A20" s="3">
        <v>16</v>
      </c>
      <c r="B20" s="2">
        <v>1090</v>
      </c>
      <c r="C20" s="1">
        <v>110</v>
      </c>
      <c r="D20" t="s">
        <v>50</v>
      </c>
      <c r="L20" s="3">
        <v>16</v>
      </c>
      <c r="M20" s="2">
        <v>1210</v>
      </c>
      <c r="N20" s="1">
        <v>148</v>
      </c>
      <c r="O20" t="s">
        <v>52</v>
      </c>
    </row>
    <row r="21" spans="1:15" ht="15" thickBot="1" x14ac:dyDescent="0.4">
      <c r="A21" s="3">
        <v>17</v>
      </c>
      <c r="B21" s="2">
        <v>1190</v>
      </c>
      <c r="C21" s="1">
        <v>105</v>
      </c>
      <c r="L21" s="3">
        <v>17</v>
      </c>
      <c r="M21" s="2">
        <v>1230</v>
      </c>
      <c r="N21" s="1">
        <v>139</v>
      </c>
    </row>
    <row r="22" spans="1:15" ht="15" thickBot="1" x14ac:dyDescent="0.4">
      <c r="A22" s="3">
        <v>18</v>
      </c>
      <c r="B22" s="2">
        <v>1250</v>
      </c>
      <c r="C22" s="1">
        <v>89</v>
      </c>
      <c r="L22" s="3">
        <v>18</v>
      </c>
      <c r="M22" s="2">
        <v>1250</v>
      </c>
      <c r="N22" s="1">
        <v>134</v>
      </c>
    </row>
    <row r="23" spans="1:15" ht="15" thickBot="1" x14ac:dyDescent="0.4">
      <c r="A23" s="3">
        <v>19</v>
      </c>
      <c r="B23" s="2">
        <v>1140</v>
      </c>
      <c r="C23" s="1">
        <v>113</v>
      </c>
      <c r="L23" s="3">
        <v>19</v>
      </c>
      <c r="M23" s="2">
        <v>1199</v>
      </c>
      <c r="N23" s="1">
        <v>144</v>
      </c>
    </row>
    <row r="24" spans="1:15" ht="15" thickBot="1" x14ac:dyDescent="0.4">
      <c r="A24" s="3">
        <v>20</v>
      </c>
      <c r="B24" s="2">
        <v>1019</v>
      </c>
      <c r="C24" s="1">
        <v>128</v>
      </c>
      <c r="L24" s="3">
        <v>20</v>
      </c>
      <c r="M24" s="2">
        <v>1149</v>
      </c>
      <c r="N24" s="1">
        <v>155</v>
      </c>
    </row>
    <row r="25" spans="1:15" ht="15" thickBot="1" x14ac:dyDescent="0.4">
      <c r="A25" s="3">
        <v>21</v>
      </c>
      <c r="B25" s="2">
        <v>999</v>
      </c>
      <c r="C25" s="1">
        <v>139</v>
      </c>
      <c r="L25" s="3">
        <v>21</v>
      </c>
      <c r="M25" s="2">
        <v>1199</v>
      </c>
      <c r="N25" s="1">
        <v>145</v>
      </c>
    </row>
    <row r="26" spans="1:15" ht="15" thickBot="1" x14ac:dyDescent="0.4">
      <c r="A26" s="3">
        <v>22</v>
      </c>
      <c r="B26" s="2">
        <v>912</v>
      </c>
      <c r="C26" s="1">
        <v>142</v>
      </c>
      <c r="L26" s="3">
        <v>22</v>
      </c>
      <c r="M26" s="2">
        <v>1112</v>
      </c>
      <c r="N26" s="1">
        <v>154</v>
      </c>
    </row>
    <row r="27" spans="1:15" ht="15" thickBot="1" x14ac:dyDescent="0.4">
      <c r="A27" s="3">
        <v>23</v>
      </c>
      <c r="B27" s="2">
        <v>1020</v>
      </c>
      <c r="C27" s="1">
        <v>136</v>
      </c>
      <c r="L27" s="3">
        <v>23</v>
      </c>
      <c r="M27" s="2">
        <v>1109</v>
      </c>
      <c r="N27" s="1">
        <v>158</v>
      </c>
    </row>
    <row r="28" spans="1:15" ht="15" thickBot="1" x14ac:dyDescent="0.4">
      <c r="A28" s="3">
        <v>24</v>
      </c>
      <c r="B28" s="2">
        <v>1115</v>
      </c>
      <c r="C28" s="1">
        <v>110</v>
      </c>
      <c r="L28" s="3">
        <v>24</v>
      </c>
      <c r="M28" s="2">
        <v>1115</v>
      </c>
      <c r="N28" s="1">
        <v>159</v>
      </c>
    </row>
  </sheetData>
  <mergeCells count="2">
    <mergeCell ref="A3:C3"/>
    <mergeCell ref="L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4371-D6C2-4FFC-A1B6-7D662A849FF5}">
  <dimension ref="C2:L57"/>
  <sheetViews>
    <sheetView tabSelected="1" topLeftCell="C1" zoomScale="75" zoomScaleNormal="75" workbookViewId="0">
      <selection activeCell="I13" sqref="I13"/>
    </sheetView>
  </sheetViews>
  <sheetFormatPr defaultRowHeight="14.5" x14ac:dyDescent="0.35"/>
  <cols>
    <col min="3" max="3" width="18.6328125" customWidth="1"/>
    <col min="4" max="4" width="12.453125" bestFit="1" customWidth="1"/>
    <col min="6" max="6" width="23.26953125" bestFit="1" customWidth="1"/>
    <col min="7" max="7" width="10.36328125" bestFit="1" customWidth="1"/>
    <col min="8" max="8" width="16.7265625" bestFit="1" customWidth="1"/>
    <col min="9" max="9" width="24.54296875" bestFit="1" customWidth="1"/>
    <col min="10" max="10" width="15.7265625" bestFit="1" customWidth="1"/>
    <col min="11" max="11" width="11.08984375" customWidth="1"/>
    <col min="12" max="12" width="13.54296875" customWidth="1"/>
    <col min="13" max="13" width="25.7265625" customWidth="1"/>
    <col min="14" max="14" width="28.7265625" customWidth="1"/>
    <col min="15" max="15" width="19.36328125" customWidth="1"/>
  </cols>
  <sheetData>
    <row r="2" spans="3:12" x14ac:dyDescent="0.35">
      <c r="C2" t="s">
        <v>14</v>
      </c>
      <c r="H2" t="s">
        <v>33</v>
      </c>
    </row>
    <row r="3" spans="3:12" x14ac:dyDescent="0.35">
      <c r="C3" s="12" t="s">
        <v>32</v>
      </c>
      <c r="D3" s="42">
        <v>430</v>
      </c>
      <c r="E3" s="21"/>
      <c r="F3" s="35"/>
      <c r="G3" s="35"/>
      <c r="H3" s="12" t="s">
        <v>32</v>
      </c>
      <c r="I3" s="42">
        <v>510</v>
      </c>
      <c r="J3" s="21"/>
      <c r="K3" s="35"/>
    </row>
    <row r="4" spans="3:12" x14ac:dyDescent="0.35">
      <c r="C4" s="41"/>
      <c r="D4" s="41"/>
      <c r="E4" s="21"/>
      <c r="F4" s="35"/>
      <c r="G4" s="35"/>
      <c r="H4" s="41"/>
      <c r="I4" s="41"/>
      <c r="J4" s="21"/>
      <c r="K4" s="35"/>
    </row>
    <row r="5" spans="3:12" x14ac:dyDescent="0.35">
      <c r="C5" s="40"/>
      <c r="D5" s="40"/>
      <c r="E5" s="21"/>
      <c r="F5" s="35"/>
      <c r="G5" s="35"/>
      <c r="H5" s="40"/>
      <c r="I5" s="40"/>
      <c r="J5" s="21"/>
      <c r="K5" s="35" t="s">
        <v>53</v>
      </c>
    </row>
    <row r="6" spans="3:12" x14ac:dyDescent="0.35">
      <c r="C6" s="21"/>
      <c r="D6" s="21"/>
      <c r="E6" s="21"/>
      <c r="F6" s="21"/>
      <c r="G6" s="35"/>
      <c r="H6" s="21"/>
      <c r="I6" s="21"/>
      <c r="J6" s="21"/>
      <c r="K6" s="21" t="s">
        <v>54</v>
      </c>
    </row>
    <row r="7" spans="3:12" x14ac:dyDescent="0.35">
      <c r="C7" s="39" t="s">
        <v>31</v>
      </c>
      <c r="D7" s="25"/>
      <c r="E7" s="21"/>
      <c r="F7" s="21"/>
      <c r="G7" s="21"/>
      <c r="H7" s="39" t="s">
        <v>30</v>
      </c>
      <c r="I7" s="25"/>
      <c r="J7" s="21"/>
      <c r="K7" s="21" t="s">
        <v>55</v>
      </c>
    </row>
    <row r="8" spans="3:12" x14ac:dyDescent="0.35">
      <c r="C8" s="12" t="s">
        <v>29</v>
      </c>
      <c r="D8" s="38">
        <v>4999940.5</v>
      </c>
      <c r="E8" s="21"/>
      <c r="F8" s="21"/>
      <c r="G8" s="21"/>
      <c r="H8" s="12" t="s">
        <v>29</v>
      </c>
      <c r="I8" s="38">
        <v>1994141.79</v>
      </c>
      <c r="J8" s="21"/>
      <c r="K8" s="21" t="s">
        <v>56</v>
      </c>
    </row>
    <row r="9" spans="3:12" x14ac:dyDescent="0.35">
      <c r="C9" s="12" t="s">
        <v>28</v>
      </c>
      <c r="D9" s="36">
        <v>-1.53</v>
      </c>
      <c r="E9" s="21"/>
      <c r="F9" s="21"/>
      <c r="G9" s="37"/>
      <c r="H9" s="12" t="s">
        <v>28</v>
      </c>
      <c r="I9" s="36">
        <v>-1.35</v>
      </c>
      <c r="J9" s="21"/>
      <c r="K9" s="64" t="s">
        <v>57</v>
      </c>
      <c r="L9" s="62"/>
    </row>
    <row r="10" spans="3:12" x14ac:dyDescent="0.35">
      <c r="C10" s="21"/>
      <c r="D10" s="21"/>
      <c r="E10" s="21"/>
      <c r="F10" s="21"/>
      <c r="G10" s="21"/>
      <c r="H10" s="21"/>
      <c r="I10" s="21"/>
      <c r="J10" s="21"/>
      <c r="K10" s="21"/>
      <c r="L10" s="62"/>
    </row>
    <row r="11" spans="3:12" x14ac:dyDescent="0.35">
      <c r="C11" s="35"/>
      <c r="D11" s="35"/>
      <c r="E11" s="35"/>
      <c r="F11" s="21"/>
      <c r="G11" s="21"/>
      <c r="H11" s="35"/>
      <c r="I11" s="35"/>
      <c r="J11" s="35"/>
      <c r="K11" s="21"/>
      <c r="L11" s="63"/>
    </row>
    <row r="12" spans="3:12" x14ac:dyDescent="0.35">
      <c r="C12" s="12" t="s">
        <v>1</v>
      </c>
      <c r="D12" s="34">
        <v>1200</v>
      </c>
      <c r="E12" s="26" t="s">
        <v>27</v>
      </c>
      <c r="F12" s="21"/>
      <c r="G12" s="21"/>
      <c r="H12" s="12" t="s">
        <v>1</v>
      </c>
      <c r="I12" s="34">
        <v>1100</v>
      </c>
      <c r="J12" s="26" t="s">
        <v>27</v>
      </c>
      <c r="K12" s="21"/>
    </row>
    <row r="13" spans="3:12" x14ac:dyDescent="0.35">
      <c r="C13" s="12" t="s">
        <v>0</v>
      </c>
      <c r="D13" s="33">
        <f>D8*D12^D9</f>
        <v>97.233860668524258</v>
      </c>
      <c r="E13" s="73" t="s">
        <v>26</v>
      </c>
      <c r="F13" s="72"/>
      <c r="G13" s="21"/>
      <c r="H13" s="12" t="s">
        <v>0</v>
      </c>
      <c r="I13" s="33">
        <f>I8*I12^I9</f>
        <v>156.27010712529153</v>
      </c>
      <c r="J13" s="32" t="s">
        <v>26</v>
      </c>
      <c r="K13" s="28"/>
    </row>
    <row r="14" spans="3:12" x14ac:dyDescent="0.35">
      <c r="C14" s="12" t="s">
        <v>25</v>
      </c>
      <c r="D14" s="31">
        <f>(D12-D3)*D13</f>
        <v>74870.072714763679</v>
      </c>
      <c r="E14" s="30"/>
      <c r="F14" s="21"/>
      <c r="G14" s="21"/>
      <c r="H14" s="12" t="s">
        <v>25</v>
      </c>
      <c r="I14" s="31">
        <f>(I12-I3)*I13</f>
        <v>92199.36320392201</v>
      </c>
      <c r="J14" s="30"/>
      <c r="K14" s="21"/>
    </row>
    <row r="15" spans="3:12" x14ac:dyDescent="0.35">
      <c r="C15" s="25"/>
      <c r="D15" s="27"/>
      <c r="E15" s="29"/>
      <c r="F15" s="28"/>
      <c r="G15" s="21"/>
      <c r="H15" s="25"/>
      <c r="I15" s="27"/>
      <c r="J15" s="29"/>
      <c r="K15" s="28"/>
    </row>
    <row r="16" spans="3:12" x14ac:dyDescent="0.35">
      <c r="C16" s="25" t="s">
        <v>24</v>
      </c>
      <c r="D16" s="27"/>
      <c r="E16" s="26"/>
      <c r="F16" s="25"/>
      <c r="G16" s="21"/>
      <c r="H16" s="25" t="s">
        <v>24</v>
      </c>
      <c r="I16" s="27"/>
      <c r="J16" s="26"/>
      <c r="K16" s="25"/>
    </row>
    <row r="17" spans="3:12" x14ac:dyDescent="0.35">
      <c r="C17" s="12" t="s">
        <v>23</v>
      </c>
      <c r="D17" s="24">
        <f>D12</f>
        <v>1200</v>
      </c>
      <c r="E17" s="23" t="s">
        <v>22</v>
      </c>
      <c r="F17" s="22">
        <f>D3</f>
        <v>430</v>
      </c>
      <c r="G17" s="21"/>
      <c r="H17" s="12" t="s">
        <v>23</v>
      </c>
      <c r="I17" s="24">
        <f>I12</f>
        <v>1100</v>
      </c>
      <c r="J17" s="23" t="s">
        <v>22</v>
      </c>
      <c r="K17" s="22">
        <f>I3</f>
        <v>510</v>
      </c>
    </row>
    <row r="18" spans="3:12" x14ac:dyDescent="0.35">
      <c r="G18" s="21"/>
    </row>
    <row r="19" spans="3:12" x14ac:dyDescent="0.35">
      <c r="C19" s="21"/>
      <c r="D19" s="21"/>
      <c r="E19" s="21"/>
      <c r="F19" s="12" t="s">
        <v>21</v>
      </c>
      <c r="G19" s="20">
        <f>SUM(D14,I14)</f>
        <v>167069.43591868569</v>
      </c>
      <c r="H19" s="71" t="s">
        <v>20</v>
      </c>
      <c r="I19" s="72"/>
      <c r="J19" s="19"/>
    </row>
    <row r="22" spans="3:12" ht="15" thickBot="1" x14ac:dyDescent="0.4"/>
    <row r="23" spans="3:12" ht="15" thickBot="1" x14ac:dyDescent="0.4">
      <c r="C23" s="12"/>
      <c r="D23" s="18" t="s">
        <v>19</v>
      </c>
      <c r="E23" s="18" t="s">
        <v>18</v>
      </c>
      <c r="F23" s="18" t="s">
        <v>17</v>
      </c>
      <c r="G23" s="18" t="s">
        <v>16</v>
      </c>
      <c r="J23" s="17" t="s">
        <v>15</v>
      </c>
      <c r="K23" s="16"/>
      <c r="L23" s="15"/>
    </row>
    <row r="24" spans="3:12" ht="15" thickBot="1" x14ac:dyDescent="0.4">
      <c r="C24" s="12" t="s">
        <v>14</v>
      </c>
      <c r="D24" s="14">
        <v>430</v>
      </c>
      <c r="E24" s="10">
        <v>1</v>
      </c>
      <c r="F24" s="10">
        <v>10</v>
      </c>
      <c r="G24" s="10">
        <v>4</v>
      </c>
      <c r="J24" s="5" t="s">
        <v>13</v>
      </c>
      <c r="K24" s="4"/>
      <c r="L24" s="4" t="s">
        <v>12</v>
      </c>
    </row>
    <row r="25" spans="3:12" ht="15" thickBot="1" x14ac:dyDescent="0.4">
      <c r="C25" s="12" t="s">
        <v>11</v>
      </c>
      <c r="D25" s="13">
        <v>510</v>
      </c>
      <c r="E25" s="10">
        <v>1</v>
      </c>
      <c r="F25" s="10">
        <v>16</v>
      </c>
      <c r="G25" s="10">
        <v>6</v>
      </c>
      <c r="I25" t="s">
        <v>10</v>
      </c>
      <c r="J25" s="9">
        <f>SUM(D13,I13)</f>
        <v>253.50396779381578</v>
      </c>
      <c r="K25" s="4" t="s">
        <v>6</v>
      </c>
      <c r="L25" s="1">
        <f>E26</f>
        <v>180</v>
      </c>
    </row>
    <row r="26" spans="3:12" ht="15" thickBot="1" x14ac:dyDescent="0.4">
      <c r="C26" s="12" t="s">
        <v>9</v>
      </c>
      <c r="D26" s="11"/>
      <c r="E26" s="10">
        <v>180</v>
      </c>
      <c r="F26" s="10">
        <v>2700</v>
      </c>
      <c r="G26" s="10">
        <v>1100</v>
      </c>
      <c r="I26" t="s">
        <v>8</v>
      </c>
      <c r="J26" s="9">
        <f>SUM(D13*F24,I13*F25)</f>
        <v>3472.6603206899072</v>
      </c>
      <c r="K26" s="4" t="s">
        <v>6</v>
      </c>
      <c r="L26" s="1">
        <f>F26</f>
        <v>2700</v>
      </c>
    </row>
    <row r="27" spans="3:12" ht="15" thickBot="1" x14ac:dyDescent="0.4">
      <c r="I27" t="s">
        <v>7</v>
      </c>
      <c r="J27" s="3">
        <f>SUM(D13*G24,I13*G25)</f>
        <v>1326.5560854258463</v>
      </c>
      <c r="K27" s="4" t="s">
        <v>6</v>
      </c>
      <c r="L27" s="1">
        <f>G26</f>
        <v>1100</v>
      </c>
    </row>
    <row r="33" spans="3:10" ht="15" thickBot="1" x14ac:dyDescent="0.4">
      <c r="C33" s="4" t="s">
        <v>1</v>
      </c>
      <c r="D33" s="4" t="s">
        <v>0</v>
      </c>
      <c r="I33" s="4" t="s">
        <v>1</v>
      </c>
      <c r="J33" s="4" t="s">
        <v>0</v>
      </c>
    </row>
    <row r="34" spans="3:10" ht="15" thickBot="1" x14ac:dyDescent="0.4">
      <c r="C34" s="6">
        <v>800</v>
      </c>
      <c r="D34" s="6">
        <f t="shared" ref="D34:D57" si="0">(4999940.5*C34^-1.53)*(C34-430)</f>
        <v>66901.96598691339</v>
      </c>
      <c r="I34" s="6">
        <v>1000</v>
      </c>
      <c r="J34" s="6">
        <f t="shared" ref="J34:J57" si="1">(1994141.79*I34^-1.35)*(I34-510)</f>
        <v>87086.756314351092</v>
      </c>
    </row>
    <row r="35" spans="3:10" ht="15" thickBot="1" x14ac:dyDescent="0.4">
      <c r="C35" s="6">
        <f t="shared" ref="C35:C57" si="2">C34+50</f>
        <v>850</v>
      </c>
      <c r="D35" s="6">
        <f t="shared" si="0"/>
        <v>69215.469678807538</v>
      </c>
      <c r="I35" s="6">
        <f t="shared" ref="I35:I57" si="3">I34+50</f>
        <v>1050</v>
      </c>
      <c r="J35" s="6">
        <f t="shared" si="1"/>
        <v>89855.412223193751</v>
      </c>
    </row>
    <row r="36" spans="3:10" ht="15" thickBot="1" x14ac:dyDescent="0.4">
      <c r="C36" s="6">
        <f t="shared" si="2"/>
        <v>900</v>
      </c>
      <c r="D36" s="6">
        <f t="shared" si="0"/>
        <v>70969.485158976531</v>
      </c>
      <c r="I36" s="6">
        <f t="shared" si="3"/>
        <v>1100</v>
      </c>
      <c r="J36" s="6">
        <f t="shared" si="1"/>
        <v>92199.36320392201</v>
      </c>
    </row>
    <row r="37" spans="3:10" ht="15" thickBot="1" x14ac:dyDescent="0.4">
      <c r="C37" s="6">
        <f t="shared" si="2"/>
        <v>950</v>
      </c>
      <c r="D37" s="6">
        <f t="shared" si="0"/>
        <v>72285.479087107189</v>
      </c>
      <c r="I37" s="6">
        <f t="shared" si="3"/>
        <v>1150</v>
      </c>
      <c r="J37" s="6">
        <f t="shared" si="1"/>
        <v>94187.641983367925</v>
      </c>
    </row>
    <row r="38" spans="3:10" ht="15" thickBot="1" x14ac:dyDescent="0.4">
      <c r="C38" s="6">
        <f t="shared" si="2"/>
        <v>1000</v>
      </c>
      <c r="D38" s="6">
        <f t="shared" si="0"/>
        <v>73255.408059182839</v>
      </c>
      <c r="I38" s="6">
        <f t="shared" si="3"/>
        <v>1200</v>
      </c>
      <c r="J38" s="6">
        <f t="shared" si="1"/>
        <v>95876.118477068288</v>
      </c>
    </row>
    <row r="39" spans="3:10" ht="15" thickBot="1" x14ac:dyDescent="0.4">
      <c r="C39" s="6">
        <f t="shared" si="2"/>
        <v>1050</v>
      </c>
      <c r="D39" s="6">
        <f t="shared" si="0"/>
        <v>73949.782010944546</v>
      </c>
      <c r="I39" s="6">
        <f t="shared" si="3"/>
        <v>1250</v>
      </c>
      <c r="J39" s="6">
        <f t="shared" si="1"/>
        <v>97310.395350210048</v>
      </c>
    </row>
    <row r="40" spans="3:10" ht="15" thickBot="1" x14ac:dyDescent="0.4">
      <c r="C40" s="6">
        <f t="shared" si="2"/>
        <v>1100</v>
      </c>
      <c r="D40" s="6">
        <f t="shared" si="0"/>
        <v>74423.28414286951</v>
      </c>
      <c r="I40" s="6">
        <f t="shared" si="3"/>
        <v>1300</v>
      </c>
      <c r="J40" s="6">
        <f t="shared" si="1"/>
        <v>98527.984864194805</v>
      </c>
    </row>
    <row r="41" spans="3:10" ht="15" thickBot="1" x14ac:dyDescent="0.4">
      <c r="C41" s="6">
        <f t="shared" si="2"/>
        <v>1150</v>
      </c>
      <c r="D41" s="6">
        <f t="shared" si="0"/>
        <v>74718.756726202424</v>
      </c>
      <c r="I41" s="6">
        <f t="shared" si="3"/>
        <v>1350</v>
      </c>
      <c r="J41" s="6">
        <f t="shared" si="1"/>
        <v>99559.964578828934</v>
      </c>
    </row>
    <row r="42" spans="3:10" ht="15" thickBot="1" x14ac:dyDescent="0.4">
      <c r="C42" s="6">
        <f t="shared" si="2"/>
        <v>1200</v>
      </c>
      <c r="D42" s="6">
        <f t="shared" si="0"/>
        <v>74870.072714763679</v>
      </c>
      <c r="I42" s="6">
        <f t="shared" si="3"/>
        <v>1400</v>
      </c>
      <c r="J42" s="6">
        <f t="shared" si="1"/>
        <v>100432.25021711559</v>
      </c>
    </row>
    <row r="43" spans="3:10" ht="15" thickBot="1" x14ac:dyDescent="0.4">
      <c r="C43" s="6">
        <f t="shared" si="2"/>
        <v>1250</v>
      </c>
      <c r="D43" s="8">
        <f t="shared" si="0"/>
        <v>74904.234271145397</v>
      </c>
      <c r="E43" t="s">
        <v>5</v>
      </c>
      <c r="I43" s="6">
        <f t="shared" si="3"/>
        <v>1450</v>
      </c>
      <c r="J43" s="6">
        <f t="shared" si="1"/>
        <v>101166.58390645393</v>
      </c>
    </row>
    <row r="44" spans="3:10" ht="15" thickBot="1" x14ac:dyDescent="0.4">
      <c r="C44" s="6">
        <f t="shared" si="2"/>
        <v>1300</v>
      </c>
      <c r="D44" s="6">
        <f t="shared" si="0"/>
        <v>74842.926309459566</v>
      </c>
      <c r="I44" s="6">
        <f t="shared" si="3"/>
        <v>1500</v>
      </c>
      <c r="J44" s="6">
        <f t="shared" si="1"/>
        <v>101781.30846305507</v>
      </c>
    </row>
    <row r="45" spans="3:10" ht="15" thickBot="1" x14ac:dyDescent="0.4">
      <c r="C45" s="6">
        <f t="shared" si="2"/>
        <v>1350</v>
      </c>
      <c r="D45" s="6">
        <f t="shared" si="0"/>
        <v>74703.68025772192</v>
      </c>
      <c r="I45" s="6">
        <f t="shared" si="3"/>
        <v>1550</v>
      </c>
      <c r="J45" s="6">
        <f t="shared" si="1"/>
        <v>102291.97918767005</v>
      </c>
    </row>
    <row r="46" spans="3:10" ht="15" thickBot="1" x14ac:dyDescent="0.4">
      <c r="C46" s="6">
        <f t="shared" si="2"/>
        <v>1400</v>
      </c>
      <c r="D46" s="6">
        <f t="shared" si="0"/>
        <v>74500.755328353393</v>
      </c>
      <c r="I46" s="6">
        <f t="shared" si="3"/>
        <v>1600</v>
      </c>
      <c r="J46" s="6">
        <f t="shared" si="1"/>
        <v>102711.85108264834</v>
      </c>
    </row>
    <row r="47" spans="3:10" ht="15" thickBot="1" x14ac:dyDescent="0.4">
      <c r="C47" s="6">
        <f t="shared" si="2"/>
        <v>1450</v>
      </c>
      <c r="D47" s="6">
        <f t="shared" si="0"/>
        <v>74245.812548508882</v>
      </c>
      <c r="I47" s="6">
        <f t="shared" si="3"/>
        <v>1650</v>
      </c>
      <c r="J47" s="6">
        <f t="shared" si="1"/>
        <v>103052.26970773817</v>
      </c>
    </row>
    <row r="48" spans="3:10" ht="15" thickBot="1" x14ac:dyDescent="0.4">
      <c r="C48" s="6">
        <f t="shared" si="2"/>
        <v>1500</v>
      </c>
      <c r="D48" s="6">
        <f t="shared" si="0"/>
        <v>73948.435042024154</v>
      </c>
      <c r="I48" s="6">
        <f t="shared" si="3"/>
        <v>1700</v>
      </c>
      <c r="J48" s="6">
        <f t="shared" si="1"/>
        <v>103322.98688352756</v>
      </c>
    </row>
    <row r="49" spans="3:11" ht="15" thickBot="1" x14ac:dyDescent="0.4">
      <c r="C49" s="6">
        <f t="shared" si="2"/>
        <v>1550</v>
      </c>
      <c r="D49" s="6">
        <f t="shared" si="0"/>
        <v>73616.533059370136</v>
      </c>
      <c r="I49" s="6">
        <f t="shared" si="3"/>
        <v>1750</v>
      </c>
      <c r="J49" s="6">
        <f t="shared" si="1"/>
        <v>103532.41732959203</v>
      </c>
    </row>
    <row r="50" spans="3:11" ht="15" thickBot="1" x14ac:dyDescent="0.4">
      <c r="C50" s="6">
        <f t="shared" si="2"/>
        <v>1600</v>
      </c>
      <c r="D50" s="6">
        <f t="shared" si="0"/>
        <v>73256.661778877955</v>
      </c>
      <c r="I50" s="6">
        <f t="shared" si="3"/>
        <v>1800</v>
      </c>
      <c r="J50" s="6">
        <f t="shared" si="1"/>
        <v>103687.84854404225</v>
      </c>
    </row>
    <row r="51" spans="3:11" ht="15" thickBot="1" x14ac:dyDescent="0.4">
      <c r="C51" s="6">
        <f t="shared" si="2"/>
        <v>1650</v>
      </c>
      <c r="D51" s="6">
        <f t="shared" si="0"/>
        <v>72874.272496390506</v>
      </c>
      <c r="I51" s="6">
        <f t="shared" si="3"/>
        <v>1850</v>
      </c>
      <c r="J51" s="6">
        <f t="shared" si="1"/>
        <v>103795.61341481592</v>
      </c>
    </row>
    <row r="52" spans="3:11" ht="15" thickBot="1" x14ac:dyDescent="0.4">
      <c r="C52" s="6">
        <f t="shared" si="2"/>
        <v>1700</v>
      </c>
      <c r="D52" s="6">
        <f t="shared" si="0"/>
        <v>72473.912522418759</v>
      </c>
      <c r="I52" s="6">
        <f t="shared" si="3"/>
        <v>1900</v>
      </c>
      <c r="J52" s="6">
        <f t="shared" si="1"/>
        <v>103861.23293650578</v>
      </c>
    </row>
    <row r="53" spans="3:11" ht="15" thickBot="1" x14ac:dyDescent="0.4">
      <c r="C53" s="6">
        <f t="shared" si="2"/>
        <v>1750</v>
      </c>
      <c r="D53" s="6">
        <f t="shared" si="0"/>
        <v>72059.385274761938</v>
      </c>
      <c r="I53" s="6">
        <f t="shared" si="3"/>
        <v>1950</v>
      </c>
      <c r="J53" s="8">
        <f t="shared" si="1"/>
        <v>103889.53480273887</v>
      </c>
      <c r="K53" t="s">
        <v>5</v>
      </c>
    </row>
    <row r="54" spans="3:11" ht="15" thickBot="1" x14ac:dyDescent="0.4">
      <c r="C54" s="6">
        <f t="shared" si="2"/>
        <v>1800</v>
      </c>
      <c r="D54" s="6">
        <f t="shared" si="0"/>
        <v>71633.879256222761</v>
      </c>
      <c r="I54" s="6">
        <f t="shared" si="3"/>
        <v>2000</v>
      </c>
      <c r="J54" s="7">
        <f t="shared" si="1"/>
        <v>103884.75241944643</v>
      </c>
    </row>
    <row r="55" spans="3:11" ht="15" thickBot="1" x14ac:dyDescent="0.4">
      <c r="C55" s="6">
        <f t="shared" si="2"/>
        <v>1850</v>
      </c>
      <c r="D55" s="6">
        <f t="shared" si="0"/>
        <v>71200.072543729184</v>
      </c>
      <c r="I55" s="6">
        <f t="shared" si="3"/>
        <v>2050</v>
      </c>
      <c r="J55" s="6">
        <f t="shared" si="1"/>
        <v>103850.60794231959</v>
      </c>
    </row>
    <row r="56" spans="3:11" ht="15" thickBot="1" x14ac:dyDescent="0.4">
      <c r="C56" s="6">
        <f t="shared" si="2"/>
        <v>1900</v>
      </c>
      <c r="D56" s="6">
        <f t="shared" si="0"/>
        <v>70760.217880295619</v>
      </c>
      <c r="I56" s="6">
        <f t="shared" si="3"/>
        <v>2100</v>
      </c>
      <c r="J56" s="6">
        <f t="shared" si="1"/>
        <v>103790.38221207175</v>
      </c>
    </row>
    <row r="57" spans="3:11" ht="15" thickBot="1" x14ac:dyDescent="0.4">
      <c r="C57" s="6">
        <f t="shared" si="2"/>
        <v>1950</v>
      </c>
      <c r="D57" s="6">
        <f t="shared" si="0"/>
        <v>70316.212309967843</v>
      </c>
      <c r="I57" s="6">
        <f t="shared" si="3"/>
        <v>2150</v>
      </c>
      <c r="J57" s="6">
        <f t="shared" si="1"/>
        <v>103706.97389223507</v>
      </c>
    </row>
  </sheetData>
  <mergeCells count="2">
    <mergeCell ref="H19:I19"/>
    <mergeCell ref="E13:F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BFD3-0838-401F-90BF-3AF064138251}">
  <dimension ref="C2:L57"/>
  <sheetViews>
    <sheetView topLeftCell="A40" zoomScale="75" workbookViewId="0">
      <selection activeCell="I33" sqref="I33:K57"/>
    </sheetView>
  </sheetViews>
  <sheetFormatPr defaultRowHeight="14.5" x14ac:dyDescent="0.35"/>
  <cols>
    <col min="3" max="3" width="18.6328125" customWidth="1"/>
    <col min="4" max="4" width="12.453125" bestFit="1" customWidth="1"/>
    <col min="6" max="6" width="23.26953125" bestFit="1" customWidth="1"/>
    <col min="7" max="7" width="10.36328125" bestFit="1" customWidth="1"/>
    <col min="8" max="8" width="16.7265625" bestFit="1" customWidth="1"/>
    <col min="9" max="9" width="24.54296875" bestFit="1" customWidth="1"/>
    <col min="10" max="10" width="15.7265625" bestFit="1" customWidth="1"/>
    <col min="11" max="11" width="15.26953125" customWidth="1"/>
    <col min="12" max="12" width="9.81640625" customWidth="1"/>
    <col min="13" max="13" width="15.90625" customWidth="1"/>
    <col min="14" max="14" width="17.90625" customWidth="1"/>
    <col min="15" max="15" width="17.08984375" customWidth="1"/>
    <col min="16" max="16" width="19.7265625" customWidth="1"/>
  </cols>
  <sheetData>
    <row r="2" spans="3:11" x14ac:dyDescent="0.35">
      <c r="C2" t="s">
        <v>14</v>
      </c>
      <c r="H2" t="s">
        <v>11</v>
      </c>
    </row>
    <row r="3" spans="3:11" x14ac:dyDescent="0.35">
      <c r="C3" s="12" t="s">
        <v>32</v>
      </c>
      <c r="D3" s="42">
        <v>430</v>
      </c>
      <c r="E3" s="21"/>
      <c r="F3" s="35"/>
      <c r="G3" s="35"/>
      <c r="H3" s="12" t="s">
        <v>32</v>
      </c>
      <c r="I3" s="42">
        <v>510</v>
      </c>
      <c r="J3" s="21"/>
      <c r="K3" s="35"/>
    </row>
    <row r="4" spans="3:11" x14ac:dyDescent="0.35">
      <c r="C4" s="41"/>
      <c r="D4" s="41"/>
      <c r="E4" s="21"/>
      <c r="F4" s="35"/>
      <c r="G4" s="35"/>
      <c r="H4" s="41"/>
      <c r="I4" s="41"/>
      <c r="J4" s="21"/>
      <c r="K4" s="35"/>
    </row>
    <row r="5" spans="3:11" x14ac:dyDescent="0.35">
      <c r="C5" s="40"/>
      <c r="D5" s="40"/>
      <c r="E5" s="21"/>
      <c r="F5" s="35"/>
      <c r="G5" s="35"/>
      <c r="H5" s="40"/>
      <c r="I5" s="40"/>
      <c r="J5" s="21"/>
      <c r="K5" s="35"/>
    </row>
    <row r="6" spans="3:11" x14ac:dyDescent="0.35">
      <c r="C6" s="21"/>
      <c r="D6" s="21"/>
      <c r="E6" s="21"/>
      <c r="F6" s="21"/>
      <c r="G6" s="35"/>
      <c r="H6" s="21"/>
      <c r="I6" s="21"/>
      <c r="J6" s="21"/>
      <c r="K6" s="21" t="s">
        <v>60</v>
      </c>
    </row>
    <row r="7" spans="3:11" x14ac:dyDescent="0.35">
      <c r="C7" s="39" t="s">
        <v>30</v>
      </c>
      <c r="D7" s="25"/>
      <c r="E7" s="21"/>
      <c r="F7" s="21"/>
      <c r="G7" s="21"/>
      <c r="H7" s="39" t="s">
        <v>30</v>
      </c>
      <c r="I7" s="25"/>
      <c r="J7" s="21"/>
      <c r="K7" s="21" t="s">
        <v>58</v>
      </c>
    </row>
    <row r="8" spans="3:11" x14ac:dyDescent="0.35">
      <c r="C8" s="12" t="s">
        <v>29</v>
      </c>
      <c r="D8" s="38">
        <v>4999940.5</v>
      </c>
      <c r="E8" s="21"/>
      <c r="F8" s="21"/>
      <c r="G8" s="21"/>
      <c r="H8" s="12" t="s">
        <v>29</v>
      </c>
      <c r="I8" s="38">
        <v>1994141.79</v>
      </c>
      <c r="J8" s="21"/>
      <c r="K8" s="21" t="s">
        <v>59</v>
      </c>
    </row>
    <row r="9" spans="3:11" x14ac:dyDescent="0.35">
      <c r="C9" s="12" t="s">
        <v>28</v>
      </c>
      <c r="D9" s="36">
        <v>-1.53</v>
      </c>
      <c r="E9" s="21"/>
      <c r="F9" s="21"/>
      <c r="G9" s="37"/>
      <c r="H9" s="12" t="s">
        <v>28</v>
      </c>
      <c r="I9" s="36">
        <v>-1.35</v>
      </c>
      <c r="J9" s="21"/>
      <c r="K9" s="21" t="s">
        <v>65</v>
      </c>
    </row>
    <row r="10" spans="3:11" x14ac:dyDescent="0.35">
      <c r="C10" s="21"/>
      <c r="D10" s="21"/>
      <c r="E10" s="21"/>
      <c r="F10" s="21"/>
      <c r="G10" s="21"/>
      <c r="H10" s="21"/>
      <c r="I10" s="21"/>
      <c r="J10" s="21"/>
      <c r="K10" s="21"/>
    </row>
    <row r="11" spans="3:11" x14ac:dyDescent="0.35">
      <c r="C11" s="35"/>
      <c r="D11" s="35"/>
      <c r="E11" s="35"/>
      <c r="F11" s="21"/>
      <c r="G11" s="21"/>
      <c r="H11" s="35"/>
      <c r="I11" s="35"/>
      <c r="J11" s="35"/>
      <c r="K11" s="21"/>
    </row>
    <row r="12" spans="3:11" x14ac:dyDescent="0.35">
      <c r="C12" s="12" t="s">
        <v>1</v>
      </c>
      <c r="D12" s="34">
        <v>1220</v>
      </c>
      <c r="E12" s="26" t="s">
        <v>27</v>
      </c>
      <c r="F12" s="21"/>
      <c r="G12" s="21"/>
      <c r="H12" s="12" t="s">
        <v>1</v>
      </c>
      <c r="I12" s="34">
        <v>1800</v>
      </c>
      <c r="J12" s="26" t="s">
        <v>27</v>
      </c>
      <c r="K12" s="21"/>
    </row>
    <row r="13" spans="3:11" x14ac:dyDescent="0.35">
      <c r="C13" s="12" t="s">
        <v>0</v>
      </c>
      <c r="D13" s="44">
        <f>D8*D12^D9</f>
        <v>94.805666397933763</v>
      </c>
      <c r="E13" s="73" t="s">
        <v>26</v>
      </c>
      <c r="F13" s="72"/>
      <c r="G13" s="21"/>
      <c r="H13" s="12" t="s">
        <v>0</v>
      </c>
      <c r="I13" s="44">
        <f>I8*I12^I9</f>
        <v>80.378177165924228</v>
      </c>
      <c r="J13" s="32" t="s">
        <v>26</v>
      </c>
      <c r="K13" s="28"/>
    </row>
    <row r="14" spans="3:11" x14ac:dyDescent="0.35">
      <c r="C14" s="12" t="s">
        <v>25</v>
      </c>
      <c r="D14" s="31">
        <f>(D12-D3)*D13</f>
        <v>74896.476454367672</v>
      </c>
      <c r="E14" s="30"/>
      <c r="F14" s="21"/>
      <c r="G14" s="21"/>
      <c r="H14" s="12" t="s">
        <v>25</v>
      </c>
      <c r="I14" s="31">
        <f>(I12-I3)*I13</f>
        <v>103687.84854404225</v>
      </c>
      <c r="J14" s="30"/>
      <c r="K14" s="21"/>
    </row>
    <row r="15" spans="3:11" x14ac:dyDescent="0.35">
      <c r="C15" s="25"/>
      <c r="D15" s="27"/>
      <c r="E15" s="29"/>
      <c r="F15" s="28"/>
      <c r="G15" s="21"/>
      <c r="H15" s="25"/>
      <c r="I15" s="27"/>
      <c r="J15" s="29"/>
      <c r="K15" s="28"/>
    </row>
    <row r="16" spans="3:11" x14ac:dyDescent="0.35">
      <c r="C16" s="25" t="s">
        <v>24</v>
      </c>
      <c r="D16" s="27"/>
      <c r="E16" s="26"/>
      <c r="F16" s="25"/>
      <c r="G16" s="21"/>
      <c r="H16" s="25" t="s">
        <v>24</v>
      </c>
      <c r="I16" s="27"/>
      <c r="J16" s="26"/>
      <c r="K16" s="25"/>
    </row>
    <row r="17" spans="3:12" x14ac:dyDescent="0.35">
      <c r="C17" s="12" t="s">
        <v>23</v>
      </c>
      <c r="D17" s="24">
        <f>D12</f>
        <v>1220</v>
      </c>
      <c r="E17" s="23" t="s">
        <v>22</v>
      </c>
      <c r="F17" s="22">
        <f>D3</f>
        <v>430</v>
      </c>
      <c r="G17" s="21"/>
      <c r="H17" s="12" t="s">
        <v>23</v>
      </c>
      <c r="I17" s="24">
        <f>I12</f>
        <v>1800</v>
      </c>
      <c r="J17" s="23" t="s">
        <v>22</v>
      </c>
      <c r="K17" s="22">
        <f>I3</f>
        <v>510</v>
      </c>
    </row>
    <row r="18" spans="3:12" x14ac:dyDescent="0.35">
      <c r="G18" s="21"/>
    </row>
    <row r="19" spans="3:12" x14ac:dyDescent="0.35">
      <c r="C19" s="21"/>
      <c r="D19" s="21"/>
      <c r="E19" s="21"/>
      <c r="F19" s="12" t="s">
        <v>21</v>
      </c>
      <c r="G19" s="20">
        <f>SUM(D14,I14)</f>
        <v>178584.32499840992</v>
      </c>
      <c r="H19" s="71" t="s">
        <v>20</v>
      </c>
      <c r="I19" s="72"/>
      <c r="J19" s="19"/>
    </row>
    <row r="22" spans="3:12" ht="15" thickBot="1" x14ac:dyDescent="0.4"/>
    <row r="23" spans="3:12" ht="15" thickBot="1" x14ac:dyDescent="0.4">
      <c r="C23" s="12"/>
      <c r="D23" s="18" t="s">
        <v>19</v>
      </c>
      <c r="E23" s="18" t="s">
        <v>18</v>
      </c>
      <c r="F23" s="18" t="s">
        <v>17</v>
      </c>
      <c r="G23" s="18" t="s">
        <v>16</v>
      </c>
      <c r="J23" s="17" t="s">
        <v>15</v>
      </c>
      <c r="K23" s="16"/>
      <c r="L23" s="15"/>
    </row>
    <row r="24" spans="3:12" ht="15" thickBot="1" x14ac:dyDescent="0.4">
      <c r="C24" s="12" t="s">
        <v>14</v>
      </c>
      <c r="D24" s="14">
        <v>430</v>
      </c>
      <c r="E24" s="10">
        <v>1</v>
      </c>
      <c r="F24" s="10">
        <v>10</v>
      </c>
      <c r="G24" s="10">
        <v>4</v>
      </c>
      <c r="J24" s="5" t="s">
        <v>13</v>
      </c>
      <c r="K24" s="4"/>
      <c r="L24" s="4" t="s">
        <v>12</v>
      </c>
    </row>
    <row r="25" spans="3:12" ht="15" thickBot="1" x14ac:dyDescent="0.4">
      <c r="C25" s="12" t="s">
        <v>11</v>
      </c>
      <c r="D25" s="13">
        <v>510</v>
      </c>
      <c r="E25" s="10">
        <v>1</v>
      </c>
      <c r="F25" s="10">
        <v>16</v>
      </c>
      <c r="G25" s="10">
        <v>6</v>
      </c>
      <c r="I25" t="s">
        <v>10</v>
      </c>
      <c r="J25" s="9">
        <f>SUM(D13,I13)</f>
        <v>175.18384356385798</v>
      </c>
      <c r="K25" s="4" t="s">
        <v>6</v>
      </c>
      <c r="L25" s="1">
        <f>E26</f>
        <v>180</v>
      </c>
    </row>
    <row r="26" spans="3:12" ht="15" thickBot="1" x14ac:dyDescent="0.4">
      <c r="C26" s="12" t="s">
        <v>9</v>
      </c>
      <c r="D26" s="11"/>
      <c r="E26" s="10">
        <v>180</v>
      </c>
      <c r="F26" s="10">
        <v>2700</v>
      </c>
      <c r="G26" s="10">
        <v>1100</v>
      </c>
      <c r="I26" t="s">
        <v>8</v>
      </c>
      <c r="J26" s="9">
        <f>SUM(D13*F24,I13*F25)</f>
        <v>2234.1074986341255</v>
      </c>
      <c r="K26" s="4" t="s">
        <v>6</v>
      </c>
      <c r="L26" s="1">
        <f>F26</f>
        <v>2700</v>
      </c>
    </row>
    <row r="27" spans="3:12" ht="15" thickBot="1" x14ac:dyDescent="0.4">
      <c r="I27" t="s">
        <v>7</v>
      </c>
      <c r="J27" s="3">
        <f>SUM(D13*G24,I13*G25)</f>
        <v>861.49172858728048</v>
      </c>
      <c r="K27" s="4" t="s">
        <v>6</v>
      </c>
      <c r="L27" s="1">
        <f>G26</f>
        <v>1100</v>
      </c>
    </row>
    <row r="28" spans="3:12" ht="15" thickBot="1" x14ac:dyDescent="0.4">
      <c r="I28" t="s">
        <v>35</v>
      </c>
      <c r="J28" s="43">
        <f>D12</f>
        <v>1220</v>
      </c>
      <c r="K28" s="4" t="s">
        <v>6</v>
      </c>
      <c r="L28" s="1">
        <v>1220</v>
      </c>
    </row>
    <row r="29" spans="3:12" ht="15" thickBot="1" x14ac:dyDescent="0.4">
      <c r="I29" t="s">
        <v>34</v>
      </c>
      <c r="J29" s="43">
        <f>I12</f>
        <v>1800</v>
      </c>
      <c r="K29" s="4" t="s">
        <v>6</v>
      </c>
      <c r="L29" s="1">
        <v>1800</v>
      </c>
    </row>
    <row r="33" spans="3:10" ht="15" thickBot="1" x14ac:dyDescent="0.4">
      <c r="C33" s="4" t="s">
        <v>1</v>
      </c>
      <c r="D33" s="4" t="s">
        <v>0</v>
      </c>
      <c r="I33" s="4" t="s">
        <v>1</v>
      </c>
      <c r="J33" s="4" t="s">
        <v>0</v>
      </c>
    </row>
    <row r="34" spans="3:10" ht="15" thickBot="1" x14ac:dyDescent="0.4">
      <c r="C34" s="6">
        <v>800</v>
      </c>
      <c r="D34" s="6">
        <f t="shared" ref="D34:D57" si="0">(4999940.5*C34^-1.53)*(C34-430)</f>
        <v>66901.96598691339</v>
      </c>
      <c r="I34" s="6">
        <v>1000</v>
      </c>
      <c r="J34" s="6">
        <f t="shared" ref="J34:J57" si="1">(1994141.79*I34^-1.35)*(I34-510)</f>
        <v>87086.756314351092</v>
      </c>
    </row>
    <row r="35" spans="3:10" ht="15" thickBot="1" x14ac:dyDescent="0.4">
      <c r="C35" s="6">
        <f t="shared" ref="C35:C57" si="2">C34+50</f>
        <v>850</v>
      </c>
      <c r="D35" s="6">
        <f t="shared" si="0"/>
        <v>69215.469678807538</v>
      </c>
      <c r="I35" s="6">
        <f t="shared" ref="I35:I57" si="3">I34+50</f>
        <v>1050</v>
      </c>
      <c r="J35" s="6">
        <f t="shared" si="1"/>
        <v>89855.412223193751</v>
      </c>
    </row>
    <row r="36" spans="3:10" ht="15" thickBot="1" x14ac:dyDescent="0.4">
      <c r="C36" s="6">
        <f t="shared" si="2"/>
        <v>900</v>
      </c>
      <c r="D36" s="6">
        <f t="shared" si="0"/>
        <v>70969.485158976531</v>
      </c>
      <c r="I36" s="6">
        <f t="shared" si="3"/>
        <v>1100</v>
      </c>
      <c r="J36" s="6">
        <f t="shared" si="1"/>
        <v>92199.36320392201</v>
      </c>
    </row>
    <row r="37" spans="3:10" ht="15" thickBot="1" x14ac:dyDescent="0.4">
      <c r="C37" s="6">
        <f t="shared" si="2"/>
        <v>950</v>
      </c>
      <c r="D37" s="6">
        <f t="shared" si="0"/>
        <v>72285.479087107189</v>
      </c>
      <c r="I37" s="6">
        <f t="shared" si="3"/>
        <v>1150</v>
      </c>
      <c r="J37" s="6">
        <f t="shared" si="1"/>
        <v>94187.641983367925</v>
      </c>
    </row>
    <row r="38" spans="3:10" ht="15" thickBot="1" x14ac:dyDescent="0.4">
      <c r="C38" s="6">
        <f t="shared" si="2"/>
        <v>1000</v>
      </c>
      <c r="D38" s="6">
        <f t="shared" si="0"/>
        <v>73255.408059182839</v>
      </c>
      <c r="I38" s="6">
        <f t="shared" si="3"/>
        <v>1200</v>
      </c>
      <c r="J38" s="6">
        <f t="shared" si="1"/>
        <v>95876.118477068288</v>
      </c>
    </row>
    <row r="39" spans="3:10" ht="15" thickBot="1" x14ac:dyDescent="0.4">
      <c r="C39" s="6">
        <f t="shared" si="2"/>
        <v>1050</v>
      </c>
      <c r="D39" s="6">
        <f t="shared" si="0"/>
        <v>73949.782010944546</v>
      </c>
      <c r="I39" s="6">
        <f t="shared" si="3"/>
        <v>1250</v>
      </c>
      <c r="J39" s="6">
        <f t="shared" si="1"/>
        <v>97310.395350210048</v>
      </c>
    </row>
    <row r="40" spans="3:10" ht="15" thickBot="1" x14ac:dyDescent="0.4">
      <c r="C40" s="6">
        <f t="shared" si="2"/>
        <v>1100</v>
      </c>
      <c r="D40" s="6">
        <f t="shared" si="0"/>
        <v>74423.28414286951</v>
      </c>
      <c r="I40" s="6">
        <f t="shared" si="3"/>
        <v>1300</v>
      </c>
      <c r="J40" s="6">
        <f t="shared" si="1"/>
        <v>98527.984864194805</v>
      </c>
    </row>
    <row r="41" spans="3:10" ht="15" thickBot="1" x14ac:dyDescent="0.4">
      <c r="C41" s="6">
        <f t="shared" si="2"/>
        <v>1150</v>
      </c>
      <c r="D41" s="6">
        <f t="shared" si="0"/>
        <v>74718.756726202424</v>
      </c>
      <c r="I41" s="6">
        <f t="shared" si="3"/>
        <v>1350</v>
      </c>
      <c r="J41" s="6">
        <f t="shared" si="1"/>
        <v>99559.964578828934</v>
      </c>
    </row>
    <row r="42" spans="3:10" ht="15" thickBot="1" x14ac:dyDescent="0.4">
      <c r="C42" s="6">
        <f t="shared" si="2"/>
        <v>1200</v>
      </c>
      <c r="D42" s="6">
        <f t="shared" si="0"/>
        <v>74870.072714763679</v>
      </c>
      <c r="I42" s="6">
        <f t="shared" si="3"/>
        <v>1400</v>
      </c>
      <c r="J42" s="6">
        <f t="shared" si="1"/>
        <v>100432.25021711559</v>
      </c>
    </row>
    <row r="43" spans="3:10" ht="15" thickBot="1" x14ac:dyDescent="0.4">
      <c r="C43" s="6">
        <f t="shared" si="2"/>
        <v>1250</v>
      </c>
      <c r="D43" s="8">
        <f t="shared" si="0"/>
        <v>74904.234271145397</v>
      </c>
      <c r="E43" t="s">
        <v>5</v>
      </c>
      <c r="I43" s="6">
        <f t="shared" si="3"/>
        <v>1450</v>
      </c>
      <c r="J43" s="6">
        <f t="shared" si="1"/>
        <v>101166.58390645393</v>
      </c>
    </row>
    <row r="44" spans="3:10" ht="15" thickBot="1" x14ac:dyDescent="0.4">
      <c r="C44" s="6">
        <f t="shared" si="2"/>
        <v>1300</v>
      </c>
      <c r="D44" s="6">
        <f t="shared" si="0"/>
        <v>74842.926309459566</v>
      </c>
      <c r="I44" s="6">
        <f t="shared" si="3"/>
        <v>1500</v>
      </c>
      <c r="J44" s="6">
        <f t="shared" si="1"/>
        <v>101781.30846305507</v>
      </c>
    </row>
    <row r="45" spans="3:10" ht="15" thickBot="1" x14ac:dyDescent="0.4">
      <c r="C45" s="6">
        <f t="shared" si="2"/>
        <v>1350</v>
      </c>
      <c r="D45" s="6">
        <f t="shared" si="0"/>
        <v>74703.68025772192</v>
      </c>
      <c r="I45" s="6">
        <f t="shared" si="3"/>
        <v>1550</v>
      </c>
      <c r="J45" s="6">
        <f t="shared" si="1"/>
        <v>102291.97918767005</v>
      </c>
    </row>
    <row r="46" spans="3:10" ht="15" thickBot="1" x14ac:dyDescent="0.4">
      <c r="C46" s="6">
        <f t="shared" si="2"/>
        <v>1400</v>
      </c>
      <c r="D46" s="6">
        <f t="shared" si="0"/>
        <v>74500.755328353393</v>
      </c>
      <c r="I46" s="6">
        <f t="shared" si="3"/>
        <v>1600</v>
      </c>
      <c r="J46" s="6">
        <f t="shared" si="1"/>
        <v>102711.85108264834</v>
      </c>
    </row>
    <row r="47" spans="3:10" ht="15" thickBot="1" x14ac:dyDescent="0.4">
      <c r="C47" s="6">
        <f t="shared" si="2"/>
        <v>1450</v>
      </c>
      <c r="D47" s="6">
        <f t="shared" si="0"/>
        <v>74245.812548508882</v>
      </c>
      <c r="I47" s="6">
        <f t="shared" si="3"/>
        <v>1650</v>
      </c>
      <c r="J47" s="6">
        <f t="shared" si="1"/>
        <v>103052.26970773817</v>
      </c>
    </row>
    <row r="48" spans="3:10" ht="15" thickBot="1" x14ac:dyDescent="0.4">
      <c r="C48" s="6">
        <f t="shared" si="2"/>
        <v>1500</v>
      </c>
      <c r="D48" s="6">
        <f t="shared" si="0"/>
        <v>73948.435042024154</v>
      </c>
      <c r="I48" s="6">
        <f t="shared" si="3"/>
        <v>1700</v>
      </c>
      <c r="J48" s="6">
        <f t="shared" si="1"/>
        <v>103322.98688352756</v>
      </c>
    </row>
    <row r="49" spans="3:11" ht="15" thickBot="1" x14ac:dyDescent="0.4">
      <c r="C49" s="6">
        <f t="shared" si="2"/>
        <v>1550</v>
      </c>
      <c r="D49" s="6">
        <f t="shared" si="0"/>
        <v>73616.533059370136</v>
      </c>
      <c r="I49" s="6">
        <f t="shared" si="3"/>
        <v>1750</v>
      </c>
      <c r="J49" s="6">
        <f t="shared" si="1"/>
        <v>103532.41732959203</v>
      </c>
    </row>
    <row r="50" spans="3:11" ht="15" thickBot="1" x14ac:dyDescent="0.4">
      <c r="C50" s="6">
        <f t="shared" si="2"/>
        <v>1600</v>
      </c>
      <c r="D50" s="6">
        <f t="shared" si="0"/>
        <v>73256.661778877955</v>
      </c>
      <c r="I50" s="6">
        <f t="shared" si="3"/>
        <v>1800</v>
      </c>
      <c r="J50" s="6">
        <f t="shared" si="1"/>
        <v>103687.84854404225</v>
      </c>
    </row>
    <row r="51" spans="3:11" ht="15" thickBot="1" x14ac:dyDescent="0.4">
      <c r="C51" s="6">
        <f t="shared" si="2"/>
        <v>1650</v>
      </c>
      <c r="D51" s="6">
        <f t="shared" si="0"/>
        <v>72874.272496390506</v>
      </c>
      <c r="I51" s="6">
        <f t="shared" si="3"/>
        <v>1850</v>
      </c>
      <c r="J51" s="6">
        <f t="shared" si="1"/>
        <v>103795.61341481592</v>
      </c>
    </row>
    <row r="52" spans="3:11" ht="15" thickBot="1" x14ac:dyDescent="0.4">
      <c r="C52" s="6">
        <f t="shared" si="2"/>
        <v>1700</v>
      </c>
      <c r="D52" s="6">
        <f t="shared" si="0"/>
        <v>72473.912522418759</v>
      </c>
      <c r="I52" s="6">
        <f t="shared" si="3"/>
        <v>1900</v>
      </c>
      <c r="J52" s="6">
        <f t="shared" si="1"/>
        <v>103861.23293650578</v>
      </c>
    </row>
    <row r="53" spans="3:11" ht="15" thickBot="1" x14ac:dyDescent="0.4">
      <c r="C53" s="6">
        <f t="shared" si="2"/>
        <v>1750</v>
      </c>
      <c r="D53" s="6">
        <f t="shared" si="0"/>
        <v>72059.385274761938</v>
      </c>
      <c r="I53" s="6">
        <f t="shared" si="3"/>
        <v>1950</v>
      </c>
      <c r="J53" s="8">
        <f t="shared" si="1"/>
        <v>103889.53480273887</v>
      </c>
      <c r="K53" t="s">
        <v>5</v>
      </c>
    </row>
    <row r="54" spans="3:11" ht="15" thickBot="1" x14ac:dyDescent="0.4">
      <c r="C54" s="6">
        <f t="shared" si="2"/>
        <v>1800</v>
      </c>
      <c r="D54" s="6">
        <f t="shared" si="0"/>
        <v>71633.879256222761</v>
      </c>
      <c r="I54" s="6">
        <f t="shared" si="3"/>
        <v>2000</v>
      </c>
      <c r="J54" s="7">
        <f t="shared" si="1"/>
        <v>103884.75241944643</v>
      </c>
    </row>
    <row r="55" spans="3:11" ht="15" thickBot="1" x14ac:dyDescent="0.4">
      <c r="C55" s="6">
        <f t="shared" si="2"/>
        <v>1850</v>
      </c>
      <c r="D55" s="6">
        <f t="shared" si="0"/>
        <v>71200.072543729184</v>
      </c>
      <c r="I55" s="6">
        <f t="shared" si="3"/>
        <v>2050</v>
      </c>
      <c r="J55" s="6">
        <f t="shared" si="1"/>
        <v>103850.60794231959</v>
      </c>
    </row>
    <row r="56" spans="3:11" ht="15" thickBot="1" x14ac:dyDescent="0.4">
      <c r="C56" s="6">
        <f t="shared" si="2"/>
        <v>1900</v>
      </c>
      <c r="D56" s="6">
        <f t="shared" si="0"/>
        <v>70760.217880295619</v>
      </c>
      <c r="I56" s="6">
        <f t="shared" si="3"/>
        <v>2100</v>
      </c>
      <c r="J56" s="6">
        <f t="shared" si="1"/>
        <v>103790.38221207175</v>
      </c>
    </row>
    <row r="57" spans="3:11" ht="15" thickBot="1" x14ac:dyDescent="0.4">
      <c r="C57" s="6">
        <f t="shared" si="2"/>
        <v>1950</v>
      </c>
      <c r="D57" s="6">
        <f t="shared" si="0"/>
        <v>70316.212309967843</v>
      </c>
      <c r="I57" s="6">
        <f t="shared" si="3"/>
        <v>2150</v>
      </c>
      <c r="J57" s="6">
        <f t="shared" si="1"/>
        <v>103706.97389223507</v>
      </c>
    </row>
  </sheetData>
  <mergeCells count="2">
    <mergeCell ref="E13:F13"/>
    <mergeCell ref="H19:I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3431-3270-4ED6-BA45-D0B9D94FDE11}">
  <dimension ref="A1:N45"/>
  <sheetViews>
    <sheetView zoomScale="53" workbookViewId="0">
      <selection activeCell="N29" sqref="N29"/>
    </sheetView>
  </sheetViews>
  <sheetFormatPr defaultRowHeight="14.5" x14ac:dyDescent="0.35"/>
  <cols>
    <col min="4" max="4" width="9.36328125" bestFit="1" customWidth="1"/>
  </cols>
  <sheetData>
    <row r="1" spans="1:11" x14ac:dyDescent="0.35">
      <c r="A1" s="61" t="s">
        <v>42</v>
      </c>
      <c r="K1" s="59" t="str">
        <f>CONCATENATE("Sensitivity of ",$K$4," to ","Input")</f>
        <v>Sensitivity of $D$12 to Input</v>
      </c>
    </row>
    <row r="3" spans="1:11" x14ac:dyDescent="0.35">
      <c r="A3" t="s">
        <v>41</v>
      </c>
      <c r="K3" t="s">
        <v>40</v>
      </c>
    </row>
    <row r="4" spans="1:11" ht="33.5" x14ac:dyDescent="0.35">
      <c r="B4" s="60" t="s">
        <v>37</v>
      </c>
      <c r="C4" s="60" t="s">
        <v>39</v>
      </c>
      <c r="D4" s="60" t="s">
        <v>38</v>
      </c>
      <c r="J4" s="59">
        <f>MATCH($K$4,OutputAddresses,0)</f>
        <v>1</v>
      </c>
      <c r="K4" s="58" t="s">
        <v>37</v>
      </c>
    </row>
    <row r="5" spans="1:11" x14ac:dyDescent="0.35">
      <c r="A5" s="48">
        <v>100</v>
      </c>
      <c r="B5" s="57" t="s">
        <v>36</v>
      </c>
      <c r="C5" s="56"/>
      <c r="D5" s="55"/>
      <c r="K5" t="str">
        <f>INDEX(OutputValues,1,$J$4)</f>
        <v>Not feasible</v>
      </c>
    </row>
    <row r="6" spans="1:11" x14ac:dyDescent="0.35">
      <c r="A6" s="48">
        <v>105</v>
      </c>
      <c r="B6" s="54" t="s">
        <v>36</v>
      </c>
      <c r="C6" s="53"/>
      <c r="D6" s="52"/>
      <c r="K6" t="str">
        <f>INDEX(OutputValues,2,$J$4)</f>
        <v>Not feasible</v>
      </c>
    </row>
    <row r="7" spans="1:11" x14ac:dyDescent="0.35">
      <c r="A7" s="48">
        <v>110</v>
      </c>
      <c r="B7" s="54" t="s">
        <v>36</v>
      </c>
      <c r="C7" s="53"/>
      <c r="D7" s="52"/>
      <c r="K7" t="str">
        <f>INDEX(OutputValues,3,$J$4)</f>
        <v>Not feasible</v>
      </c>
    </row>
    <row r="8" spans="1:11" x14ac:dyDescent="0.35">
      <c r="A8" s="48">
        <v>115</v>
      </c>
      <c r="B8" s="54" t="s">
        <v>36</v>
      </c>
      <c r="C8" s="53"/>
      <c r="D8" s="52"/>
      <c r="K8" t="str">
        <f>INDEX(OutputValues,4,$J$4)</f>
        <v>Not feasible</v>
      </c>
    </row>
    <row r="9" spans="1:11" x14ac:dyDescent="0.35">
      <c r="A9" s="48">
        <v>120</v>
      </c>
      <c r="B9" s="54" t="s">
        <v>36</v>
      </c>
      <c r="C9" s="53"/>
      <c r="D9" s="52"/>
      <c r="K9" t="str">
        <f>INDEX(OutputValues,5,$J$4)</f>
        <v>Not feasible</v>
      </c>
    </row>
    <row r="10" spans="1:11" x14ac:dyDescent="0.35">
      <c r="A10" s="48">
        <v>125</v>
      </c>
      <c r="B10" s="54" t="s">
        <v>36</v>
      </c>
      <c r="C10" s="53"/>
      <c r="D10" s="52"/>
      <c r="K10" t="str">
        <f>INDEX(OutputValues,6,$J$4)</f>
        <v>Not feasible</v>
      </c>
    </row>
    <row r="11" spans="1:11" x14ac:dyDescent="0.35">
      <c r="A11" s="48">
        <v>130</v>
      </c>
      <c r="B11" s="54" t="s">
        <v>36</v>
      </c>
      <c r="C11" s="53"/>
      <c r="D11" s="52"/>
      <c r="K11" t="str">
        <f>INDEX(OutputValues,7,$J$4)</f>
        <v>Not feasible</v>
      </c>
    </row>
    <row r="12" spans="1:11" x14ac:dyDescent="0.35">
      <c r="A12" s="48">
        <v>135</v>
      </c>
      <c r="B12" s="54" t="s">
        <v>36</v>
      </c>
      <c r="C12" s="53"/>
      <c r="D12" s="52"/>
      <c r="K12" t="str">
        <f>INDEX(OutputValues,8,$J$4)</f>
        <v>Not feasible</v>
      </c>
    </row>
    <row r="13" spans="1:11" x14ac:dyDescent="0.35">
      <c r="A13" s="48">
        <v>140</v>
      </c>
      <c r="B13" s="54" t="s">
        <v>36</v>
      </c>
      <c r="C13" s="53"/>
      <c r="D13" s="52"/>
      <c r="K13" t="str">
        <f>INDEX(OutputValues,9,$J$4)</f>
        <v>Not feasible</v>
      </c>
    </row>
    <row r="14" spans="1:11" x14ac:dyDescent="0.35">
      <c r="A14" s="48">
        <v>145</v>
      </c>
      <c r="B14" s="54" t="s">
        <v>36</v>
      </c>
      <c r="C14" s="53"/>
      <c r="D14" s="52"/>
      <c r="K14" t="str">
        <f>INDEX(OutputValues,10,$J$4)</f>
        <v>Not feasible</v>
      </c>
    </row>
    <row r="15" spans="1:11" x14ac:dyDescent="0.35">
      <c r="A15" s="48">
        <v>150</v>
      </c>
      <c r="B15" s="54" t="s">
        <v>36</v>
      </c>
      <c r="C15" s="53"/>
      <c r="D15" s="52"/>
      <c r="K15" t="str">
        <f>INDEX(OutputValues,11,$J$4)</f>
        <v>Not feasible</v>
      </c>
    </row>
    <row r="16" spans="1:11" x14ac:dyDescent="0.35">
      <c r="A16" s="48">
        <v>155</v>
      </c>
      <c r="B16" s="54" t="s">
        <v>36</v>
      </c>
      <c r="C16" s="53"/>
      <c r="D16" s="52"/>
      <c r="K16" t="str">
        <f>INDEX(OutputValues,12,$J$4)</f>
        <v>Not feasible</v>
      </c>
    </row>
    <row r="17" spans="1:14" x14ac:dyDescent="0.35">
      <c r="A17" s="48">
        <v>160</v>
      </c>
      <c r="B17" s="54" t="s">
        <v>36</v>
      </c>
      <c r="C17" s="53"/>
      <c r="D17" s="52"/>
      <c r="K17" t="str">
        <f>INDEX(OutputValues,13,$J$4)</f>
        <v>Not feasible</v>
      </c>
    </row>
    <row r="18" spans="1:14" x14ac:dyDescent="0.35">
      <c r="A18" s="48">
        <v>165</v>
      </c>
      <c r="B18" s="54" t="s">
        <v>36</v>
      </c>
      <c r="C18" s="53"/>
      <c r="D18" s="52"/>
      <c r="K18" t="str">
        <f>INDEX(OutputValues,14,$J$4)</f>
        <v>Not feasible</v>
      </c>
    </row>
    <row r="19" spans="1:14" x14ac:dyDescent="0.35">
      <c r="A19" s="48">
        <v>170</v>
      </c>
      <c r="B19" s="54" t="s">
        <v>36</v>
      </c>
      <c r="C19" s="53"/>
      <c r="D19" s="52"/>
      <c r="K19" t="str">
        <f>INDEX(OutputValues,15,$J$4)</f>
        <v>Not feasible</v>
      </c>
    </row>
    <row r="20" spans="1:14" x14ac:dyDescent="0.35">
      <c r="A20" s="48">
        <v>175</v>
      </c>
      <c r="B20" s="54" t="s">
        <v>36</v>
      </c>
      <c r="C20" s="53"/>
      <c r="D20" s="52"/>
      <c r="K20" t="str">
        <f>INDEX(OutputValues,16,$J$4)</f>
        <v>Not feasible</v>
      </c>
    </row>
    <row r="21" spans="1:14" x14ac:dyDescent="0.35">
      <c r="A21" s="48">
        <v>180</v>
      </c>
      <c r="B21" s="51">
        <v>1220</v>
      </c>
      <c r="C21" s="50">
        <v>94.805666397933763</v>
      </c>
      <c r="D21" s="49">
        <v>178584.32499840992</v>
      </c>
      <c r="K21">
        <f>INDEX(OutputValues,17,$J$4)</f>
        <v>1220</v>
      </c>
    </row>
    <row r="22" spans="1:14" x14ac:dyDescent="0.35">
      <c r="A22" s="48">
        <v>185</v>
      </c>
      <c r="B22" s="51">
        <v>1220</v>
      </c>
      <c r="C22" s="50">
        <v>94.805666397933763</v>
      </c>
      <c r="D22" s="49">
        <v>178584.32499840992</v>
      </c>
      <c r="K22">
        <f>INDEX(OutputValues,18,$J$4)</f>
        <v>1220</v>
      </c>
    </row>
    <row r="23" spans="1:14" x14ac:dyDescent="0.35">
      <c r="A23" s="48">
        <v>190</v>
      </c>
      <c r="B23" s="51">
        <v>1220</v>
      </c>
      <c r="C23" s="50">
        <v>94.805666397933763</v>
      </c>
      <c r="D23" s="49">
        <v>178584.32499840992</v>
      </c>
      <c r="K23">
        <f>INDEX(OutputValues,19,$J$4)</f>
        <v>1220</v>
      </c>
    </row>
    <row r="24" spans="1:14" x14ac:dyDescent="0.35">
      <c r="A24" s="48">
        <v>195</v>
      </c>
      <c r="B24" s="51">
        <v>1220</v>
      </c>
      <c r="C24" s="50">
        <v>94.805666397933763</v>
      </c>
      <c r="D24" s="49">
        <v>178584.32499840992</v>
      </c>
      <c r="K24">
        <f>INDEX(OutputValues,20,$J$4)</f>
        <v>1220</v>
      </c>
    </row>
    <row r="25" spans="1:14" x14ac:dyDescent="0.35">
      <c r="A25" s="48">
        <v>200</v>
      </c>
      <c r="B25" s="51">
        <v>1220</v>
      </c>
      <c r="C25" s="50">
        <v>94.805666397933763</v>
      </c>
      <c r="D25" s="49">
        <v>178584.32499840992</v>
      </c>
      <c r="K25">
        <f>INDEX(OutputValues,21,$J$4)</f>
        <v>1220</v>
      </c>
    </row>
    <row r="26" spans="1:14" x14ac:dyDescent="0.35">
      <c r="A26" s="48">
        <v>205</v>
      </c>
      <c r="B26" s="51">
        <v>1220</v>
      </c>
      <c r="C26" s="50">
        <v>94.805666397933763</v>
      </c>
      <c r="D26" s="49">
        <v>178584.32499840992</v>
      </c>
      <c r="K26">
        <f>INDEX(OutputValues,22,$J$4)</f>
        <v>1220</v>
      </c>
    </row>
    <row r="27" spans="1:14" x14ac:dyDescent="0.35">
      <c r="A27" s="48">
        <v>210</v>
      </c>
      <c r="B27" s="51">
        <v>1220</v>
      </c>
      <c r="C27" s="50">
        <v>94.805666397933763</v>
      </c>
      <c r="D27" s="49">
        <v>178584.32499840992</v>
      </c>
      <c r="K27">
        <f>INDEX(OutputValues,23,$J$4)</f>
        <v>1220</v>
      </c>
    </row>
    <row r="28" spans="1:14" x14ac:dyDescent="0.35">
      <c r="A28" s="48">
        <v>215</v>
      </c>
      <c r="B28" s="51">
        <v>1220</v>
      </c>
      <c r="C28" s="50">
        <v>94.805666397933763</v>
      </c>
      <c r="D28" s="49">
        <v>178584.32499840992</v>
      </c>
      <c r="K28">
        <f>INDEX(OutputValues,24,$J$4)</f>
        <v>1220</v>
      </c>
      <c r="N28" t="s">
        <v>61</v>
      </c>
    </row>
    <row r="29" spans="1:14" x14ac:dyDescent="0.35">
      <c r="A29" s="48">
        <v>220</v>
      </c>
      <c r="B29" s="51">
        <v>1220</v>
      </c>
      <c r="C29" s="50">
        <v>94.805666397933763</v>
      </c>
      <c r="D29" s="49">
        <v>178584.32499840992</v>
      </c>
      <c r="K29">
        <f>INDEX(OutputValues,25,$J$4)</f>
        <v>1220</v>
      </c>
      <c r="N29" t="s">
        <v>63</v>
      </c>
    </row>
    <row r="30" spans="1:14" x14ac:dyDescent="0.35">
      <c r="A30" s="48">
        <v>225</v>
      </c>
      <c r="B30" s="51">
        <v>1220</v>
      </c>
      <c r="C30" s="50">
        <v>94.805666397933763</v>
      </c>
      <c r="D30" s="49">
        <v>178584.32499840992</v>
      </c>
      <c r="K30">
        <f>INDEX(OutputValues,26,$J$4)</f>
        <v>1220</v>
      </c>
    </row>
    <row r="31" spans="1:14" x14ac:dyDescent="0.35">
      <c r="A31" s="48">
        <v>230</v>
      </c>
      <c r="B31" s="51">
        <v>1220</v>
      </c>
      <c r="C31" s="50">
        <v>94.805666397933763</v>
      </c>
      <c r="D31" s="49">
        <v>178584.32499840992</v>
      </c>
      <c r="K31">
        <f>INDEX(OutputValues,27,$J$4)</f>
        <v>1220</v>
      </c>
    </row>
    <row r="32" spans="1:14" x14ac:dyDescent="0.35">
      <c r="A32" s="48">
        <v>235</v>
      </c>
      <c r="B32" s="51">
        <v>1220</v>
      </c>
      <c r="C32" s="50">
        <v>94.805666397933763</v>
      </c>
      <c r="D32" s="49">
        <v>178584.32499840992</v>
      </c>
      <c r="K32">
        <f>INDEX(OutputValues,28,$J$4)</f>
        <v>1220</v>
      </c>
    </row>
    <row r="33" spans="1:11" x14ac:dyDescent="0.35">
      <c r="A33" s="48">
        <v>240</v>
      </c>
      <c r="B33" s="51">
        <v>1220</v>
      </c>
      <c r="C33" s="50">
        <v>94.805666397933763</v>
      </c>
      <c r="D33" s="49">
        <v>178584.32499840992</v>
      </c>
      <c r="K33">
        <f>INDEX(OutputValues,29,$J$4)</f>
        <v>1220</v>
      </c>
    </row>
    <row r="34" spans="1:11" x14ac:dyDescent="0.35">
      <c r="A34" s="48">
        <v>245</v>
      </c>
      <c r="B34" s="51">
        <v>1220</v>
      </c>
      <c r="C34" s="50">
        <v>94.805666397933763</v>
      </c>
      <c r="D34" s="49">
        <v>178584.32499840992</v>
      </c>
      <c r="K34">
        <f>INDEX(OutputValues,30,$J$4)</f>
        <v>1220</v>
      </c>
    </row>
    <row r="35" spans="1:11" x14ac:dyDescent="0.35">
      <c r="A35" s="48">
        <v>250</v>
      </c>
      <c r="B35" s="51">
        <v>1220</v>
      </c>
      <c r="C35" s="50">
        <v>94.805666397933763</v>
      </c>
      <c r="D35" s="49">
        <v>178584.32499840992</v>
      </c>
      <c r="K35">
        <f>INDEX(OutputValues,31,$J$4)</f>
        <v>1220</v>
      </c>
    </row>
    <row r="36" spans="1:11" x14ac:dyDescent="0.35">
      <c r="A36" s="48">
        <v>255</v>
      </c>
      <c r="B36" s="51">
        <v>1220</v>
      </c>
      <c r="C36" s="50">
        <v>94.805666397933763</v>
      </c>
      <c r="D36" s="49">
        <v>178584.32499840992</v>
      </c>
      <c r="K36">
        <f>INDEX(OutputValues,32,$J$4)</f>
        <v>1220</v>
      </c>
    </row>
    <row r="37" spans="1:11" x14ac:dyDescent="0.35">
      <c r="A37" s="48">
        <v>260</v>
      </c>
      <c r="B37" s="51">
        <v>1220</v>
      </c>
      <c r="C37" s="50">
        <v>94.805666397933763</v>
      </c>
      <c r="D37" s="49">
        <v>178584.32499840992</v>
      </c>
      <c r="K37">
        <f>INDEX(OutputValues,33,$J$4)</f>
        <v>1220</v>
      </c>
    </row>
    <row r="38" spans="1:11" x14ac:dyDescent="0.35">
      <c r="A38" s="48">
        <v>265</v>
      </c>
      <c r="B38" s="51">
        <v>1220</v>
      </c>
      <c r="C38" s="50">
        <v>94.805666397933763</v>
      </c>
      <c r="D38" s="49">
        <v>178584.32499840992</v>
      </c>
      <c r="K38">
        <f>INDEX(OutputValues,34,$J$4)</f>
        <v>1220</v>
      </c>
    </row>
    <row r="39" spans="1:11" x14ac:dyDescent="0.35">
      <c r="A39" s="48">
        <v>270</v>
      </c>
      <c r="B39" s="51">
        <v>1220</v>
      </c>
      <c r="C39" s="50">
        <v>94.805666397933763</v>
      </c>
      <c r="D39" s="49">
        <v>178584.32499840992</v>
      </c>
      <c r="K39">
        <f>INDEX(OutputValues,35,$J$4)</f>
        <v>1220</v>
      </c>
    </row>
    <row r="40" spans="1:11" x14ac:dyDescent="0.35">
      <c r="A40" s="48">
        <v>275</v>
      </c>
      <c r="B40" s="51">
        <v>1220</v>
      </c>
      <c r="C40" s="50">
        <v>94.805666397933763</v>
      </c>
      <c r="D40" s="49">
        <v>178584.32499840992</v>
      </c>
      <c r="K40">
        <f>INDEX(OutputValues,36,$J$4)</f>
        <v>1220</v>
      </c>
    </row>
    <row r="41" spans="1:11" x14ac:dyDescent="0.35">
      <c r="A41" s="48">
        <v>280</v>
      </c>
      <c r="B41" s="51">
        <v>1220</v>
      </c>
      <c r="C41" s="50">
        <v>94.805666397933763</v>
      </c>
      <c r="D41" s="49">
        <v>178584.32499840992</v>
      </c>
      <c r="K41">
        <f>INDEX(OutputValues,37,$J$4)</f>
        <v>1220</v>
      </c>
    </row>
    <row r="42" spans="1:11" x14ac:dyDescent="0.35">
      <c r="A42" s="48">
        <v>285</v>
      </c>
      <c r="B42" s="51">
        <v>1220</v>
      </c>
      <c r="C42" s="50">
        <v>94.805666397933763</v>
      </c>
      <c r="D42" s="49">
        <v>178584.32499840992</v>
      </c>
      <c r="K42">
        <f>INDEX(OutputValues,38,$J$4)</f>
        <v>1220</v>
      </c>
    </row>
    <row r="43" spans="1:11" x14ac:dyDescent="0.35">
      <c r="A43" s="48">
        <v>290</v>
      </c>
      <c r="B43" s="51">
        <v>1220</v>
      </c>
      <c r="C43" s="50">
        <v>94.805666397933763</v>
      </c>
      <c r="D43" s="49">
        <v>178584.32499840992</v>
      </c>
      <c r="K43">
        <f>INDEX(OutputValues,39,$J$4)</f>
        <v>1220</v>
      </c>
    </row>
    <row r="44" spans="1:11" x14ac:dyDescent="0.35">
      <c r="A44" s="48">
        <v>295</v>
      </c>
      <c r="B44" s="51">
        <v>1220</v>
      </c>
      <c r="C44" s="50">
        <v>94.805666397933763</v>
      </c>
      <c r="D44" s="49">
        <v>178584.32499840992</v>
      </c>
      <c r="K44">
        <f>INDEX(OutputValues,40,$J$4)</f>
        <v>1220</v>
      </c>
    </row>
    <row r="45" spans="1:11" x14ac:dyDescent="0.35">
      <c r="A45" s="48">
        <v>300</v>
      </c>
      <c r="B45" s="47">
        <v>1220</v>
      </c>
      <c r="C45" s="46">
        <v>94.805666397933763</v>
      </c>
      <c r="D45" s="45">
        <v>178584.32499840992</v>
      </c>
      <c r="K45">
        <f>INDEX(OutputValues,41,$J$4)</f>
        <v>1220</v>
      </c>
    </row>
  </sheetData>
  <dataValidations count="1">
    <dataValidation type="list" allowBlank="1" showInputMessage="1" showErrorMessage="1" sqref="K4" xr:uid="{C16F3DFB-0373-4625-A067-12952AEACF81}">
      <formula1>OutputAddresses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0525-6F63-4AFF-82E5-42FAC4F94BBC}">
  <dimension ref="A1:N45"/>
  <sheetViews>
    <sheetView zoomScale="50" workbookViewId="0">
      <selection activeCell="N28" sqref="N28"/>
    </sheetView>
  </sheetViews>
  <sheetFormatPr defaultRowHeight="14.5" x14ac:dyDescent="0.35"/>
  <cols>
    <col min="4" max="4" width="10.08984375" bestFit="1" customWidth="1"/>
  </cols>
  <sheetData>
    <row r="1" spans="1:11" x14ac:dyDescent="0.35">
      <c r="A1" s="61" t="s">
        <v>42</v>
      </c>
      <c r="K1" s="59" t="str">
        <f>CONCATENATE("Sensitivity of ",$K$4," to ","Input")</f>
        <v>Sensitivity of $I$12 to Input</v>
      </c>
    </row>
    <row r="3" spans="1:11" x14ac:dyDescent="0.35">
      <c r="A3" t="s">
        <v>41</v>
      </c>
      <c r="K3" t="s">
        <v>40</v>
      </c>
    </row>
    <row r="4" spans="1:11" ht="33.5" x14ac:dyDescent="0.35">
      <c r="B4" s="60" t="s">
        <v>43</v>
      </c>
      <c r="C4" s="60" t="s">
        <v>44</v>
      </c>
      <c r="D4" s="60" t="s">
        <v>38</v>
      </c>
      <c r="J4" s="59">
        <f>MATCH($K$4,OutputAddresses,0)</f>
        <v>1</v>
      </c>
      <c r="K4" s="58" t="s">
        <v>43</v>
      </c>
    </row>
    <row r="5" spans="1:11" x14ac:dyDescent="0.35">
      <c r="A5" s="48">
        <v>100</v>
      </c>
      <c r="B5" s="57" t="s">
        <v>36</v>
      </c>
      <c r="C5" s="56"/>
      <c r="D5" s="55"/>
      <c r="K5" t="str">
        <f>INDEX(OutputValues,1,$J$4)</f>
        <v>Not feasible</v>
      </c>
    </row>
    <row r="6" spans="1:11" x14ac:dyDescent="0.35">
      <c r="A6" s="48">
        <v>105</v>
      </c>
      <c r="B6" s="54" t="s">
        <v>36</v>
      </c>
      <c r="C6" s="53"/>
      <c r="D6" s="52"/>
      <c r="K6" t="str">
        <f>INDEX(OutputValues,2,$J$4)</f>
        <v>Not feasible</v>
      </c>
    </row>
    <row r="7" spans="1:11" x14ac:dyDescent="0.35">
      <c r="A7" s="48">
        <v>110</v>
      </c>
      <c r="B7" s="54" t="s">
        <v>36</v>
      </c>
      <c r="C7" s="53"/>
      <c r="D7" s="52"/>
      <c r="K7" t="str">
        <f>INDEX(OutputValues,3,$J$4)</f>
        <v>Not feasible</v>
      </c>
    </row>
    <row r="8" spans="1:11" x14ac:dyDescent="0.35">
      <c r="A8" s="48">
        <v>115</v>
      </c>
      <c r="B8" s="54" t="s">
        <v>36</v>
      </c>
      <c r="C8" s="53"/>
      <c r="D8" s="52"/>
      <c r="K8" t="str">
        <f>INDEX(OutputValues,4,$J$4)</f>
        <v>Not feasible</v>
      </c>
    </row>
    <row r="9" spans="1:11" x14ac:dyDescent="0.35">
      <c r="A9" s="48">
        <v>120</v>
      </c>
      <c r="B9" s="54" t="s">
        <v>36</v>
      </c>
      <c r="C9" s="53"/>
      <c r="D9" s="52"/>
      <c r="K9" t="str">
        <f>INDEX(OutputValues,5,$J$4)</f>
        <v>Not feasible</v>
      </c>
    </row>
    <row r="10" spans="1:11" x14ac:dyDescent="0.35">
      <c r="A10" s="48">
        <v>125</v>
      </c>
      <c r="B10" s="54" t="s">
        <v>36</v>
      </c>
      <c r="C10" s="53"/>
      <c r="D10" s="52"/>
      <c r="K10" t="str">
        <f>INDEX(OutputValues,6,$J$4)</f>
        <v>Not feasible</v>
      </c>
    </row>
    <row r="11" spans="1:11" x14ac:dyDescent="0.35">
      <c r="A11" s="48">
        <v>130</v>
      </c>
      <c r="B11" s="54" t="s">
        <v>36</v>
      </c>
      <c r="C11" s="53"/>
      <c r="D11" s="52"/>
      <c r="K11" t="str">
        <f>INDEX(OutputValues,7,$J$4)</f>
        <v>Not feasible</v>
      </c>
    </row>
    <row r="12" spans="1:11" x14ac:dyDescent="0.35">
      <c r="A12" s="48">
        <v>135</v>
      </c>
      <c r="B12" s="54" t="s">
        <v>36</v>
      </c>
      <c r="C12" s="53"/>
      <c r="D12" s="52"/>
      <c r="K12" t="str">
        <f>INDEX(OutputValues,8,$J$4)</f>
        <v>Not feasible</v>
      </c>
    </row>
    <row r="13" spans="1:11" x14ac:dyDescent="0.35">
      <c r="A13" s="48">
        <v>140</v>
      </c>
      <c r="B13" s="54" t="s">
        <v>36</v>
      </c>
      <c r="C13" s="53"/>
      <c r="D13" s="52"/>
      <c r="K13" t="str">
        <f>INDEX(OutputValues,9,$J$4)</f>
        <v>Not feasible</v>
      </c>
    </row>
    <row r="14" spans="1:11" x14ac:dyDescent="0.35">
      <c r="A14" s="48">
        <v>145</v>
      </c>
      <c r="B14" s="54" t="s">
        <v>36</v>
      </c>
      <c r="C14" s="53"/>
      <c r="D14" s="52"/>
      <c r="K14" t="str">
        <f>INDEX(OutputValues,10,$J$4)</f>
        <v>Not feasible</v>
      </c>
    </row>
    <row r="15" spans="1:11" x14ac:dyDescent="0.35">
      <c r="A15" s="48">
        <v>150</v>
      </c>
      <c r="B15" s="54" t="s">
        <v>36</v>
      </c>
      <c r="C15" s="53"/>
      <c r="D15" s="52"/>
      <c r="K15" t="str">
        <f>INDEX(OutputValues,11,$J$4)</f>
        <v>Not feasible</v>
      </c>
    </row>
    <row r="16" spans="1:11" x14ac:dyDescent="0.35">
      <c r="A16" s="48">
        <v>155</v>
      </c>
      <c r="B16" s="54" t="s">
        <v>36</v>
      </c>
      <c r="C16" s="53"/>
      <c r="D16" s="52"/>
      <c r="K16" t="str">
        <f>INDEX(OutputValues,12,$J$4)</f>
        <v>Not feasible</v>
      </c>
    </row>
    <row r="17" spans="1:14" x14ac:dyDescent="0.35">
      <c r="A17" s="48">
        <v>160</v>
      </c>
      <c r="B17" s="54" t="s">
        <v>36</v>
      </c>
      <c r="C17" s="53"/>
      <c r="D17" s="52"/>
      <c r="K17" t="str">
        <f>INDEX(OutputValues,13,$J$4)</f>
        <v>Not feasible</v>
      </c>
    </row>
    <row r="18" spans="1:14" x14ac:dyDescent="0.35">
      <c r="A18" s="48">
        <v>165</v>
      </c>
      <c r="B18" s="54" t="s">
        <v>36</v>
      </c>
      <c r="C18" s="53"/>
      <c r="D18" s="52"/>
      <c r="K18" t="str">
        <f>INDEX(OutputValues,14,$J$4)</f>
        <v>Not feasible</v>
      </c>
    </row>
    <row r="19" spans="1:14" x14ac:dyDescent="0.35">
      <c r="A19" s="48">
        <v>170</v>
      </c>
      <c r="B19" s="54" t="s">
        <v>36</v>
      </c>
      <c r="C19" s="53"/>
      <c r="D19" s="52"/>
      <c r="K19" t="str">
        <f>INDEX(OutputValues,15,$J$4)</f>
        <v>Not feasible</v>
      </c>
    </row>
    <row r="20" spans="1:14" x14ac:dyDescent="0.35">
      <c r="A20" s="48">
        <v>175</v>
      </c>
      <c r="B20" s="54" t="s">
        <v>36</v>
      </c>
      <c r="C20" s="53"/>
      <c r="D20" s="52"/>
      <c r="K20" t="str">
        <f>INDEX(OutputValues,16,$J$4)</f>
        <v>Not feasible</v>
      </c>
    </row>
    <row r="21" spans="1:14" x14ac:dyDescent="0.35">
      <c r="A21" s="48">
        <v>180</v>
      </c>
      <c r="B21" s="51">
        <v>1800</v>
      </c>
      <c r="C21" s="50">
        <v>80.378177165924228</v>
      </c>
      <c r="D21" s="49">
        <v>178584.32499840992</v>
      </c>
      <c r="K21">
        <f>INDEX(OutputValues,17,$J$4)</f>
        <v>1800</v>
      </c>
    </row>
    <row r="22" spans="1:14" x14ac:dyDescent="0.35">
      <c r="A22" s="48">
        <v>185</v>
      </c>
      <c r="B22" s="51">
        <v>1800</v>
      </c>
      <c r="C22" s="50">
        <v>80.378177165924228</v>
      </c>
      <c r="D22" s="49">
        <v>178584.32499840992</v>
      </c>
      <c r="K22">
        <f>INDEX(OutputValues,18,$J$4)</f>
        <v>1800</v>
      </c>
    </row>
    <row r="23" spans="1:14" x14ac:dyDescent="0.35">
      <c r="A23" s="48">
        <v>190</v>
      </c>
      <c r="B23" s="51">
        <v>1800</v>
      </c>
      <c r="C23" s="50">
        <v>80.378177165924228</v>
      </c>
      <c r="D23" s="49">
        <v>178584.32499840992</v>
      </c>
      <c r="K23">
        <f>INDEX(OutputValues,19,$J$4)</f>
        <v>1800</v>
      </c>
    </row>
    <row r="24" spans="1:14" x14ac:dyDescent="0.35">
      <c r="A24" s="48">
        <v>195</v>
      </c>
      <c r="B24" s="51">
        <v>1800</v>
      </c>
      <c r="C24" s="50">
        <v>80.378177165924228</v>
      </c>
      <c r="D24" s="49">
        <v>178584.32499840992</v>
      </c>
      <c r="K24">
        <f>INDEX(OutputValues,20,$J$4)</f>
        <v>1800</v>
      </c>
    </row>
    <row r="25" spans="1:14" x14ac:dyDescent="0.35">
      <c r="A25" s="48">
        <v>200</v>
      </c>
      <c r="B25" s="51">
        <v>1800</v>
      </c>
      <c r="C25" s="50">
        <v>80.378177165924228</v>
      </c>
      <c r="D25" s="49">
        <v>178584.32499840992</v>
      </c>
      <c r="K25">
        <f>INDEX(OutputValues,21,$J$4)</f>
        <v>1800</v>
      </c>
    </row>
    <row r="26" spans="1:14" x14ac:dyDescent="0.35">
      <c r="A26" s="48">
        <v>205</v>
      </c>
      <c r="B26" s="51">
        <v>1800</v>
      </c>
      <c r="C26" s="50">
        <v>80.378177165924228</v>
      </c>
      <c r="D26" s="49">
        <v>178584.32499840992</v>
      </c>
      <c r="K26">
        <f>INDEX(OutputValues,22,$J$4)</f>
        <v>1800</v>
      </c>
      <c r="N26" t="s">
        <v>62</v>
      </c>
    </row>
    <row r="27" spans="1:14" x14ac:dyDescent="0.35">
      <c r="A27" s="48">
        <v>210</v>
      </c>
      <c r="B27" s="51">
        <v>1800</v>
      </c>
      <c r="C27" s="50">
        <v>80.378177165924228</v>
      </c>
      <c r="D27" s="49">
        <v>178584.32499840992</v>
      </c>
      <c r="K27">
        <f>INDEX(OutputValues,23,$J$4)</f>
        <v>1800</v>
      </c>
      <c r="N27" t="s">
        <v>64</v>
      </c>
    </row>
    <row r="28" spans="1:14" x14ac:dyDescent="0.35">
      <c r="A28" s="48">
        <v>215</v>
      </c>
      <c r="B28" s="51">
        <v>1800</v>
      </c>
      <c r="C28" s="50">
        <v>80.378177165924228</v>
      </c>
      <c r="D28" s="49">
        <v>178584.32499840992</v>
      </c>
      <c r="K28">
        <f>INDEX(OutputValues,24,$J$4)</f>
        <v>1800</v>
      </c>
    </row>
    <row r="29" spans="1:14" x14ac:dyDescent="0.35">
      <c r="A29" s="48">
        <v>220</v>
      </c>
      <c r="B29" s="51">
        <v>1800</v>
      </c>
      <c r="C29" s="50">
        <v>80.378177165924228</v>
      </c>
      <c r="D29" s="49">
        <v>178584.32499840992</v>
      </c>
      <c r="K29">
        <f>INDEX(OutputValues,25,$J$4)</f>
        <v>1800</v>
      </c>
    </row>
    <row r="30" spans="1:14" x14ac:dyDescent="0.35">
      <c r="A30" s="48">
        <v>225</v>
      </c>
      <c r="B30" s="51">
        <v>1800</v>
      </c>
      <c r="C30" s="50">
        <v>80.378177165924228</v>
      </c>
      <c r="D30" s="49">
        <v>178584.32499840992</v>
      </c>
      <c r="K30">
        <f>INDEX(OutputValues,26,$J$4)</f>
        <v>1800</v>
      </c>
    </row>
    <row r="31" spans="1:14" x14ac:dyDescent="0.35">
      <c r="A31" s="48">
        <v>230</v>
      </c>
      <c r="B31" s="51">
        <v>1800</v>
      </c>
      <c r="C31" s="50">
        <v>80.378177165924228</v>
      </c>
      <c r="D31" s="49">
        <v>178584.32499840992</v>
      </c>
      <c r="K31">
        <f>INDEX(OutputValues,27,$J$4)</f>
        <v>1800</v>
      </c>
    </row>
    <row r="32" spans="1:14" x14ac:dyDescent="0.35">
      <c r="A32" s="48">
        <v>235</v>
      </c>
      <c r="B32" s="51">
        <v>1800</v>
      </c>
      <c r="C32" s="50">
        <v>80.378177165924228</v>
      </c>
      <c r="D32" s="49">
        <v>178584.32499840992</v>
      </c>
      <c r="K32">
        <f>INDEX(OutputValues,28,$J$4)</f>
        <v>1800</v>
      </c>
    </row>
    <row r="33" spans="1:11" x14ac:dyDescent="0.35">
      <c r="A33" s="48">
        <v>240</v>
      </c>
      <c r="B33" s="51">
        <v>1800</v>
      </c>
      <c r="C33" s="50">
        <v>80.378177165924228</v>
      </c>
      <c r="D33" s="49">
        <v>178584.32499840992</v>
      </c>
      <c r="K33">
        <f>INDEX(OutputValues,29,$J$4)</f>
        <v>1800</v>
      </c>
    </row>
    <row r="34" spans="1:11" x14ac:dyDescent="0.35">
      <c r="A34" s="48">
        <v>245</v>
      </c>
      <c r="B34" s="51">
        <v>1800</v>
      </c>
      <c r="C34" s="50">
        <v>80.378177165924228</v>
      </c>
      <c r="D34" s="49">
        <v>178584.32499840992</v>
      </c>
      <c r="K34">
        <f>INDEX(OutputValues,30,$J$4)</f>
        <v>1800</v>
      </c>
    </row>
    <row r="35" spans="1:11" x14ac:dyDescent="0.35">
      <c r="A35" s="48">
        <v>250</v>
      </c>
      <c r="B35" s="51">
        <v>1800</v>
      </c>
      <c r="C35" s="50">
        <v>80.378177165924228</v>
      </c>
      <c r="D35" s="49">
        <v>178584.32499840992</v>
      </c>
      <c r="K35">
        <f>INDEX(OutputValues,31,$J$4)</f>
        <v>1800</v>
      </c>
    </row>
    <row r="36" spans="1:11" x14ac:dyDescent="0.35">
      <c r="A36" s="48">
        <v>255</v>
      </c>
      <c r="B36" s="51">
        <v>1800</v>
      </c>
      <c r="C36" s="50">
        <v>80.378177165924228</v>
      </c>
      <c r="D36" s="49">
        <v>178584.32499840992</v>
      </c>
      <c r="K36">
        <f>INDEX(OutputValues,32,$J$4)</f>
        <v>1800</v>
      </c>
    </row>
    <row r="37" spans="1:11" x14ac:dyDescent="0.35">
      <c r="A37" s="48">
        <v>260</v>
      </c>
      <c r="B37" s="51">
        <v>1800</v>
      </c>
      <c r="C37" s="50">
        <v>80.378177165924228</v>
      </c>
      <c r="D37" s="49">
        <v>178584.32499840992</v>
      </c>
      <c r="K37">
        <f>INDEX(OutputValues,33,$J$4)</f>
        <v>1800</v>
      </c>
    </row>
    <row r="38" spans="1:11" x14ac:dyDescent="0.35">
      <c r="A38" s="48">
        <v>265</v>
      </c>
      <c r="B38" s="51">
        <v>1800</v>
      </c>
      <c r="C38" s="50">
        <v>80.378177165924228</v>
      </c>
      <c r="D38" s="49">
        <v>178584.32499840992</v>
      </c>
      <c r="K38">
        <f>INDEX(OutputValues,34,$J$4)</f>
        <v>1800</v>
      </c>
    </row>
    <row r="39" spans="1:11" x14ac:dyDescent="0.35">
      <c r="A39" s="48">
        <v>270</v>
      </c>
      <c r="B39" s="51">
        <v>1800</v>
      </c>
      <c r="C39" s="50">
        <v>80.378177165924228</v>
      </c>
      <c r="D39" s="49">
        <v>178584.32499840992</v>
      </c>
      <c r="K39">
        <f>INDEX(OutputValues,35,$J$4)</f>
        <v>1800</v>
      </c>
    </row>
    <row r="40" spans="1:11" x14ac:dyDescent="0.35">
      <c r="A40" s="48">
        <v>275</v>
      </c>
      <c r="B40" s="51">
        <v>1800</v>
      </c>
      <c r="C40" s="50">
        <v>80.378177165924228</v>
      </c>
      <c r="D40" s="49">
        <v>178584.32499840992</v>
      </c>
      <c r="K40">
        <f>INDEX(OutputValues,36,$J$4)</f>
        <v>1800</v>
      </c>
    </row>
    <row r="41" spans="1:11" x14ac:dyDescent="0.35">
      <c r="A41" s="48">
        <v>280</v>
      </c>
      <c r="B41" s="51">
        <v>1800</v>
      </c>
      <c r="C41" s="50">
        <v>80.378177165924228</v>
      </c>
      <c r="D41" s="49">
        <v>178584.32499840992</v>
      </c>
      <c r="K41">
        <f>INDEX(OutputValues,37,$J$4)</f>
        <v>1800</v>
      </c>
    </row>
    <row r="42" spans="1:11" x14ac:dyDescent="0.35">
      <c r="A42" s="48">
        <v>285</v>
      </c>
      <c r="B42" s="51">
        <v>1800</v>
      </c>
      <c r="C42" s="50">
        <v>80.378177165924228</v>
      </c>
      <c r="D42" s="49">
        <v>178584.32499840992</v>
      </c>
      <c r="K42">
        <f>INDEX(OutputValues,38,$J$4)</f>
        <v>1800</v>
      </c>
    </row>
    <row r="43" spans="1:11" x14ac:dyDescent="0.35">
      <c r="A43" s="48">
        <v>290</v>
      </c>
      <c r="B43" s="51">
        <v>1800</v>
      </c>
      <c r="C43" s="50">
        <v>80.378177165924228</v>
      </c>
      <c r="D43" s="49">
        <v>178584.32499840992</v>
      </c>
      <c r="K43">
        <f>INDEX(OutputValues,39,$J$4)</f>
        <v>1800</v>
      </c>
    </row>
    <row r="44" spans="1:11" x14ac:dyDescent="0.35">
      <c r="A44" s="48">
        <v>295</v>
      </c>
      <c r="B44" s="51">
        <v>1800</v>
      </c>
      <c r="C44" s="50">
        <v>80.378177165924228</v>
      </c>
      <c r="D44" s="49">
        <v>178584.32499840992</v>
      </c>
      <c r="K44">
        <f>INDEX(OutputValues,40,$J$4)</f>
        <v>1800</v>
      </c>
    </row>
    <row r="45" spans="1:11" x14ac:dyDescent="0.35">
      <c r="A45" s="48">
        <v>300</v>
      </c>
      <c r="B45" s="47">
        <v>1800</v>
      </c>
      <c r="C45" s="46">
        <v>80.378177165924228</v>
      </c>
      <c r="D45" s="45">
        <v>178584.32499840992</v>
      </c>
      <c r="K45">
        <f>INDEX(OutputValues,41,$J$4)</f>
        <v>1800</v>
      </c>
    </row>
  </sheetData>
  <dataValidations count="1">
    <dataValidation type="list" allowBlank="1" showInputMessage="1" showErrorMessage="1" sqref="K4" xr:uid="{E5F68F43-5190-49C4-92B9-4E300A13966A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constant elasticity demand</vt:lpstr>
      <vt:lpstr>NLP Model</vt:lpstr>
      <vt:lpstr>NLP model new</vt:lpstr>
      <vt:lpstr>SolverTable-Aqua-Spa</vt:lpstr>
      <vt:lpstr>Solvertable-Hydro-Luxe</vt:lpstr>
      <vt:lpstr>'SolverTable-Aqua-Spa'!ChartData</vt:lpstr>
      <vt:lpstr>'Solvertable-Hydro-Luxe'!ChartData</vt:lpstr>
      <vt:lpstr>'SolverTable-Aqua-Spa'!InputValues</vt:lpstr>
      <vt:lpstr>'Solvertable-Hydro-Luxe'!InputValues</vt:lpstr>
      <vt:lpstr>'SolverTable-Aqua-Spa'!OutputAddresses</vt:lpstr>
      <vt:lpstr>'Solvertable-Hydro-Luxe'!OutputAddresses</vt:lpstr>
      <vt:lpstr>'SolverTable-Aqua-Spa'!OutputValues</vt:lpstr>
      <vt:lpstr>'Solvertable-Hydro-Luxe'!OutputValues</vt:lpstr>
    </vt:vector>
  </TitlesOfParts>
  <Company>Cal State East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STSC</dc:creator>
  <cp:lastModifiedBy>STSC</cp:lastModifiedBy>
  <dcterms:created xsi:type="dcterms:W3CDTF">2022-04-29T00:04:03Z</dcterms:created>
  <dcterms:modified xsi:type="dcterms:W3CDTF">2022-05-05T18:57:12Z</dcterms:modified>
</cp:coreProperties>
</file>