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_SHEET" sheetId="1" r:id="rId4"/>
    <sheet state="visible" name="PROFIT_LOSS" sheetId="2" r:id="rId5"/>
    <sheet state="visible" name="FCFF" sheetId="3" r:id="rId6"/>
  </sheets>
  <definedNames/>
  <calcPr/>
</workbook>
</file>

<file path=xl/sharedStrings.xml><?xml version="1.0" encoding="utf-8"?>
<sst xmlns="http://schemas.openxmlformats.org/spreadsheetml/2006/main" count="144" uniqueCount="131">
  <si>
    <t>Consolidated Balance Sheet</t>
  </si>
  <si>
    <t>------------------- in Rs. Cr. -------------------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</si>
  <si>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</si>
  <si>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</si>
  <si>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</si>
  <si>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</si>
  <si>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</si>
  <si>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</si>
  <si>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</si>
  <si>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Employees Stock Options</t>
  </si>
  <si>
    <t>Total Shareholders Funds</t>
  </si>
  <si>
    <t>Minority Interest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</si>
  <si>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</si>
  <si>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</si>
  <si>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</si>
  <si>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</si>
  <si>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</si>
  <si>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</si>
  <si>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</si>
  <si>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</si>
  <si>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</si>
  <si>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</si>
  <si>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</si>
  <si>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</si>
  <si>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</si>
  <si>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</si>
  <si>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</si>
  <si>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</si>
  <si>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</si>
  <si>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</si>
  <si>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</si>
  <si>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</si>
  <si>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</si>
  <si>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</si>
  <si>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</si>
  <si>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</si>
  <si>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</si>
  <si>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</si>
  <si>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</si>
  <si>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</si>
  <si>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</si>
  <si>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</si>
  <si>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</si>
  <si>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</si>
  <si>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</si>
  <si>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</si>
  <si>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</si>
  <si>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</si>
  <si>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</si>
  <si>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</si>
  <si>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</si>
  <si>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</si>
  <si>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</si>
  <si>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</si>
  <si>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</si>
  <si>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</si>
  <si>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</si>
  <si>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Consolidated Profit &amp; Loss account</t>
  </si>
  <si>
    <t>INCOME</t>
  </si>
  <si>
    <t>Revenue From Operations [Gross]</t>
  </si>
  <si>
    <t>Less: Excise/Sevice Tax/Other Levies</t>
  </si>
  <si>
    <t>Revenue From Operations [Net]</t>
  </si>
  <si>
    <t>Other Operating Revenues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</si>
  <si>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</si>
  <si>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</si>
  <si>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</si>
  <si>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</si>
  <si>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</si>
  <si>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</si>
  <si>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</si>
  <si>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</si>
  <si>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</si>
  <si>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</si>
  <si>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</si>
  <si>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</si>
  <si>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total revenue/ total expenses</t>
  </si>
  <si>
    <t>total operating revenue/operating expense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</si>
  <si>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</si>
  <si>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</si>
  <si>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</si>
  <si>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</si>
  <si>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</si>
  <si>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</si>
  <si>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</si>
  <si>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</si>
  <si>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</si>
  <si>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</si>
  <si>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Share Of Profit/Loss Of Associates</t>
  </si>
  <si>
    <t>Consolidated Profit/Loss After MI And Associates</t>
  </si>
  <si>
    <t>EARNINGS PER SHARE</t>
  </si>
  <si>
    <t>Basic EPS (Rs.)</t>
  </si>
  <si>
    <t>Diluted EPS (Rs.)</t>
  </si>
  <si>
    <t>DIVIDEND AND DIVIDEND PERCENTAGE</t>
  </si>
  <si>
    <t>Equity Share Dividend</t>
  </si>
  <si>
    <t>Tax On Dividend</t>
  </si>
  <si>
    <t>Year</t>
  </si>
  <si>
    <t>Terminal value</t>
  </si>
  <si>
    <t>Weights for each year</t>
  </si>
  <si>
    <t>FCFF (in Cr)</t>
  </si>
  <si>
    <t>FCFE(in Cr)</t>
  </si>
  <si>
    <t>EBIT</t>
  </si>
  <si>
    <t>Tax Rate</t>
  </si>
  <si>
    <t>Depreciation</t>
  </si>
  <si>
    <t>Change in current Assets</t>
  </si>
  <si>
    <t>Change in current Liabilities</t>
  </si>
  <si>
    <t>Change in NWC</t>
  </si>
  <si>
    <t>CapEx</t>
  </si>
  <si>
    <t>WACC</t>
  </si>
  <si>
    <t>PERPETUAL GROWTH</t>
  </si>
  <si>
    <t>Inflation Rate</t>
  </si>
  <si>
    <t>GDP Growth Rate</t>
  </si>
  <si>
    <t>Sales Growth Rate</t>
  </si>
  <si>
    <t>Tobacco Industry Growth Rate</t>
  </si>
  <si>
    <t>FMCG industry growth rate</t>
  </si>
  <si>
    <t>Weight of equity</t>
  </si>
  <si>
    <t>Rate</t>
  </si>
  <si>
    <t>Weight of debt</t>
  </si>
  <si>
    <t>Weights</t>
  </si>
  <si>
    <t>Cost of equity (CAPM)</t>
  </si>
  <si>
    <t>Mean</t>
  </si>
  <si>
    <t>market value of debt</t>
  </si>
  <si>
    <t>Interest on Debt</t>
  </si>
  <si>
    <t>tax rate</t>
  </si>
  <si>
    <t>cost of debt</t>
  </si>
  <si>
    <t>net present value</t>
  </si>
  <si>
    <t>number of outstanding shares</t>
  </si>
  <si>
    <t>fair price of share</t>
  </si>
  <si>
    <t>current market price of share</t>
  </si>
  <si>
    <t>THE SHARE IS UNDERVALUED PRESENTLY</t>
  </si>
  <si>
    <t>LONG POSITION</t>
  </si>
  <si>
    <t>WEIGHTS HAVE BEEN DECIDED ON THE BASIS OF PROFITS, REVENUE, CHANGES IN ASSETS, INVENTORY, RECENT YEARS, TAKING 2020 AS A SPECIAL YEAR, ALSO ASSUMING THE RECENT YEARS TO BE SIMILAR TO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</si>
</sst>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[$£-809]#,##0.0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0.0"/>
      <color theme="1"/>
      <name val="Arial"/>
    </font>
    <font>
      <sz val="11.0"/>
      <color rgb="FF4285F4"/>
      <name val="Inconsolata"/>
    </font>
  </fonts>
  <fills count="18">
    <fill>
      <patternFill patternType="none"/>
    </fill>
    <fill>
      <patternFill patternType="lightGray"/>
    </fill>
    <fill>
      <patternFill patternType="solid">
        <fgColor rgb="FFE8EBEF"/>
        <bgColor rgb="FFE8EB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1" fillId="3" fontId="2" numFmtId="0" xfId="0" applyBorder="1" applyFill="1" applyFont="1"/>
    <xf borderId="1" fillId="4" fontId="2" numFmtId="164" xfId="0" applyAlignment="1" applyBorder="1" applyFill="1" applyFont="1" applyNumberFormat="1">
      <alignment horizontal="right" readingOrder="0"/>
    </xf>
    <xf borderId="2" fillId="0" fontId="2" numFmtId="0" xfId="0" applyBorder="1" applyFont="1"/>
    <xf borderId="3" fillId="0" fontId="2" numFmtId="0" xfId="0" applyBorder="1" applyFont="1"/>
    <xf borderId="1" fillId="3" fontId="2" numFmtId="0" xfId="0" applyAlignment="1" applyBorder="1" applyFont="1">
      <alignment horizontal="right" readingOrder="0"/>
    </xf>
    <xf borderId="4" fillId="5" fontId="2" numFmtId="0" xfId="0" applyAlignment="1" applyBorder="1" applyFill="1" applyFont="1">
      <alignment readingOrder="0"/>
    </xf>
    <xf borderId="5" fillId="0" fontId="3" numFmtId="0" xfId="0" applyBorder="1" applyFont="1"/>
    <xf borderId="1" fillId="3" fontId="2" numFmtId="0" xfId="0" applyAlignment="1" applyBorder="1" applyFont="1">
      <alignment horizontal="right"/>
    </xf>
    <xf borderId="4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1" fillId="3" fontId="2" numFmtId="4" xfId="0" applyAlignment="1" applyBorder="1" applyFont="1" applyNumberFormat="1">
      <alignment horizontal="right" readingOrder="0"/>
    </xf>
    <xf borderId="1" fillId="8" fontId="2" numFmtId="0" xfId="0" applyAlignment="1" applyBorder="1" applyFill="1" applyFont="1">
      <alignment readingOrder="0"/>
    </xf>
    <xf borderId="1" fillId="8" fontId="2" numFmtId="4" xfId="0" applyAlignment="1" applyBorder="1" applyFont="1" applyNumberFormat="1">
      <alignment horizontal="right" readingOrder="0"/>
    </xf>
    <xf borderId="3" fillId="0" fontId="3" numFmtId="0" xfId="0" applyBorder="1" applyFont="1"/>
    <xf borderId="3" fillId="3" fontId="2" numFmtId="0" xfId="0" applyBorder="1" applyFont="1"/>
    <xf borderId="6" fillId="0" fontId="2" numFmtId="0" xfId="0" applyBorder="1" applyFont="1"/>
    <xf borderId="1" fillId="8" fontId="2" numFmtId="0" xfId="0" applyAlignment="1" applyBorder="1" applyFont="1">
      <alignment readingOrder="0"/>
    </xf>
    <xf borderId="7" fillId="0" fontId="2" numFmtId="0" xfId="0" applyBorder="1" applyFont="1"/>
    <xf borderId="1" fillId="0" fontId="2" numFmtId="0" xfId="0" applyAlignment="1" applyBorder="1" applyFont="1">
      <alignment readingOrder="0"/>
    </xf>
    <xf borderId="0" fillId="4" fontId="2" numFmtId="164" xfId="0" applyAlignment="1" applyFont="1" applyNumberFormat="1">
      <alignment readingOrder="0"/>
    </xf>
    <xf borderId="1" fillId="4" fontId="2" numFmtId="0" xfId="0" applyAlignment="1" applyBorder="1" applyFont="1">
      <alignment horizontal="right" readingOrder="0"/>
    </xf>
    <xf borderId="1" fillId="8" fontId="2" numFmtId="0" xfId="0" applyBorder="1" applyFont="1"/>
    <xf borderId="1" fillId="0" fontId="2" numFmtId="0" xfId="0" applyBorder="1" applyFont="1"/>
    <xf borderId="1" fillId="9" fontId="2" numFmtId="0" xfId="0" applyAlignment="1" applyBorder="1" applyFill="1" applyFont="1">
      <alignment readingOrder="0"/>
    </xf>
    <xf borderId="1" fillId="9" fontId="2" numFmtId="4" xfId="0" applyAlignment="1" applyBorder="1" applyFont="1" applyNumberFormat="1">
      <alignment horizontal="right" readingOrder="0"/>
    </xf>
    <xf borderId="1" fillId="2" fontId="2" numFmtId="0" xfId="0" applyBorder="1" applyFont="1"/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2" fontId="2" numFmtId="4" xfId="0" applyAlignment="1" applyFont="1" applyNumberFormat="1">
      <alignment readingOrder="0"/>
    </xf>
    <xf borderId="0" fillId="3" fontId="2" numFmtId="0" xfId="0" applyFont="1"/>
    <xf borderId="0" fillId="12" fontId="3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0" fillId="13" fontId="2" numFmtId="4" xfId="0" applyAlignment="1" applyFont="1" applyNumberFormat="1">
      <alignment readingOrder="0"/>
    </xf>
    <xf borderId="0" fillId="13" fontId="2" numFmtId="0" xfId="0" applyFont="1"/>
    <xf borderId="0" fillId="14" fontId="2" numFmtId="0" xfId="0" applyFill="1" applyFont="1"/>
    <xf borderId="0" fillId="15" fontId="2" numFmtId="0" xfId="0" applyAlignment="1" applyFill="1" applyFont="1">
      <alignment readingOrder="0"/>
    </xf>
    <xf borderId="0" fillId="13" fontId="0" numFmtId="0" xfId="0" applyAlignment="1" applyFont="1">
      <alignment readingOrder="0" shrinkToFit="0" wrapText="0"/>
    </xf>
    <xf borderId="0" fillId="13" fontId="4" numFmtId="0" xfId="0" applyAlignment="1" applyFont="1">
      <alignment readingOrder="0"/>
    </xf>
    <xf borderId="0" fillId="15" fontId="2" numFmtId="0" xfId="0" applyFont="1"/>
    <xf borderId="0" fillId="13" fontId="2" numFmtId="4" xfId="0" applyAlignment="1" applyFont="1" applyNumberFormat="1">
      <alignment horizontal="right" readingOrder="0"/>
    </xf>
    <xf borderId="0" fillId="13" fontId="2" numFmtId="0" xfId="0" applyAlignment="1" applyFont="1">
      <alignment readingOrder="0" shrinkToFit="0" wrapText="0"/>
    </xf>
    <xf borderId="0" fillId="13" fontId="3" numFmtId="0" xfId="0" applyAlignment="1" applyFont="1">
      <alignment readingOrder="0"/>
    </xf>
    <xf borderId="0" fillId="14" fontId="2" numFmtId="0" xfId="0" applyAlignment="1" applyFont="1">
      <alignment readingOrder="0"/>
    </xf>
    <xf borderId="0" fillId="14" fontId="2" numFmtId="4" xfId="0" applyAlignment="1" applyFont="1" applyNumberFormat="1">
      <alignment readingOrder="0"/>
    </xf>
    <xf borderId="0" fillId="16" fontId="3" numFmtId="0" xfId="0" applyAlignment="1" applyFill="1" applyFont="1">
      <alignment readingOrder="0"/>
    </xf>
    <xf borderId="0" fillId="3" fontId="5" numFmtId="0" xfId="0" applyFont="1"/>
    <xf borderId="0" fillId="16" fontId="2" numFmtId="0" xfId="0" applyAlignment="1" applyFont="1">
      <alignment readingOrder="0"/>
    </xf>
    <xf borderId="0" fillId="17" fontId="2" numFmtId="0" xfId="0" applyAlignment="1" applyFill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</cols>
  <sheetData>
    <row r="1">
      <c r="A1" s="1" t="s">
        <v>0</v>
      </c>
      <c r="B1" s="2" t="s">
        <v>1</v>
      </c>
    </row>
    <row r="2">
      <c r="A2" s="3"/>
      <c r="B2" s="4">
        <v>44276.0</v>
      </c>
      <c r="C2" s="4">
        <v>44275.0</v>
      </c>
      <c r="D2" s="4">
        <v>44274.0</v>
      </c>
      <c r="E2" s="4">
        <v>44273.0</v>
      </c>
      <c r="F2" s="4">
        <v>44272.0</v>
      </c>
      <c r="G2" s="5"/>
      <c r="H2" s="6"/>
      <c r="I2" s="6"/>
      <c r="J2" s="6"/>
      <c r="K2" s="6"/>
    </row>
    <row r="3">
      <c r="A3" s="3"/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5"/>
      <c r="H3" s="6"/>
      <c r="I3" s="6"/>
      <c r="J3" s="6"/>
      <c r="K3" s="6"/>
    </row>
    <row r="4">
      <c r="A4" s="8" t="s">
        <v>3</v>
      </c>
      <c r="B4" s="9"/>
      <c r="C4" s="10"/>
      <c r="D4" s="10"/>
      <c r="E4" s="10"/>
      <c r="F4" s="10"/>
      <c r="G4" s="5"/>
      <c r="H4" s="6"/>
      <c r="I4" s="6"/>
      <c r="J4" s="6"/>
      <c r="K4" s="6"/>
    </row>
    <row r="5">
      <c r="A5" s="11" t="s">
        <v>4</v>
      </c>
      <c r="B5" s="9"/>
      <c r="C5" s="10"/>
      <c r="D5" s="10"/>
      <c r="E5" s="10"/>
      <c r="F5" s="10"/>
      <c r="G5" s="5"/>
      <c r="H5" s="6"/>
      <c r="I5" s="6"/>
      <c r="J5" s="6"/>
      <c r="K5" s="6"/>
    </row>
    <row r="6">
      <c r="A6" s="12" t="s">
        <v>5</v>
      </c>
      <c r="B6" s="13">
        <v>1230.88</v>
      </c>
      <c r="C6" s="13">
        <v>1229.22</v>
      </c>
      <c r="D6" s="13">
        <v>1225.86</v>
      </c>
      <c r="E6" s="13">
        <v>1220.43</v>
      </c>
      <c r="F6" s="13">
        <v>1214.74</v>
      </c>
      <c r="G6" s="5"/>
      <c r="H6" s="6"/>
      <c r="I6" s="6"/>
      <c r="J6" s="6"/>
      <c r="K6" s="6"/>
    </row>
    <row r="7">
      <c r="A7" s="14" t="s">
        <v>6</v>
      </c>
      <c r="B7" s="15">
        <v>1230.88</v>
      </c>
      <c r="C7" s="15">
        <v>1229.22</v>
      </c>
      <c r="D7" s="15">
        <v>1225.86</v>
      </c>
      <c r="E7" s="15">
        <v>1220.43</v>
      </c>
      <c r="F7" s="15">
        <v>1214.74</v>
      </c>
      <c r="G7" s="5"/>
      <c r="H7" s="6"/>
      <c r="I7" s="6"/>
      <c r="J7" s="6"/>
      <c r="K7" s="6"/>
    </row>
    <row r="8">
      <c r="A8" s="12" t="s">
        <v>7</v>
      </c>
      <c r="B8" s="13">
        <v>59116.46</v>
      </c>
      <c r="C8" s="13">
        <v>62021.86</v>
      </c>
      <c r="D8" s="13">
        <v>55917.07</v>
      </c>
      <c r="E8" s="13">
        <v>51289.69</v>
      </c>
      <c r="F8" s="13">
        <v>45198.19</v>
      </c>
      <c r="G8" s="5"/>
      <c r="H8" s="6"/>
      <c r="I8" s="6"/>
      <c r="J8" s="6"/>
      <c r="K8" s="6"/>
    </row>
    <row r="9">
      <c r="A9" s="14" t="s">
        <v>8</v>
      </c>
      <c r="B9" s="15">
        <v>59116.46</v>
      </c>
      <c r="C9" s="15">
        <v>62021.86</v>
      </c>
      <c r="D9" s="15">
        <v>55917.07</v>
      </c>
      <c r="E9" s="15">
        <v>51289.69</v>
      </c>
      <c r="F9" s="15">
        <v>45198.19</v>
      </c>
      <c r="G9" s="5"/>
      <c r="H9" s="16"/>
      <c r="I9" s="6"/>
      <c r="J9" s="6"/>
      <c r="K9" s="6"/>
    </row>
    <row r="10">
      <c r="A10" s="12" t="s">
        <v>9</v>
      </c>
      <c r="B10" s="7">
        <v>0.0</v>
      </c>
      <c r="C10" s="13">
        <v>2022.18</v>
      </c>
      <c r="D10" s="13">
        <v>1997.94</v>
      </c>
      <c r="E10" s="7">
        <v>0.0</v>
      </c>
      <c r="F10" s="7">
        <v>0.0</v>
      </c>
      <c r="G10" s="5"/>
      <c r="H10" s="17"/>
      <c r="I10" s="6"/>
      <c r="J10" s="6"/>
      <c r="K10" s="6"/>
    </row>
    <row r="11">
      <c r="A11" s="14" t="s">
        <v>10</v>
      </c>
      <c r="B11" s="15">
        <v>60347.34</v>
      </c>
      <c r="C11" s="15">
        <v>65273.26</v>
      </c>
      <c r="D11" s="15">
        <v>59140.87</v>
      </c>
      <c r="E11" s="15">
        <v>52510.12</v>
      </c>
      <c r="F11" s="15">
        <v>46412.93</v>
      </c>
      <c r="G11" s="5"/>
      <c r="H11" s="6"/>
      <c r="I11" s="6"/>
      <c r="J11" s="6"/>
      <c r="K11" s="6"/>
    </row>
    <row r="12">
      <c r="A12" s="12" t="s">
        <v>11</v>
      </c>
      <c r="B12" s="7">
        <v>346.81</v>
      </c>
      <c r="C12" s="7">
        <v>377.47</v>
      </c>
      <c r="D12" s="7">
        <v>343.47</v>
      </c>
      <c r="E12" s="7">
        <v>334.47</v>
      </c>
      <c r="F12" s="7">
        <v>294.74</v>
      </c>
      <c r="G12" s="5"/>
      <c r="H12" s="6"/>
      <c r="I12" s="6"/>
      <c r="J12" s="6"/>
      <c r="K12" s="6"/>
    </row>
    <row r="13">
      <c r="A13" s="11" t="s">
        <v>12</v>
      </c>
      <c r="B13" s="9"/>
      <c r="C13" s="10"/>
      <c r="D13" s="10"/>
      <c r="E13" s="10"/>
      <c r="F13" s="10"/>
      <c r="G13" s="5"/>
      <c r="H13" s="6"/>
      <c r="I13" s="6"/>
      <c r="J13" s="6"/>
      <c r="K13" s="6"/>
    </row>
    <row r="14">
      <c r="A14" s="12" t="s">
        <v>13</v>
      </c>
      <c r="B14" s="7">
        <v>5.58</v>
      </c>
      <c r="C14" s="7">
        <v>5.9</v>
      </c>
      <c r="D14" s="7">
        <v>8.15</v>
      </c>
      <c r="E14" s="7">
        <v>11.5</v>
      </c>
      <c r="F14" s="7">
        <v>18.4</v>
      </c>
      <c r="G14" s="5"/>
      <c r="H14" s="6"/>
      <c r="I14" s="6"/>
      <c r="J14" s="6"/>
      <c r="K14" s="6"/>
    </row>
    <row r="15">
      <c r="A15" s="12" t="s">
        <v>14</v>
      </c>
      <c r="B15" s="13">
        <v>1736.39</v>
      </c>
      <c r="C15" s="13">
        <v>1627.2</v>
      </c>
      <c r="D15" s="13">
        <v>2052.06</v>
      </c>
      <c r="E15" s="13">
        <v>1923.02</v>
      </c>
      <c r="F15" s="13">
        <v>1878.77</v>
      </c>
      <c r="G15" s="5"/>
      <c r="H15" s="6"/>
      <c r="I15" s="6"/>
      <c r="J15" s="6"/>
      <c r="K15" s="6"/>
    </row>
    <row r="16">
      <c r="A16" s="12" t="s">
        <v>15</v>
      </c>
      <c r="B16" s="7">
        <v>506.0</v>
      </c>
      <c r="C16" s="7">
        <v>348.07</v>
      </c>
      <c r="D16" s="7">
        <v>79.92</v>
      </c>
      <c r="E16" s="7">
        <v>109.98</v>
      </c>
      <c r="F16" s="7">
        <v>59.0</v>
      </c>
      <c r="G16" s="5"/>
      <c r="H16" s="6"/>
      <c r="I16" s="6"/>
      <c r="J16" s="6"/>
      <c r="K16" s="6"/>
    </row>
    <row r="17">
      <c r="A17" s="12" t="s">
        <v>16</v>
      </c>
      <c r="B17" s="7">
        <v>187.5</v>
      </c>
      <c r="C17" s="7">
        <v>175.37</v>
      </c>
      <c r="D17" s="7">
        <v>161.95</v>
      </c>
      <c r="E17" s="7">
        <v>149.63</v>
      </c>
      <c r="F17" s="7">
        <v>158.42</v>
      </c>
      <c r="G17" s="5"/>
      <c r="H17" s="6"/>
      <c r="I17" s="6"/>
      <c r="J17" s="6"/>
      <c r="K17" s="6"/>
    </row>
    <row r="18">
      <c r="A18" s="14" t="s">
        <v>17</v>
      </c>
      <c r="B18" s="15">
        <v>2435.47</v>
      </c>
      <c r="C18" s="15">
        <v>2156.54</v>
      </c>
      <c r="D18" s="15">
        <v>2302.08</v>
      </c>
      <c r="E18" s="15">
        <v>2194.13</v>
      </c>
      <c r="F18" s="15">
        <v>2114.59</v>
      </c>
      <c r="G18" s="5"/>
      <c r="H18" s="6"/>
      <c r="I18" s="6"/>
      <c r="J18" s="6"/>
      <c r="K18" s="6"/>
    </row>
    <row r="19">
      <c r="A19" s="11" t="s">
        <v>18</v>
      </c>
      <c r="B19" s="9"/>
      <c r="C19" s="10"/>
      <c r="D19" s="10"/>
      <c r="E19" s="10"/>
      <c r="F19" s="10"/>
      <c r="G19" s="5"/>
      <c r="H19" s="6"/>
      <c r="I19" s="6"/>
      <c r="J19" s="6"/>
      <c r="K19" s="6"/>
    </row>
    <row r="20">
      <c r="A20" s="12" t="s">
        <v>19</v>
      </c>
      <c r="B20" s="7">
        <v>3.88</v>
      </c>
      <c r="C20" s="7">
        <v>1.42</v>
      </c>
      <c r="D20" s="7">
        <v>1.86</v>
      </c>
      <c r="E20" s="7">
        <v>17.35</v>
      </c>
      <c r="F20" s="7">
        <v>19.11</v>
      </c>
      <c r="G20" s="5"/>
      <c r="H20" s="6"/>
      <c r="I20" s="6"/>
      <c r="J20" s="6"/>
      <c r="K20" s="6"/>
    </row>
    <row r="21">
      <c r="A21" s="12" t="s">
        <v>20</v>
      </c>
      <c r="B21" s="13">
        <v>4318.73</v>
      </c>
      <c r="C21" s="13">
        <v>3629.83</v>
      </c>
      <c r="D21" s="13">
        <v>3509.58</v>
      </c>
      <c r="E21" s="13">
        <v>3496.18</v>
      </c>
      <c r="F21" s="13">
        <v>2659.33</v>
      </c>
      <c r="G21" s="5"/>
      <c r="H21" s="6"/>
      <c r="I21" s="6"/>
      <c r="J21" s="6"/>
      <c r="K21" s="6"/>
    </row>
    <row r="22">
      <c r="A22" s="12" t="s">
        <v>21</v>
      </c>
      <c r="B22" s="13">
        <v>6173.06</v>
      </c>
      <c r="C22" s="13">
        <v>5780.34</v>
      </c>
      <c r="D22" s="13">
        <v>6449.17</v>
      </c>
      <c r="E22" s="13">
        <v>5672.81</v>
      </c>
      <c r="F22" s="13">
        <v>4381.41</v>
      </c>
      <c r="G22" s="5"/>
      <c r="H22" s="6"/>
      <c r="I22" s="6"/>
      <c r="J22" s="6"/>
      <c r="K22" s="6"/>
    </row>
    <row r="23">
      <c r="A23" s="12" t="s">
        <v>22</v>
      </c>
      <c r="B23" s="7">
        <v>194.01</v>
      </c>
      <c r="C23" s="7">
        <v>148.18</v>
      </c>
      <c r="D23" s="7">
        <v>51.38</v>
      </c>
      <c r="E23" s="7">
        <v>63.8</v>
      </c>
      <c r="F23" s="7">
        <v>61.16</v>
      </c>
      <c r="G23" s="18"/>
      <c r="H23" s="6"/>
      <c r="I23" s="6"/>
      <c r="J23" s="6"/>
      <c r="K23" s="6"/>
    </row>
    <row r="24">
      <c r="A24" s="14" t="s">
        <v>23</v>
      </c>
      <c r="B24" s="15">
        <v>10689.68</v>
      </c>
      <c r="C24" s="15">
        <v>9559.77</v>
      </c>
      <c r="D24" s="15">
        <v>10011.99</v>
      </c>
      <c r="E24" s="15">
        <v>9250.14</v>
      </c>
      <c r="F24" s="15">
        <v>7121.01</v>
      </c>
      <c r="G24" s="19">
        <v>6658.46</v>
      </c>
      <c r="H24" s="5"/>
      <c r="I24" s="6"/>
      <c r="J24" s="6"/>
      <c r="K24" s="6"/>
    </row>
    <row r="25">
      <c r="A25" s="14" t="s">
        <v>24</v>
      </c>
      <c r="B25" s="15">
        <v>73819.3</v>
      </c>
      <c r="C25" s="15">
        <v>77367.04</v>
      </c>
      <c r="D25" s="15">
        <v>71798.41</v>
      </c>
      <c r="E25" s="15">
        <v>64288.86</v>
      </c>
      <c r="F25" s="15">
        <v>55943.27</v>
      </c>
      <c r="G25" s="20"/>
      <c r="H25" s="6"/>
      <c r="I25" s="6"/>
      <c r="J25" s="6"/>
      <c r="K25" s="6"/>
    </row>
    <row r="26">
      <c r="A26" s="8" t="s">
        <v>25</v>
      </c>
      <c r="B26" s="9"/>
      <c r="C26" s="10"/>
      <c r="D26" s="10"/>
      <c r="E26" s="10"/>
      <c r="F26" s="10"/>
      <c r="G26" s="5"/>
      <c r="H26" s="6"/>
      <c r="I26" s="6"/>
      <c r="J26" s="6"/>
      <c r="K26" s="6"/>
    </row>
    <row r="27">
      <c r="A27" s="11" t="s">
        <v>26</v>
      </c>
      <c r="B27" s="9"/>
      <c r="C27" s="10"/>
      <c r="D27" s="10"/>
      <c r="E27" s="10"/>
      <c r="F27" s="10"/>
      <c r="G27" s="18"/>
      <c r="H27" s="6"/>
      <c r="I27" s="6"/>
      <c r="J27" s="6"/>
      <c r="K27" s="6"/>
    </row>
    <row r="28">
      <c r="A28" s="12" t="s">
        <v>27</v>
      </c>
      <c r="B28" s="13">
        <v>25552.85</v>
      </c>
      <c r="C28" s="13">
        <v>20985.44</v>
      </c>
      <c r="D28" s="13">
        <v>18625.74</v>
      </c>
      <c r="E28" s="13">
        <v>15863.68</v>
      </c>
      <c r="F28" s="13">
        <v>15262.27</v>
      </c>
      <c r="G28" s="21">
        <v>14459.36</v>
      </c>
      <c r="H28" s="5"/>
      <c r="I28" s="6"/>
      <c r="J28" s="6"/>
      <c r="K28" s="6"/>
    </row>
    <row r="29">
      <c r="A29" s="12" t="s">
        <v>28</v>
      </c>
      <c r="B29" s="7">
        <v>0.0</v>
      </c>
      <c r="C29" s="7">
        <v>525.37</v>
      </c>
      <c r="D29" s="7">
        <v>545.92</v>
      </c>
      <c r="E29" s="7">
        <v>457.75</v>
      </c>
      <c r="F29" s="7">
        <v>428.68</v>
      </c>
      <c r="G29" s="20"/>
      <c r="H29" s="6"/>
      <c r="I29" s="6"/>
      <c r="J29" s="6"/>
      <c r="K29" s="6"/>
    </row>
    <row r="30">
      <c r="A30" s="12" t="s">
        <v>29</v>
      </c>
      <c r="B30" s="7">
        <v>0.0</v>
      </c>
      <c r="C30" s="13">
        <v>3251.61</v>
      </c>
      <c r="D30" s="13">
        <v>4126.18</v>
      </c>
      <c r="E30" s="13">
        <v>5499.6</v>
      </c>
      <c r="F30" s="13">
        <v>3684.2</v>
      </c>
      <c r="G30" s="5"/>
      <c r="H30" s="6"/>
      <c r="I30" s="6"/>
      <c r="J30" s="6"/>
      <c r="K30" s="6"/>
    </row>
    <row r="31">
      <c r="A31" s="12" t="s">
        <v>30</v>
      </c>
      <c r="B31" s="7">
        <v>0.0</v>
      </c>
      <c r="C31" s="7">
        <v>4.85</v>
      </c>
      <c r="D31" s="7">
        <v>10.24</v>
      </c>
      <c r="E31" s="7">
        <v>8.73</v>
      </c>
      <c r="F31" s="7">
        <v>45.69</v>
      </c>
      <c r="G31" s="5"/>
      <c r="H31" s="6"/>
      <c r="I31" s="6"/>
      <c r="J31" s="6"/>
      <c r="K31" s="6"/>
    </row>
    <row r="32">
      <c r="A32" s="14" t="s">
        <v>31</v>
      </c>
      <c r="B32" s="15">
        <v>25552.85</v>
      </c>
      <c r="C32" s="15">
        <v>24767.27</v>
      </c>
      <c r="D32" s="15">
        <v>23308.08</v>
      </c>
      <c r="E32" s="15">
        <v>21829.76</v>
      </c>
      <c r="F32" s="15">
        <v>19420.84</v>
      </c>
      <c r="G32" s="5"/>
      <c r="H32" s="6"/>
      <c r="I32" s="6"/>
      <c r="J32" s="6"/>
      <c r="K32" s="6"/>
    </row>
    <row r="33">
      <c r="A33" s="12" t="s">
        <v>32</v>
      </c>
      <c r="B33" s="13">
        <v>10024.54</v>
      </c>
      <c r="C33" s="13">
        <v>10715.02</v>
      </c>
      <c r="D33" s="13">
        <v>11695.99</v>
      </c>
      <c r="E33" s="13">
        <v>11483.79</v>
      </c>
      <c r="F33" s="13">
        <v>6693.99</v>
      </c>
      <c r="G33" s="5"/>
      <c r="H33" s="6"/>
      <c r="I33" s="6"/>
      <c r="J33" s="6"/>
      <c r="K33" s="6"/>
    </row>
    <row r="34">
      <c r="A34" s="12" t="s">
        <v>33</v>
      </c>
      <c r="B34" s="7">
        <v>58.54</v>
      </c>
      <c r="C34" s="7">
        <v>56.29</v>
      </c>
      <c r="D34" s="7">
        <v>59.37</v>
      </c>
      <c r="E34" s="7">
        <v>47.98</v>
      </c>
      <c r="F34" s="7">
        <v>44.95</v>
      </c>
      <c r="G34" s="5"/>
      <c r="H34" s="6"/>
      <c r="I34" s="6"/>
      <c r="J34" s="6"/>
      <c r="K34" s="6"/>
    </row>
    <row r="35">
      <c r="A35" s="12" t="s">
        <v>34</v>
      </c>
      <c r="B35" s="7">
        <v>4.07</v>
      </c>
      <c r="C35" s="7">
        <v>5.27</v>
      </c>
      <c r="D35" s="7">
        <v>8.34</v>
      </c>
      <c r="E35" s="7">
        <v>9.69</v>
      </c>
      <c r="F35" s="7">
        <v>8.54</v>
      </c>
      <c r="G35" s="5"/>
      <c r="H35" s="6"/>
      <c r="I35" s="6"/>
      <c r="J35" s="6"/>
      <c r="K35" s="6"/>
    </row>
    <row r="36">
      <c r="A36" s="12" t="s">
        <v>35</v>
      </c>
      <c r="B36" s="13">
        <v>2407.58</v>
      </c>
      <c r="C36" s="13">
        <v>2115.31</v>
      </c>
      <c r="D36" s="13">
        <v>4776.83</v>
      </c>
      <c r="E36" s="13">
        <v>4321.49</v>
      </c>
      <c r="F36" s="13">
        <v>3303.32</v>
      </c>
      <c r="G36" s="5"/>
      <c r="H36" s="6"/>
      <c r="I36" s="6"/>
      <c r="J36" s="6"/>
      <c r="K36" s="6"/>
    </row>
    <row r="37">
      <c r="A37" s="14" t="s">
        <v>36</v>
      </c>
      <c r="B37" s="15">
        <v>38827.31</v>
      </c>
      <c r="C37" s="15">
        <v>37861.69</v>
      </c>
      <c r="D37" s="15">
        <v>40051.14</v>
      </c>
      <c r="E37" s="15">
        <v>37895.24</v>
      </c>
      <c r="F37" s="15">
        <v>29674.17</v>
      </c>
      <c r="G37" s="5"/>
      <c r="H37" s="6"/>
      <c r="I37" s="6"/>
      <c r="J37" s="6"/>
      <c r="K37" s="6"/>
    </row>
    <row r="38">
      <c r="A38" s="11" t="s">
        <v>37</v>
      </c>
      <c r="B38" s="9"/>
      <c r="C38" s="10"/>
      <c r="D38" s="10"/>
      <c r="E38" s="10"/>
      <c r="F38" s="10"/>
      <c r="G38" s="5"/>
      <c r="H38" s="6"/>
      <c r="I38" s="6"/>
      <c r="J38" s="6"/>
      <c r="K38" s="6"/>
    </row>
    <row r="39">
      <c r="A39" s="12" t="s">
        <v>38</v>
      </c>
      <c r="B39" s="13">
        <v>14846.33</v>
      </c>
      <c r="C39" s="13">
        <v>17948.33</v>
      </c>
      <c r="D39" s="13">
        <v>13347.5</v>
      </c>
      <c r="E39" s="13">
        <v>10569.07</v>
      </c>
      <c r="F39" s="13">
        <v>10887.39</v>
      </c>
      <c r="G39" s="5"/>
      <c r="H39" s="6"/>
      <c r="I39" s="6"/>
      <c r="J39" s="6"/>
      <c r="K39" s="6"/>
    </row>
    <row r="40">
      <c r="A40" s="12" t="s">
        <v>39</v>
      </c>
      <c r="B40" s="13">
        <v>10397.16</v>
      </c>
      <c r="C40" s="13">
        <v>8965.53</v>
      </c>
      <c r="D40" s="13">
        <v>7943.97</v>
      </c>
      <c r="E40" s="13">
        <v>7584.53</v>
      </c>
      <c r="F40" s="13">
        <v>8186.15</v>
      </c>
      <c r="G40" s="5"/>
      <c r="H40" s="6"/>
      <c r="I40" s="6"/>
      <c r="J40" s="6"/>
      <c r="K40" s="6"/>
    </row>
    <row r="41">
      <c r="A41" s="12" t="s">
        <v>40</v>
      </c>
      <c r="B41" s="13">
        <v>2501.7</v>
      </c>
      <c r="C41" s="13">
        <v>2562.48</v>
      </c>
      <c r="D41" s="13">
        <v>4035.28</v>
      </c>
      <c r="E41" s="13">
        <v>2682.29</v>
      </c>
      <c r="F41" s="13">
        <v>2474.29</v>
      </c>
      <c r="G41" s="5"/>
      <c r="H41" s="6"/>
      <c r="I41" s="6"/>
      <c r="J41" s="6"/>
      <c r="K41" s="6"/>
    </row>
    <row r="42">
      <c r="A42" s="12" t="s">
        <v>41</v>
      </c>
      <c r="B42" s="13">
        <v>4659.02</v>
      </c>
      <c r="C42" s="13">
        <v>7277.34</v>
      </c>
      <c r="D42" s="13">
        <v>4152.03</v>
      </c>
      <c r="E42" s="13">
        <v>2899.6</v>
      </c>
      <c r="F42" s="13">
        <v>2967.4</v>
      </c>
      <c r="G42" s="5"/>
      <c r="H42" s="6"/>
      <c r="I42" s="6"/>
      <c r="J42" s="6"/>
      <c r="K42" s="6"/>
    </row>
    <row r="43">
      <c r="A43" s="12" t="s">
        <v>42</v>
      </c>
      <c r="B43" s="7">
        <v>3.47</v>
      </c>
      <c r="C43" s="7">
        <v>6.33</v>
      </c>
      <c r="D43" s="7">
        <v>6.75</v>
      </c>
      <c r="E43" s="7">
        <v>5.84</v>
      </c>
      <c r="F43" s="7">
        <v>6.78</v>
      </c>
      <c r="G43" s="5"/>
      <c r="H43" s="6"/>
      <c r="I43" s="6"/>
      <c r="J43" s="6"/>
      <c r="K43" s="6"/>
    </row>
    <row r="44">
      <c r="A44" s="12" t="s">
        <v>43</v>
      </c>
      <c r="B44" s="13">
        <v>2584.31</v>
      </c>
      <c r="C44" s="13">
        <v>2745.34</v>
      </c>
      <c r="D44" s="13">
        <v>2261.74</v>
      </c>
      <c r="E44" s="13">
        <v>2652.29</v>
      </c>
      <c r="F44" s="13">
        <v>1747.09</v>
      </c>
      <c r="G44" s="18"/>
      <c r="H44" s="6"/>
      <c r="I44" s="6"/>
      <c r="J44" s="6"/>
      <c r="K44" s="6"/>
    </row>
    <row r="45">
      <c r="A45" s="14" t="s">
        <v>44</v>
      </c>
      <c r="B45" s="15">
        <v>34991.99</v>
      </c>
      <c r="C45" s="15">
        <v>39505.35</v>
      </c>
      <c r="D45" s="15">
        <v>31747.27</v>
      </c>
      <c r="E45" s="15">
        <v>26393.62</v>
      </c>
      <c r="F45" s="15">
        <v>26269.1</v>
      </c>
      <c r="G45" s="19">
        <v>24682.5</v>
      </c>
      <c r="H45" s="5"/>
      <c r="I45" s="6"/>
      <c r="J45" s="6"/>
      <c r="K45" s="6"/>
    </row>
    <row r="46">
      <c r="A46" s="14" t="s">
        <v>45</v>
      </c>
      <c r="B46" s="15">
        <v>73819.3</v>
      </c>
      <c r="C46" s="15">
        <v>77367.04</v>
      </c>
      <c r="D46" s="15">
        <v>71798.41</v>
      </c>
      <c r="E46" s="15">
        <v>64288.86</v>
      </c>
      <c r="F46" s="15">
        <v>55943.27</v>
      </c>
      <c r="G46" s="20"/>
      <c r="H46" s="6"/>
      <c r="I46" s="6"/>
      <c r="J46" s="6"/>
      <c r="K46" s="6"/>
    </row>
    <row r="47">
      <c r="A47" s="8" t="s">
        <v>46</v>
      </c>
      <c r="B47" s="9"/>
      <c r="C47" s="10"/>
      <c r="D47" s="10"/>
      <c r="E47" s="10"/>
      <c r="F47" s="10"/>
      <c r="G47" s="5"/>
      <c r="H47" s="6"/>
      <c r="I47" s="6"/>
      <c r="J47" s="6"/>
      <c r="K47" s="6"/>
    </row>
    <row r="48">
      <c r="A48" s="11" t="s">
        <v>47</v>
      </c>
      <c r="B48" s="9"/>
      <c r="C48" s="10"/>
      <c r="D48" s="10"/>
      <c r="E48" s="10"/>
      <c r="F48" s="10"/>
      <c r="G48" s="5"/>
      <c r="H48" s="6"/>
      <c r="I48" s="6"/>
      <c r="J48" s="6"/>
      <c r="K48" s="6"/>
    </row>
    <row r="49">
      <c r="A49" s="12" t="s">
        <v>48</v>
      </c>
      <c r="B49" s="7">
        <v>0.0</v>
      </c>
      <c r="C49" s="13">
        <v>3784.02</v>
      </c>
      <c r="D49" s="13">
        <v>3562.53</v>
      </c>
      <c r="E49" s="13">
        <v>3196.46</v>
      </c>
      <c r="F49" s="13">
        <v>3815.01</v>
      </c>
      <c r="G49" s="5"/>
      <c r="H49" s="6"/>
      <c r="I49" s="6"/>
      <c r="J49" s="6"/>
      <c r="K49" s="6"/>
    </row>
    <row r="50">
      <c r="A50" s="11" t="s">
        <v>49</v>
      </c>
      <c r="B50" s="9"/>
      <c r="C50" s="10"/>
      <c r="D50" s="10"/>
      <c r="E50" s="10"/>
      <c r="F50" s="10"/>
      <c r="G50" s="5"/>
      <c r="H50" s="6"/>
      <c r="I50" s="6"/>
      <c r="J50" s="6"/>
      <c r="K50" s="6"/>
    </row>
    <row r="51">
      <c r="A51" s="12" t="s">
        <v>50</v>
      </c>
      <c r="B51" s="7">
        <v>0.0</v>
      </c>
      <c r="C51" s="13">
        <v>1113.13</v>
      </c>
      <c r="D51" s="13">
        <v>1113.13</v>
      </c>
      <c r="E51" s="13">
        <v>1113.13</v>
      </c>
      <c r="F51" s="13">
        <v>1113.13</v>
      </c>
      <c r="G51" s="5"/>
      <c r="H51" s="6"/>
      <c r="I51" s="6"/>
      <c r="J51" s="6"/>
      <c r="K51" s="6"/>
    </row>
    <row r="52">
      <c r="A52" s="11" t="s">
        <v>51</v>
      </c>
      <c r="B52" s="9"/>
      <c r="C52" s="10"/>
      <c r="D52" s="10"/>
      <c r="E52" s="10"/>
      <c r="F52" s="10"/>
      <c r="G52" s="5"/>
      <c r="H52" s="6"/>
      <c r="I52" s="6"/>
      <c r="J52" s="6"/>
      <c r="K52" s="6"/>
    </row>
    <row r="53">
      <c r="A53" s="12" t="s">
        <v>52</v>
      </c>
      <c r="B53" s="7">
        <v>0.0</v>
      </c>
      <c r="C53" s="13">
        <v>10653.86</v>
      </c>
      <c r="D53" s="13">
        <v>11459.86</v>
      </c>
      <c r="E53" s="13">
        <v>11276.13</v>
      </c>
      <c r="F53" s="13">
        <v>6502.72</v>
      </c>
      <c r="G53" s="5"/>
      <c r="H53" s="6"/>
      <c r="I53" s="6"/>
      <c r="J53" s="6"/>
      <c r="K53" s="6"/>
    </row>
    <row r="54">
      <c r="A54" s="12" t="s">
        <v>53</v>
      </c>
      <c r="B54" s="7">
        <v>0.0</v>
      </c>
      <c r="C54" s="7">
        <v>206.33</v>
      </c>
      <c r="D54" s="7">
        <v>211.84</v>
      </c>
      <c r="E54" s="7">
        <v>205.45</v>
      </c>
      <c r="F54" s="7">
        <v>210.27</v>
      </c>
      <c r="G54" s="5"/>
      <c r="H54" s="6"/>
      <c r="I54" s="6"/>
      <c r="J54" s="6"/>
      <c r="K54" s="6"/>
    </row>
    <row r="55">
      <c r="A55" s="11" t="s">
        <v>54</v>
      </c>
      <c r="B55" s="9"/>
      <c r="C55" s="10"/>
      <c r="D55" s="10"/>
      <c r="E55" s="10"/>
      <c r="F55" s="10"/>
      <c r="G55" s="5"/>
      <c r="H55" s="6"/>
      <c r="I55" s="6"/>
      <c r="J55" s="6"/>
      <c r="K55" s="6"/>
    </row>
    <row r="56">
      <c r="A56" s="12" t="s">
        <v>55</v>
      </c>
      <c r="B56" s="7">
        <v>0.0</v>
      </c>
      <c r="C56" s="13">
        <v>3456.49</v>
      </c>
      <c r="D56" s="13">
        <v>4973.37</v>
      </c>
      <c r="E56" s="13">
        <v>2394.82</v>
      </c>
      <c r="F56" s="13">
        <v>2743.52</v>
      </c>
      <c r="G56" s="5"/>
      <c r="H56" s="6"/>
      <c r="I56" s="6"/>
      <c r="J56" s="6"/>
      <c r="K56" s="6"/>
    </row>
    <row r="57">
      <c r="A57" s="12" t="s">
        <v>56</v>
      </c>
      <c r="B57" s="7">
        <v>0.0</v>
      </c>
      <c r="C57" s="13">
        <v>14500.78</v>
      </c>
      <c r="D57" s="13">
        <v>8377.61</v>
      </c>
      <c r="E57" s="13">
        <v>8351.52</v>
      </c>
      <c r="F57" s="13">
        <v>8148.08</v>
      </c>
      <c r="G57" s="5"/>
      <c r="H57" s="6"/>
      <c r="I57" s="6"/>
      <c r="J57" s="6"/>
      <c r="K57" s="6"/>
    </row>
    <row r="58">
      <c r="G58" s="5"/>
      <c r="H58" s="6"/>
      <c r="I58" s="6"/>
      <c r="J58" s="6"/>
      <c r="K58" s="6"/>
    </row>
  </sheetData>
  <mergeCells count="12">
    <mergeCell ref="A47:B47"/>
    <mergeCell ref="A48:B48"/>
    <mergeCell ref="A50:B50"/>
    <mergeCell ref="A52:B52"/>
    <mergeCell ref="A55:B55"/>
    <mergeCell ref="A4:B4"/>
    <mergeCell ref="A5:B5"/>
    <mergeCell ref="A13:B13"/>
    <mergeCell ref="A19:B19"/>
    <mergeCell ref="A26:B26"/>
    <mergeCell ref="A27:B27"/>
    <mergeCell ref="A38:B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4.0"/>
  </cols>
  <sheetData>
    <row r="1">
      <c r="A1" s="1" t="s">
        <v>57</v>
      </c>
      <c r="B1" s="2" t="s">
        <v>1</v>
      </c>
    </row>
    <row r="2">
      <c r="A2" s="3"/>
      <c r="B2" s="4">
        <v>44276.0</v>
      </c>
      <c r="C2" s="4">
        <v>44275.0</v>
      </c>
      <c r="D2" s="4">
        <v>44274.0</v>
      </c>
      <c r="E2" s="4">
        <v>44273.0</v>
      </c>
      <c r="F2" s="4">
        <v>44272.0</v>
      </c>
      <c r="G2" s="22">
        <v>44277.0</v>
      </c>
      <c r="H2" s="22">
        <v>44278.0</v>
      </c>
      <c r="I2" s="22">
        <v>44279.0</v>
      </c>
      <c r="J2" s="22">
        <v>44280.0</v>
      </c>
    </row>
    <row r="3">
      <c r="A3" s="3"/>
      <c r="B3" s="23" t="s">
        <v>2</v>
      </c>
      <c r="C3" s="23" t="s">
        <v>2</v>
      </c>
      <c r="D3" s="23" t="s">
        <v>2</v>
      </c>
      <c r="E3" s="23" t="s">
        <v>2</v>
      </c>
      <c r="F3" s="23" t="s">
        <v>2</v>
      </c>
    </row>
    <row r="4">
      <c r="A4" s="11" t="s">
        <v>58</v>
      </c>
      <c r="B4" s="9"/>
      <c r="C4" s="10"/>
      <c r="D4" s="10"/>
      <c r="E4" s="10"/>
      <c r="F4" s="10"/>
    </row>
    <row r="5">
      <c r="A5" s="14" t="s">
        <v>59</v>
      </c>
      <c r="B5" s="15">
        <v>52835.15</v>
      </c>
      <c r="C5" s="15">
        <v>50968.5</v>
      </c>
      <c r="D5" s="15">
        <v>49348.43</v>
      </c>
      <c r="E5" s="15">
        <v>47362.51</v>
      </c>
      <c r="F5" s="15">
        <v>58287.95</v>
      </c>
    </row>
    <row r="6">
      <c r="A6" s="12" t="s">
        <v>60</v>
      </c>
      <c r="B6" s="13">
        <v>3882.34</v>
      </c>
      <c r="C6" s="13">
        <v>1989.42</v>
      </c>
      <c r="D6" s="13">
        <v>1509.43</v>
      </c>
      <c r="E6" s="13">
        <v>4239.61</v>
      </c>
      <c r="F6" s="13">
        <v>15927.91</v>
      </c>
    </row>
    <row r="7">
      <c r="A7" s="14" t="s">
        <v>61</v>
      </c>
      <c r="B7" s="15">
        <v>48952.81</v>
      </c>
      <c r="C7" s="15">
        <v>48979.08</v>
      </c>
      <c r="D7" s="15">
        <v>47839.0</v>
      </c>
      <c r="E7" s="15">
        <v>43122.9</v>
      </c>
      <c r="F7" s="15">
        <v>42360.04</v>
      </c>
    </row>
    <row r="8">
      <c r="A8" s="12" t="s">
        <v>62</v>
      </c>
      <c r="B8" s="7">
        <v>319.97</v>
      </c>
      <c r="C8" s="7">
        <v>424.97</v>
      </c>
      <c r="D8" s="7">
        <v>513.68</v>
      </c>
      <c r="E8" s="7">
        <v>326.04</v>
      </c>
      <c r="F8" s="7">
        <v>416.57</v>
      </c>
    </row>
    <row r="9">
      <c r="A9" s="14" t="s">
        <v>63</v>
      </c>
      <c r="B9" s="15">
        <v>49272.78</v>
      </c>
      <c r="C9" s="15">
        <v>49404.05</v>
      </c>
      <c r="D9" s="15">
        <v>48352.68</v>
      </c>
      <c r="E9" s="15">
        <v>43448.94</v>
      </c>
      <c r="F9" s="15">
        <v>42776.61</v>
      </c>
      <c r="G9" s="24">
        <f t="shared" ref="G9:J9" si="1">G22*G13</f>
        <v>46849.57796</v>
      </c>
      <c r="H9" s="24">
        <f t="shared" si="1"/>
        <v>46849.57796</v>
      </c>
      <c r="I9" s="24">
        <f t="shared" si="1"/>
        <v>46849.57796</v>
      </c>
      <c r="J9" s="24">
        <f t="shared" si="1"/>
        <v>46849.57796</v>
      </c>
    </row>
    <row r="10">
      <c r="A10" s="12" t="s">
        <v>64</v>
      </c>
      <c r="B10" s="13">
        <v>2632.56</v>
      </c>
      <c r="C10" s="13">
        <v>2597.89</v>
      </c>
      <c r="D10" s="13">
        <v>2173.79</v>
      </c>
      <c r="E10" s="13">
        <v>1831.86</v>
      </c>
      <c r="F10" s="13">
        <v>1761.53</v>
      </c>
    </row>
    <row r="11">
      <c r="A11" s="14" t="s">
        <v>65</v>
      </c>
      <c r="B11" s="15">
        <v>51905.34</v>
      </c>
      <c r="C11" s="15">
        <v>52001.94</v>
      </c>
      <c r="D11" s="15">
        <v>50526.47</v>
      </c>
      <c r="E11" s="15">
        <v>45280.8</v>
      </c>
      <c r="F11" s="15">
        <v>44538.14</v>
      </c>
    </row>
    <row r="12">
      <c r="A12" s="11" t="s">
        <v>66</v>
      </c>
      <c r="B12" s="9"/>
      <c r="C12" s="10"/>
      <c r="D12" s="10"/>
      <c r="E12" s="10"/>
      <c r="F12" s="10"/>
    </row>
    <row r="13">
      <c r="A13" s="12" t="s">
        <v>67</v>
      </c>
      <c r="B13" s="13">
        <v>13939.84</v>
      </c>
      <c r="C13" s="13">
        <v>13810.7</v>
      </c>
      <c r="D13" s="13">
        <v>13403.01</v>
      </c>
      <c r="E13" s="13">
        <v>11943.75</v>
      </c>
      <c r="F13" s="13">
        <v>11979.03</v>
      </c>
      <c r="G13" s="25">
        <f>0.2*B13+0.22*C13+0.21*D13+0.19*E13+0.18*F13</f>
        <v>13066.492</v>
      </c>
      <c r="H13" s="25">
        <f>0.2*B13+0.22*C13+0.21*D13+0.19*E13+0.18*F13</f>
        <v>13066.492</v>
      </c>
      <c r="I13" s="25">
        <f>0.2*B13+0.22*C13+0.21*D13+0.19*E13+0.18*F13</f>
        <v>13066.492</v>
      </c>
      <c r="J13" s="25">
        <f>0.2*B13+0.22*C13+0.21*D13+0.19*E13+0.18*F13</f>
        <v>13066.492</v>
      </c>
    </row>
    <row r="14">
      <c r="A14" s="12" t="s">
        <v>68</v>
      </c>
      <c r="B14" s="13">
        <v>6836.87</v>
      </c>
      <c r="C14" s="13">
        <v>4237.9</v>
      </c>
      <c r="D14" s="13">
        <v>4220.51</v>
      </c>
      <c r="E14" s="13">
        <v>2883.97</v>
      </c>
      <c r="F14" s="13">
        <v>3477.56</v>
      </c>
    </row>
    <row r="15">
      <c r="A15" s="12" t="s">
        <v>69</v>
      </c>
      <c r="B15" s="7">
        <v>-645.27</v>
      </c>
      <c r="C15" s="7">
        <v>-703.13</v>
      </c>
      <c r="D15" s="7">
        <v>-203.19</v>
      </c>
      <c r="E15" s="13">
        <v>1027.76</v>
      </c>
      <c r="F15" s="7">
        <v>592.57</v>
      </c>
    </row>
    <row r="16">
      <c r="A16" s="12" t="s">
        <v>70</v>
      </c>
      <c r="B16" s="13">
        <v>4463.33</v>
      </c>
      <c r="C16" s="13">
        <v>4295.79</v>
      </c>
      <c r="D16" s="13">
        <v>4177.88</v>
      </c>
      <c r="E16" s="13">
        <v>3760.9</v>
      </c>
      <c r="F16" s="13">
        <v>3631.73</v>
      </c>
    </row>
    <row r="17">
      <c r="A17" s="12" t="s">
        <v>71</v>
      </c>
      <c r="B17" s="7">
        <v>44.58</v>
      </c>
      <c r="C17" s="7">
        <v>54.68</v>
      </c>
      <c r="D17" s="7">
        <v>45.42</v>
      </c>
      <c r="E17" s="7">
        <v>89.91</v>
      </c>
      <c r="F17" s="7">
        <v>24.3</v>
      </c>
    </row>
    <row r="18">
      <c r="A18" s="12" t="s">
        <v>72</v>
      </c>
      <c r="B18" s="13">
        <v>1645.59</v>
      </c>
      <c r="C18" s="13">
        <v>1644.91</v>
      </c>
      <c r="D18" s="13">
        <v>1396.61</v>
      </c>
      <c r="E18" s="13">
        <v>1236.28</v>
      </c>
      <c r="F18" s="13">
        <v>1152.79</v>
      </c>
    </row>
    <row r="19">
      <c r="A19" s="12" t="s">
        <v>73</v>
      </c>
      <c r="B19" s="13">
        <v>7675.31</v>
      </c>
      <c r="C19" s="13">
        <v>8502.63</v>
      </c>
      <c r="D19" s="13">
        <v>8348.11</v>
      </c>
      <c r="E19" s="13">
        <v>7349.6</v>
      </c>
      <c r="F19" s="13">
        <v>7659.81</v>
      </c>
    </row>
    <row r="20">
      <c r="A20" s="14" t="s">
        <v>74</v>
      </c>
      <c r="B20" s="15">
        <v>33960.25</v>
      </c>
      <c r="C20" s="15">
        <v>31843.48</v>
      </c>
      <c r="D20" s="15">
        <v>31388.35</v>
      </c>
      <c r="E20" s="15">
        <v>28292.17</v>
      </c>
      <c r="F20" s="15">
        <v>28517.79</v>
      </c>
    </row>
    <row r="21">
      <c r="A21" s="26" t="s">
        <v>75</v>
      </c>
      <c r="B21" s="27">
        <f t="shared" ref="B21:F21" si="2">B11/B20</f>
        <v>1.528414543</v>
      </c>
      <c r="C21" s="27">
        <f t="shared" si="2"/>
        <v>1.633048272</v>
      </c>
      <c r="D21" s="27">
        <f t="shared" si="2"/>
        <v>1.609720485</v>
      </c>
      <c r="E21" s="27">
        <f t="shared" si="2"/>
        <v>1.600471084</v>
      </c>
      <c r="F21" s="27">
        <f t="shared" si="2"/>
        <v>1.561766883</v>
      </c>
    </row>
    <row r="22">
      <c r="A22" s="26" t="s">
        <v>76</v>
      </c>
      <c r="B22" s="27">
        <f t="shared" ref="B22:F22" si="3">B9/B13</f>
        <v>3.534673282</v>
      </c>
      <c r="C22" s="27">
        <f t="shared" si="3"/>
        <v>3.577229974</v>
      </c>
      <c r="D22" s="27">
        <f t="shared" si="3"/>
        <v>3.607598592</v>
      </c>
      <c r="E22" s="27">
        <f t="shared" si="3"/>
        <v>3.637797174</v>
      </c>
      <c r="F22" s="27">
        <f t="shared" si="3"/>
        <v>3.570957749</v>
      </c>
      <c r="G22" s="28">
        <f>0.2*B22+0.22*C22+0.21*D22+0.19*E22+0.18*F22</f>
        <v>3.585474813</v>
      </c>
      <c r="H22" s="28">
        <f>0.2*B22+0.22*C22+0.21*D22+0.19*E22+0.18*F22</f>
        <v>3.585474813</v>
      </c>
      <c r="I22" s="28">
        <f>0.2*B22+0.22*C22+0.21*D22+0.19*E22+0.18*F22</f>
        <v>3.585474813</v>
      </c>
      <c r="J22" s="28">
        <f>0.2*B22+0.22*C22+0.21*D22+0.19*E22+0.18*F22</f>
        <v>3.585474813</v>
      </c>
    </row>
    <row r="23">
      <c r="A23" s="14" t="s">
        <v>77</v>
      </c>
      <c r="B23" s="15">
        <v>17945.09</v>
      </c>
      <c r="C23" s="15">
        <v>20158.46</v>
      </c>
      <c r="D23" s="15">
        <v>19138.12</v>
      </c>
      <c r="E23" s="15">
        <v>16988.63</v>
      </c>
      <c r="F23" s="15">
        <v>16020.35</v>
      </c>
    </row>
    <row r="24">
      <c r="A24" s="12" t="s">
        <v>78</v>
      </c>
      <c r="B24" s="7">
        <v>0.0</v>
      </c>
      <c r="C24" s="7">
        <v>-132.11</v>
      </c>
      <c r="D24" s="7">
        <v>0.0</v>
      </c>
      <c r="E24" s="7">
        <v>412.9</v>
      </c>
      <c r="F24" s="7">
        <v>0.0</v>
      </c>
    </row>
    <row r="25">
      <c r="A25" s="12" t="s">
        <v>79</v>
      </c>
      <c r="B25" s="13">
        <v>17945.09</v>
      </c>
      <c r="C25" s="13">
        <v>20026.35</v>
      </c>
      <c r="D25" s="13">
        <v>19138.12</v>
      </c>
      <c r="E25" s="13">
        <v>17401.53</v>
      </c>
      <c r="F25" s="13">
        <v>16020.35</v>
      </c>
    </row>
    <row r="26">
      <c r="A26" s="11" t="s">
        <v>80</v>
      </c>
      <c r="B26" s="9"/>
      <c r="C26" s="10"/>
      <c r="D26" s="10"/>
      <c r="E26" s="10"/>
      <c r="F26" s="10"/>
    </row>
    <row r="27">
      <c r="A27" s="12" t="s">
        <v>81</v>
      </c>
      <c r="B27" s="13">
        <v>4555.29</v>
      </c>
      <c r="C27" s="13">
        <v>4846.15</v>
      </c>
      <c r="D27" s="13">
        <v>6191.62</v>
      </c>
      <c r="E27" s="13">
        <v>5893.19</v>
      </c>
      <c r="F27" s="13">
        <v>5546.16</v>
      </c>
    </row>
    <row r="28">
      <c r="A28" s="12" t="s">
        <v>82</v>
      </c>
      <c r="B28" s="7">
        <v>0.0</v>
      </c>
      <c r="C28" s="7">
        <v>-404.36</v>
      </c>
      <c r="D28" s="7">
        <v>122.3</v>
      </c>
      <c r="E28" s="7">
        <v>23.24</v>
      </c>
      <c r="F28" s="7">
        <v>2.93</v>
      </c>
    </row>
    <row r="29">
      <c r="A29" s="12" t="s">
        <v>83</v>
      </c>
      <c r="B29" s="13">
        <v>4555.29</v>
      </c>
      <c r="C29" s="13">
        <v>4441.79</v>
      </c>
      <c r="D29" s="13">
        <v>6313.92</v>
      </c>
      <c r="E29" s="13">
        <v>5916.43</v>
      </c>
      <c r="F29" s="13">
        <v>5549.09</v>
      </c>
    </row>
    <row r="30">
      <c r="A30" s="12" t="s">
        <v>84</v>
      </c>
      <c r="B30" s="13">
        <v>13389.8</v>
      </c>
      <c r="C30" s="13">
        <v>15584.56</v>
      </c>
      <c r="D30" s="13">
        <v>12824.2</v>
      </c>
      <c r="E30" s="13">
        <v>11485.1</v>
      </c>
      <c r="F30" s="13">
        <v>10471.26</v>
      </c>
    </row>
    <row r="31">
      <c r="A31" s="14" t="s">
        <v>85</v>
      </c>
      <c r="B31" s="15">
        <v>13389.8</v>
      </c>
      <c r="C31" s="15">
        <v>15584.56</v>
      </c>
      <c r="D31" s="15">
        <v>12824.2</v>
      </c>
      <c r="E31" s="15">
        <v>11485.1</v>
      </c>
      <c r="F31" s="15">
        <v>10471.26</v>
      </c>
    </row>
    <row r="32">
      <c r="A32" s="14" t="s">
        <v>86</v>
      </c>
      <c r="B32" s="15">
        <v>13389.8</v>
      </c>
      <c r="C32" s="15">
        <v>15584.56</v>
      </c>
      <c r="D32" s="15">
        <v>12824.2</v>
      </c>
      <c r="E32" s="15">
        <v>11485.1</v>
      </c>
      <c r="F32" s="15">
        <v>10471.26</v>
      </c>
    </row>
    <row r="33">
      <c r="A33" s="12" t="s">
        <v>11</v>
      </c>
      <c r="B33" s="7">
        <v>-221.69</v>
      </c>
      <c r="C33" s="7">
        <v>-286.55</v>
      </c>
      <c r="D33" s="7">
        <v>-243.57</v>
      </c>
      <c r="E33" s="7">
        <v>-221.48</v>
      </c>
      <c r="F33" s="7">
        <v>-187.79</v>
      </c>
    </row>
    <row r="34">
      <c r="A34" s="12" t="s">
        <v>87</v>
      </c>
      <c r="B34" s="7">
        <v>-6.92</v>
      </c>
      <c r="C34" s="7">
        <v>8.22</v>
      </c>
      <c r="D34" s="7">
        <v>11.7</v>
      </c>
      <c r="E34" s="7">
        <v>7.58</v>
      </c>
      <c r="F34" s="7">
        <v>5.97</v>
      </c>
    </row>
    <row r="35">
      <c r="A35" s="14" t="s">
        <v>88</v>
      </c>
      <c r="B35" s="15">
        <v>13161.19</v>
      </c>
      <c r="C35" s="15">
        <v>15306.23</v>
      </c>
      <c r="D35" s="15">
        <v>12592.33</v>
      </c>
      <c r="E35" s="15">
        <v>11271.2</v>
      </c>
      <c r="F35" s="15">
        <v>10289.44</v>
      </c>
    </row>
    <row r="36">
      <c r="A36" s="8" t="s">
        <v>46</v>
      </c>
      <c r="B36" s="9"/>
      <c r="C36" s="10"/>
      <c r="D36" s="10"/>
      <c r="E36" s="10"/>
      <c r="F36" s="10"/>
    </row>
    <row r="37">
      <c r="A37" s="11" t="s">
        <v>89</v>
      </c>
      <c r="B37" s="9"/>
      <c r="C37" s="10"/>
      <c r="D37" s="10"/>
      <c r="E37" s="10"/>
      <c r="F37" s="10"/>
    </row>
    <row r="38">
      <c r="A38" s="12" t="s">
        <v>90</v>
      </c>
      <c r="B38" s="7">
        <v>11.0</v>
      </c>
      <c r="C38" s="7">
        <v>12.0</v>
      </c>
      <c r="D38" s="7">
        <v>10.0</v>
      </c>
      <c r="E38" s="7">
        <v>9.0</v>
      </c>
      <c r="F38" s="7">
        <v>9.0</v>
      </c>
    </row>
    <row r="39">
      <c r="A39" s="12" t="s">
        <v>91</v>
      </c>
      <c r="B39" s="7">
        <v>11.0</v>
      </c>
      <c r="C39" s="7">
        <v>12.0</v>
      </c>
      <c r="D39" s="7">
        <v>10.0</v>
      </c>
      <c r="E39" s="7">
        <v>9.0</v>
      </c>
      <c r="F39" s="7">
        <v>8.0</v>
      </c>
    </row>
    <row r="40">
      <c r="A40" s="11" t="s">
        <v>92</v>
      </c>
      <c r="B40" s="9"/>
      <c r="C40" s="10"/>
      <c r="D40" s="10"/>
      <c r="E40" s="10"/>
      <c r="F40" s="10"/>
    </row>
    <row r="41">
      <c r="A41" s="12" t="s">
        <v>93</v>
      </c>
      <c r="B41" s="7">
        <v>0.0</v>
      </c>
      <c r="C41" s="13">
        <v>7048.71</v>
      </c>
      <c r="D41" s="13">
        <v>6285.21</v>
      </c>
      <c r="E41" s="13">
        <v>5770.01</v>
      </c>
      <c r="F41" s="13">
        <v>6840.12</v>
      </c>
    </row>
    <row r="42">
      <c r="A42" s="12" t="s">
        <v>94</v>
      </c>
      <c r="B42" s="7">
        <v>0.0</v>
      </c>
      <c r="C42" s="13">
        <v>1407.44</v>
      </c>
      <c r="D42" s="13">
        <v>1213.6</v>
      </c>
      <c r="E42" s="13">
        <v>1136.83</v>
      </c>
      <c r="F42" s="13">
        <v>1338.95</v>
      </c>
    </row>
  </sheetData>
  <mergeCells count="6">
    <mergeCell ref="A4:B4"/>
    <mergeCell ref="A12:B12"/>
    <mergeCell ref="A26:B26"/>
    <mergeCell ref="A36:B36"/>
    <mergeCell ref="A37:B37"/>
    <mergeCell ref="A40:B4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14"/>
    <col customWidth="1" min="6" max="6" width="13.43"/>
    <col customWidth="1" min="7" max="7" width="12.86"/>
    <col customWidth="1" min="8" max="8" width="12.29"/>
    <col customWidth="1" min="9" max="9" width="11.0"/>
    <col customWidth="1" min="10" max="10" width="11.29"/>
    <col customWidth="1" min="11" max="11" width="13.57"/>
    <col customWidth="1" min="12" max="12" width="16.43"/>
    <col customWidth="1" min="13" max="13" width="17.14"/>
    <col customWidth="1" min="14" max="14" width="27.14"/>
    <col customWidth="1" min="15" max="15" width="23.86"/>
    <col customWidth="1" min="16" max="16" width="23.29"/>
  </cols>
  <sheetData>
    <row r="1">
      <c r="A1" s="29" t="s">
        <v>95</v>
      </c>
      <c r="B1" s="29">
        <v>2017.0</v>
      </c>
      <c r="C1" s="29">
        <v>2018.0</v>
      </c>
      <c r="D1" s="29">
        <v>2019.0</v>
      </c>
      <c r="E1" s="29">
        <v>2020.0</v>
      </c>
      <c r="F1" s="29">
        <v>2021.0</v>
      </c>
      <c r="G1" s="29">
        <v>2022.0</v>
      </c>
      <c r="H1" s="29">
        <v>2023.0</v>
      </c>
      <c r="I1" s="29">
        <v>2024.0</v>
      </c>
      <c r="J1" s="29">
        <v>2025.0</v>
      </c>
      <c r="K1" s="30" t="s">
        <v>96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2" t="s">
        <v>97</v>
      </c>
      <c r="B2" s="32">
        <v>0.18</v>
      </c>
      <c r="C2" s="32">
        <v>0.2</v>
      </c>
      <c r="D2" s="32">
        <v>0.21</v>
      </c>
      <c r="E2" s="32">
        <v>0.1</v>
      </c>
      <c r="F2" s="32">
        <v>0.31</v>
      </c>
      <c r="G2" s="32"/>
      <c r="H2" s="32"/>
      <c r="I2" s="32"/>
      <c r="J2" s="32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2" t="s">
        <v>98</v>
      </c>
      <c r="B3" s="33">
        <f t="shared" ref="B3:J3" si="1">B5*(1-(B6/100))+B7-B11-B10</f>
        <v>8563.117469</v>
      </c>
      <c r="C3" s="33">
        <f t="shared" si="1"/>
        <v>12697.93357</v>
      </c>
      <c r="D3" s="33">
        <f t="shared" si="1"/>
        <v>5623.36559</v>
      </c>
      <c r="E3" s="33">
        <f t="shared" si="1"/>
        <v>4751.788934</v>
      </c>
      <c r="F3" s="33">
        <f t="shared" si="1"/>
        <v>14498.92354</v>
      </c>
      <c r="G3" s="32">
        <f t="shared" si="1"/>
        <v>10201.53304</v>
      </c>
      <c r="H3" s="32">
        <f t="shared" si="1"/>
        <v>10246.62934</v>
      </c>
      <c r="I3" s="32">
        <f t="shared" si="1"/>
        <v>9181.736004</v>
      </c>
      <c r="J3" s="32">
        <f t="shared" si="1"/>
        <v>9313.779669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5" t="s">
        <v>99</v>
      </c>
      <c r="B4" s="33">
        <f t="shared" ref="B4:G4" si="2">B3-B19</f>
        <v>8525.607469</v>
      </c>
      <c r="C4" s="33">
        <f t="shared" si="2"/>
        <v>12669.08357</v>
      </c>
      <c r="D4" s="33">
        <f t="shared" si="2"/>
        <v>5613.35559</v>
      </c>
      <c r="E4" s="33">
        <f t="shared" si="2"/>
        <v>4744.468934</v>
      </c>
      <c r="F4" s="33">
        <f t="shared" si="2"/>
        <v>14489.46354</v>
      </c>
      <c r="G4" s="32">
        <f t="shared" si="2"/>
        <v>10183.24454</v>
      </c>
      <c r="H4" s="32">
        <f>H3-G19</f>
        <v>10228.34084</v>
      </c>
      <c r="I4" s="32">
        <f>I3-G19</f>
        <v>9163.447504</v>
      </c>
      <c r="J4" s="32">
        <f>J3-G19</f>
        <v>9295.491169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6" t="s">
        <v>100</v>
      </c>
      <c r="B5" s="37">
        <f> PROFIT_LOSS!F11-PROFIT_LOSS!F20+PROFIT_LOSS!F17</f>
        <v>16044.65</v>
      </c>
      <c r="C5" s="37">
        <f> PROFIT_LOSS!E11-PROFIT_LOSS!E20+PROFIT_LOSS!E17</f>
        <v>17078.54</v>
      </c>
      <c r="D5" s="37">
        <f> PROFIT_LOSS!D11-PROFIT_LOSS!D20+PROFIT_LOSS!D17</f>
        <v>19183.54</v>
      </c>
      <c r="E5" s="37">
        <f> PROFIT_LOSS!C11-PROFIT_LOSS!C20+PROFIT_LOSS!C17</f>
        <v>20213.14</v>
      </c>
      <c r="F5" s="37">
        <f> PROFIT_LOSS!B11-PROFIT_LOSS!B20+PROFIT_LOSS!B17</f>
        <v>17989.67</v>
      </c>
      <c r="G5" s="38">
        <f t="shared" ref="G5:G7" si="3">0.18*B5+0.2*C5+0.21*D5+0.1*E5+0.31*F5</f>
        <v>17930.4001</v>
      </c>
      <c r="H5" s="38">
        <f>0.2*B5+0.22*C5+0.21*D5+0.15*E5+0.22*F5+1000</f>
        <v>18984.4506</v>
      </c>
      <c r="I5" s="38">
        <f t="shared" ref="I5:I7" si="4">(B5+C5+D5+E5+F5)/5</f>
        <v>18101.908</v>
      </c>
      <c r="J5" s="38">
        <f t="shared" ref="J5:J7" si="5">0.2*B5+0.23*C5+0.22*D5+0.19*E5+0.19*F5</f>
        <v>18615.9069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6" t="s">
        <v>101</v>
      </c>
      <c r="B6" s="36">
        <f> (PROFIT_LOSS!F27/PROFIT_LOSS!F25)*100</f>
        <v>34.61946836</v>
      </c>
      <c r="C6" s="36">
        <f> (PROFIT_LOSS!E27/PROFIT_LOSS!E25)*100</f>
        <v>33.86593018</v>
      </c>
      <c r="D6" s="36">
        <f> (PROFIT_LOSS!D27/PROFIT_LOSS!D25)*100</f>
        <v>32.35228957</v>
      </c>
      <c r="E6" s="36">
        <f> (PROFIT_LOSS!C27/PROFIT_LOSS!C25)*100</f>
        <v>24.19886799</v>
      </c>
      <c r="F6" s="36">
        <f> (PROFIT_LOSS!B27/PROFIT_LOSS!B25)*100</f>
        <v>25.38460381</v>
      </c>
      <c r="G6" s="38">
        <f t="shared" si="3"/>
        <v>30.08778513</v>
      </c>
      <c r="H6" s="38">
        <f t="shared" ref="H6:H7" si="6">0.2*B6+0.22*C6+0.21*D6+0.15*E6+0.22*F6</f>
        <v>30.38282216</v>
      </c>
      <c r="I6" s="38">
        <f t="shared" si="4"/>
        <v>30.08423198</v>
      </c>
      <c r="J6" s="38">
        <f t="shared" si="5"/>
        <v>31.25142096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6" t="s">
        <v>102</v>
      </c>
      <c r="B7" s="37">
        <v>1152.79</v>
      </c>
      <c r="C7" s="37">
        <v>1236.28</v>
      </c>
      <c r="D7" s="37">
        <v>1396.61</v>
      </c>
      <c r="E7" s="37">
        <v>1644.91</v>
      </c>
      <c r="F7" s="37">
        <v>1645.59</v>
      </c>
      <c r="G7" s="38">
        <f t="shared" si="3"/>
        <v>1422.6702</v>
      </c>
      <c r="H7" s="38">
        <f t="shared" si="6"/>
        <v>1404.594</v>
      </c>
      <c r="I7" s="38">
        <f t="shared" si="4"/>
        <v>1415.236</v>
      </c>
      <c r="J7" s="38">
        <f t="shared" si="5"/>
        <v>1447.3516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6" t="s">
        <v>103</v>
      </c>
      <c r="B8" s="37">
        <f>BALANCE_SHEET!F45 -BALANCE_SHEET!G45</f>
        <v>1586.6</v>
      </c>
      <c r="C8" s="37">
        <f>BALANCE_SHEET!E45 -BALANCE_SHEET!F45</f>
        <v>124.52</v>
      </c>
      <c r="D8" s="37">
        <f>BALANCE_SHEET!D45 -BALANCE_SHEET!E45</f>
        <v>5353.65</v>
      </c>
      <c r="E8" s="37">
        <f>BALANCE_SHEET!C45 -BALANCE_SHEET!D45</f>
        <v>7758.08</v>
      </c>
      <c r="F8" s="37">
        <f>BALANCE_SHEET!B45 -BALANCE_SHEET!C45</f>
        <v>-4513.36</v>
      </c>
      <c r="G8" s="38"/>
      <c r="H8" s="38"/>
      <c r="I8" s="38"/>
      <c r="J8" s="38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6" t="s">
        <v>104</v>
      </c>
      <c r="B9" s="37">
        <f>BALANCE_SHEET!F24 -BALANCE_SHEET!G24</f>
        <v>462.55</v>
      </c>
      <c r="C9" s="37">
        <f>BALANCE_SHEET!E24 -BALANCE_SHEET!F24</f>
        <v>2129.13</v>
      </c>
      <c r="D9" s="37">
        <f>BALANCE_SHEET!D24 -BALANCE_SHEET!E24</f>
        <v>761.85</v>
      </c>
      <c r="E9" s="37">
        <f>BALANCE_SHEET!C24 -BALANCE_SHEET!D24</f>
        <v>-452.22</v>
      </c>
      <c r="F9" s="37">
        <f>BALANCE_SHEET!B24 -BALANCE_SHEET!C24</f>
        <v>1129.91</v>
      </c>
      <c r="G9" s="38"/>
      <c r="H9" s="38"/>
      <c r="I9" s="38"/>
      <c r="J9" s="38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6" t="s">
        <v>105</v>
      </c>
      <c r="B10" s="37">
        <f>FCFF!B8-FCFF!B9</f>
        <v>1124.05</v>
      </c>
      <c r="C10" s="37">
        <f>FCFF!C8-FCFF!C9</f>
        <v>-2004.61</v>
      </c>
      <c r="D10" s="37">
        <f>FCFF!D8-FCFF!D9</f>
        <v>4591.8</v>
      </c>
      <c r="E10" s="37">
        <f>FCFF!E8-FCFF!E9</f>
        <v>8210.3</v>
      </c>
      <c r="F10" s="37">
        <f>FCFF!F8-FCFF!F9</f>
        <v>-5643.27</v>
      </c>
      <c r="G10" s="38">
        <f t="shared" ref="G10:G11" si="7">0.18*B10+0.2*C10+0.21*D10+0.1*E10+0.31*F10</f>
        <v>-162.6987</v>
      </c>
      <c r="H10" s="38">
        <f t="shared" ref="H10:H11" si="8">0.2*B10+0.22*C10+0.21*D10+0.15*E10+0.22*F10</f>
        <v>738.0994</v>
      </c>
      <c r="I10" s="38">
        <f t="shared" ref="I10:I11" si="9">(B10+C10+D10+E10+F10)/5</f>
        <v>1255.654</v>
      </c>
      <c r="J10" s="38">
        <f t="shared" ref="J10:J11" si="10">0.2*B10+0.23*C10+0.22*D10+0.19*E10+0.19*F10</f>
        <v>1261.6814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6" t="s">
        <v>106</v>
      </c>
      <c r="B11" s="37">
        <f>BALANCE_SHEET!F28-BALANCE_SHEET!G28+FCFF!B7</f>
        <v>1955.7</v>
      </c>
      <c r="C11" s="37">
        <f>BALANCE_SHEET!E28-BALANCE_SHEET!F28+FCFF!C7</f>
        <v>1837.69</v>
      </c>
      <c r="D11" s="37">
        <f>BALANCE_SHEET!D28-BALANCE_SHEET!E28+FCFF!D7</f>
        <v>4158.67</v>
      </c>
      <c r="E11" s="37">
        <f>BALANCE_SHEET!C28-BALANCE_SHEET!D28+FCFF!E7</f>
        <v>4004.61</v>
      </c>
      <c r="F11" s="37">
        <f>BALANCE_SHEET!B28-BALANCE_SHEET!C28+FCFF!F7</f>
        <v>6213</v>
      </c>
      <c r="G11" s="38">
        <f t="shared" si="7"/>
        <v>3919.3757</v>
      </c>
      <c r="H11" s="38">
        <f t="shared" si="8"/>
        <v>3636.304</v>
      </c>
      <c r="I11" s="38">
        <f t="shared" si="9"/>
        <v>3633.934</v>
      </c>
      <c r="J11" s="38">
        <f t="shared" si="10"/>
        <v>3670.062</v>
      </c>
      <c r="K11" s="39">
        <f>(G3*(1+K18))/(G23-K18)*10</f>
        <v>390546.131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5">
      <c r="A15" s="29" t="s">
        <v>107</v>
      </c>
      <c r="B15" s="29">
        <v>2017.0</v>
      </c>
      <c r="C15" s="29">
        <v>2018.0</v>
      </c>
      <c r="D15" s="29">
        <v>2019.0</v>
      </c>
      <c r="E15" s="29">
        <v>2020.0</v>
      </c>
      <c r="F15" s="29">
        <v>2021.0</v>
      </c>
      <c r="G15" s="40"/>
      <c r="H15" s="40"/>
      <c r="I15" s="32" t="s">
        <v>108</v>
      </c>
      <c r="K15" s="32" t="s">
        <v>109</v>
      </c>
      <c r="L15" s="32" t="s">
        <v>110</v>
      </c>
      <c r="M15" s="32" t="s">
        <v>111</v>
      </c>
      <c r="N15" s="32" t="s">
        <v>112</v>
      </c>
      <c r="O15" s="32" t="s">
        <v>113</v>
      </c>
    </row>
    <row r="16">
      <c r="A16" s="36" t="s">
        <v>114</v>
      </c>
      <c r="B16" s="41">
        <f>BALANCE_SHEET!F11/BALANCE_SHEET!F25</f>
        <v>0.8296427792</v>
      </c>
      <c r="C16" s="42">
        <f>BALANCE_SHEET!E11/BALANCE_SHEET!E25</f>
        <v>0.8167841209</v>
      </c>
      <c r="D16" s="41">
        <f>BALANCE_SHEET!D11/BALANCE_SHEET!D25</f>
        <v>0.8237072381</v>
      </c>
      <c r="E16" s="41">
        <f>BALANCE_SHEET!C11/BALANCE_SHEET!C25</f>
        <v>0.8436830464</v>
      </c>
      <c r="F16" s="41">
        <f>BALANCE_SHEET!B11/BALANCE_SHEET!B25</f>
        <v>0.8175008433</v>
      </c>
      <c r="G16" s="43"/>
      <c r="H16" s="40"/>
      <c r="I16" s="36" t="s">
        <v>115</v>
      </c>
      <c r="K16" s="36">
        <v>0.064</v>
      </c>
      <c r="L16" s="36">
        <v>0.0653</v>
      </c>
      <c r="M16" s="36">
        <v>0.04</v>
      </c>
      <c r="N16" s="36">
        <v>0.05</v>
      </c>
      <c r="O16" s="36">
        <v>0.279</v>
      </c>
    </row>
    <row r="17">
      <c r="A17" s="36" t="s">
        <v>116</v>
      </c>
      <c r="B17" s="38">
        <f t="shared" ref="B17:F17" si="11">1-B16</f>
        <v>0.1703572208</v>
      </c>
      <c r="C17" s="38">
        <f t="shared" si="11"/>
        <v>0.1832158791</v>
      </c>
      <c r="D17" s="38">
        <f t="shared" si="11"/>
        <v>0.1762927619</v>
      </c>
      <c r="E17" s="38">
        <f t="shared" si="11"/>
        <v>0.1563169536</v>
      </c>
      <c r="F17" s="38">
        <f t="shared" si="11"/>
        <v>0.1824991567</v>
      </c>
      <c r="G17" s="43"/>
      <c r="H17" s="40"/>
      <c r="I17" s="36" t="s">
        <v>117</v>
      </c>
      <c r="K17" s="36">
        <v>0.6</v>
      </c>
      <c r="L17" s="36">
        <v>0.15</v>
      </c>
      <c r="M17" s="36">
        <v>0.05</v>
      </c>
      <c r="N17" s="36">
        <v>0.11</v>
      </c>
      <c r="O17" s="36">
        <v>0.09</v>
      </c>
    </row>
    <row r="18">
      <c r="A18" s="36" t="s">
        <v>118</v>
      </c>
      <c r="B18" s="44">
        <v>0.42</v>
      </c>
      <c r="C18" s="44">
        <v>0.4</v>
      </c>
      <c r="D18" s="44">
        <v>0.48</v>
      </c>
      <c r="E18" s="44">
        <v>0.4</v>
      </c>
      <c r="F18" s="44">
        <v>0.4641293</v>
      </c>
      <c r="G18" s="43"/>
      <c r="H18" s="40"/>
      <c r="I18" s="36" t="s">
        <v>119</v>
      </c>
      <c r="K18" s="45">
        <f>K16*K17+L16*L17+M16*M17+N16*N17+O16*O17</f>
        <v>0.080805</v>
      </c>
    </row>
    <row r="19">
      <c r="A19" s="46" t="s">
        <v>120</v>
      </c>
      <c r="B19" s="36">
        <f>BALANCE_SHEET!F14 + BALANCE_SHEET!F20</f>
        <v>37.51</v>
      </c>
      <c r="C19" s="36">
        <f>BALANCE_SHEET!E14 + BALANCE_SHEET!E20</f>
        <v>28.85</v>
      </c>
      <c r="D19" s="36">
        <f>BALANCE_SHEET!D14 + BALANCE_SHEET!D20</f>
        <v>10.01</v>
      </c>
      <c r="E19" s="36">
        <f>BALANCE_SHEET!C14 + BALANCE_SHEET!C20</f>
        <v>7.32</v>
      </c>
      <c r="F19" s="36">
        <f>BALANCE_SHEET!B14 + BALANCE_SHEET!B20</f>
        <v>9.46</v>
      </c>
      <c r="G19" s="38">
        <f>0.18*B19+0.2*C19+0.21*D19+0.1*E19+0.31*F19</f>
        <v>18.2885</v>
      </c>
    </row>
    <row r="20">
      <c r="A20" s="36" t="s">
        <v>121</v>
      </c>
      <c r="B20" s="36">
        <f>PROFIT_LOSS!F17</f>
        <v>24.3</v>
      </c>
      <c r="C20" s="36">
        <f>PROFIT_LOSS!E17</f>
        <v>89.91</v>
      </c>
      <c r="D20" s="36">
        <f>PROFIT_LOSS!D17</f>
        <v>45.42</v>
      </c>
      <c r="E20" s="36">
        <f>PROFIT_LOSS!C17</f>
        <v>54.68</v>
      </c>
      <c r="F20" s="36">
        <f>PROFIT_LOSS!B17</f>
        <v>44.58</v>
      </c>
    </row>
    <row r="21">
      <c r="A21" s="36" t="s">
        <v>122</v>
      </c>
      <c r="B21" s="36">
        <f t="shared" ref="B21:F21" si="12">B6</f>
        <v>34.61946836</v>
      </c>
      <c r="C21" s="36">
        <f t="shared" si="12"/>
        <v>33.86593018</v>
      </c>
      <c r="D21" s="36">
        <f t="shared" si="12"/>
        <v>32.35228957</v>
      </c>
      <c r="E21" s="36">
        <f t="shared" si="12"/>
        <v>24.19886799</v>
      </c>
      <c r="F21" s="36">
        <f t="shared" si="12"/>
        <v>25.38460381</v>
      </c>
    </row>
    <row r="22">
      <c r="A22" s="36" t="s">
        <v>123</v>
      </c>
      <c r="B22" s="38">
        <f>(B20/BALANCE_SHEET!F24)*(1-(B21/100))</f>
        <v>0.002231069636</v>
      </c>
      <c r="C22" s="38">
        <f>(C20/BALANCE_SHEET!E24)*(1-(C21/100))</f>
        <v>0.006428134296</v>
      </c>
      <c r="D22" s="38">
        <f>(D20/BALANCE_SHEET!D24)*(1-(D21/100))</f>
        <v>0.003068879421</v>
      </c>
      <c r="E22" s="38">
        <f>(E20/BALANCE_SHEET!C24)*(1-(E21/100))</f>
        <v>0.004335675333</v>
      </c>
      <c r="F22" s="38">
        <f>(F20/BALANCE_SHEET!B24)*(1-(F21/100))</f>
        <v>0.003111743628</v>
      </c>
    </row>
    <row r="23">
      <c r="A23" s="36" t="s">
        <v>107</v>
      </c>
      <c r="B23" s="38">
        <f t="shared" ref="B23:F23" si="13">B16*B18+B22*B17</f>
        <v>0.3488300461</v>
      </c>
      <c r="C23" s="38">
        <f t="shared" si="13"/>
        <v>0.3278913846</v>
      </c>
      <c r="D23" s="38">
        <f t="shared" si="13"/>
        <v>0.3959204955</v>
      </c>
      <c r="E23" s="38">
        <f t="shared" si="13"/>
        <v>0.3381509581</v>
      </c>
      <c r="F23" s="38">
        <f t="shared" si="13"/>
        <v>0.3799939847</v>
      </c>
      <c r="G23" s="38">
        <f>0.18*B23+0.2*C23+0.21*D23+0.1*E23+0.31*F23</f>
        <v>0.3631242204</v>
      </c>
    </row>
    <row r="24">
      <c r="A24" s="47" t="s">
        <v>124</v>
      </c>
      <c r="B24" s="48">
        <f>29675.97*10</f>
        <v>296759.7</v>
      </c>
    </row>
    <row r="25">
      <c r="A25" s="49" t="s">
        <v>125</v>
      </c>
      <c r="B25" s="49">
        <v>1223.1</v>
      </c>
      <c r="D25" s="50"/>
    </row>
    <row r="26">
      <c r="A26" s="49" t="s">
        <v>126</v>
      </c>
      <c r="B26" s="51">
        <f>B24/B25</f>
        <v>242.6291391</v>
      </c>
      <c r="D26" s="50"/>
    </row>
    <row r="27">
      <c r="A27" s="49" t="s">
        <v>127</v>
      </c>
      <c r="B27" s="49">
        <v>208.6</v>
      </c>
      <c r="D27" s="50"/>
    </row>
    <row r="28">
      <c r="A28" s="51" t="s">
        <v>128</v>
      </c>
      <c r="D28" s="50"/>
    </row>
    <row r="29">
      <c r="A29" s="49" t="s">
        <v>129</v>
      </c>
      <c r="D29" s="50"/>
    </row>
    <row r="31">
      <c r="A31" s="52" t="s">
        <v>130</v>
      </c>
    </row>
    <row r="35">
      <c r="A35" s="53">
        <f t="array" ref="A35">NPV(12%,G4,H4,I4,J4)</f>
        <v>29675.96694</v>
      </c>
    </row>
  </sheetData>
  <mergeCells count="7">
    <mergeCell ref="I15:J15"/>
    <mergeCell ref="I16:J16"/>
    <mergeCell ref="I17:J17"/>
    <mergeCell ref="I18:J18"/>
    <mergeCell ref="K18:O18"/>
    <mergeCell ref="A31:N31"/>
    <mergeCell ref="A28:B2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