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A995C2B6-ECC1-4550-BD45-5B1FAA15CEC5}" xr6:coauthVersionLast="47" xr6:coauthVersionMax="47" xr10:uidLastSave="{00000000-0000-0000-0000-000000000000}"/>
  <bookViews>
    <workbookView xWindow="-108" yWindow="-108" windowWidth="23256" windowHeight="12576" firstSheet="19" activeTab="2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6" sheetId="26" r:id="rId23"/>
    <sheet name="Table 23" sheetId="23" r:id="rId24"/>
    <sheet name="Table 24" sheetId="24" r:id="rId25"/>
    <sheet name="Table 25" sheetId="25" r:id="rId26"/>
    <sheet name="Table 27" sheetId="27" r:id="rId27"/>
    <sheet name="Table 28" sheetId="28" r:id="rId28"/>
    <sheet name="Table 29" sheetId="29" r:id="rId29"/>
    <sheet name="Sheet3" sheetId="32" r:id="rId30"/>
    <sheet name="Sheet4" sheetId="33" r:id="rId31"/>
  </sheets>
  <definedNames>
    <definedName name="_xlnm._FilterDatabase" localSheetId="0" hidden="1">'Table 1'!$R$15:$T$25</definedName>
    <definedName name="_xlnm._FilterDatabase" localSheetId="13" hidden="1">'Table 14'!$A$3:$F$3</definedName>
    <definedName name="_xlnm._FilterDatabase" localSheetId="27" hidden="1">'Table 28'!$A$14:$U$32</definedName>
    <definedName name="_xlnm._FilterDatabase" localSheetId="2" hidden="1">'Table 3'!$A$5:$J$5</definedName>
    <definedName name="_xlnm._FilterDatabase" localSheetId="5" hidden="1">'Table 6'!$P$10:$Q$24</definedName>
    <definedName name="_xlnm._FilterDatabase" localSheetId="6" hidden="1">'Table 7'!$A$20:$O$30</definedName>
    <definedName name="_xlnm._FilterDatabase" localSheetId="7" hidden="1">'Table 8'!$A$1:$Q$56</definedName>
    <definedName name="data">'Table 8'!$A$20:$E$56</definedName>
    <definedName name="Slicer_Category">#N/A</definedName>
    <definedName name="Slicer_Date_of_Sale">#N/A</definedName>
    <definedName name="Slicer_Last_Name">#N/A</definedName>
    <definedName name="Slicer_State">#N/A</definedName>
  </definedNames>
  <calcPr calcId="191029"/>
  <pivotCaches>
    <pivotCache cacheId="5" r:id="rId32"/>
    <pivotCache cacheId="6" r:id="rId33"/>
    <pivotCache cacheId="7" r:id="rId34"/>
    <pivotCache cacheId="8" r:id="rId35"/>
  </pivotCaches>
  <extLst>
    <ext xmlns:x14="http://schemas.microsoft.com/office/spreadsheetml/2009/9/main" uri="{BBE1A952-AA13-448e-AADC-164F8A28A991}">
      <x14:slicerCaches>
        <x14:slicerCache r:id="rId36"/>
        <x14:slicerCache r:id="rId37"/>
        <x14:slicerCache r:id="rId38"/>
        <x14:slicerCache r:id="rId3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23" l="1"/>
  <c r="D11" i="23"/>
  <c r="H33" i="18" l="1"/>
  <c r="D32" i="18"/>
  <c r="M35" i="19"/>
  <c r="H17" i="13"/>
  <c r="H18" i="13"/>
  <c r="H19" i="13"/>
  <c r="H16" i="13"/>
  <c r="E21" i="12" a="1"/>
  <c r="E21" i="12" s="1"/>
  <c r="J3" i="12" a="1"/>
  <c r="J3" i="12" s="1"/>
  <c r="V34" i="7" a="1"/>
  <c r="V34" i="7" s="1"/>
  <c r="W34" i="7"/>
  <c r="V33" i="7" a="1"/>
  <c r="V33" i="7" s="1"/>
  <c r="J26" i="5" a="1"/>
  <c r="J26" i="5" s="1"/>
  <c r="J27" i="5" a="1"/>
  <c r="J27" i="5" s="1"/>
  <c r="J28" i="5" a="1"/>
  <c r="J28" i="5"/>
  <c r="K28" i="5"/>
  <c r="J29" i="5" a="1"/>
  <c r="J29" i="5"/>
  <c r="K29" i="5"/>
  <c r="J30" i="5" a="1"/>
  <c r="J30" i="5" s="1"/>
  <c r="J31" i="5" a="1"/>
  <c r="J31" i="5" s="1"/>
  <c r="J32" i="5" a="1"/>
  <c r="J32" i="5"/>
  <c r="K32" i="5"/>
  <c r="J33" i="5" a="1"/>
  <c r="J33" i="5"/>
  <c r="K33" i="5"/>
  <c r="J34" i="5" a="1"/>
  <c r="J34" i="5" s="1"/>
  <c r="J35" i="5" a="1"/>
  <c r="J35" i="5" s="1"/>
  <c r="J36" i="5" a="1"/>
  <c r="J36" i="5"/>
  <c r="K36" i="5"/>
  <c r="J37" i="5" a="1"/>
  <c r="J37" i="5"/>
  <c r="K37" i="5"/>
  <c r="J25" i="5" a="1"/>
  <c r="J25" i="5" s="1"/>
  <c r="R15" i="3"/>
  <c r="Q15" i="3"/>
  <c r="K22" i="17"/>
  <c r="K21" i="17"/>
  <c r="G20" i="17" a="1"/>
  <c r="G20" i="17" s="1"/>
  <c r="I16" i="17" a="1"/>
  <c r="I16" i="17" s="1"/>
  <c r="J21" i="17"/>
  <c r="H4" i="22"/>
  <c r="F4" i="22"/>
  <c r="C12" i="23"/>
  <c r="C13" i="23"/>
  <c r="C14" i="23"/>
  <c r="C15" i="23"/>
  <c r="C16" i="23"/>
  <c r="C11" i="23"/>
  <c r="I4" i="25"/>
  <c r="D25" i="25"/>
  <c r="G25" i="25"/>
  <c r="C37" i="26"/>
  <c r="C38" i="26"/>
  <c r="C36" i="26"/>
  <c r="C40" i="26"/>
  <c r="Y24" i="28" a="1"/>
  <c r="Y24" i="28" s="1"/>
  <c r="Y22" i="28"/>
  <c r="Y18" i="28" a="1"/>
  <c r="Y18" i="28" s="1"/>
  <c r="Z19" i="28" a="1"/>
  <c r="Z19" i="28" s="1"/>
  <c r="Z18" i="28" a="1"/>
  <c r="Z18" i="28" s="1"/>
  <c r="Y19" i="28" a="1"/>
  <c r="Y19" i="28" s="1"/>
  <c r="K17" i="29"/>
  <c r="K18" i="29"/>
  <c r="K19" i="29"/>
  <c r="K20" i="29"/>
  <c r="K21" i="29"/>
  <c r="K22" i="29"/>
  <c r="K23" i="29"/>
  <c r="K24" i="29"/>
  <c r="K25" i="29"/>
  <c r="K26" i="29"/>
  <c r="K16" i="29"/>
  <c r="J16" i="29"/>
  <c r="F5" i="29"/>
  <c r="F6" i="29"/>
  <c r="F7" i="29"/>
  <c r="F8" i="29"/>
  <c r="F9" i="29"/>
  <c r="F10" i="29"/>
  <c r="F11" i="29"/>
  <c r="F12" i="29"/>
  <c r="F13" i="29"/>
  <c r="F14" i="29"/>
  <c r="F4" i="29"/>
  <c r="G24" i="4"/>
  <c r="G25" i="4"/>
  <c r="G26" i="4"/>
  <c r="G27" i="4"/>
  <c r="G28" i="4"/>
  <c r="G29" i="4"/>
  <c r="G20" i="4"/>
  <c r="G21" i="4"/>
  <c r="G22" i="4"/>
  <c r="G23" i="4"/>
  <c r="C23" i="29"/>
  <c r="D24" i="29"/>
  <c r="D25" i="29"/>
  <c r="D26" i="29"/>
  <c r="D27" i="29"/>
  <c r="D28" i="29"/>
  <c r="D29" i="29"/>
  <c r="D30" i="29"/>
  <c r="D31" i="29"/>
  <c r="D32" i="29"/>
  <c r="D33" i="29"/>
  <c r="G19" i="4"/>
  <c r="G3" i="29"/>
  <c r="G4" i="29"/>
  <c r="G5" i="29"/>
  <c r="G6" i="29"/>
  <c r="G7" i="29"/>
  <c r="G8" i="29"/>
  <c r="G9" i="29"/>
  <c r="G10" i="29"/>
  <c r="G11" i="29"/>
  <c r="G12" i="29"/>
  <c r="G13" i="29"/>
  <c r="L16" i="6" a="1"/>
  <c r="L16" i="6" s="1"/>
  <c r="O22" i="22" a="1"/>
  <c r="O22" i="22" s="1"/>
  <c r="P22" i="22" a="1"/>
  <c r="P22" i="22"/>
  <c r="O23" i="22" a="1"/>
  <c r="O23" i="22" s="1"/>
  <c r="P23" i="22" a="1"/>
  <c r="P23" i="22"/>
  <c r="O24" i="22" a="1"/>
  <c r="O24" i="22" s="1"/>
  <c r="P24" i="22" a="1"/>
  <c r="P24" i="22"/>
  <c r="O25" i="22" a="1"/>
  <c r="O25" i="22" s="1"/>
  <c r="P25" i="22" a="1"/>
  <c r="P25" i="22"/>
  <c r="O26" i="22" a="1"/>
  <c r="O26" i="22" s="1"/>
  <c r="P26" i="22" a="1"/>
  <c r="P26" i="22"/>
  <c r="O27" i="22" a="1"/>
  <c r="O27" i="22" s="1"/>
  <c r="P27" i="22" a="1"/>
  <c r="P27" i="22"/>
  <c r="O28" i="22" a="1"/>
  <c r="O28" i="22" s="1"/>
  <c r="P28" i="22" a="1"/>
  <c r="P28" i="22"/>
  <c r="G40" i="20"/>
  <c r="E41" i="20" a="1"/>
  <c r="E41" i="20" s="1"/>
  <c r="F41" i="20" a="1"/>
  <c r="F41" i="20"/>
  <c r="E42" i="20" a="1"/>
  <c r="E42" i="20" s="1"/>
  <c r="F42" i="20" a="1"/>
  <c r="F42" i="20"/>
  <c r="E43" i="20" a="1"/>
  <c r="E43" i="20" s="1"/>
  <c r="F43" i="20" a="1"/>
  <c r="F43" i="20"/>
  <c r="E44" i="20" a="1"/>
  <c r="E44" i="20" s="1"/>
  <c r="F44" i="20" a="1"/>
  <c r="F44" i="20" s="1"/>
  <c r="E45" i="20" a="1"/>
  <c r="E45" i="20" s="1"/>
  <c r="F45" i="20" a="1"/>
  <c r="F45" i="20"/>
  <c r="E46" i="20" a="1"/>
  <c r="E46" i="20" s="1"/>
  <c r="F46" i="20" a="1"/>
  <c r="F46" i="20" s="1"/>
  <c r="E47" i="20" a="1"/>
  <c r="E47" i="20" s="1"/>
  <c r="F47" i="20" a="1"/>
  <c r="F47" i="20" s="1"/>
  <c r="E48" i="20" a="1"/>
  <c r="E48" i="20" s="1"/>
  <c r="F48" i="20" a="1"/>
  <c r="F48" i="20" s="1"/>
  <c r="E49" i="20" a="1"/>
  <c r="E49" i="20" s="1"/>
  <c r="F49" i="20" a="1"/>
  <c r="F49" i="20"/>
  <c r="E50" i="20" a="1"/>
  <c r="E50" i="20" s="1"/>
  <c r="F50" i="20" a="1"/>
  <c r="F50" i="20" s="1"/>
  <c r="E51" i="20" a="1"/>
  <c r="E51" i="20" s="1"/>
  <c r="F51" i="20" a="1"/>
  <c r="F51" i="20" s="1"/>
  <c r="E52" i="20" a="1"/>
  <c r="E52" i="20" s="1"/>
  <c r="F52" i="20" a="1"/>
  <c r="F52" i="20" s="1"/>
  <c r="E53" i="20" a="1"/>
  <c r="E53" i="20" s="1"/>
  <c r="F53" i="20" a="1"/>
  <c r="F53" i="20"/>
  <c r="E54" i="20" a="1"/>
  <c r="E54" i="20" s="1"/>
  <c r="F54" i="20" a="1"/>
  <c r="F54" i="20" s="1"/>
  <c r="E55" i="20" a="1"/>
  <c r="E55" i="20" s="1"/>
  <c r="F55" i="20" a="1"/>
  <c r="F55" i="20" s="1"/>
  <c r="E56" i="20" a="1"/>
  <c r="E56" i="20" s="1"/>
  <c r="F56" i="20" a="1"/>
  <c r="F56" i="20" s="1"/>
  <c r="E57" i="20" a="1"/>
  <c r="E57" i="20" s="1"/>
  <c r="F57" i="20" a="1"/>
  <c r="F57" i="20"/>
  <c r="E58" i="20" a="1"/>
  <c r="E58" i="20" s="1"/>
  <c r="F58" i="20" a="1"/>
  <c r="F58" i="20" s="1"/>
  <c r="E59" i="20" a="1"/>
  <c r="E59" i="20" s="1"/>
  <c r="F59" i="20" a="1"/>
  <c r="F59" i="20" s="1"/>
  <c r="F40" i="20" a="1"/>
  <c r="F40" i="20"/>
  <c r="E40" i="20" a="1"/>
  <c r="E40" i="20" s="1"/>
  <c r="K10" i="19" a="1"/>
  <c r="K10" i="19"/>
  <c r="K9" i="19"/>
  <c r="B7" i="19" a="1"/>
  <c r="B7" i="19" s="1"/>
  <c r="U15" i="16" a="1"/>
  <c r="U15" i="16"/>
  <c r="U16" i="16" a="1"/>
  <c r="U16" i="16"/>
  <c r="U17" i="16" a="1"/>
  <c r="U17" i="16"/>
  <c r="U18" i="16" a="1"/>
  <c r="U18" i="16"/>
  <c r="U19" i="16" a="1"/>
  <c r="U19" i="16" s="1"/>
  <c r="U20" i="16" a="1"/>
  <c r="U20" i="16"/>
  <c r="U21" i="16" a="1"/>
  <c r="U21" i="16" s="1"/>
  <c r="U14" i="16" a="1"/>
  <c r="U14" i="16" s="1"/>
  <c r="L5" i="16" a="1"/>
  <c r="L5" i="16" s="1"/>
  <c r="L6" i="16" a="1"/>
  <c r="L6" i="16"/>
  <c r="L7" i="16" a="1"/>
  <c r="L7" i="16" s="1"/>
  <c r="L8" i="16" a="1"/>
  <c r="L8" i="16"/>
  <c r="L9" i="16" a="1"/>
  <c r="L9" i="16" s="1"/>
  <c r="L10" i="16" a="1"/>
  <c r="L10" i="16"/>
  <c r="L11" i="16" a="1"/>
  <c r="L11" i="16" s="1"/>
  <c r="L4" i="16" a="1"/>
  <c r="L4" i="16" s="1"/>
  <c r="C4" i="16"/>
  <c r="G30" i="14"/>
  <c r="G31" i="14"/>
  <c r="G32" i="14"/>
  <c r="G33" i="14"/>
  <c r="G34" i="14"/>
  <c r="G35" i="14"/>
  <c r="G36" i="14"/>
  <c r="G37" i="14"/>
  <c r="G38" i="14"/>
  <c r="G39" i="14"/>
  <c r="G40" i="14"/>
  <c r="D22" i="12" a="1"/>
  <c r="D22" i="12" s="1"/>
  <c r="D23" i="12" a="1"/>
  <c r="D23" i="12"/>
  <c r="D24" i="12" a="1"/>
  <c r="D24" i="12" s="1"/>
  <c r="D25" i="12" a="1"/>
  <c r="D25" i="12"/>
  <c r="D26" i="12" a="1"/>
  <c r="D26" i="12" s="1"/>
  <c r="D27" i="12" a="1"/>
  <c r="D27" i="12"/>
  <c r="D28" i="12" a="1"/>
  <c r="D28" i="12" s="1"/>
  <c r="D29" i="12" a="1"/>
  <c r="D29" i="12"/>
  <c r="D30" i="12" a="1"/>
  <c r="D30" i="12" s="1"/>
  <c r="D21" i="12" a="1"/>
  <c r="D21" i="12" s="1"/>
  <c r="E9" i="13"/>
  <c r="L4" i="29"/>
  <c r="L5" i="29"/>
  <c r="L6" i="29"/>
  <c r="L7" i="29"/>
  <c r="L8" i="29"/>
  <c r="L9" i="29"/>
  <c r="L10" i="29"/>
  <c r="L11" i="29"/>
  <c r="L12" i="29"/>
  <c r="F21" i="29" s="1"/>
  <c r="L13" i="29"/>
  <c r="L3" i="29"/>
  <c r="D31" i="25"/>
  <c r="D30" i="25"/>
  <c r="D26" i="25"/>
  <c r="D24" i="25"/>
  <c r="J4" i="29"/>
  <c r="J5" i="29"/>
  <c r="J6" i="29"/>
  <c r="J7" i="29"/>
  <c r="J8" i="29"/>
  <c r="J9" i="29"/>
  <c r="J10" i="29"/>
  <c r="J11" i="29"/>
  <c r="J12" i="29"/>
  <c r="J13" i="29"/>
  <c r="J14" i="29"/>
  <c r="J3" i="29"/>
  <c r="B24" i="29"/>
  <c r="B27" i="29"/>
  <c r="E4" i="29"/>
  <c r="F21" i="12" l="1"/>
  <c r="K3" i="12"/>
  <c r="W33" i="7"/>
  <c r="K34" i="5"/>
  <c r="K30" i="5"/>
  <c r="K26" i="5"/>
  <c r="K35" i="5"/>
  <c r="K31" i="5"/>
  <c r="K27" i="5"/>
  <c r="K25" i="5"/>
  <c r="H20" i="17"/>
  <c r="J16" i="17"/>
  <c r="Z24" i="28"/>
  <c r="M16" i="6"/>
  <c r="B25" i="29"/>
  <c r="G14" i="29"/>
  <c r="E5" i="29"/>
  <c r="E6" i="29"/>
  <c r="E7" i="29"/>
  <c r="E8" i="29"/>
  <c r="E9" i="29"/>
  <c r="E10" i="29"/>
  <c r="E11" i="29"/>
  <c r="E12" i="29"/>
  <c r="E13" i="29"/>
  <c r="E14" i="29"/>
  <c r="H25" i="25"/>
  <c r="B12" i="23"/>
  <c r="B11" i="23"/>
  <c r="G5" i="23"/>
  <c r="G6" i="23"/>
  <c r="G4" i="23" l="1"/>
  <c r="D4" i="23"/>
  <c r="F21" i="8"/>
  <c r="G15" i="29" l="1"/>
  <c r="D5" i="29"/>
  <c r="D6" i="29"/>
  <c r="D7" i="29"/>
  <c r="D8" i="29"/>
  <c r="D9" i="29"/>
  <c r="D10" i="29"/>
  <c r="D11" i="29"/>
  <c r="D12" i="29"/>
  <c r="D13" i="29"/>
  <c r="D14" i="29"/>
  <c r="D4" i="29"/>
  <c r="C5" i="29"/>
  <c r="C6" i="29"/>
  <c r="C7" i="29"/>
  <c r="C8" i="29"/>
  <c r="C9" i="29"/>
  <c r="C10" i="29"/>
  <c r="C11" i="29"/>
  <c r="C12" i="29"/>
  <c r="C13" i="29"/>
  <c r="C14" i="29"/>
  <c r="C4" i="29"/>
  <c r="G31" i="25"/>
  <c r="G30" i="25"/>
  <c r="L20" i="25"/>
  <c r="I5" i="25"/>
  <c r="I6" i="25"/>
  <c r="I7" i="25"/>
  <c r="I8" i="25"/>
  <c r="G5" i="22"/>
  <c r="G6" i="22"/>
  <c r="G7" i="22"/>
  <c r="G8" i="22"/>
  <c r="G9" i="22"/>
  <c r="G10" i="22"/>
  <c r="G11" i="22"/>
  <c r="G12" i="22"/>
  <c r="G13" i="22"/>
  <c r="G14" i="22"/>
  <c r="G15" i="22"/>
  <c r="G16" i="22"/>
  <c r="G17" i="22"/>
  <c r="G18" i="22"/>
  <c r="G19" i="22"/>
  <c r="G20" i="22"/>
  <c r="G4" i="22"/>
  <c r="E69" i="8" l="1"/>
  <c r="E68" i="8"/>
  <c r="E72" i="8"/>
  <c r="L67" i="8"/>
  <c r="L66" i="8"/>
  <c r="E71" i="8"/>
  <c r="V31" i="7"/>
  <c r="M38" i="24" l="1"/>
  <c r="M32" i="24"/>
  <c r="M33" i="24"/>
  <c r="M34" i="24"/>
  <c r="M35" i="24"/>
  <c r="M36" i="24"/>
  <c r="M31" i="24"/>
  <c r="C2" i="25"/>
  <c r="F5" i="22"/>
  <c r="N5" i="20" l="1"/>
  <c r="N6" i="20"/>
  <c r="N7" i="20"/>
  <c r="N8" i="20"/>
  <c r="N9" i="20"/>
  <c r="N10" i="20"/>
  <c r="N11" i="20"/>
  <c r="N12" i="20"/>
  <c r="N4" i="20"/>
  <c r="L39" i="19"/>
  <c r="L35" i="19"/>
  <c r="L28" i="19"/>
  <c r="L16" i="19"/>
  <c r="M16" i="19"/>
  <c r="N16" i="19"/>
  <c r="O16" i="19"/>
  <c r="P16" i="19"/>
  <c r="K16" i="19"/>
  <c r="M17" i="17" a="1"/>
  <c r="M17" i="17" s="1"/>
  <c r="M16" i="17" a="1"/>
  <c r="M16" i="17" s="1"/>
  <c r="L14" i="16"/>
  <c r="L15" i="16"/>
  <c r="L16" i="16"/>
  <c r="L17" i="16"/>
  <c r="L18" i="16"/>
  <c r="L19" i="16"/>
  <c r="L13" i="16"/>
  <c r="N17" i="17" l="1"/>
  <c r="N16" i="17"/>
  <c r="B14" i="26"/>
  <c r="B15" i="26"/>
  <c r="B13" i="26"/>
  <c r="W14" i="22"/>
  <c r="F15" i="22"/>
  <c r="F16" i="22"/>
  <c r="F17" i="22"/>
  <c r="F18" i="22"/>
  <c r="F19" i="22"/>
  <c r="F20" i="22"/>
  <c r="F6" i="22"/>
  <c r="F7" i="22"/>
  <c r="F8" i="22"/>
  <c r="F9" i="22"/>
  <c r="F10" i="22"/>
  <c r="F11" i="22"/>
  <c r="F12" i="22"/>
  <c r="F13" i="22"/>
  <c r="F14" i="22"/>
  <c r="F10" i="20"/>
  <c r="F5" i="20"/>
  <c r="F6" i="20"/>
  <c r="F7" i="20"/>
  <c r="F8" i="20"/>
  <c r="F9" i="20"/>
  <c r="F11" i="20"/>
  <c r="F12" i="20"/>
  <c r="F4" i="20"/>
  <c r="L9" i="19"/>
  <c r="M9" i="19"/>
  <c r="N9" i="19"/>
  <c r="O9" i="19"/>
  <c r="P9" i="19"/>
  <c r="J22" i="17"/>
  <c r="I17" i="17" a="1"/>
  <c r="I17" i="17" s="1"/>
  <c r="E15" i="16"/>
  <c r="E16" i="16"/>
  <c r="E17" i="16"/>
  <c r="E18" i="16"/>
  <c r="E19" i="16"/>
  <c r="E14" i="16"/>
  <c r="K11" i="15"/>
  <c r="K10" i="15"/>
  <c r="K7" i="15"/>
  <c r="J17" i="17" l="1"/>
  <c r="H22" i="8"/>
  <c r="G22" i="8"/>
  <c r="K27" i="8"/>
  <c r="L27" i="8" s="1"/>
  <c r="L56" i="6" l="1"/>
  <c r="L57" i="6"/>
  <c r="L55" i="6"/>
  <c r="Q41" i="6"/>
  <c r="Q42" i="6"/>
  <c r="Q40" i="6"/>
  <c r="F6" i="5" l="1"/>
  <c r="F7" i="5"/>
  <c r="F8" i="5"/>
  <c r="F9" i="5"/>
  <c r="F10" i="5"/>
  <c r="F11" i="5"/>
  <c r="F12" i="5"/>
  <c r="F13" i="5"/>
  <c r="F14" i="5"/>
  <c r="F5" i="5"/>
  <c r="G25" i="8"/>
  <c r="H29" i="8"/>
  <c r="G26" i="8"/>
  <c r="K51" i="8" a="1"/>
  <c r="K51" i="8" s="1"/>
  <c r="K50" i="8" a="1"/>
  <c r="K50" i="8" s="1"/>
  <c r="L16" i="5" l="1"/>
  <c r="K19" i="4" l="1"/>
  <c r="E2" i="3"/>
  <c r="L2" i="3" l="1"/>
  <c r="I2" i="3"/>
  <c r="L45" i="3" l="1"/>
  <c r="L44" i="3"/>
  <c r="P36" i="3"/>
  <c r="Q34" i="3"/>
  <c r="Q33" i="3"/>
  <c r="O34" i="3"/>
  <c r="M6" i="3" l="1"/>
  <c r="K39" i="2" l="1" a="1"/>
  <c r="L39" i="2" s="1"/>
  <c r="L35" i="2" a="1"/>
  <c r="L35" i="2" s="1"/>
  <c r="F31" i="14"/>
  <c r="F32" i="14"/>
  <c r="F33" i="14"/>
  <c r="F34" i="14"/>
  <c r="F35" i="14"/>
  <c r="F36" i="14"/>
  <c r="F37" i="14"/>
  <c r="F38" i="14"/>
  <c r="F39" i="14"/>
  <c r="F40" i="14"/>
  <c r="F30" i="14"/>
  <c r="S16" i="2"/>
  <c r="B22" i="12" a="1"/>
  <c r="B22" i="12" s="1"/>
  <c r="C22" i="12"/>
  <c r="B23" i="12" a="1"/>
  <c r="B23" i="12" s="1"/>
  <c r="B24" i="12" a="1"/>
  <c r="C24" i="12" s="1"/>
  <c r="B25" i="12" a="1"/>
  <c r="B25" i="12"/>
  <c r="C25" i="12"/>
  <c r="B26" i="12" a="1"/>
  <c r="B26" i="12"/>
  <c r="C26" i="12"/>
  <c r="B27" i="12" a="1"/>
  <c r="B27" i="12" s="1"/>
  <c r="B28" i="12" a="1"/>
  <c r="C28" i="12" s="1"/>
  <c r="B28" i="12"/>
  <c r="B29" i="12" a="1"/>
  <c r="C29" i="12" s="1"/>
  <c r="B29" i="12"/>
  <c r="B30" i="12" a="1"/>
  <c r="B30" i="12"/>
  <c r="C30" i="12"/>
  <c r="B21" i="12" a="1"/>
  <c r="B21" i="12" s="1"/>
  <c r="B24" i="12" l="1"/>
  <c r="K39" i="2"/>
  <c r="N35" i="2"/>
  <c r="M35" i="2"/>
  <c r="C27" i="12"/>
  <c r="C23" i="12"/>
  <c r="C21" i="12"/>
  <c r="U36" i="6" a="1"/>
  <c r="U36" i="6" s="1"/>
  <c r="J56" i="6" l="1"/>
  <c r="J57" i="6"/>
  <c r="J55" i="6"/>
  <c r="I56" i="6" l="1"/>
  <c r="I57" i="6"/>
  <c r="I55" i="6"/>
  <c r="S30" i="10"/>
  <c r="S29" i="10"/>
  <c r="Q38" i="6" l="1"/>
  <c r="Q37" i="6"/>
  <c r="Q36" i="6"/>
  <c r="P5" i="12" a="1"/>
  <c r="P5" i="12" s="1"/>
  <c r="P6" i="12" a="1"/>
  <c r="P6" i="12" s="1"/>
  <c r="P7" i="12" a="1"/>
  <c r="Q7" i="12" s="1"/>
  <c r="P8" i="12" a="1"/>
  <c r="P8" i="12" s="1"/>
  <c r="P9" i="12" a="1"/>
  <c r="P9" i="12" s="1"/>
  <c r="P10" i="12" a="1"/>
  <c r="P10" i="12" s="1"/>
  <c r="P11" i="12" a="1"/>
  <c r="Q11" i="12" s="1"/>
  <c r="P12" i="12" a="1"/>
  <c r="Q12" i="12" s="1"/>
  <c r="P13" i="12" a="1"/>
  <c r="P13" i="12" s="1"/>
  <c r="P4" i="12" a="1"/>
  <c r="P4" i="12" s="1"/>
  <c r="L17" i="12" a="1"/>
  <c r="L17" i="12" s="1"/>
  <c r="Q9" i="12" l="1"/>
  <c r="P11" i="12"/>
  <c r="P7" i="12"/>
  <c r="P12" i="12"/>
  <c r="Q8" i="12"/>
  <c r="Q13" i="12"/>
  <c r="Q5" i="12"/>
  <c r="Q10" i="12"/>
  <c r="Q6" i="12"/>
  <c r="Q4" i="12"/>
  <c r="G26" i="5" a="1"/>
  <c r="G26" i="5" s="1"/>
  <c r="G27" i="5" a="1"/>
  <c r="G27" i="5" s="1"/>
  <c r="G28" i="5" a="1"/>
  <c r="G28" i="5" s="1"/>
  <c r="H28" i="5"/>
  <c r="G29" i="5" a="1"/>
  <c r="G29" i="5" s="1"/>
  <c r="G30" i="5" a="1"/>
  <c r="G30" i="5" s="1"/>
  <c r="G33" i="5" a="1"/>
  <c r="G33" i="5" s="1"/>
  <c r="G34" i="5" a="1"/>
  <c r="G34" i="5" s="1"/>
  <c r="G25" i="5" a="1"/>
  <c r="G25" i="5" s="1"/>
  <c r="Q14" i="3"/>
  <c r="H33" i="5" l="1"/>
  <c r="H29" i="5"/>
  <c r="H34" i="5"/>
  <c r="H30" i="5"/>
  <c r="H26" i="5"/>
  <c r="H27" i="5"/>
  <c r="H25" i="5"/>
  <c r="C5" i="16"/>
  <c r="C6" i="16"/>
  <c r="C7" i="16"/>
  <c r="C8" i="16"/>
  <c r="E10" i="13"/>
  <c r="E11" i="13"/>
  <c r="E12" i="13"/>
  <c r="S26" i="10" l="1"/>
  <c r="D57" i="27" l="1"/>
  <c r="E48" i="27"/>
  <c r="O41" i="27" a="1"/>
  <c r="O41" i="27" s="1"/>
  <c r="O42" i="27" a="1"/>
  <c r="P42" i="27" s="1"/>
  <c r="O40" i="27" a="1"/>
  <c r="O40" i="27" s="1"/>
  <c r="Q36" i="27" a="1"/>
  <c r="Q36" i="27" s="1"/>
  <c r="N35" i="27"/>
  <c r="I28" i="27"/>
  <c r="I29" i="27"/>
  <c r="I30" i="27"/>
  <c r="I27" i="27"/>
  <c r="D20" i="27"/>
  <c r="D21" i="27"/>
  <c r="D22" i="27"/>
  <c r="D23" i="27"/>
  <c r="D19" i="27"/>
  <c r="I13" i="27"/>
  <c r="I14" i="27"/>
  <c r="I12" i="27"/>
  <c r="Q10" i="27" s="1"/>
  <c r="I6" i="27"/>
  <c r="I7" i="27"/>
  <c r="I8" i="27"/>
  <c r="I5" i="27"/>
  <c r="B41" i="26"/>
  <c r="B28" i="26"/>
  <c r="B29" i="26"/>
  <c r="B30" i="26"/>
  <c r="B31" i="26"/>
  <c r="B27" i="26"/>
  <c r="B20" i="26"/>
  <c r="B21" i="26"/>
  <c r="B22" i="26"/>
  <c r="B23" i="26"/>
  <c r="B19" i="26"/>
  <c r="F12" i="26"/>
  <c r="C9" i="26"/>
  <c r="C8" i="26"/>
  <c r="C7" i="26"/>
  <c r="C6" i="26"/>
  <c r="C5" i="26"/>
  <c r="D33" i="25"/>
  <c r="C33" i="25"/>
  <c r="V14" i="22"/>
  <c r="V11" i="22"/>
  <c r="H5" i="22"/>
  <c r="H6" i="22"/>
  <c r="H7" i="22"/>
  <c r="H8" i="22"/>
  <c r="H9" i="22"/>
  <c r="H10" i="22"/>
  <c r="H11" i="22"/>
  <c r="H12" i="22"/>
  <c r="H13" i="22"/>
  <c r="H14" i="22"/>
  <c r="H15" i="22"/>
  <c r="H16" i="22"/>
  <c r="H17" i="22"/>
  <c r="H18" i="22"/>
  <c r="H19" i="22"/>
  <c r="H20" i="22"/>
  <c r="U8" i="22"/>
  <c r="U5" i="22"/>
  <c r="U4" i="22"/>
  <c r="P41" i="27" l="1"/>
  <c r="O42" i="27"/>
  <c r="P40" i="27"/>
  <c r="R36" i="27"/>
  <c r="I20" i="21" l="1"/>
  <c r="I19" i="21"/>
  <c r="I21" i="21" s="1"/>
  <c r="H6" i="21"/>
  <c r="H5" i="21"/>
  <c r="H4" i="21"/>
  <c r="E13" i="21"/>
  <c r="C41" i="20" a="1"/>
  <c r="C41" i="20" s="1"/>
  <c r="D41" i="20" a="1"/>
  <c r="D41" i="20" s="1"/>
  <c r="C42" i="20" a="1"/>
  <c r="C42" i="20" s="1"/>
  <c r="D42" i="20" a="1"/>
  <c r="D42" i="20" s="1"/>
  <c r="C43" i="20" a="1"/>
  <c r="C43" i="20" s="1"/>
  <c r="D43" i="20" a="1"/>
  <c r="D43" i="20"/>
  <c r="C44" i="20" a="1"/>
  <c r="C44" i="20" s="1"/>
  <c r="D44" i="20" a="1"/>
  <c r="D44" i="20" s="1"/>
  <c r="C45" i="20" a="1"/>
  <c r="C45" i="20" s="1"/>
  <c r="D45" i="20" a="1"/>
  <c r="D45" i="20" s="1"/>
  <c r="C46" i="20" a="1"/>
  <c r="C46" i="20" s="1"/>
  <c r="D46" i="20" a="1"/>
  <c r="D46" i="20" s="1"/>
  <c r="C47" i="20" a="1"/>
  <c r="C47" i="20" s="1"/>
  <c r="D47" i="20" a="1"/>
  <c r="D47" i="20" s="1"/>
  <c r="C48" i="20" a="1"/>
  <c r="C48" i="20" s="1"/>
  <c r="D48" i="20" a="1"/>
  <c r="D48" i="20" s="1"/>
  <c r="C49" i="20" a="1"/>
  <c r="C49" i="20" s="1"/>
  <c r="D49" i="20" a="1"/>
  <c r="D49" i="20" s="1"/>
  <c r="C50" i="20" a="1"/>
  <c r="C50" i="20" s="1"/>
  <c r="D50" i="20" a="1"/>
  <c r="D50" i="20" s="1"/>
  <c r="C51" i="20" a="1"/>
  <c r="C51" i="20" s="1"/>
  <c r="D51" i="20" a="1"/>
  <c r="D51" i="20" s="1"/>
  <c r="C52" i="20" a="1"/>
  <c r="C52" i="20" s="1"/>
  <c r="D52" i="20" a="1"/>
  <c r="D52" i="20" s="1"/>
  <c r="C53" i="20" a="1"/>
  <c r="C53" i="20" s="1"/>
  <c r="D53" i="20" a="1"/>
  <c r="D53" i="20" s="1"/>
  <c r="C54" i="20" a="1"/>
  <c r="C54" i="20" s="1"/>
  <c r="D54" i="20" a="1"/>
  <c r="D54" i="20" s="1"/>
  <c r="C55" i="20" a="1"/>
  <c r="C55" i="20" s="1"/>
  <c r="D55" i="20" a="1"/>
  <c r="D55" i="20" s="1"/>
  <c r="C56" i="20" a="1"/>
  <c r="C56" i="20" s="1"/>
  <c r="D56" i="20" a="1"/>
  <c r="D56" i="20" s="1"/>
  <c r="C57" i="20" a="1"/>
  <c r="C57" i="20" s="1"/>
  <c r="D57" i="20" a="1"/>
  <c r="D57" i="20" s="1"/>
  <c r="C58" i="20" a="1"/>
  <c r="C58" i="20" s="1"/>
  <c r="D58" i="20" a="1"/>
  <c r="D58" i="20" s="1"/>
  <c r="C59" i="20" a="1"/>
  <c r="C59" i="20" s="1"/>
  <c r="D59" i="20" a="1"/>
  <c r="D59" i="20" s="1"/>
  <c r="D40" i="20" a="1"/>
  <c r="D40" i="20" s="1"/>
  <c r="C40" i="20" a="1"/>
  <c r="C40" i="20" s="1"/>
  <c r="B26" i="18" a="1"/>
  <c r="B26" i="18" s="1"/>
  <c r="C26" i="18" a="1"/>
  <c r="C26" i="18" s="1"/>
  <c r="D26" i="18" a="1"/>
  <c r="D26" i="18" s="1"/>
  <c r="E26" i="18" a="1"/>
  <c r="E26" i="18" s="1"/>
  <c r="B25" i="18" a="1"/>
  <c r="B25" i="18" s="1"/>
  <c r="C25" i="18" a="1"/>
  <c r="C25" i="18" s="1"/>
  <c r="D25" i="18" a="1"/>
  <c r="D25" i="18" s="1"/>
  <c r="E25" i="18" a="1"/>
  <c r="E25" i="18" s="1"/>
  <c r="B24" i="18" a="1"/>
  <c r="B24" i="18" s="1"/>
  <c r="C24" i="18" a="1"/>
  <c r="C24" i="18" s="1"/>
  <c r="D24" i="18" a="1"/>
  <c r="D24" i="18" s="1"/>
  <c r="E24" i="18" a="1"/>
  <c r="E24" i="18"/>
  <c r="B23" i="18" a="1"/>
  <c r="B23" i="18" s="1"/>
  <c r="C23" i="18" a="1"/>
  <c r="C23" i="18" s="1"/>
  <c r="D23" i="18" a="1"/>
  <c r="D23" i="18" s="1"/>
  <c r="E23" i="18" a="1"/>
  <c r="E23" i="18" s="1"/>
  <c r="B22" i="18" a="1"/>
  <c r="B22" i="18" s="1"/>
  <c r="C22" i="18" a="1"/>
  <c r="C22" i="18" s="1"/>
  <c r="D22" i="18" a="1"/>
  <c r="D22" i="18" s="1"/>
  <c r="E22" i="18" a="1"/>
  <c r="E22" i="18"/>
  <c r="B21" i="18" a="1"/>
  <c r="B21" i="18" s="1"/>
  <c r="C21" i="18" a="1"/>
  <c r="C21" i="18" s="1"/>
  <c r="D21" i="18" a="1"/>
  <c r="D21" i="18" s="1"/>
  <c r="E21" i="18" a="1"/>
  <c r="E21" i="18" s="1"/>
  <c r="B20" i="18" a="1"/>
  <c r="B20" i="18" s="1"/>
  <c r="C20" i="18" a="1"/>
  <c r="C20" i="18" s="1"/>
  <c r="D20" i="18" a="1"/>
  <c r="D20" i="18" s="1"/>
  <c r="E20" i="18" a="1"/>
  <c r="E20" i="18" s="1"/>
  <c r="B18" i="18" a="1"/>
  <c r="B18" i="18" s="1"/>
  <c r="C18" i="18" a="1"/>
  <c r="C18" i="18" s="1"/>
  <c r="D18" i="18" a="1"/>
  <c r="D18" i="18" s="1"/>
  <c r="E18" i="18" a="1"/>
  <c r="E18" i="18" s="1"/>
  <c r="B19" i="18" a="1"/>
  <c r="B19" i="18" s="1"/>
  <c r="C19" i="18" a="1"/>
  <c r="C19" i="18" s="1"/>
  <c r="D19" i="18" a="1"/>
  <c r="D19" i="18" s="1"/>
  <c r="E19" i="18" a="1"/>
  <c r="E19" i="18" s="1"/>
  <c r="C17" i="18" a="1"/>
  <c r="C17" i="18" s="1"/>
  <c r="D17" i="18" a="1"/>
  <c r="D17" i="18" s="1"/>
  <c r="E17" i="18" a="1"/>
  <c r="E17" i="18" s="1"/>
  <c r="B17" i="18" a="1"/>
  <c r="B17" i="18" s="1"/>
  <c r="H13" i="17"/>
  <c r="H12" i="17"/>
  <c r="I8" i="17"/>
  <c r="J28" i="17"/>
  <c r="D25" i="16"/>
  <c r="D26" i="16"/>
  <c r="D27" i="16"/>
  <c r="D28" i="16"/>
  <c r="D29" i="16"/>
  <c r="D24" i="16"/>
  <c r="D33" i="16"/>
  <c r="D34" i="16"/>
  <c r="D32" i="16"/>
  <c r="K24" i="15"/>
  <c r="K23" i="15"/>
  <c r="E38" i="15"/>
  <c r="E37" i="15"/>
  <c r="A38" i="15"/>
  <c r="J40" i="15"/>
  <c r="K6" i="15" l="1"/>
  <c r="D15" i="15"/>
  <c r="V10" i="14" l="1"/>
  <c r="V9" i="14"/>
  <c r="V6" i="14"/>
  <c r="V7" i="14"/>
  <c r="V5" i="14"/>
  <c r="N25" i="14"/>
  <c r="F17" i="13"/>
  <c r="F18" i="13"/>
  <c r="F19" i="13"/>
  <c r="F20" i="13"/>
  <c r="F21" i="13"/>
  <c r="F22" i="13"/>
  <c r="F23" i="13"/>
  <c r="F24" i="13"/>
  <c r="F25" i="13"/>
  <c r="F26" i="13"/>
  <c r="F27" i="13"/>
  <c r="F28" i="13"/>
  <c r="F29" i="13"/>
  <c r="F30" i="13"/>
  <c r="F31" i="13"/>
  <c r="F32" i="13"/>
  <c r="F33" i="13"/>
  <c r="F34" i="13"/>
  <c r="F35" i="13"/>
  <c r="F16" i="13"/>
  <c r="N33" i="10" l="1"/>
  <c r="M33" i="10"/>
  <c r="Q30" i="10"/>
  <c r="L31" i="10" l="1" a="1"/>
  <c r="L31" i="10" s="1"/>
  <c r="P26" i="10"/>
  <c r="L27" i="10"/>
  <c r="L26" i="10"/>
  <c r="I27" i="9" a="1"/>
  <c r="I27" i="9" s="1"/>
  <c r="I26" i="9" a="1"/>
  <c r="I26" i="9" s="1"/>
  <c r="I22" i="9"/>
  <c r="J22" i="9"/>
  <c r="J21" i="9"/>
  <c r="I21" i="9"/>
  <c r="I17" i="9"/>
  <c r="I14" i="9"/>
  <c r="I13" i="9"/>
  <c r="I9" i="9"/>
  <c r="I8" i="9"/>
  <c r="I72" i="8"/>
  <c r="H70" i="8" a="1"/>
  <c r="H70" i="8" s="1"/>
  <c r="M31" i="10" l="1"/>
  <c r="I70" i="8"/>
  <c r="S34" i="7" l="1" a="1"/>
  <c r="S34" i="7" s="1"/>
  <c r="S33" i="7" a="1"/>
  <c r="S33" i="7" s="1"/>
  <c r="T34" i="7" l="1"/>
  <c r="T33" i="7"/>
  <c r="P32" i="7" l="1"/>
  <c r="O24" i="7"/>
  <c r="O25" i="7"/>
  <c r="O26" i="7"/>
  <c r="O27" i="7"/>
  <c r="O28" i="7"/>
  <c r="O29" i="7"/>
  <c r="O30" i="7"/>
  <c r="O23" i="7"/>
  <c r="L34" i="6" l="1" a="1"/>
  <c r="L34" i="6" s="1"/>
  <c r="L35" i="6" a="1"/>
  <c r="L35" i="6" s="1"/>
  <c r="L36" i="6" a="1"/>
  <c r="L36" i="6" s="1"/>
  <c r="L37" i="6" a="1"/>
  <c r="L37" i="6" s="1"/>
  <c r="L38" i="6" a="1"/>
  <c r="L38" i="6" s="1"/>
  <c r="L39" i="6" a="1"/>
  <c r="L39" i="6" s="1"/>
  <c r="L40" i="6" a="1"/>
  <c r="L40" i="6" s="1"/>
  <c r="L41" i="6" a="1"/>
  <c r="L41" i="6" s="1"/>
  <c r="L33" i="6" a="1"/>
  <c r="N33" i="6" s="1"/>
  <c r="K22" i="6"/>
  <c r="L19" i="6" a="1"/>
  <c r="L19" i="6" s="1"/>
  <c r="L13" i="6"/>
  <c r="L12" i="6"/>
  <c r="I25" i="6"/>
  <c r="B8" i="6" a="1"/>
  <c r="C8" i="6" s="1"/>
  <c r="G41" i="5" a="1"/>
  <c r="G41" i="5" s="1"/>
  <c r="N41" i="6" l="1"/>
  <c r="N39" i="6"/>
  <c r="N36" i="6"/>
  <c r="N34" i="6"/>
  <c r="M41" i="6"/>
  <c r="M40" i="6"/>
  <c r="M39" i="6"/>
  <c r="M38" i="6"/>
  <c r="M37" i="6"/>
  <c r="M36" i="6"/>
  <c r="M35" i="6"/>
  <c r="M34" i="6"/>
  <c r="N40" i="6"/>
  <c r="N38" i="6"/>
  <c r="N37" i="6"/>
  <c r="N35" i="6"/>
  <c r="M33" i="6"/>
  <c r="L33" i="6"/>
  <c r="D8" i="6"/>
  <c r="F8" i="6"/>
  <c r="B8" i="6"/>
  <c r="E8" i="6"/>
  <c r="H41" i="5"/>
  <c r="G42" i="5" l="1" a="1"/>
  <c r="G42" i="5" s="1"/>
  <c r="G43" i="5" a="1"/>
  <c r="G43" i="5" s="1"/>
  <c r="G44" i="5" a="1"/>
  <c r="G44" i="5" s="1"/>
  <c r="H44" i="5"/>
  <c r="G45" i="5" a="1"/>
  <c r="G45" i="5" s="1"/>
  <c r="G46" i="5" a="1"/>
  <c r="G46" i="5" s="1"/>
  <c r="G49" i="5" a="1"/>
  <c r="G49" i="5" s="1"/>
  <c r="G50" i="5" a="1"/>
  <c r="G50" i="5" s="1"/>
  <c r="B41" i="5" a="1"/>
  <c r="B41" i="5" s="1"/>
  <c r="B42" i="5" a="1"/>
  <c r="B42" i="5" s="1"/>
  <c r="B43" i="5" a="1"/>
  <c r="C43" i="5" s="1"/>
  <c r="B44" i="5" a="1"/>
  <c r="B44" i="5" s="1"/>
  <c r="C44" i="5"/>
  <c r="G35" i="5" s="1" a="1"/>
  <c r="B45" i="5" a="1"/>
  <c r="B45" i="5" s="1"/>
  <c r="B46" i="5" a="1"/>
  <c r="B46" i="5" s="1"/>
  <c r="B47" i="5" a="1"/>
  <c r="C47" i="5" s="1"/>
  <c r="B48" i="5" a="1"/>
  <c r="B48" i="5" s="1"/>
  <c r="B49" i="5" a="1"/>
  <c r="B49" i="5" s="1"/>
  <c r="B50" i="5" a="1"/>
  <c r="B50" i="5" s="1"/>
  <c r="B51" i="5" a="1"/>
  <c r="C51" i="5" s="1"/>
  <c r="B51" i="5"/>
  <c r="B52" i="5" a="1"/>
  <c r="B52" i="5" s="1"/>
  <c r="B40" i="5" a="1"/>
  <c r="C40" i="5" s="1"/>
  <c r="Q10" i="5"/>
  <c r="Q9" i="5"/>
  <c r="L15" i="5"/>
  <c r="G6" i="5"/>
  <c r="G7" i="5"/>
  <c r="G8" i="5"/>
  <c r="G9" i="5"/>
  <c r="G10" i="5"/>
  <c r="G11" i="5"/>
  <c r="G12" i="5"/>
  <c r="G13" i="5"/>
  <c r="G14" i="5"/>
  <c r="G5" i="5"/>
  <c r="G35" i="5" l="1"/>
  <c r="H35" i="5"/>
  <c r="B43" i="5"/>
  <c r="H49" i="5"/>
  <c r="H45" i="5"/>
  <c r="G32" i="5" a="1"/>
  <c r="H50" i="5"/>
  <c r="H46" i="5"/>
  <c r="H42" i="5"/>
  <c r="H43" i="5"/>
  <c r="B47" i="5"/>
  <c r="C52" i="5"/>
  <c r="C48" i="5"/>
  <c r="C49" i="5"/>
  <c r="C45" i="5"/>
  <c r="C41" i="5"/>
  <c r="G31" i="5" s="1" a="1"/>
  <c r="C50" i="5"/>
  <c r="C46" i="5"/>
  <c r="C42" i="5"/>
  <c r="G36" i="5" s="1" a="1"/>
  <c r="B40" i="5"/>
  <c r="H49" i="3"/>
  <c r="H48" i="3"/>
  <c r="G47" i="5" l="1" a="1"/>
  <c r="G51" i="5" a="1"/>
  <c r="G53" i="5" a="1"/>
  <c r="G48" i="5" a="1"/>
  <c r="G52" i="5" a="1"/>
  <c r="G32" i="5"/>
  <c r="H32" i="5"/>
  <c r="G37" i="5" a="1"/>
  <c r="G31" i="5"/>
  <c r="H31" i="5"/>
  <c r="H36" i="5"/>
  <c r="G36" i="5"/>
  <c r="Q14" i="5"/>
  <c r="Q13" i="5"/>
  <c r="H44" i="3"/>
  <c r="H45" i="3"/>
  <c r="H43" i="3"/>
  <c r="G37" i="5" l="1"/>
  <c r="H37" i="5"/>
  <c r="H48" i="5"/>
  <c r="G48" i="5"/>
  <c r="G53" i="5"/>
  <c r="H53" i="5"/>
  <c r="G51" i="5"/>
  <c r="H51" i="5"/>
  <c r="H52" i="5"/>
  <c r="G52" i="5"/>
  <c r="G47" i="5"/>
  <c r="H47" i="5"/>
  <c r="H9" i="3"/>
  <c r="J9" i="3" s="1"/>
  <c r="H10" i="3"/>
  <c r="J10" i="3" s="1"/>
  <c r="M12" i="3" s="1" a="1"/>
  <c r="M12" i="3" s="1"/>
  <c r="H11" i="3"/>
  <c r="J11" i="3" s="1"/>
  <c r="M13" i="3" s="1" a="1"/>
  <c r="M13" i="3" s="1"/>
  <c r="H12" i="3"/>
  <c r="J12" i="3" s="1"/>
  <c r="H13" i="3"/>
  <c r="J13" i="3" s="1"/>
  <c r="H16" i="3"/>
  <c r="J16" i="3" s="1"/>
  <c r="H15" i="3"/>
  <c r="J15" i="3" s="1"/>
  <c r="H14" i="3"/>
  <c r="J14" i="3" s="1"/>
  <c r="H6" i="3"/>
  <c r="J6" i="3" s="1"/>
  <c r="H7" i="3"/>
  <c r="J7" i="3" s="1"/>
  <c r="H8" i="3"/>
  <c r="J8" i="3" s="1"/>
  <c r="R14" i="3" l="1"/>
  <c r="M8" i="3" a="1"/>
  <c r="M8" i="3" s="1"/>
  <c r="Q11" i="3"/>
  <c r="M14" i="3" a="1"/>
  <c r="M14" i="3" s="1"/>
  <c r="R8" i="3" a="1"/>
  <c r="R8" i="3" s="1"/>
  <c r="N13" i="3"/>
  <c r="N12" i="3"/>
  <c r="N8" i="3"/>
  <c r="N14" i="3" l="1"/>
  <c r="C47" i="2"/>
  <c r="C46" i="2"/>
  <c r="S29" i="2"/>
  <c r="S30" i="2"/>
  <c r="S31" i="2"/>
  <c r="S32" i="2"/>
  <c r="S33" i="2"/>
  <c r="S28" i="2"/>
  <c r="C41" i="2" l="1"/>
  <c r="C37" i="2"/>
  <c r="C38" i="2"/>
  <c r="C36" i="2"/>
  <c r="M24" i="2"/>
  <c r="M25" i="2"/>
  <c r="M26" i="2"/>
  <c r="M27" i="2"/>
  <c r="M28" i="2"/>
  <c r="M29" i="2"/>
  <c r="M30" i="2"/>
  <c r="M23" i="2"/>
  <c r="K24" i="2"/>
  <c r="K25" i="2"/>
  <c r="K26" i="2"/>
  <c r="K27" i="2"/>
  <c r="K28" i="2"/>
  <c r="K29" i="2"/>
  <c r="K30" i="2"/>
  <c r="K23" i="2"/>
  <c r="J24" i="2"/>
  <c r="J25" i="2"/>
  <c r="J26" i="2"/>
  <c r="J27" i="2"/>
  <c r="J28" i="2"/>
  <c r="J29" i="2"/>
  <c r="J30" i="2"/>
  <c r="J23" i="2"/>
  <c r="O25" i="2" l="1"/>
  <c r="P25" i="2" s="1"/>
  <c r="O23" i="2"/>
  <c r="P23" i="2" s="1"/>
  <c r="O24" i="2"/>
  <c r="P24" i="2" s="1"/>
  <c r="O26" i="2"/>
  <c r="P26" i="2" s="1"/>
  <c r="F20" i="4"/>
  <c r="F21" i="4"/>
  <c r="F22" i="4"/>
  <c r="F23" i="4"/>
  <c r="F24" i="4"/>
  <c r="F25" i="4"/>
  <c r="F26" i="4"/>
  <c r="F27" i="4"/>
  <c r="F28" i="4"/>
  <c r="I22" i="4" s="1"/>
  <c r="F29" i="4"/>
  <c r="F19" i="4"/>
  <c r="K39" i="3"/>
  <c r="K37" i="2" l="1" a="1"/>
  <c r="G36" i="2" a="1"/>
  <c r="I35" i="4"/>
  <c r="J32" i="4"/>
  <c r="K33" i="4"/>
  <c r="O27" i="2"/>
  <c r="P27" i="2" s="1"/>
  <c r="J26" i="3"/>
  <c r="J27" i="3"/>
  <c r="J28" i="3"/>
  <c r="J29" i="3"/>
  <c r="J25" i="3"/>
  <c r="I26" i="3"/>
  <c r="I27" i="3"/>
  <c r="I28" i="3"/>
  <c r="I29" i="3"/>
  <c r="I25" i="3"/>
  <c r="H36" i="2" l="1"/>
  <c r="G36" i="2"/>
  <c r="L37" i="2"/>
  <c r="K37" i="2"/>
  <c r="O28" i="2"/>
  <c r="P28" i="2" s="1"/>
  <c r="O29" i="2" l="1"/>
  <c r="P29" i="2" s="1"/>
  <c r="Q12" i="2"/>
  <c r="Q13" i="2"/>
  <c r="Q11" i="2"/>
  <c r="K38" i="2" l="1" a="1"/>
  <c r="G37" i="2" a="1"/>
  <c r="O30" i="2"/>
  <c r="P30" i="2" s="1"/>
  <c r="J45" i="1"/>
  <c r="K45" i="1" s="1"/>
  <c r="J42" i="1"/>
  <c r="K42" i="1" s="1"/>
  <c r="G37" i="2" l="1"/>
  <c r="H37" i="2"/>
  <c r="K38" i="2"/>
  <c r="L38" i="2"/>
  <c r="R37" i="1"/>
  <c r="Q37" i="1"/>
  <c r="P21" i="1"/>
  <c r="O21" i="1"/>
  <c r="O20" i="1" l="1"/>
  <c r="F7" i="2" l="1"/>
  <c r="F8" i="2"/>
  <c r="F9" i="2"/>
  <c r="F10" i="2"/>
  <c r="F11" i="2"/>
  <c r="F12" i="2"/>
  <c r="F13" i="2"/>
  <c r="F14" i="2"/>
  <c r="F6" i="2"/>
  <c r="F32" i="1"/>
  <c r="G32" i="1" s="1"/>
  <c r="F33" i="1"/>
  <c r="G33" i="1" s="1"/>
  <c r="F34" i="1"/>
  <c r="G34" i="1" s="1"/>
  <c r="F26" i="1"/>
  <c r="G26" i="1" s="1"/>
  <c r="F27" i="1"/>
  <c r="G27" i="1" s="1"/>
  <c r="F28" i="1"/>
  <c r="G28" i="1" s="1"/>
  <c r="F29" i="1"/>
  <c r="G29" i="1" s="1"/>
  <c r="F30" i="1"/>
  <c r="G30" i="1" s="1"/>
  <c r="F31" i="1"/>
  <c r="L45" i="1" s="1"/>
  <c r="F25" i="1"/>
  <c r="G25" i="1" s="1"/>
  <c r="I5" i="1"/>
  <c r="W4" i="1" s="1"/>
  <c r="I6" i="1"/>
  <c r="J6" i="1" s="1"/>
  <c r="I7" i="1"/>
  <c r="W5" i="1" s="1"/>
  <c r="I8" i="1"/>
  <c r="J8" i="1" s="1"/>
  <c r="I9" i="1"/>
  <c r="J9" i="1" s="1"/>
  <c r="I10" i="1"/>
  <c r="J10" i="1" s="1"/>
  <c r="I11" i="1"/>
  <c r="J11" i="1" s="1"/>
  <c r="I12" i="1"/>
  <c r="J12" i="1" s="1"/>
  <c r="I13" i="1"/>
  <c r="J13" i="1" s="1"/>
  <c r="I4" i="1"/>
  <c r="J4" i="1" s="1"/>
  <c r="H5" i="1"/>
  <c r="V4" i="1" s="1"/>
  <c r="H6" i="1"/>
  <c r="V5" i="1" s="1"/>
  <c r="H7" i="1"/>
  <c r="H8" i="1"/>
  <c r="H9" i="1"/>
  <c r="H10" i="1"/>
  <c r="H11" i="1"/>
  <c r="H12" i="1"/>
  <c r="H13" i="1"/>
  <c r="H4" i="1"/>
  <c r="J7" i="1" l="1"/>
  <c r="G31" i="1"/>
  <c r="L42" i="1"/>
  <c r="S4" i="1"/>
  <c r="S5" i="1"/>
  <c r="J5" i="1"/>
  <c r="I15" i="4"/>
  <c r="I11" i="4"/>
  <c r="I10" i="4"/>
  <c r="G7" i="2" l="1"/>
  <c r="G8" i="2"/>
  <c r="G9" i="2"/>
  <c r="G10" i="2"/>
  <c r="G11" i="2"/>
  <c r="G12" i="2"/>
  <c r="G13" i="2"/>
  <c r="G14" i="2"/>
  <c r="G6" i="2"/>
  <c r="R15" i="2"/>
  <c r="E7" i="2" l="1"/>
  <c r="E8" i="2"/>
  <c r="E9" i="2"/>
  <c r="M6" i="2" s="1" a="1"/>
  <c r="E10" i="2"/>
  <c r="E11" i="2"/>
  <c r="E12" i="2"/>
  <c r="E13" i="2"/>
  <c r="E14" i="2"/>
  <c r="E6" i="2"/>
  <c r="M6" i="2" l="1"/>
  <c r="N6" i="2"/>
  <c r="M8" i="2" a="1"/>
  <c r="T14" i="2" a="1"/>
  <c r="U19" i="2" a="1"/>
  <c r="U19" i="2" s="1"/>
  <c r="T19" i="2" a="1"/>
  <c r="T19" i="2" s="1"/>
  <c r="T6" i="2" a="1"/>
  <c r="T11" i="2" a="1"/>
  <c r="T11" i="2" s="1"/>
  <c r="T10" i="2" a="1"/>
  <c r="T10" i="2" s="1"/>
  <c r="T18" i="2" a="1"/>
  <c r="T18" i="2" s="1"/>
  <c r="U18" i="2" a="1"/>
  <c r="U18" i="2" s="1"/>
  <c r="T13" i="2" a="1"/>
  <c r="U20" i="2" a="1"/>
  <c r="U20" i="2" s="1"/>
  <c r="T20" i="2" a="1"/>
  <c r="T20" i="2" s="1"/>
  <c r="M7" i="2" a="1"/>
  <c r="T15" i="2" a="1"/>
  <c r="M11" i="2"/>
  <c r="T7" i="2" a="1"/>
  <c r="T7" i="2" s="1"/>
  <c r="M13" i="2"/>
  <c r="T8" i="2" a="1"/>
  <c r="U8" i="2" s="1"/>
  <c r="M12" i="2"/>
  <c r="T6" i="2"/>
  <c r="U6" i="2"/>
  <c r="Q36" i="1"/>
  <c r="U15" i="2" l="1"/>
  <c r="T15" i="2"/>
  <c r="T13" i="2"/>
  <c r="U13" i="2"/>
  <c r="T14" i="2"/>
  <c r="U14" i="2"/>
  <c r="M7" i="2"/>
  <c r="N7" i="2"/>
  <c r="N8" i="2"/>
  <c r="M8" i="2"/>
  <c r="U11" i="2" a="1"/>
  <c r="U11" i="2" s="1"/>
  <c r="U10" i="2" a="1"/>
  <c r="U10" i="2" s="1"/>
  <c r="T8" i="2"/>
  <c r="U7" i="2"/>
  <c r="B7" i="6" a="1"/>
  <c r="B7" i="6" s="1"/>
  <c r="B6" i="6" a="1"/>
  <c r="B6" i="6" s="1"/>
  <c r="E20" i="4"/>
  <c r="E21" i="4"/>
  <c r="E22" i="4"/>
  <c r="E23" i="4"/>
  <c r="E24" i="4"/>
  <c r="E25" i="4"/>
  <c r="E26" i="4"/>
  <c r="E27" i="4"/>
  <c r="E28" i="4"/>
  <c r="E29" i="4"/>
  <c r="E19" i="4"/>
  <c r="D20" i="4"/>
  <c r="D21" i="4"/>
  <c r="D22" i="4"/>
  <c r="D23" i="4"/>
  <c r="D24" i="4"/>
  <c r="D25" i="4"/>
  <c r="D26" i="4"/>
  <c r="D27" i="4"/>
  <c r="D28" i="4"/>
  <c r="D29" i="4"/>
  <c r="D19" i="4"/>
  <c r="C20" i="4"/>
  <c r="C21" i="4"/>
  <c r="C22" i="4"/>
  <c r="C23" i="4"/>
  <c r="C24" i="4"/>
  <c r="C25" i="4"/>
  <c r="C26" i="4"/>
  <c r="C27" i="4"/>
  <c r="C28" i="4"/>
  <c r="C29" i="4"/>
  <c r="C19" i="4"/>
  <c r="D7" i="6" l="1"/>
  <c r="C7" i="6"/>
  <c r="E7" i="6"/>
  <c r="F7" i="6"/>
  <c r="C6" i="6"/>
  <c r="E6" i="6"/>
  <c r="D6" i="6"/>
  <c r="F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<sst xmlns="http://schemas.openxmlformats.org/spreadsheetml/2006/main" count="2892" uniqueCount="1329">
  <si>
    <r>
      <rPr>
        <b/>
        <u/>
        <sz val="14"/>
        <rFont val="Calibri"/>
        <family val="1"/>
      </rPr>
      <t>Assignment -1</t>
    </r>
  </si>
  <si>
    <r>
      <rPr>
        <b/>
        <sz val="12"/>
        <rFont val="Calibri"/>
        <family val="1"/>
      </rPr>
      <t>Use of Formulas Sum, Average, If, Count, Counta, Countif &amp; Sumif</t>
    </r>
  </si>
  <si>
    <r>
      <rPr>
        <b/>
        <sz val="11"/>
        <color rgb="FFFFFFFF"/>
        <rFont val="Calibri"/>
        <family val="1"/>
      </rPr>
      <t>Roll No</t>
    </r>
  </si>
  <si>
    <r>
      <rPr>
        <b/>
        <sz val="11"/>
        <color rgb="FFFFFFFF"/>
        <rFont val="Calibri"/>
        <family val="1"/>
      </rPr>
      <t>Student Name</t>
    </r>
  </si>
  <si>
    <r>
      <rPr>
        <b/>
        <sz val="11"/>
        <color rgb="FFFFFFFF"/>
        <rFont val="Calibri"/>
        <family val="1"/>
      </rPr>
      <t>Hindi</t>
    </r>
  </si>
  <si>
    <r>
      <rPr>
        <b/>
        <sz val="11"/>
        <color rgb="FFFFFFFF"/>
        <rFont val="Calibri"/>
        <family val="1"/>
      </rPr>
      <t>English</t>
    </r>
  </si>
  <si>
    <r>
      <rPr>
        <b/>
        <sz val="11"/>
        <color rgb="FFFFFFFF"/>
        <rFont val="Calibri"/>
        <family val="1"/>
      </rPr>
      <t>Math</t>
    </r>
  </si>
  <si>
    <r>
      <rPr>
        <b/>
        <sz val="11"/>
        <color rgb="FFFFFFFF"/>
        <rFont val="Calibri"/>
        <family val="1"/>
      </rPr>
      <t>Physics</t>
    </r>
  </si>
  <si>
    <r>
      <rPr>
        <b/>
        <sz val="11"/>
        <color rgb="FFFFFFFF"/>
        <rFont val="Calibri"/>
        <family val="1"/>
      </rPr>
      <t>Chemistry</t>
    </r>
  </si>
  <si>
    <r>
      <rPr>
        <b/>
        <sz val="11"/>
        <color rgb="FFFFFFFF"/>
        <rFont val="Calibri"/>
        <family val="1"/>
      </rPr>
      <t>Total</t>
    </r>
  </si>
  <si>
    <r>
      <rPr>
        <b/>
        <sz val="11"/>
        <color rgb="FFFFFFFF"/>
        <rFont val="Calibri"/>
        <family val="1"/>
      </rPr>
      <t>Average</t>
    </r>
  </si>
  <si>
    <r>
      <rPr>
        <b/>
        <sz val="11"/>
        <color rgb="FFFFFFFF"/>
        <rFont val="Calibri"/>
        <family val="1"/>
      </rPr>
      <t>Grade</t>
    </r>
  </si>
  <si>
    <r>
      <rPr>
        <sz val="11"/>
        <rFont val="Calibri"/>
        <family val="1"/>
      </rPr>
      <t>RAM</t>
    </r>
  </si>
  <si>
    <r>
      <rPr>
        <sz val="11"/>
        <rFont val="Calibri"/>
        <family val="1"/>
      </rPr>
      <t>A</t>
    </r>
  </si>
  <si>
    <r>
      <rPr>
        <sz val="11"/>
        <rFont val="Calibri"/>
        <family val="1"/>
      </rPr>
      <t>ASHOK</t>
    </r>
  </si>
  <si>
    <r>
      <rPr>
        <sz val="11"/>
        <rFont val="Calibri"/>
        <family val="1"/>
      </rPr>
      <t>?</t>
    </r>
  </si>
  <si>
    <r>
      <rPr>
        <sz val="11"/>
        <rFont val="Calibri"/>
        <family val="1"/>
      </rPr>
      <t>MANOJ</t>
    </r>
  </si>
  <si>
    <r>
      <rPr>
        <sz val="11"/>
        <rFont val="Calibri"/>
        <family val="1"/>
      </rPr>
      <t>RAJESH</t>
    </r>
  </si>
  <si>
    <r>
      <rPr>
        <sz val="11"/>
        <rFont val="Calibri"/>
        <family val="1"/>
      </rPr>
      <t>RANJANA</t>
    </r>
  </si>
  <si>
    <r>
      <rPr>
        <sz val="11"/>
        <rFont val="Calibri"/>
        <family val="1"/>
      </rPr>
      <t>POOJA</t>
    </r>
  </si>
  <si>
    <r>
      <rPr>
        <sz val="11"/>
        <rFont val="Calibri"/>
        <family val="1"/>
      </rPr>
      <t>MAHESH</t>
    </r>
  </si>
  <si>
    <r>
      <rPr>
        <sz val="11"/>
        <rFont val="Calibri"/>
        <family val="1"/>
      </rPr>
      <t>ASHUTOSH</t>
    </r>
  </si>
  <si>
    <r>
      <rPr>
        <sz val="11"/>
        <rFont val="Calibri"/>
        <family val="1"/>
      </rPr>
      <t>ANIL</t>
    </r>
  </si>
  <si>
    <r>
      <rPr>
        <sz val="11"/>
        <rFont val="Calibri"/>
        <family val="1"/>
      </rPr>
      <t>PREM</t>
    </r>
  </si>
  <si>
    <r>
      <rPr>
        <b/>
        <sz val="11"/>
        <rFont val="Calibri"/>
        <family val="1"/>
      </rPr>
      <t>Q.1 Find the Total Number &amp; Average in all Subjects in Each Student .</t>
    </r>
  </si>
  <si>
    <r>
      <rPr>
        <b/>
        <sz val="11"/>
        <rFont val="Calibri"/>
        <family val="1"/>
      </rPr>
      <t>Q.2 Find Grade Using If Function - If Average Greater  &gt;15 then "A" Grade otherwise "B" Grade</t>
    </r>
  </si>
  <si>
    <r>
      <rPr>
        <sz val="11"/>
        <rFont val="Calibri"/>
        <family val="1"/>
      </rPr>
      <t>Use of Countif</t>
    </r>
  </si>
  <si>
    <r>
      <rPr>
        <b/>
        <sz val="11"/>
        <rFont val="Calibri"/>
        <family val="1"/>
      </rPr>
      <t>Q.4 Student Ashok and Manoj Total Number and Average</t>
    </r>
  </si>
  <si>
    <r>
      <rPr>
        <sz val="11"/>
        <rFont val="Calibri"/>
        <family val="1"/>
      </rPr>
      <t>Use of Sumif</t>
    </r>
  </si>
  <si>
    <r>
      <rPr>
        <b/>
        <sz val="11"/>
        <rFont val="Calibri"/>
        <family val="1"/>
      </rPr>
      <t>Q.5 Count how many Students</t>
    </r>
  </si>
  <si>
    <r>
      <rPr>
        <sz val="11"/>
        <rFont val="Calibri"/>
        <family val="1"/>
      </rPr>
      <t>Use of Counta</t>
    </r>
  </si>
  <si>
    <r>
      <rPr>
        <b/>
        <sz val="11"/>
        <rFont val="Calibri"/>
        <family val="1"/>
      </rPr>
      <t>Q.6 How Many Student Hindi &amp; English Subject Number Grater Then &gt; 20 and &lt;15</t>
    </r>
  </si>
  <si>
    <r>
      <rPr>
        <b/>
        <sz val="11"/>
        <rFont val="Calibri"/>
        <family val="1"/>
      </rPr>
      <t>Use of Formulas - Product, If, Counta, Countif, Sumif</t>
    </r>
  </si>
  <si>
    <r>
      <rPr>
        <b/>
        <sz val="12"/>
        <color rgb="FFFFFFFF"/>
        <rFont val="Calibri"/>
        <family val="1"/>
      </rPr>
      <t>SRNO</t>
    </r>
  </si>
  <si>
    <r>
      <rPr>
        <b/>
        <sz val="12"/>
        <color rgb="FFFFFFFF"/>
        <rFont val="Calibri"/>
        <family val="1"/>
      </rPr>
      <t>ITEMS</t>
    </r>
  </si>
  <si>
    <r>
      <rPr>
        <b/>
        <sz val="12"/>
        <color rgb="FFFFFFFF"/>
        <rFont val="Calibri"/>
        <family val="1"/>
      </rPr>
      <t>QTY</t>
    </r>
  </si>
  <si>
    <r>
      <rPr>
        <b/>
        <sz val="12"/>
        <color rgb="FFFFFFFF"/>
        <rFont val="Calibri"/>
        <family val="1"/>
      </rPr>
      <t>RATE</t>
    </r>
  </si>
  <si>
    <r>
      <rPr>
        <b/>
        <sz val="12"/>
        <color rgb="FFFFFFFF"/>
        <rFont val="Calibri"/>
        <family val="1"/>
      </rPr>
      <t>AMOUNT</t>
    </r>
  </si>
  <si>
    <r>
      <rPr>
        <b/>
        <sz val="12"/>
        <color rgb="FFFFFFFF"/>
        <rFont val="Calibri"/>
        <family val="1"/>
      </rPr>
      <t>GRADE</t>
    </r>
  </si>
  <si>
    <r>
      <rPr>
        <sz val="12"/>
        <rFont val="Calibri"/>
        <family val="1"/>
      </rPr>
      <t>AC</t>
    </r>
  </si>
  <si>
    <r>
      <rPr>
        <sz val="12"/>
        <rFont val="Calibri"/>
        <family val="1"/>
      </rPr>
      <t>FRIDGE</t>
    </r>
  </si>
  <si>
    <r>
      <rPr>
        <sz val="12"/>
        <rFont val="Calibri"/>
        <family val="1"/>
      </rPr>
      <t>COOLER</t>
    </r>
  </si>
  <si>
    <r>
      <rPr>
        <sz val="12"/>
        <rFont val="Calibri"/>
        <family val="1"/>
      </rPr>
      <t>WASHING MACHINE</t>
    </r>
  </si>
  <si>
    <r>
      <rPr>
        <sz val="12"/>
        <rFont val="Calibri"/>
        <family val="1"/>
      </rPr>
      <t>TV</t>
    </r>
  </si>
  <si>
    <r>
      <rPr>
        <sz val="12"/>
        <rFont val="Calibri"/>
        <family val="1"/>
      </rPr>
      <t>FAN</t>
    </r>
  </si>
  <si>
    <r>
      <rPr>
        <sz val="12"/>
        <rFont val="Calibri"/>
        <family val="1"/>
      </rPr>
      <t>COMPUTER</t>
    </r>
  </si>
  <si>
    <r>
      <rPr>
        <sz val="12"/>
        <rFont val="Calibri"/>
        <family val="1"/>
      </rPr>
      <t>KEYBOARD</t>
    </r>
  </si>
  <si>
    <r>
      <rPr>
        <sz val="12"/>
        <rFont val="Calibri"/>
        <family val="1"/>
      </rPr>
      <t>MOUSE</t>
    </r>
  </si>
  <si>
    <r>
      <rPr>
        <sz val="12"/>
        <rFont val="Calibri"/>
        <family val="1"/>
      </rPr>
      <t>PRINTER</t>
    </r>
  </si>
  <si>
    <r>
      <rPr>
        <b/>
        <sz val="11"/>
        <rFont val="Calibri"/>
        <family val="1"/>
      </rPr>
      <t>Q.1 Using of Product Fomula for Calculate Amount = Qty*Rate</t>
    </r>
  </si>
  <si>
    <r>
      <rPr>
        <b/>
        <sz val="11"/>
        <rFont val="Calibri"/>
        <family val="1"/>
      </rPr>
      <t>Q.2 How Many Items in a List</t>
    </r>
  </si>
  <si>
    <r>
      <rPr>
        <b/>
        <sz val="11"/>
        <rFont val="Calibri"/>
        <family val="1"/>
      </rPr>
      <t>Q.3 How Many Items qty Greate Then &gt; 20 and Less Then &lt;20</t>
    </r>
  </si>
  <si>
    <r>
      <rPr>
        <b/>
        <sz val="11"/>
        <rFont val="Calibri"/>
        <family val="1"/>
      </rPr>
      <t>Q.4 Calculate Item Computer Qty, Rate and Amount using Sumif Formula</t>
    </r>
  </si>
  <si>
    <r>
      <rPr>
        <b/>
        <sz val="11"/>
        <rFont val="Calibri"/>
        <family val="1"/>
      </rPr>
      <t>Q.5 If Items Amount is Greater &gt; 500000, Then Items "Expensive" otherwise "Lets Buy it".</t>
    </r>
  </si>
  <si>
    <r>
      <rPr>
        <b/>
        <u/>
        <sz val="11"/>
        <rFont val="Calibri"/>
        <family val="1"/>
      </rPr>
      <t>Assignment -3</t>
    </r>
  </si>
  <si>
    <r>
      <rPr>
        <b/>
        <sz val="11"/>
        <color rgb="FFFFFFFF"/>
        <rFont val="Calibri"/>
        <family val="1"/>
      </rPr>
      <t>SUBJECT</t>
    </r>
  </si>
  <si>
    <r>
      <rPr>
        <b/>
        <sz val="11"/>
        <color rgb="FFFFFFFF"/>
        <rFont val="Calibri"/>
        <family val="1"/>
      </rPr>
      <t>1ST</t>
    </r>
  </si>
  <si>
    <r>
      <rPr>
        <b/>
        <sz val="11"/>
        <color rgb="FFFFFFFF"/>
        <rFont val="Calibri"/>
        <family val="1"/>
      </rPr>
      <t>2ND</t>
    </r>
  </si>
  <si>
    <r>
      <rPr>
        <b/>
        <sz val="11"/>
        <color rgb="FFFFFFFF"/>
        <rFont val="Calibri"/>
        <family val="1"/>
      </rPr>
      <t>3RD</t>
    </r>
  </si>
  <si>
    <r>
      <rPr>
        <b/>
        <sz val="11"/>
        <color rgb="FFFFFFFF"/>
        <rFont val="Calibri"/>
        <family val="1"/>
      </rPr>
      <t>TOTAL</t>
    </r>
  </si>
  <si>
    <r>
      <rPr>
        <b/>
        <sz val="11"/>
        <color rgb="FFFFFFFF"/>
        <rFont val="Calibri"/>
        <family val="1"/>
      </rPr>
      <t>AVERAGE</t>
    </r>
  </si>
  <si>
    <r>
      <rPr>
        <b/>
        <sz val="11"/>
        <color rgb="FFFFFFFF"/>
        <rFont val="Calibri"/>
        <family val="1"/>
      </rPr>
      <t>GRADE</t>
    </r>
  </si>
  <si>
    <r>
      <rPr>
        <sz val="11"/>
        <rFont val="Calibri"/>
        <family val="1"/>
      </rPr>
      <t>HINDI</t>
    </r>
  </si>
  <si>
    <r>
      <rPr>
        <sz val="11"/>
        <rFont val="Calibri"/>
        <family val="1"/>
      </rPr>
      <t>B</t>
    </r>
  </si>
  <si>
    <r>
      <rPr>
        <sz val="11"/>
        <rFont val="Calibri"/>
        <family val="1"/>
      </rPr>
      <t>ENGLISH</t>
    </r>
  </si>
  <si>
    <r>
      <rPr>
        <sz val="11"/>
        <rFont val="Calibri"/>
        <family val="1"/>
      </rPr>
      <t>MATH</t>
    </r>
  </si>
  <si>
    <r>
      <rPr>
        <sz val="11"/>
        <rFont val="Calibri"/>
        <family val="1"/>
      </rPr>
      <t>CHEMISTRY</t>
    </r>
  </si>
  <si>
    <r>
      <rPr>
        <sz val="11"/>
        <rFont val="Calibri"/>
        <family val="1"/>
      </rPr>
      <t>HISTORY</t>
    </r>
  </si>
  <si>
    <r>
      <rPr>
        <sz val="11"/>
        <rFont val="Calibri"/>
        <family val="1"/>
      </rPr>
      <t>GEO</t>
    </r>
  </si>
  <si>
    <r>
      <rPr>
        <sz val="11"/>
        <rFont val="Calibri"/>
        <family val="1"/>
      </rPr>
      <t>BIO</t>
    </r>
  </si>
  <si>
    <r>
      <rPr>
        <sz val="11"/>
        <rFont val="Calibri"/>
        <family val="1"/>
      </rPr>
      <t>BOTANY</t>
    </r>
  </si>
  <si>
    <r>
      <rPr>
        <b/>
        <sz val="11"/>
        <rFont val="Calibri"/>
        <family val="1"/>
      </rPr>
      <t>Q.1 HOW MANY SUBJECT ?</t>
    </r>
  </si>
  <si>
    <r>
      <rPr>
        <b/>
        <sz val="11"/>
        <rFont val="Calibri"/>
        <family val="1"/>
      </rPr>
      <t>Q.2 HOW MANY SUBJECT 1 PAPER GREATER THAN 20 ?</t>
    </r>
  </si>
  <si>
    <r>
      <rPr>
        <b/>
        <sz val="11"/>
        <rFont val="Calibri"/>
        <family val="1"/>
      </rPr>
      <t>Q.3 SUBJECT HINDI, MATH &amp; ENGLISH TOTAL NO. &amp; GRADE</t>
    </r>
  </si>
  <si>
    <r>
      <rPr>
        <sz val="11"/>
        <rFont val="Calibri"/>
        <family val="1"/>
      </rPr>
      <t xml:space="preserve">Use of
</t>
    </r>
    <r>
      <rPr>
        <sz val="11"/>
        <rFont val="Calibri"/>
        <family val="1"/>
      </rPr>
      <t>Vlookup</t>
    </r>
  </si>
  <si>
    <r>
      <rPr>
        <b/>
        <sz val="11"/>
        <rFont val="Calibri"/>
        <family val="1"/>
      </rPr>
      <t>Q.4 IF AVE. GREATHER THAN 20 THEN "A", IF AVE. GREATEHR THAN 15 AVE. "B" OTHERWISE "C"</t>
    </r>
  </si>
  <si>
    <r>
      <rPr>
        <b/>
        <u/>
        <sz val="14"/>
        <rFont val="Calibri"/>
        <family val="1"/>
      </rPr>
      <t>Assignment -4  (Salary Sheet)</t>
    </r>
  </si>
  <si>
    <r>
      <rPr>
        <b/>
        <sz val="11"/>
        <rFont val="Calibri"/>
        <family val="1"/>
      </rPr>
      <t>Use of Formulas - Sum, NestedIf, Counta, Countif, Sumif, Vlookup</t>
    </r>
  </si>
  <si>
    <r>
      <rPr>
        <b/>
        <sz val="11"/>
        <color rgb="FFFFFFFF"/>
        <rFont val="Calibri"/>
        <family val="1"/>
      </rPr>
      <t>NAME</t>
    </r>
  </si>
  <si>
    <r>
      <rPr>
        <b/>
        <sz val="11"/>
        <color rgb="FFFFFFFF"/>
        <rFont val="Calibri"/>
        <family val="1"/>
      </rPr>
      <t>DEPARTMENT</t>
    </r>
  </si>
  <si>
    <r>
      <rPr>
        <b/>
        <sz val="11"/>
        <color rgb="FFFFFFFF"/>
        <rFont val="Calibri"/>
        <family val="1"/>
      </rPr>
      <t>POST</t>
    </r>
  </si>
  <si>
    <r>
      <rPr>
        <b/>
        <sz val="11"/>
        <color rgb="FFFFFFFF"/>
        <rFont val="Calibri"/>
        <family val="1"/>
      </rPr>
      <t>BASIC</t>
    </r>
  </si>
  <si>
    <r>
      <rPr>
        <b/>
        <sz val="11"/>
        <color rgb="FFFFFFFF"/>
        <rFont val="Calibri"/>
        <family val="1"/>
      </rPr>
      <t>DA 2.5%</t>
    </r>
  </si>
  <si>
    <r>
      <rPr>
        <b/>
        <sz val="11"/>
        <color rgb="FFFFFFFF"/>
        <rFont val="Calibri"/>
        <family val="1"/>
      </rPr>
      <t>HRA 3.5%</t>
    </r>
  </si>
  <si>
    <r>
      <rPr>
        <b/>
        <sz val="11"/>
        <color rgb="FFFFFFFF"/>
        <rFont val="Calibri"/>
        <family val="1"/>
      </rPr>
      <t>PF 1.5%</t>
    </r>
  </si>
  <si>
    <r>
      <rPr>
        <sz val="11"/>
        <rFont val="Calibri"/>
        <family val="1"/>
      </rPr>
      <t>COMPUTER</t>
    </r>
  </si>
  <si>
    <r>
      <rPr>
        <sz val="11"/>
        <rFont val="Calibri"/>
        <family val="1"/>
      </rPr>
      <t>MANAGER</t>
    </r>
  </si>
  <si>
    <r>
      <rPr>
        <sz val="11"/>
        <rFont val="Calibri"/>
        <family val="1"/>
      </rPr>
      <t>D</t>
    </r>
  </si>
  <si>
    <r>
      <rPr>
        <sz val="11"/>
        <rFont val="Calibri"/>
        <family val="1"/>
      </rPr>
      <t>SHYAM</t>
    </r>
  </si>
  <si>
    <r>
      <rPr>
        <sz val="11"/>
        <rFont val="Calibri"/>
        <family val="1"/>
      </rPr>
      <t>SUPERVISOR</t>
    </r>
  </si>
  <si>
    <r>
      <rPr>
        <sz val="11"/>
        <rFont val="Calibri"/>
        <family val="1"/>
      </rPr>
      <t>PION</t>
    </r>
  </si>
  <si>
    <r>
      <rPr>
        <sz val="11"/>
        <rFont val="Calibri"/>
        <family val="1"/>
      </rPr>
      <t>ELECTRICAL</t>
    </r>
  </si>
  <si>
    <r>
      <rPr>
        <sz val="11"/>
        <rFont val="Calibri"/>
        <family val="1"/>
      </rPr>
      <t>GUARD</t>
    </r>
  </si>
  <si>
    <r>
      <rPr>
        <sz val="11"/>
        <rFont val="Calibri"/>
        <family val="1"/>
      </rPr>
      <t>RAHUL</t>
    </r>
  </si>
  <si>
    <r>
      <rPr>
        <sz val="11"/>
        <rFont val="Calibri"/>
        <family val="1"/>
      </rPr>
      <t>CASHER</t>
    </r>
  </si>
  <si>
    <r>
      <rPr>
        <sz val="11"/>
        <rFont val="Calibri"/>
        <family val="1"/>
      </rPr>
      <t>RAKESH</t>
    </r>
  </si>
  <si>
    <r>
      <rPr>
        <sz val="11"/>
        <rFont val="Calibri"/>
        <family val="1"/>
      </rPr>
      <t>ACCOUNTANT</t>
    </r>
  </si>
  <si>
    <r>
      <rPr>
        <sz val="11"/>
        <rFont val="Calibri"/>
        <family val="1"/>
      </rPr>
      <t>ASHISH</t>
    </r>
  </si>
  <si>
    <r>
      <rPr>
        <sz val="11"/>
        <rFont val="Calibri"/>
        <family val="1"/>
      </rPr>
      <t>FINANCE</t>
    </r>
  </si>
  <si>
    <r>
      <rPr>
        <sz val="11"/>
        <rFont val="Calibri"/>
        <family val="1"/>
      </rPr>
      <t>MANISH</t>
    </r>
  </si>
  <si>
    <r>
      <rPr>
        <b/>
        <sz val="11"/>
        <rFont val="Calibri"/>
        <family val="1"/>
      </rPr>
      <t>Q.1 HOW MANY EMPLOYEE IN COMPUTER, FINANCE, ELECTRICAL DEPARTMENT</t>
    </r>
  </si>
  <si>
    <r>
      <rPr>
        <b/>
        <sz val="11"/>
        <rFont val="Calibri"/>
        <family val="1"/>
      </rPr>
      <t>Q.2 HOW MANY BASIC SALARY IN COMPUTER DFPARTMENT ONLY?</t>
    </r>
  </si>
  <si>
    <r>
      <rPr>
        <b/>
        <sz val="11"/>
        <rFont val="Calibri"/>
        <family val="1"/>
      </rPr>
      <t>Use of Sumif</t>
    </r>
  </si>
  <si>
    <r>
      <rPr>
        <b/>
        <sz val="11"/>
        <rFont val="Calibri"/>
        <family val="1"/>
      </rPr>
      <t>Q.3 MANOJ, ASHISH POST &amp; GRADE</t>
    </r>
  </si>
  <si>
    <r>
      <rPr>
        <sz val="11"/>
        <rFont val="Calibri"/>
        <family val="1"/>
      </rPr>
      <t>Use of Vlookup</t>
    </r>
  </si>
  <si>
    <r>
      <rPr>
        <b/>
        <sz val="11"/>
        <rFont val="Calibri"/>
        <family val="1"/>
      </rPr>
      <t xml:space="preserve">Q.4 IF TOTAL SALALRY IS GREATER THEN 20000 THEN "A", IF TOTAL SALARY GREATER THEN 10000 THEN "B",
</t>
    </r>
    <r>
      <rPr>
        <b/>
        <sz val="11"/>
        <rFont val="Calibri"/>
        <family val="1"/>
      </rPr>
      <t>OTHERWISE "C"</t>
    </r>
  </si>
  <si>
    <r>
      <rPr>
        <b/>
        <sz val="11"/>
        <rFont val="Calibri"/>
        <family val="1"/>
      </rPr>
      <t>Q.5 HOW MANY EMPLOYEE IS MANAGER &amp; GUARD?</t>
    </r>
  </si>
  <si>
    <r>
      <rPr>
        <b/>
        <sz val="14"/>
        <rFont val="Calibri"/>
        <family val="1"/>
      </rPr>
      <t>Assignment -5  (Sales Report)</t>
    </r>
  </si>
  <si>
    <r>
      <rPr>
        <b/>
        <sz val="11"/>
        <rFont val="Calibri"/>
        <family val="1"/>
      </rPr>
      <t>Use of Formulas - Sum, If, Counta, Countif, Sumif, Vlookup, Lookup</t>
    </r>
  </si>
  <si>
    <r>
      <rPr>
        <b/>
        <sz val="11"/>
        <color rgb="FFFFFFFF"/>
        <rFont val="Calibri"/>
        <family val="1"/>
      </rPr>
      <t>SALESMAN</t>
    </r>
  </si>
  <si>
    <r>
      <rPr>
        <b/>
        <sz val="11"/>
        <color rgb="FFFFFFFF"/>
        <rFont val="Calibri"/>
        <family val="1"/>
      </rPr>
      <t>JAN</t>
    </r>
  </si>
  <si>
    <r>
      <rPr>
        <b/>
        <sz val="11"/>
        <color rgb="FFFFFFFF"/>
        <rFont val="Calibri"/>
        <family val="1"/>
      </rPr>
      <t>FEB</t>
    </r>
  </si>
  <si>
    <r>
      <rPr>
        <b/>
        <sz val="11"/>
        <color rgb="FFFFFFFF"/>
        <rFont val="Calibri"/>
        <family val="1"/>
      </rPr>
      <t>MAR</t>
    </r>
  </si>
  <si>
    <r>
      <rPr>
        <b/>
        <sz val="11"/>
        <color rgb="FFFFFFFF"/>
        <rFont val="Calibri"/>
        <family val="1"/>
      </rPr>
      <t>APR</t>
    </r>
  </si>
  <si>
    <r>
      <rPr>
        <b/>
        <sz val="11"/>
        <color rgb="FFFFFFFF"/>
        <rFont val="Calibri"/>
        <family val="1"/>
      </rPr>
      <t>MAY</t>
    </r>
  </si>
  <si>
    <r>
      <rPr>
        <b/>
        <sz val="11"/>
        <color rgb="FFFFFFFF"/>
        <rFont val="Calibri"/>
        <family val="1"/>
      </rPr>
      <t>JUNE</t>
    </r>
  </si>
  <si>
    <r>
      <rPr>
        <b/>
        <sz val="11"/>
        <color rgb="FFFFFFFF"/>
        <rFont val="Calibri"/>
        <family val="1"/>
      </rPr>
      <t>SALES</t>
    </r>
  </si>
  <si>
    <r>
      <rPr>
        <b/>
        <sz val="11"/>
        <color rgb="FFFFFFFF"/>
        <rFont val="Calibri"/>
        <family val="1"/>
      </rPr>
      <t>TARGET</t>
    </r>
  </si>
  <si>
    <r>
      <rPr>
        <b/>
        <sz val="11"/>
        <color rgb="FFFFFFFF"/>
        <rFont val="Calibri"/>
        <family val="1"/>
      </rPr>
      <t>RESULT</t>
    </r>
  </si>
  <si>
    <r>
      <rPr>
        <sz val="11"/>
        <rFont val="Calibri"/>
        <family val="1"/>
      </rPr>
      <t>RAMESH</t>
    </r>
  </si>
  <si>
    <r>
      <rPr>
        <sz val="11"/>
        <rFont val="Calibri"/>
        <family val="1"/>
      </rPr>
      <t>NOT ACHIVED</t>
    </r>
  </si>
  <si>
    <r>
      <rPr>
        <sz val="11"/>
        <rFont val="Calibri"/>
        <family val="1"/>
      </rPr>
      <t>AJEET</t>
    </r>
  </si>
  <si>
    <r>
      <rPr>
        <sz val="11"/>
        <rFont val="Calibri"/>
        <family val="1"/>
      </rPr>
      <t>ALOK</t>
    </r>
  </si>
  <si>
    <r>
      <rPr>
        <sz val="11"/>
        <rFont val="Calibri"/>
        <family val="1"/>
      </rPr>
      <t>AMRIT</t>
    </r>
  </si>
  <si>
    <r>
      <rPr>
        <sz val="11"/>
        <rFont val="Calibri"/>
        <family val="1"/>
      </rPr>
      <t>SURENDRA</t>
    </r>
  </si>
  <si>
    <r>
      <rPr>
        <sz val="11"/>
        <rFont val="Calibri"/>
        <family val="1"/>
      </rPr>
      <t>SHASHI</t>
    </r>
  </si>
  <si>
    <r>
      <rPr>
        <b/>
        <sz val="11"/>
        <rFont val="Calibri"/>
        <family val="1"/>
      </rPr>
      <t>Q.1 How many salesman? Salesman Ajeet Targest &amp; Result?</t>
    </r>
  </si>
  <si>
    <r>
      <rPr>
        <sz val="11"/>
        <rFont val="Calibri"/>
        <family val="1"/>
      </rPr>
      <t>Use of Counta and Vlookup</t>
    </r>
  </si>
  <si>
    <r>
      <rPr>
        <b/>
        <sz val="11"/>
        <rFont val="Calibri"/>
        <family val="1"/>
      </rPr>
      <t xml:space="preserve">Q.2 If Sales Greater Than Target Then Target Achived otherwise Not
</t>
    </r>
    <r>
      <rPr>
        <b/>
        <sz val="11"/>
        <rFont val="Calibri"/>
        <family val="1"/>
      </rPr>
      <t>Achived</t>
    </r>
  </si>
  <si>
    <r>
      <rPr>
        <sz val="11"/>
        <rFont val="Calibri"/>
        <family val="1"/>
      </rPr>
      <t>Use of If Function</t>
    </r>
  </si>
  <si>
    <r>
      <rPr>
        <b/>
        <sz val="11"/>
        <rFont val="Calibri"/>
        <family val="1"/>
      </rPr>
      <t>Q.3 Rahul Pooja &amp; Ashok Targest &amp; result?</t>
    </r>
  </si>
  <si>
    <r>
      <rPr>
        <b/>
        <sz val="11"/>
        <rFont val="Calibri"/>
        <family val="1"/>
      </rPr>
      <t>Q.4 How Many Salesman Achived Target.</t>
    </r>
  </si>
  <si>
    <r>
      <rPr>
        <b/>
        <sz val="11"/>
        <rFont val="Calibri"/>
        <family val="1"/>
      </rPr>
      <t>Q.5 Which Sales Man Jan Sales 2000, &amp; Feb Sales is 2500?</t>
    </r>
  </si>
  <si>
    <r>
      <rPr>
        <sz val="11"/>
        <rFont val="Calibri"/>
        <family val="1"/>
      </rPr>
      <t>Use of Lookup Function</t>
    </r>
  </si>
  <si>
    <r>
      <rPr>
        <b/>
        <u/>
        <sz val="11"/>
        <rFont val="Calibri"/>
        <family val="1"/>
      </rPr>
      <t>Assignment -6</t>
    </r>
  </si>
  <si>
    <r>
      <rPr>
        <b/>
        <u/>
        <sz val="11"/>
        <rFont val="Calibri"/>
        <family val="1"/>
      </rPr>
      <t xml:space="preserve">Use of Formulas -  Counta, Countif, Sumif, Hlookup,
</t>
    </r>
    <r>
      <rPr>
        <b/>
        <u/>
        <sz val="11"/>
        <rFont val="Calibri"/>
        <family val="1"/>
      </rPr>
      <t>Conditional Formatting</t>
    </r>
  </si>
  <si>
    <r>
      <rPr>
        <b/>
        <sz val="11"/>
        <rFont val="Calibri"/>
        <family val="1"/>
      </rPr>
      <t>Items</t>
    </r>
  </si>
  <si>
    <r>
      <rPr>
        <b/>
        <sz val="11"/>
        <rFont val="Calibri"/>
        <family val="1"/>
      </rPr>
      <t>Date</t>
    </r>
  </si>
  <si>
    <r>
      <rPr>
        <b/>
        <sz val="11"/>
        <rFont val="Calibri"/>
        <family val="1"/>
      </rPr>
      <t>Cost</t>
    </r>
  </si>
  <si>
    <r>
      <rPr>
        <sz val="11"/>
        <rFont val="Calibri"/>
        <family val="1"/>
      </rPr>
      <t>BRAKES</t>
    </r>
  </si>
  <si>
    <r>
      <rPr>
        <sz val="11"/>
        <rFont val="Calibri"/>
        <family val="1"/>
      </rPr>
      <t>TYRES</t>
    </r>
  </si>
  <si>
    <r>
      <rPr>
        <sz val="11"/>
        <rFont val="Calibri"/>
        <family val="1"/>
      </rPr>
      <t>SERVICE</t>
    </r>
  </si>
  <si>
    <r>
      <rPr>
        <sz val="11"/>
        <rFont val="Calibri"/>
        <family val="1"/>
      </rPr>
      <t>WINDOW</t>
    </r>
  </si>
  <si>
    <r>
      <rPr>
        <sz val="11"/>
        <rFont val="Calibri"/>
        <family val="1"/>
      </rPr>
      <t>CLUTCH</t>
    </r>
  </si>
  <si>
    <r>
      <rPr>
        <b/>
        <sz val="11"/>
        <rFont val="Calibri"/>
        <family val="1"/>
      </rPr>
      <t>Q.1 HOW MANY ITEMS ?</t>
    </r>
  </si>
  <si>
    <r>
      <rPr>
        <b/>
        <sz val="11"/>
        <rFont val="Calibri"/>
        <family val="1"/>
      </rPr>
      <t>Q.2 HOW MANY BRAKE, WINDOW &amp; TYRES HAVE BEEN BOUGHTS?</t>
    </r>
  </si>
  <si>
    <r>
      <rPr>
        <b/>
        <sz val="11"/>
        <rFont val="Calibri"/>
        <family val="1"/>
      </rPr>
      <t>Q.3 HOW MANY ITEMS COST IS &gt;1000 &amp; BELOW &gt; = 1000?</t>
    </r>
  </si>
  <si>
    <r>
      <rPr>
        <b/>
        <sz val="11"/>
        <rFont val="Calibri"/>
        <family val="1"/>
      </rPr>
      <t>Q.4 HIGHLIGHT TYRES ITESM &amp; 500 BETWEEN 2000 COST.</t>
    </r>
  </si>
  <si>
    <r>
      <rPr>
        <sz val="11"/>
        <rFont val="Calibri"/>
        <family val="1"/>
      </rPr>
      <t xml:space="preserve">Use of Conditional
</t>
    </r>
    <r>
      <rPr>
        <sz val="11"/>
        <rFont val="Calibri"/>
        <family val="1"/>
      </rPr>
      <t>F</t>
    </r>
  </si>
  <si>
    <r>
      <rPr>
        <b/>
        <sz val="11"/>
        <rFont val="Calibri"/>
        <family val="1"/>
      </rPr>
      <t>Q.5 ITEMS COLOUMN IS 15, 18 &amp; 20 ITEMS NAME?</t>
    </r>
  </si>
  <si>
    <r>
      <rPr>
        <sz val="11"/>
        <rFont val="Calibri"/>
        <family val="1"/>
      </rPr>
      <t>Use of Hlookup</t>
    </r>
  </si>
  <si>
    <r>
      <rPr>
        <b/>
        <sz val="11"/>
        <rFont val="Calibri"/>
        <family val="1"/>
      </rPr>
      <t>Q.6 Total Cost of Window and Brakes Items?</t>
    </r>
  </si>
  <si>
    <r>
      <rPr>
        <b/>
        <sz val="14"/>
        <rFont val="Calibri"/>
        <family val="1"/>
      </rPr>
      <t>Assignment -7  (Calculate Date of Birth)</t>
    </r>
  </si>
  <si>
    <r>
      <rPr>
        <b/>
        <sz val="11"/>
        <rFont val="Calibri"/>
        <family val="1"/>
      </rPr>
      <t>Use of Formulas -  Counta, Countif, Sumif, if &amp; Datedif</t>
    </r>
  </si>
  <si>
    <r>
      <rPr>
        <b/>
        <sz val="11"/>
        <color rgb="FFFFFFFF"/>
        <rFont val="Calibri"/>
        <family val="1"/>
      </rPr>
      <t>DATE OF BIRTH</t>
    </r>
  </si>
  <si>
    <r>
      <rPr>
        <b/>
        <sz val="11"/>
        <color rgb="FFFFFFFF"/>
        <rFont val="Calibri"/>
        <family val="1"/>
      </rPr>
      <t>DAY</t>
    </r>
  </si>
  <si>
    <r>
      <rPr>
        <b/>
        <sz val="11"/>
        <color rgb="FFFFFFFF"/>
        <rFont val="Calibri"/>
        <family val="1"/>
      </rPr>
      <t>MONTH</t>
    </r>
  </si>
  <si>
    <r>
      <rPr>
        <b/>
        <sz val="11"/>
        <color rgb="FFFFFFFF"/>
        <rFont val="Calibri"/>
        <family val="1"/>
      </rPr>
      <t>YEAR</t>
    </r>
  </si>
  <si>
    <r>
      <rPr>
        <b/>
        <sz val="11"/>
        <rFont val="Calibri"/>
        <family val="1"/>
      </rPr>
      <t>Q.1 HOW MANY STUDENT?</t>
    </r>
  </si>
  <si>
    <r>
      <rPr>
        <sz val="11"/>
        <color rgb="FFFF0000"/>
        <rFont val="Calibri"/>
        <family val="1"/>
      </rPr>
      <t>Use of Counta</t>
    </r>
  </si>
  <si>
    <r>
      <rPr>
        <b/>
        <sz val="11"/>
        <rFont val="Calibri"/>
        <family val="1"/>
      </rPr>
      <t>Q.2 STUDENT SURENDRA IS HOW MANY YEAR OLD?</t>
    </r>
  </si>
  <si>
    <r>
      <rPr>
        <sz val="11"/>
        <color rgb="FFFF0000"/>
        <rFont val="Calibri"/>
        <family val="1"/>
      </rPr>
      <t xml:space="preserve">Use of
</t>
    </r>
    <r>
      <rPr>
        <sz val="11"/>
        <color rgb="FFFF0000"/>
        <rFont val="Calibri"/>
        <family val="1"/>
      </rPr>
      <t>Sumif</t>
    </r>
  </si>
  <si>
    <r>
      <rPr>
        <b/>
        <sz val="11"/>
        <rFont val="Calibri"/>
        <family val="1"/>
      </rPr>
      <t>Q.3 HOW MANY STUDENT AGE GREATER THEN 20 YEARS?</t>
    </r>
  </si>
  <si>
    <r>
      <rPr>
        <sz val="11"/>
        <color rgb="FFFF0000"/>
        <rFont val="Calibri"/>
        <family val="1"/>
      </rPr>
      <t xml:space="preserve">Use of
</t>
    </r>
    <r>
      <rPr>
        <sz val="11"/>
        <color rgb="FFFF0000"/>
        <rFont val="Calibri"/>
        <family val="1"/>
      </rPr>
      <t>Countif</t>
    </r>
  </si>
  <si>
    <r>
      <rPr>
        <b/>
        <sz val="11"/>
        <rFont val="Calibri"/>
        <family val="1"/>
      </rPr>
      <t>Q.4 IF STUDENT AGE IS GREATHER THEN 20 THEN STUDENT ADULT / CHILD?</t>
    </r>
  </si>
  <si>
    <r>
      <rPr>
        <b/>
        <sz val="11"/>
        <rFont val="Calibri"/>
        <family val="1"/>
      </rPr>
      <t>Q.5 HOW MANY STUDENT AGE IS &gt;= 25 YEARS?</t>
    </r>
  </si>
  <si>
    <r>
      <rPr>
        <b/>
        <sz val="14"/>
        <rFont val="Calibri"/>
        <family val="1"/>
      </rPr>
      <t>Assignment -8</t>
    </r>
  </si>
  <si>
    <r>
      <rPr>
        <b/>
        <u/>
        <sz val="11"/>
        <rFont val="Calibri"/>
        <family val="1"/>
      </rPr>
      <t>                                         Use of Formulas -  Sum, Average, Counta, Countif, Sumif, &amp; If                                         </t>
    </r>
  </si>
  <si>
    <r>
      <rPr>
        <b/>
        <sz val="11"/>
        <rFont val="Calibri"/>
        <family val="1"/>
      </rPr>
      <t>Student Name</t>
    </r>
  </si>
  <si>
    <r>
      <rPr>
        <b/>
        <sz val="11"/>
        <rFont val="Calibri"/>
        <family val="1"/>
      </rPr>
      <t>Subject</t>
    </r>
  </si>
  <si>
    <r>
      <rPr>
        <b/>
        <sz val="11"/>
        <rFont val="Calibri"/>
        <family val="1"/>
      </rPr>
      <t>Result</t>
    </r>
  </si>
  <si>
    <r>
      <rPr>
        <b/>
        <sz val="10"/>
        <color rgb="FFFFFFFF"/>
        <rFont val="Arial"/>
        <family val="2"/>
      </rPr>
      <t>Name</t>
    </r>
  </si>
  <si>
    <r>
      <rPr>
        <b/>
        <sz val="10"/>
        <color rgb="FFFFFFFF"/>
        <rFont val="Arial"/>
        <family val="2"/>
      </rPr>
      <t>Maths</t>
    </r>
  </si>
  <si>
    <r>
      <rPr>
        <b/>
        <sz val="10"/>
        <color rgb="FFFFFFFF"/>
        <rFont val="Arial"/>
        <family val="2"/>
      </rPr>
      <t>English</t>
    </r>
  </si>
  <si>
    <r>
      <rPr>
        <b/>
        <sz val="10"/>
        <color rgb="FFFFFFFF"/>
        <rFont val="Arial"/>
        <family val="2"/>
      </rPr>
      <t>Physics</t>
    </r>
  </si>
  <si>
    <r>
      <rPr>
        <b/>
        <sz val="10"/>
        <color rgb="FFFFFFFF"/>
        <rFont val="Arial"/>
        <family val="2"/>
      </rPr>
      <t>TOTAL</t>
    </r>
  </si>
  <si>
    <r>
      <rPr>
        <b/>
        <sz val="10"/>
        <color rgb="FFFFFFFF"/>
        <rFont val="Arial"/>
        <family val="2"/>
      </rPr>
      <t>PERCENTAGE</t>
    </r>
  </si>
  <si>
    <r>
      <rPr>
        <b/>
        <sz val="10"/>
        <color rgb="FFFFFFFF"/>
        <rFont val="Arial"/>
        <family val="2"/>
      </rPr>
      <t>GRADE</t>
    </r>
  </si>
  <si>
    <r>
      <rPr>
        <sz val="10"/>
        <color rgb="FF800080"/>
        <rFont val="Arial MT"/>
        <family val="2"/>
      </rPr>
      <t>Alan</t>
    </r>
  </si>
  <si>
    <r>
      <rPr>
        <sz val="10"/>
        <color rgb="FF800080"/>
        <rFont val="Arial MT"/>
        <family val="2"/>
      </rPr>
      <t>Bob</t>
    </r>
  </si>
  <si>
    <r>
      <rPr>
        <sz val="10"/>
        <color rgb="FF800080"/>
        <rFont val="Arial MT"/>
        <family val="2"/>
      </rPr>
      <t>Carol</t>
    </r>
  </si>
  <si>
    <r>
      <rPr>
        <sz val="10"/>
        <color rgb="FF800080"/>
        <rFont val="Arial MT"/>
        <family val="2"/>
      </rPr>
      <t>oor</t>
    </r>
  </si>
  <si>
    <r>
      <rPr>
        <sz val="10"/>
        <color rgb="FF800080"/>
        <rFont val="Arial MT"/>
        <family val="2"/>
      </rPr>
      <t>David</t>
    </r>
  </si>
  <si>
    <r>
      <rPr>
        <sz val="10"/>
        <color rgb="FF800080"/>
        <rFont val="Arial MT"/>
        <family val="2"/>
      </rPr>
      <t>Eric</t>
    </r>
  </si>
  <si>
    <r>
      <rPr>
        <sz val="10"/>
        <color rgb="FF800080"/>
        <rFont val="Arial MT"/>
        <family val="2"/>
      </rPr>
      <t>Absent</t>
    </r>
  </si>
  <si>
    <r>
      <rPr>
        <sz val="10"/>
        <color rgb="FF800080"/>
        <rFont val="Arial MT"/>
        <family val="2"/>
      </rPr>
      <t>Fred</t>
    </r>
  </si>
  <si>
    <r>
      <rPr>
        <sz val="10"/>
        <color rgb="FF800080"/>
        <rFont val="Arial MT"/>
        <family val="2"/>
      </rPr>
      <t>Gail</t>
    </r>
  </si>
  <si>
    <r>
      <rPr>
        <sz val="10"/>
        <color rgb="FF800080"/>
        <rFont val="Arial MT"/>
        <family val="2"/>
      </rPr>
      <t>Harry</t>
    </r>
  </si>
  <si>
    <r>
      <rPr>
        <sz val="10"/>
        <color rgb="FF800080"/>
        <rFont val="Arial MT"/>
        <family val="2"/>
      </rPr>
      <t>Ian</t>
    </r>
  </si>
  <si>
    <r>
      <rPr>
        <sz val="10"/>
        <color rgb="FF800080"/>
        <rFont val="Arial MT"/>
        <family val="2"/>
      </rPr>
      <t>Janice</t>
    </r>
  </si>
  <si>
    <r>
      <rPr>
        <b/>
        <sz val="10"/>
        <rFont val="Arial"/>
        <family val="2"/>
      </rPr>
      <t>Q.1 How Many Student?</t>
    </r>
  </si>
  <si>
    <r>
      <rPr>
        <sz val="11"/>
        <color rgb="FFFF0000"/>
        <rFont val="Calibri"/>
        <family val="1"/>
      </rPr>
      <t>Use Formula Counta</t>
    </r>
  </si>
  <si>
    <r>
      <rPr>
        <b/>
        <sz val="10"/>
        <rFont val="Arial"/>
        <family val="2"/>
      </rPr>
      <t>Q.2 How Many Student Percentage Greather Then &gt; 50</t>
    </r>
  </si>
  <si>
    <r>
      <rPr>
        <sz val="11"/>
        <color rgb="FFFF0000"/>
        <rFont val="Calibri"/>
        <family val="1"/>
      </rPr>
      <t>Use Formula Countif</t>
    </r>
  </si>
  <si>
    <r>
      <rPr>
        <b/>
        <sz val="10"/>
        <rFont val="Arial"/>
        <family val="2"/>
      </rPr>
      <t>Q.3 Student Bob and Eric Total Number?</t>
    </r>
  </si>
  <si>
    <r>
      <rPr>
        <sz val="11"/>
        <color rgb="FFFF0000"/>
        <rFont val="Calibri"/>
        <family val="1"/>
      </rPr>
      <t>Use Formula Sumif</t>
    </r>
  </si>
  <si>
    <r>
      <rPr>
        <b/>
        <sz val="11"/>
        <rFont val="Calibri"/>
        <family val="1"/>
      </rPr>
      <t>Q.4 If Percentage Greater Then &gt;70 Then "Excellent", If Percentage Greater Then &gt;50,"Good", Otherwise "Bed"</t>
    </r>
  </si>
  <si>
    <r>
      <rPr>
        <b/>
        <sz val="11"/>
        <rFont val="Calibri"/>
        <family val="1"/>
      </rPr>
      <t>Q.5 How Many Student Good and Bed in a list</t>
    </r>
  </si>
  <si>
    <r>
      <rPr>
        <b/>
        <sz val="14"/>
        <rFont val="Calibri"/>
        <family val="1"/>
      </rPr>
      <t>Assignment -9</t>
    </r>
  </si>
  <si>
    <r>
      <rPr>
        <b/>
        <u/>
        <sz val="11"/>
        <rFont val="Calibri"/>
        <family val="1"/>
      </rPr>
      <t>                                                            Use of Formulas -  LOOKUP                                                            </t>
    </r>
  </si>
  <si>
    <r>
      <rPr>
        <b/>
        <sz val="11"/>
        <rFont val="Calibri"/>
        <family val="1"/>
      </rPr>
      <t>LOOKUP FUNCTION SYNTAX</t>
    </r>
  </si>
  <si>
    <r>
      <rPr>
        <b/>
        <sz val="11"/>
        <rFont val="Calibri"/>
        <family val="1"/>
      </rPr>
      <t>LOOKUP(LOOKUP_value,lookup_vector,[result_vector])</t>
    </r>
  </si>
  <si>
    <r>
      <rPr>
        <b/>
        <sz val="12"/>
        <rFont val="Arial"/>
        <family val="2"/>
      </rPr>
      <t>Empoyee ID</t>
    </r>
  </si>
  <si>
    <r>
      <rPr>
        <b/>
        <sz val="12"/>
        <rFont val="Arial"/>
        <family val="2"/>
      </rPr>
      <t>Last Name</t>
    </r>
  </si>
  <si>
    <r>
      <rPr>
        <b/>
        <sz val="12"/>
        <rFont val="Arial"/>
        <family val="2"/>
      </rPr>
      <t>First Name</t>
    </r>
  </si>
  <si>
    <r>
      <rPr>
        <b/>
        <sz val="12"/>
        <rFont val="Arial"/>
        <family val="2"/>
      </rPr>
      <t>Pay</t>
    </r>
  </si>
  <si>
    <r>
      <rPr>
        <b/>
        <sz val="12"/>
        <rFont val="Arial"/>
        <family val="2"/>
      </rPr>
      <t xml:space="preserve">First
</t>
    </r>
    <r>
      <rPr>
        <b/>
        <sz val="12"/>
        <rFont val="Arial"/>
        <family val="2"/>
      </rPr>
      <t>N.</t>
    </r>
  </si>
  <si>
    <r>
      <rPr>
        <b/>
        <sz val="12"/>
        <rFont val="Arial"/>
        <family val="2"/>
      </rPr>
      <t xml:space="preserve">Last
</t>
    </r>
    <r>
      <rPr>
        <b/>
        <sz val="12"/>
        <rFont val="Arial"/>
        <family val="2"/>
      </rPr>
      <t>N.</t>
    </r>
  </si>
  <si>
    <r>
      <rPr>
        <sz val="11"/>
        <rFont val="Calibri"/>
        <family val="1"/>
      </rPr>
      <t>Doe</t>
    </r>
  </si>
  <si>
    <r>
      <rPr>
        <sz val="11"/>
        <rFont val="Calibri"/>
        <family val="1"/>
      </rPr>
      <t>John</t>
    </r>
  </si>
  <si>
    <r>
      <rPr>
        <sz val="11"/>
        <rFont val="Calibri"/>
        <family val="1"/>
      </rPr>
      <t>Micheal</t>
    </r>
  </si>
  <si>
    <r>
      <rPr>
        <sz val="11"/>
        <rFont val="Calibri"/>
        <family val="1"/>
      </rPr>
      <t>Vick</t>
    </r>
  </si>
  <si>
    <r>
      <rPr>
        <sz val="11"/>
        <rFont val="Calibri"/>
        <family val="1"/>
      </rPr>
      <t>Cline</t>
    </r>
  </si>
  <si>
    <r>
      <rPr>
        <sz val="11"/>
        <rFont val="Calibri"/>
        <family val="1"/>
      </rPr>
      <t>Andy</t>
    </r>
  </si>
  <si>
    <r>
      <rPr>
        <sz val="11"/>
        <rFont val="Calibri"/>
        <family val="1"/>
      </rPr>
      <t>$  1,37,670</t>
    </r>
  </si>
  <si>
    <r>
      <rPr>
        <sz val="11"/>
        <rFont val="Calibri"/>
        <family val="1"/>
      </rPr>
      <t>Smith</t>
    </r>
  </si>
  <si>
    <r>
      <rPr>
        <sz val="11"/>
        <rFont val="Calibri"/>
        <family val="1"/>
      </rPr>
      <t>$  1,90,024</t>
    </r>
  </si>
  <si>
    <r>
      <rPr>
        <sz val="11"/>
        <rFont val="Calibri"/>
        <family val="1"/>
      </rPr>
      <t>Pan</t>
    </r>
  </si>
  <si>
    <r>
      <rPr>
        <sz val="11"/>
        <rFont val="Calibri"/>
        <family val="1"/>
      </rPr>
      <t>Peter</t>
    </r>
  </si>
  <si>
    <r>
      <rPr>
        <sz val="11"/>
        <rFont val="Calibri"/>
        <family val="1"/>
      </rPr>
      <t>$  1,22,604</t>
    </r>
  </si>
  <si>
    <r>
      <rPr>
        <sz val="11"/>
        <rFont val="Calibri"/>
        <family val="1"/>
      </rPr>
      <t>Favre</t>
    </r>
  </si>
  <si>
    <r>
      <rPr>
        <sz val="11"/>
        <rFont val="Calibri"/>
        <family val="1"/>
      </rPr>
      <t>Bret</t>
    </r>
  </si>
  <si>
    <r>
      <rPr>
        <sz val="11"/>
        <rFont val="Calibri"/>
        <family val="1"/>
      </rPr>
      <t>$  1,11,709</t>
    </r>
  </si>
  <si>
    <r>
      <rPr>
        <sz val="11"/>
        <rFont val="Calibri"/>
        <family val="1"/>
      </rPr>
      <t>Elway</t>
    </r>
  </si>
  <si>
    <r>
      <rPr>
        <sz val="11"/>
        <rFont val="Calibri"/>
        <family val="1"/>
      </rPr>
      <t>Manning</t>
    </r>
  </si>
  <si>
    <r>
      <rPr>
        <sz val="11"/>
        <rFont val="Calibri"/>
        <family val="1"/>
      </rPr>
      <t>Eli</t>
    </r>
  </si>
  <si>
    <r>
      <rPr>
        <sz val="11"/>
        <rFont val="Calibri"/>
        <family val="1"/>
      </rPr>
      <t>$  1,68,114</t>
    </r>
  </si>
  <si>
    <r>
      <rPr>
        <sz val="11"/>
        <rFont val="Calibri"/>
        <family val="1"/>
      </rPr>
      <t>Woods</t>
    </r>
  </si>
  <si>
    <r>
      <rPr>
        <sz val="11"/>
        <rFont val="Calibri"/>
        <family val="1"/>
      </rPr>
      <t>Tiger</t>
    </r>
  </si>
  <si>
    <r>
      <rPr>
        <sz val="11"/>
        <rFont val="Calibri"/>
        <family val="1"/>
      </rPr>
      <t>$  1,49,946</t>
    </r>
  </si>
  <si>
    <r>
      <rPr>
        <sz val="11"/>
        <rFont val="Calibri"/>
        <family val="1"/>
      </rPr>
      <t>Jordan</t>
    </r>
  </si>
  <si>
    <r>
      <rPr>
        <sz val="11"/>
        <rFont val="Calibri"/>
        <family val="1"/>
      </rPr>
      <t>$  1,45,893</t>
    </r>
  </si>
  <si>
    <r>
      <rPr>
        <sz val="11"/>
        <rFont val="Calibri"/>
        <family val="1"/>
      </rPr>
      <t>Stark</t>
    </r>
  </si>
  <si>
    <r>
      <rPr>
        <sz val="11"/>
        <rFont val="Calibri"/>
        <family val="1"/>
      </rPr>
      <t>Tony</t>
    </r>
  </si>
  <si>
    <r>
      <rPr>
        <sz val="11"/>
        <rFont val="Calibri"/>
        <family val="1"/>
      </rPr>
      <t>Williams</t>
    </r>
  </si>
  <si>
    <r>
      <rPr>
        <sz val="11"/>
        <rFont val="Calibri"/>
        <family val="1"/>
      </rPr>
      <t>Prince</t>
    </r>
  </si>
  <si>
    <r>
      <rPr>
        <sz val="11"/>
        <rFont val="Calibri"/>
        <family val="1"/>
      </rPr>
      <t>Pitt</t>
    </r>
  </si>
  <si>
    <r>
      <rPr>
        <sz val="11"/>
        <rFont val="Calibri"/>
        <family val="1"/>
      </rPr>
      <t>Brad</t>
    </r>
  </si>
  <si>
    <r>
      <rPr>
        <sz val="11"/>
        <rFont val="Calibri"/>
        <family val="1"/>
      </rPr>
      <t>$  1,21,444</t>
    </r>
  </si>
  <si>
    <r>
      <rPr>
        <b/>
        <sz val="14"/>
        <rFont val="Calibri"/>
        <family val="1"/>
      </rPr>
      <t>Assignment -10</t>
    </r>
  </si>
  <si>
    <r>
      <rPr>
        <b/>
        <u/>
        <sz val="11"/>
        <rFont val="Calibri"/>
        <family val="1"/>
      </rPr>
      <t>                                                     Use of Formulas -  Counta, Countif, Sumif, &amp; Vlookup                                                      </t>
    </r>
  </si>
  <si>
    <r>
      <rPr>
        <sz val="20"/>
        <color rgb="FFFFFFFF"/>
        <rFont val="Calibri"/>
        <family val="1"/>
      </rPr>
      <t>USE OF VLOOKUP</t>
    </r>
  </si>
  <si>
    <r>
      <rPr>
        <b/>
        <sz val="11"/>
        <rFont val="Calibri"/>
        <family val="1"/>
      </rPr>
      <t>Employee ID</t>
    </r>
  </si>
  <si>
    <r>
      <rPr>
        <b/>
        <sz val="11"/>
        <rFont val="Calibri"/>
        <family val="1"/>
      </rPr>
      <t>Full Name</t>
    </r>
  </si>
  <si>
    <r>
      <rPr>
        <b/>
        <sz val="11"/>
        <rFont val="Calibri"/>
        <family val="1"/>
      </rPr>
      <t>SSN</t>
    </r>
  </si>
  <si>
    <r>
      <rPr>
        <b/>
        <sz val="11"/>
        <rFont val="Calibri"/>
        <family val="1"/>
      </rPr>
      <t>Department</t>
    </r>
  </si>
  <si>
    <r>
      <rPr>
        <b/>
        <sz val="11"/>
        <rFont val="Calibri"/>
        <family val="1"/>
      </rPr>
      <t>Start Date</t>
    </r>
  </si>
  <si>
    <r>
      <rPr>
        <b/>
        <sz val="11"/>
        <rFont val="Calibri"/>
        <family val="1"/>
      </rPr>
      <t>Earnings</t>
    </r>
  </si>
  <si>
    <r>
      <rPr>
        <sz val="11"/>
        <rFont val="Calibri"/>
        <family val="1"/>
      </rPr>
      <t>EMP001</t>
    </r>
  </si>
  <si>
    <r>
      <rPr>
        <sz val="11"/>
        <rFont val="Calibri"/>
        <family val="1"/>
      </rPr>
      <t>EMP002</t>
    </r>
  </si>
  <si>
    <r>
      <rPr>
        <sz val="11"/>
        <rFont val="Calibri"/>
        <family val="1"/>
      </rPr>
      <t>EMP003</t>
    </r>
  </si>
  <si>
    <r>
      <rPr>
        <sz val="10"/>
        <rFont val="Calibri"/>
        <family val="1"/>
      </rPr>
      <t>EMP001</t>
    </r>
  </si>
  <si>
    <r>
      <rPr>
        <sz val="10"/>
        <rFont val="Calibri"/>
        <family val="1"/>
      </rPr>
      <t>Faith K. Macias</t>
    </r>
  </si>
  <si>
    <r>
      <rPr>
        <sz val="10"/>
        <rFont val="Calibri"/>
        <family val="1"/>
      </rPr>
      <t>845-04-3962</t>
    </r>
  </si>
  <si>
    <r>
      <rPr>
        <sz val="10"/>
        <rFont val="Calibri"/>
        <family val="1"/>
      </rPr>
      <t>Marketing</t>
    </r>
  </si>
  <si>
    <r>
      <rPr>
        <sz val="10"/>
        <rFont val="Calibri"/>
        <family val="1"/>
      </rPr>
      <t>EMP002</t>
    </r>
  </si>
  <si>
    <r>
      <rPr>
        <sz val="10"/>
        <rFont val="Calibri"/>
        <family val="1"/>
      </rPr>
      <t>Lucian Q. Franklin</t>
    </r>
  </si>
  <si>
    <r>
      <rPr>
        <sz val="10"/>
        <rFont val="Calibri"/>
        <family val="1"/>
      </rPr>
      <t>345-28-4935</t>
    </r>
  </si>
  <si>
    <r>
      <rPr>
        <sz val="10"/>
        <rFont val="Calibri"/>
        <family val="1"/>
      </rPr>
      <t>IT/IS</t>
    </r>
  </si>
  <si>
    <r>
      <rPr>
        <sz val="10"/>
        <rFont val="Calibri"/>
        <family val="1"/>
      </rPr>
      <t>EMP003</t>
    </r>
  </si>
  <si>
    <r>
      <rPr>
        <sz val="10"/>
        <rFont val="Calibri"/>
        <family val="1"/>
      </rPr>
      <t>Blaze V. Bridges</t>
    </r>
  </si>
  <si>
    <r>
      <rPr>
        <sz val="10"/>
        <rFont val="Calibri"/>
        <family val="1"/>
      </rPr>
      <t>503-53-8350</t>
    </r>
  </si>
  <si>
    <r>
      <rPr>
        <sz val="10"/>
        <rFont val="Calibri"/>
        <family val="1"/>
      </rPr>
      <t>EMP004</t>
    </r>
  </si>
  <si>
    <r>
      <rPr>
        <sz val="10"/>
        <rFont val="Calibri"/>
        <family val="1"/>
      </rPr>
      <t>Denton Q. Dale</t>
    </r>
  </si>
  <si>
    <r>
      <rPr>
        <sz val="10"/>
        <rFont val="Calibri"/>
        <family val="1"/>
      </rPr>
      <t>858-39-7967</t>
    </r>
  </si>
  <si>
    <r>
      <rPr>
        <sz val="10"/>
        <rFont val="Calibri"/>
        <family val="1"/>
      </rPr>
      <t>$1,05,000.00</t>
    </r>
  </si>
  <si>
    <r>
      <rPr>
        <sz val="10"/>
        <rFont val="Calibri"/>
        <family val="1"/>
      </rPr>
      <t>EMP005</t>
    </r>
  </si>
  <si>
    <r>
      <rPr>
        <sz val="10"/>
        <rFont val="Calibri"/>
        <family val="1"/>
      </rPr>
      <t>Blossom K. Fox</t>
    </r>
  </si>
  <si>
    <r>
      <rPr>
        <sz val="10"/>
        <rFont val="Calibri"/>
        <family val="1"/>
      </rPr>
      <t>245-18-5890</t>
    </r>
  </si>
  <si>
    <r>
      <rPr>
        <sz val="10"/>
        <rFont val="Calibri"/>
        <family val="1"/>
      </rPr>
      <t>Engineering</t>
    </r>
  </si>
  <si>
    <r>
      <rPr>
        <sz val="10"/>
        <rFont val="Calibri"/>
        <family val="1"/>
      </rPr>
      <t>EMP006</t>
    </r>
  </si>
  <si>
    <r>
      <rPr>
        <sz val="10"/>
        <rFont val="Calibri"/>
        <family val="1"/>
      </rPr>
      <t>Kerry V. David</t>
    </r>
  </si>
  <si>
    <r>
      <rPr>
        <sz val="10"/>
        <rFont val="Calibri"/>
        <family val="1"/>
      </rPr>
      <t>873-45-8675</t>
    </r>
  </si>
  <si>
    <r>
      <rPr>
        <sz val="10"/>
        <rFont val="Calibri"/>
        <family val="1"/>
      </rPr>
      <t>Finance</t>
    </r>
  </si>
  <si>
    <r>
      <rPr>
        <sz val="10"/>
        <rFont val="Calibri"/>
        <family val="1"/>
      </rPr>
      <t>EMP007</t>
    </r>
  </si>
  <si>
    <r>
      <rPr>
        <sz val="10"/>
        <rFont val="Calibri"/>
        <family val="1"/>
      </rPr>
      <t>Melanie X. Baker</t>
    </r>
  </si>
  <si>
    <r>
      <rPr>
        <sz val="10"/>
        <rFont val="Calibri"/>
        <family val="1"/>
      </rPr>
      <t>190-08-3679</t>
    </r>
  </si>
  <si>
    <r>
      <rPr>
        <sz val="10"/>
        <rFont val="Calibri"/>
        <family val="1"/>
      </rPr>
      <t>EMP008</t>
    </r>
  </si>
  <si>
    <r>
      <rPr>
        <sz val="10"/>
        <rFont val="Calibri"/>
        <family val="1"/>
      </rPr>
      <t>Adele M. Fulton</t>
    </r>
  </si>
  <si>
    <r>
      <rPr>
        <sz val="10"/>
        <rFont val="Calibri"/>
        <family val="1"/>
      </rPr>
      <t>352-36-9553</t>
    </r>
  </si>
  <si>
    <r>
      <rPr>
        <sz val="10"/>
        <rFont val="Calibri"/>
        <family val="1"/>
      </rPr>
      <t>$1,04,000.00</t>
    </r>
  </si>
  <si>
    <r>
      <rPr>
        <sz val="10"/>
        <rFont val="Calibri"/>
        <family val="1"/>
      </rPr>
      <t>EMP009</t>
    </r>
  </si>
  <si>
    <r>
      <rPr>
        <sz val="10"/>
        <rFont val="Calibri"/>
        <family val="1"/>
      </rPr>
      <t>Justina O. Jensen</t>
    </r>
  </si>
  <si>
    <r>
      <rPr>
        <sz val="10"/>
        <rFont val="Calibri"/>
        <family val="1"/>
      </rPr>
      <t>645-74-0451</t>
    </r>
  </si>
  <si>
    <r>
      <rPr>
        <sz val="10"/>
        <rFont val="Calibri"/>
        <family val="1"/>
      </rPr>
      <t>$3,80,050.00</t>
    </r>
  </si>
  <si>
    <r>
      <rPr>
        <sz val="10"/>
        <rFont val="Calibri"/>
        <family val="1"/>
      </rPr>
      <t>EMP010</t>
    </r>
  </si>
  <si>
    <r>
      <rPr>
        <sz val="10"/>
        <rFont val="Calibri"/>
        <family val="1"/>
      </rPr>
      <t>Yoshi J. England</t>
    </r>
  </si>
  <si>
    <r>
      <rPr>
        <sz val="10"/>
        <rFont val="Calibri"/>
        <family val="1"/>
      </rPr>
      <t>558-53-1475</t>
    </r>
  </si>
  <si>
    <r>
      <rPr>
        <sz val="10"/>
        <rFont val="Calibri"/>
        <family val="1"/>
      </rPr>
      <t>EMP011</t>
    </r>
  </si>
  <si>
    <r>
      <rPr>
        <sz val="10"/>
        <rFont val="Calibri"/>
        <family val="1"/>
      </rPr>
      <t>Brooke Y. Mccarty</t>
    </r>
  </si>
  <si>
    <r>
      <rPr>
        <sz val="10"/>
        <rFont val="Calibri"/>
        <family val="1"/>
      </rPr>
      <t>129-42-6148</t>
    </r>
  </si>
  <si>
    <r>
      <rPr>
        <sz val="10"/>
        <rFont val="Calibri"/>
        <family val="1"/>
      </rPr>
      <t>$1,80,000.00</t>
    </r>
  </si>
  <si>
    <r>
      <rPr>
        <sz val="10"/>
        <rFont val="Calibri"/>
        <family val="1"/>
      </rPr>
      <t>EMP012</t>
    </r>
  </si>
  <si>
    <r>
      <rPr>
        <sz val="10"/>
        <rFont val="Calibri"/>
        <family val="1"/>
      </rPr>
      <t>Kay G. Colon</t>
    </r>
  </si>
  <si>
    <r>
      <rPr>
        <sz val="10"/>
        <rFont val="Calibri"/>
        <family val="1"/>
      </rPr>
      <t>796-50-4767</t>
    </r>
  </si>
  <si>
    <r>
      <rPr>
        <sz val="10"/>
        <rFont val="Calibri"/>
        <family val="1"/>
      </rPr>
      <t>$1,00,000.00</t>
    </r>
  </si>
  <si>
    <r>
      <rPr>
        <sz val="10"/>
        <rFont val="Calibri"/>
        <family val="1"/>
      </rPr>
      <t>EMP013</t>
    </r>
  </si>
  <si>
    <r>
      <rPr>
        <sz val="10"/>
        <rFont val="Calibri"/>
        <family val="1"/>
      </rPr>
      <t>Callie I. Forbes</t>
    </r>
  </si>
  <si>
    <r>
      <rPr>
        <sz val="10"/>
        <rFont val="Calibri"/>
        <family val="1"/>
      </rPr>
      <t>266-48-1339</t>
    </r>
  </si>
  <si>
    <r>
      <rPr>
        <sz val="10"/>
        <rFont val="Calibri"/>
        <family val="1"/>
      </rPr>
      <t>Human Resources</t>
    </r>
  </si>
  <si>
    <r>
      <rPr>
        <sz val="10"/>
        <rFont val="Calibri"/>
        <family val="1"/>
      </rPr>
      <t>$1,36,000.00</t>
    </r>
  </si>
  <si>
    <r>
      <rPr>
        <sz val="10"/>
        <rFont val="Calibri"/>
        <family val="1"/>
      </rPr>
      <t>EMP014</t>
    </r>
  </si>
  <si>
    <r>
      <rPr>
        <sz val="10"/>
        <rFont val="Calibri"/>
        <family val="1"/>
      </rPr>
      <t>Zachery O. Mann</t>
    </r>
  </si>
  <si>
    <r>
      <rPr>
        <sz val="10"/>
        <rFont val="Calibri"/>
        <family val="1"/>
      </rPr>
      <t>663-00-3285</t>
    </r>
  </si>
  <si>
    <r>
      <rPr>
        <b/>
        <sz val="10"/>
        <rFont val="Calibri"/>
        <family val="1"/>
      </rPr>
      <t>Q.1 How Many Employee in a List ?</t>
    </r>
  </si>
  <si>
    <r>
      <rPr>
        <sz val="11"/>
        <color rgb="FFFF0000"/>
        <rFont val="Calibri"/>
        <family val="1"/>
      </rPr>
      <t>Use of Formula Counta</t>
    </r>
  </si>
  <si>
    <r>
      <rPr>
        <b/>
        <sz val="10"/>
        <rFont val="Calibri"/>
        <family val="1"/>
      </rPr>
      <t>Q.2 How Many Employee work in Finance and Marketing Department?</t>
    </r>
  </si>
  <si>
    <r>
      <rPr>
        <sz val="11"/>
        <color rgb="FFFF0000"/>
        <rFont val="Calibri"/>
        <family val="1"/>
      </rPr>
      <t>Use of Formula Countif</t>
    </r>
  </si>
  <si>
    <r>
      <rPr>
        <b/>
        <sz val="11"/>
        <rFont val="Calibri"/>
        <family val="1"/>
      </rPr>
      <t>Q.3 Employee Blossom K. Fox Department and Earnings?</t>
    </r>
  </si>
  <si>
    <r>
      <rPr>
        <sz val="11"/>
        <color rgb="FFFF0000"/>
        <rFont val="Calibri"/>
        <family val="1"/>
      </rPr>
      <t>Use of Vlookup</t>
    </r>
  </si>
  <si>
    <r>
      <rPr>
        <b/>
        <sz val="11"/>
        <rFont val="Calibri"/>
        <family val="1"/>
      </rPr>
      <t>Q.4 Employee Blossom K. SSN No.?</t>
    </r>
  </si>
  <si>
    <r>
      <rPr>
        <b/>
        <sz val="11"/>
        <rFont val="Calibri"/>
        <family val="1"/>
      </rPr>
      <t>Q.5 How Many Amount Earnings Marketing Department?</t>
    </r>
  </si>
  <si>
    <r>
      <rPr>
        <sz val="11"/>
        <color rgb="FFFF0000"/>
        <rFont val="Calibri"/>
        <family val="1"/>
      </rPr>
      <t>Use of Sumif</t>
    </r>
  </si>
  <si>
    <r>
      <rPr>
        <b/>
        <sz val="14"/>
        <rFont val="Calibri"/>
        <family val="1"/>
      </rPr>
      <t>Assignment -11</t>
    </r>
  </si>
  <si>
    <r>
      <rPr>
        <b/>
        <u/>
        <sz val="11"/>
        <rFont val="Calibri"/>
        <family val="1"/>
      </rPr>
      <t>                                           Use of Formulas -  Match and Vlookup With Match                                           </t>
    </r>
  </si>
  <si>
    <r>
      <rPr>
        <b/>
        <u/>
        <sz val="11"/>
        <color rgb="FFFFFF00"/>
        <rFont val="Calibri"/>
        <family val="1"/>
      </rPr>
      <t>CLASSIC FAVORITES</t>
    </r>
  </si>
  <si>
    <r>
      <rPr>
        <b/>
        <sz val="11"/>
        <color rgb="FFFFFF00"/>
        <rFont val="Calibri"/>
        <family val="1"/>
      </rPr>
      <t>TALL</t>
    </r>
  </si>
  <si>
    <r>
      <rPr>
        <b/>
        <sz val="11"/>
        <color rgb="FFFFFF00"/>
        <rFont val="Calibri"/>
        <family val="1"/>
      </rPr>
      <t>GRANDE</t>
    </r>
  </si>
  <si>
    <r>
      <rPr>
        <b/>
        <sz val="11"/>
        <color rgb="FFFFFF00"/>
        <rFont val="Calibri"/>
        <family val="1"/>
      </rPr>
      <t>VENTI</t>
    </r>
  </si>
  <si>
    <r>
      <rPr>
        <sz val="11"/>
        <rFont val="Calibri"/>
        <family val="1"/>
      </rPr>
      <t>Caffe Latte</t>
    </r>
  </si>
  <si>
    <r>
      <rPr>
        <sz val="11"/>
        <rFont val="Calibri"/>
        <family val="1"/>
      </rPr>
      <t>Cappuccino</t>
    </r>
  </si>
  <si>
    <r>
      <rPr>
        <sz val="11"/>
        <rFont val="Calibri"/>
        <family val="1"/>
      </rPr>
      <t>Caramel Macchiato</t>
    </r>
  </si>
  <si>
    <r>
      <rPr>
        <sz val="11"/>
        <rFont val="Calibri"/>
        <family val="1"/>
      </rPr>
      <t>Caffe Mocha</t>
    </r>
  </si>
  <si>
    <r>
      <rPr>
        <sz val="11"/>
        <rFont val="Calibri"/>
        <family val="1"/>
      </rPr>
      <t>White Chocolate Mocha</t>
    </r>
  </si>
  <si>
    <r>
      <rPr>
        <sz val="11"/>
        <rFont val="Calibri"/>
        <family val="1"/>
      </rPr>
      <t>Caffe Americano</t>
    </r>
  </si>
  <si>
    <r>
      <rPr>
        <sz val="11"/>
        <rFont val="Calibri"/>
        <family val="1"/>
      </rPr>
      <t>Cinnamon Dolce Latte</t>
    </r>
  </si>
  <si>
    <r>
      <rPr>
        <sz val="11"/>
        <rFont val="Calibri"/>
        <family val="1"/>
      </rPr>
      <t>Steamer</t>
    </r>
  </si>
  <si>
    <r>
      <rPr>
        <sz val="11"/>
        <rFont val="Calibri"/>
        <family val="1"/>
      </rPr>
      <t>Drip Coffee</t>
    </r>
  </si>
  <si>
    <r>
      <rPr>
        <b/>
        <sz val="11"/>
        <rFont val="Calibri"/>
        <family val="1"/>
      </rPr>
      <t>Question: What is the column number for the size Grande,Tall, Venti?</t>
    </r>
  </si>
  <si>
    <r>
      <rPr>
        <b/>
        <sz val="11"/>
        <rFont val="Calibri"/>
        <family val="1"/>
      </rPr>
      <t>Use of Match Formula</t>
    </r>
  </si>
  <si>
    <r>
      <rPr>
        <sz val="11"/>
        <rFont val="Calibri"/>
        <family val="1"/>
      </rPr>
      <t>Grande</t>
    </r>
  </si>
  <si>
    <r>
      <rPr>
        <sz val="11"/>
        <rFont val="Calibri"/>
        <family val="1"/>
      </rPr>
      <t>Use of Match Function</t>
    </r>
  </si>
  <si>
    <r>
      <rPr>
        <b/>
        <sz val="11"/>
        <rFont val="Calibri"/>
        <family val="1"/>
      </rPr>
      <t>VENTI</t>
    </r>
  </si>
  <si>
    <r>
      <rPr>
        <b/>
        <sz val="11"/>
        <rFont val="Calibri"/>
        <family val="1"/>
      </rPr>
      <t>TALL</t>
    </r>
  </si>
  <si>
    <r>
      <rPr>
        <b/>
        <sz val="11"/>
        <rFont val="Calibri"/>
        <family val="1"/>
      </rPr>
      <t>Question: What is the price of a Caffe Mocha, size Grande,Tall, Venti?</t>
    </r>
  </si>
  <si>
    <r>
      <rPr>
        <b/>
        <sz val="11"/>
        <rFont val="Calibri"/>
        <family val="1"/>
      </rPr>
      <t>Use of Vlookup with Match Formula</t>
    </r>
  </si>
  <si>
    <r>
      <rPr>
        <sz val="11"/>
        <rFont val="Calibri"/>
        <family val="1"/>
      </rPr>
      <t>TALL</t>
    </r>
  </si>
  <si>
    <r>
      <rPr>
        <sz val="11"/>
        <rFont val="Calibri"/>
        <family val="1"/>
      </rPr>
      <t>VENTI</t>
    </r>
  </si>
  <si>
    <r>
      <rPr>
        <b/>
        <sz val="14"/>
        <rFont val="Calibri"/>
        <family val="1"/>
      </rPr>
      <t>Assignment -12</t>
    </r>
  </si>
  <si>
    <r>
      <rPr>
        <b/>
        <sz val="11"/>
        <rFont val="Calibri"/>
        <family val="1"/>
      </rPr>
      <t>Use of Formulas -  Counta and Vlookup</t>
    </r>
  </si>
  <si>
    <r>
      <rPr>
        <b/>
        <sz val="11"/>
        <color rgb="FFFFFFFF"/>
        <rFont val="Calibri"/>
        <family val="1"/>
      </rPr>
      <t>Product Name</t>
    </r>
  </si>
  <si>
    <r>
      <rPr>
        <b/>
        <sz val="11"/>
        <color rgb="FFFFFFFF"/>
        <rFont val="Calibri"/>
        <family val="1"/>
      </rPr>
      <t>Jan</t>
    </r>
  </si>
  <si>
    <r>
      <rPr>
        <b/>
        <sz val="11"/>
        <color rgb="FFFFFFFF"/>
        <rFont val="Calibri"/>
        <family val="1"/>
      </rPr>
      <t>Feb</t>
    </r>
  </si>
  <si>
    <r>
      <rPr>
        <b/>
        <sz val="11"/>
        <color rgb="FFFFFFFF"/>
        <rFont val="Calibri"/>
        <family val="1"/>
      </rPr>
      <t>Mar</t>
    </r>
  </si>
  <si>
    <r>
      <rPr>
        <b/>
        <sz val="11"/>
        <color rgb="FFFFFFFF"/>
        <rFont val="Calibri"/>
        <family val="1"/>
      </rPr>
      <t>Apr</t>
    </r>
  </si>
  <si>
    <r>
      <rPr>
        <b/>
        <sz val="11"/>
        <color rgb="FFFFFFFF"/>
        <rFont val="Calibri"/>
        <family val="1"/>
      </rPr>
      <t>May</t>
    </r>
  </si>
  <si>
    <r>
      <rPr>
        <b/>
        <sz val="11"/>
        <color rgb="FFFFFFFF"/>
        <rFont val="Calibri"/>
        <family val="1"/>
      </rPr>
      <t>Jun</t>
    </r>
  </si>
  <si>
    <r>
      <rPr>
        <b/>
        <sz val="11"/>
        <color rgb="FFFFFFFF"/>
        <rFont val="Calibri"/>
        <family val="1"/>
      </rPr>
      <t>Jul</t>
    </r>
  </si>
  <si>
    <r>
      <rPr>
        <b/>
        <sz val="11"/>
        <color rgb="FFFFFFFF"/>
        <rFont val="Calibri"/>
        <family val="1"/>
      </rPr>
      <t>Aug</t>
    </r>
  </si>
  <si>
    <r>
      <rPr>
        <b/>
        <sz val="11"/>
        <color rgb="FFFFFFFF"/>
        <rFont val="Calibri"/>
        <family val="1"/>
      </rPr>
      <t>Total Sales</t>
    </r>
  </si>
  <si>
    <r>
      <rPr>
        <sz val="11"/>
        <rFont val="Calibri"/>
        <family val="1"/>
      </rPr>
      <t>Apples</t>
    </r>
  </si>
  <si>
    <r>
      <rPr>
        <sz val="11"/>
        <rFont val="Calibri"/>
        <family val="1"/>
      </rPr>
      <t>Grapefruit</t>
    </r>
  </si>
  <si>
    <r>
      <rPr>
        <sz val="11"/>
        <rFont val="Calibri"/>
        <family val="1"/>
      </rPr>
      <t>Lemons</t>
    </r>
  </si>
  <si>
    <r>
      <rPr>
        <sz val="11"/>
        <rFont val="Calibri"/>
        <family val="1"/>
      </rPr>
      <t>Lime</t>
    </r>
  </si>
  <si>
    <r>
      <rPr>
        <sz val="11"/>
        <rFont val="Calibri"/>
        <family val="1"/>
      </rPr>
      <t>Oranges</t>
    </r>
  </si>
  <si>
    <r>
      <rPr>
        <sz val="11"/>
        <rFont val="Calibri"/>
        <family val="1"/>
      </rPr>
      <t>Peaches</t>
    </r>
  </si>
  <si>
    <r>
      <rPr>
        <sz val="11"/>
        <rFont val="Calibri"/>
        <family val="1"/>
      </rPr>
      <t>Pears</t>
    </r>
  </si>
  <si>
    <r>
      <rPr>
        <sz val="11"/>
        <rFont val="Calibri"/>
        <family val="1"/>
      </rPr>
      <t>Pineapples</t>
    </r>
  </si>
  <si>
    <r>
      <rPr>
        <sz val="11"/>
        <rFont val="Calibri"/>
        <family val="1"/>
      </rPr>
      <t>Q.1 How Many Fruits?</t>
    </r>
  </si>
  <si>
    <r>
      <rPr>
        <sz val="11"/>
        <rFont val="Calibri"/>
        <family val="1"/>
      </rPr>
      <t>Q.2 Fruits Lemons and Pineapples sales in Mar and Jul ?</t>
    </r>
  </si>
  <si>
    <r>
      <rPr>
        <b/>
        <sz val="14"/>
        <rFont val="Calibri"/>
        <family val="1"/>
      </rPr>
      <t>Assignment -13</t>
    </r>
  </si>
  <si>
    <r>
      <rPr>
        <b/>
        <sz val="11"/>
        <rFont val="Calibri"/>
        <family val="1"/>
      </rPr>
      <t>Create Pivot Table Using Data</t>
    </r>
  </si>
  <si>
    <r>
      <rPr>
        <b/>
        <sz val="11"/>
        <rFont val="Calibri"/>
        <family val="1"/>
      </rPr>
      <t>Last Name</t>
    </r>
  </si>
  <si>
    <r>
      <rPr>
        <b/>
        <sz val="11"/>
        <rFont val="Calibri"/>
        <family val="1"/>
      </rPr>
      <t>Sales</t>
    </r>
  </si>
  <si>
    <r>
      <rPr>
        <b/>
        <sz val="11"/>
        <rFont val="Calibri"/>
        <family val="1"/>
      </rPr>
      <t>Country</t>
    </r>
  </si>
  <si>
    <r>
      <rPr>
        <b/>
        <sz val="11"/>
        <rFont val="Calibri"/>
        <family val="1"/>
      </rPr>
      <t>Quarter</t>
    </r>
  </si>
  <si>
    <r>
      <rPr>
        <sz val="11"/>
        <rFont val="Calibri"/>
        <family val="1"/>
      </rPr>
      <t>UK</t>
    </r>
  </si>
  <si>
    <r>
      <rPr>
        <sz val="11"/>
        <rFont val="Calibri"/>
        <family val="1"/>
      </rPr>
      <t>Qtr 3</t>
    </r>
  </si>
  <si>
    <r>
      <rPr>
        <sz val="11"/>
        <rFont val="Calibri"/>
        <family val="1"/>
      </rPr>
      <t>Johnson</t>
    </r>
  </si>
  <si>
    <r>
      <rPr>
        <sz val="11"/>
        <rFont val="Calibri"/>
        <family val="1"/>
      </rPr>
      <t>USA</t>
    </r>
  </si>
  <si>
    <r>
      <rPr>
        <sz val="11"/>
        <rFont val="Calibri"/>
        <family val="1"/>
      </rPr>
      <t>Qtr 4</t>
    </r>
  </si>
  <si>
    <r>
      <rPr>
        <sz val="11"/>
        <rFont val="Calibri"/>
        <family val="1"/>
      </rPr>
      <t>Qtr 2</t>
    </r>
  </si>
  <si>
    <r>
      <rPr>
        <sz val="11"/>
        <rFont val="Calibri"/>
        <family val="1"/>
      </rPr>
      <t>Jones</t>
    </r>
  </si>
  <si>
    <r>
      <rPr>
        <sz val="11"/>
        <rFont val="Calibri"/>
        <family val="1"/>
      </rPr>
      <t>Brown</t>
    </r>
  </si>
  <si>
    <r>
      <rPr>
        <sz val="11"/>
        <rFont val="Calibri"/>
        <family val="1"/>
      </rPr>
      <t>Qtr 1</t>
    </r>
  </si>
  <si>
    <r>
      <rPr>
        <b/>
        <sz val="14"/>
        <rFont val="Calibri"/>
        <family val="1"/>
      </rPr>
      <t>Assignment -14</t>
    </r>
  </si>
  <si>
    <r>
      <rPr>
        <b/>
        <u/>
        <sz val="11"/>
        <rFont val="Calibri"/>
        <family val="1"/>
      </rPr>
      <t>                             Use of Formulas -  Countif, Countifs and Sumifs                             </t>
    </r>
  </si>
  <si>
    <r>
      <rPr>
        <b/>
        <sz val="10"/>
        <color rgb="FFFFFFFF"/>
        <rFont val="Arial"/>
        <family val="2"/>
      </rPr>
      <t>Season</t>
    </r>
  </si>
  <si>
    <r>
      <rPr>
        <b/>
        <sz val="10"/>
        <color rgb="FFFFFFFF"/>
        <rFont val="Arial"/>
        <family val="2"/>
      </rPr>
      <t>Year</t>
    </r>
  </si>
  <si>
    <r>
      <rPr>
        <b/>
        <sz val="10"/>
        <color rgb="FFFFFFFF"/>
        <rFont val="Arial"/>
        <family val="2"/>
      </rPr>
      <t>Type</t>
    </r>
  </si>
  <si>
    <r>
      <rPr>
        <b/>
        <sz val="10"/>
        <color rgb="FFFFFFFF"/>
        <rFont val="Arial"/>
        <family val="2"/>
      </rPr>
      <t>State</t>
    </r>
  </si>
  <si>
    <r>
      <rPr>
        <sz val="10"/>
        <rFont val="Arial MT"/>
        <family val="2"/>
      </rPr>
      <t>Fall</t>
    </r>
  </si>
  <si>
    <r>
      <rPr>
        <sz val="10"/>
        <rFont val="Arial MT"/>
        <family val="2"/>
      </rPr>
      <t>Amber Ale</t>
    </r>
  </si>
  <si>
    <r>
      <rPr>
        <sz val="10"/>
        <rFont val="Arial MT"/>
        <family val="2"/>
      </rPr>
      <t>California</t>
    </r>
  </si>
  <si>
    <r>
      <rPr>
        <sz val="10"/>
        <rFont val="Arial MT"/>
        <family val="2"/>
      </rPr>
      <t>Hefeweizen</t>
    </r>
  </si>
  <si>
    <r>
      <rPr>
        <sz val="10"/>
        <rFont val="Arial MT"/>
        <family val="2"/>
      </rPr>
      <t>Pale Ale</t>
    </r>
  </si>
  <si>
    <r>
      <rPr>
        <sz val="10"/>
        <rFont val="Arial MT"/>
        <family val="2"/>
      </rPr>
      <t>Pilsner</t>
    </r>
  </si>
  <si>
    <r>
      <rPr>
        <sz val="10"/>
        <rFont val="Arial MT"/>
        <family val="2"/>
      </rPr>
      <t>Porter</t>
    </r>
  </si>
  <si>
    <r>
      <rPr>
        <sz val="10"/>
        <rFont val="Arial MT"/>
        <family val="2"/>
      </rPr>
      <t>Stout</t>
    </r>
  </si>
  <si>
    <r>
      <rPr>
        <sz val="10"/>
        <rFont val="Arial MT"/>
        <family val="2"/>
      </rPr>
      <t>Oregon</t>
    </r>
  </si>
  <si>
    <r>
      <rPr>
        <sz val="10"/>
        <rFont val="Arial MT"/>
        <family val="2"/>
      </rPr>
      <t>Washington</t>
    </r>
  </si>
  <si>
    <r>
      <rPr>
        <sz val="10"/>
        <rFont val="Arial MT"/>
        <family val="2"/>
      </rPr>
      <t>Spring</t>
    </r>
  </si>
  <si>
    <r>
      <rPr>
        <b/>
        <sz val="10"/>
        <rFont val="Arial"/>
        <family val="2"/>
      </rPr>
      <t xml:space="preserve">Q.1 How Many Spring and Fall Season?
</t>
    </r>
    <r>
      <rPr>
        <b/>
        <sz val="11"/>
        <rFont val="Calibri"/>
        <family val="1"/>
      </rPr>
      <t>Q.2 How Many Fall Season in California and Washington?</t>
    </r>
  </si>
  <si>
    <r>
      <rPr>
        <sz val="11"/>
        <color rgb="FFFF0000"/>
        <rFont val="Calibri"/>
        <family val="1"/>
      </rPr>
      <t xml:space="preserve">Using Formula
</t>
    </r>
    <r>
      <rPr>
        <sz val="11"/>
        <color rgb="FFFF0000"/>
        <rFont val="Calibri"/>
        <family val="1"/>
      </rPr>
      <t xml:space="preserve">Countif
</t>
    </r>
    <r>
      <rPr>
        <sz val="11"/>
        <color rgb="FFFF0000"/>
        <rFont val="Calibri"/>
        <family val="1"/>
      </rPr>
      <t>Using Formula Countifs</t>
    </r>
  </si>
  <si>
    <r>
      <rPr>
        <b/>
        <sz val="11"/>
        <rFont val="Calibri"/>
        <family val="1"/>
      </rPr>
      <t xml:space="preserve">Q.3 Total Sales if Spring Season in Washngton and California?                           </t>
    </r>
    <r>
      <rPr>
        <sz val="11"/>
        <color rgb="FFFF0000"/>
        <rFont val="Calibri"/>
        <family val="1"/>
      </rPr>
      <t xml:space="preserve">using Formula Sumifs
</t>
    </r>
    <r>
      <rPr>
        <sz val="11"/>
        <color rgb="FFFF0000"/>
        <rFont val="Calibri"/>
        <family val="1"/>
      </rPr>
      <t>Using Formula</t>
    </r>
  </si>
  <si>
    <r>
      <rPr>
        <b/>
        <sz val="11"/>
        <rFont val="Calibri"/>
        <family val="1"/>
      </rPr>
      <t xml:space="preserve">Q.4 How Many Spring Season in Washington only?
</t>
    </r>
    <r>
      <rPr>
        <b/>
        <sz val="11"/>
        <rFont val="Calibri"/>
        <family val="1"/>
      </rPr>
      <t>Q.5 Create Pivot Table Using Data?</t>
    </r>
  </si>
  <si>
    <r>
      <rPr>
        <sz val="11"/>
        <color rgb="FFFF0000"/>
        <rFont val="Calibri"/>
        <family val="1"/>
      </rPr>
      <t>Countifs</t>
    </r>
  </si>
  <si>
    <r>
      <rPr>
        <b/>
        <sz val="14"/>
        <rFont val="Calibri"/>
        <family val="1"/>
      </rPr>
      <t>Assignment -15</t>
    </r>
  </si>
  <si>
    <r>
      <rPr>
        <b/>
        <sz val="11"/>
        <rFont val="Calibri"/>
        <family val="1"/>
      </rPr>
      <t>Create Pivot Table Using Data Separate Fruit and Vegetables</t>
    </r>
  </si>
  <si>
    <r>
      <rPr>
        <b/>
        <sz val="11"/>
        <color rgb="FFFFFFFF"/>
        <rFont val="Calibri"/>
        <family val="1"/>
      </rPr>
      <t>Order ID</t>
    </r>
  </si>
  <si>
    <r>
      <rPr>
        <b/>
        <sz val="11"/>
        <color rgb="FFFFFFFF"/>
        <rFont val="Calibri"/>
        <family val="1"/>
      </rPr>
      <t>Product</t>
    </r>
  </si>
  <si>
    <r>
      <rPr>
        <b/>
        <sz val="11"/>
        <color rgb="FFFFFFFF"/>
        <rFont val="Calibri"/>
        <family val="1"/>
      </rPr>
      <t>Category</t>
    </r>
  </si>
  <si>
    <r>
      <rPr>
        <b/>
        <sz val="11"/>
        <color rgb="FFFFFFFF"/>
        <rFont val="Calibri"/>
        <family val="1"/>
      </rPr>
      <t>Amount</t>
    </r>
  </si>
  <si>
    <r>
      <rPr>
        <b/>
        <sz val="11"/>
        <color rgb="FFFFFFFF"/>
        <rFont val="Calibri"/>
        <family val="1"/>
      </rPr>
      <t>Date</t>
    </r>
  </si>
  <si>
    <r>
      <rPr>
        <b/>
        <sz val="11"/>
        <color rgb="FFFFFFFF"/>
        <rFont val="Calibri"/>
        <family val="1"/>
      </rPr>
      <t>Country</t>
    </r>
  </si>
  <si>
    <r>
      <rPr>
        <sz val="11"/>
        <rFont val="Calibri"/>
        <family val="1"/>
      </rPr>
      <t>Carrots</t>
    </r>
  </si>
  <si>
    <r>
      <rPr>
        <sz val="11"/>
        <rFont val="Calibri"/>
        <family val="1"/>
      </rPr>
      <t>Vegetables</t>
    </r>
  </si>
  <si>
    <r>
      <rPr>
        <sz val="11"/>
        <rFont val="Calibri"/>
        <family val="1"/>
      </rPr>
      <t>United States</t>
    </r>
  </si>
  <si>
    <r>
      <rPr>
        <sz val="11"/>
        <rFont val="Calibri"/>
        <family val="1"/>
      </rPr>
      <t>Broccoli</t>
    </r>
  </si>
  <si>
    <r>
      <rPr>
        <sz val="11"/>
        <rFont val="Calibri"/>
        <family val="1"/>
      </rPr>
      <t>United Kingdom</t>
    </r>
  </si>
  <si>
    <r>
      <rPr>
        <sz val="11"/>
        <rFont val="Calibri"/>
        <family val="1"/>
      </rPr>
      <t>Banana</t>
    </r>
  </si>
  <si>
    <r>
      <rPr>
        <sz val="11"/>
        <rFont val="Calibri"/>
        <family val="1"/>
      </rPr>
      <t>Fruit</t>
    </r>
  </si>
  <si>
    <r>
      <rPr>
        <sz val="11"/>
        <rFont val="Calibri"/>
        <family val="1"/>
      </rPr>
      <t>Canada</t>
    </r>
  </si>
  <si>
    <r>
      <rPr>
        <sz val="11"/>
        <rFont val="Calibri"/>
        <family val="1"/>
      </rPr>
      <t>Beans</t>
    </r>
  </si>
  <si>
    <r>
      <rPr>
        <sz val="11"/>
        <rFont val="Calibri"/>
        <family val="1"/>
      </rPr>
      <t>Germany</t>
    </r>
  </si>
  <si>
    <r>
      <rPr>
        <sz val="11"/>
        <rFont val="Calibri"/>
        <family val="1"/>
      </rPr>
      <t>Orange</t>
    </r>
  </si>
  <si>
    <r>
      <rPr>
        <sz val="11"/>
        <rFont val="Calibri"/>
        <family val="1"/>
      </rPr>
      <t>Australia</t>
    </r>
  </si>
  <si>
    <r>
      <rPr>
        <sz val="11"/>
        <rFont val="Calibri"/>
        <family val="1"/>
      </rPr>
      <t>New Zealand</t>
    </r>
  </si>
  <si>
    <r>
      <rPr>
        <sz val="11"/>
        <rFont val="Calibri"/>
        <family val="1"/>
      </rPr>
      <t>Apple</t>
    </r>
  </si>
  <si>
    <r>
      <rPr>
        <sz val="11"/>
        <rFont val="Calibri"/>
        <family val="1"/>
      </rPr>
      <t>France</t>
    </r>
  </si>
  <si>
    <r>
      <rPr>
        <sz val="11"/>
        <rFont val="Calibri"/>
        <family val="1"/>
      </rPr>
      <t>Mango</t>
    </r>
  </si>
  <si>
    <r>
      <rPr>
        <b/>
        <sz val="11"/>
        <rFont val="Calibri"/>
        <family val="1"/>
      </rPr>
      <t>Q.1 How Many Fruits and Vegetables Items in a List?</t>
    </r>
  </si>
  <si>
    <r>
      <rPr>
        <b/>
        <sz val="11"/>
        <rFont val="Calibri"/>
        <family val="1"/>
      </rPr>
      <t>Q.2 Total Apple and Banana Amount?</t>
    </r>
  </si>
  <si>
    <r>
      <rPr>
        <sz val="11"/>
        <color rgb="FFFF0000"/>
        <rFont val="Calibri"/>
        <family val="1"/>
      </rPr>
      <t>Use of Formula Sumif</t>
    </r>
  </si>
  <si>
    <r>
      <rPr>
        <b/>
        <sz val="11"/>
        <rFont val="Calibri"/>
        <family val="1"/>
      </rPr>
      <t>Q.3 How Many Product in a list?</t>
    </r>
  </si>
  <si>
    <r>
      <rPr>
        <b/>
        <sz val="11"/>
        <rFont val="Calibri"/>
        <family val="1"/>
      </rPr>
      <t>Q.4 How Many Apple and Banana Use in Canada &amp; United Kingdom?</t>
    </r>
  </si>
  <si>
    <r>
      <rPr>
        <sz val="11"/>
        <color rgb="FFFF0000"/>
        <rFont val="Calibri"/>
        <family val="1"/>
      </rPr>
      <t>Use of Countifs</t>
    </r>
  </si>
  <si>
    <r>
      <rPr>
        <b/>
        <sz val="11"/>
        <rFont val="Calibri"/>
        <family val="1"/>
      </rPr>
      <t xml:space="preserve">Q.5 Apple and Banana Sales in United
</t>
    </r>
    <r>
      <rPr>
        <b/>
        <sz val="11"/>
        <rFont val="Calibri"/>
        <family val="1"/>
      </rPr>
      <t>States ?</t>
    </r>
  </si>
  <si>
    <r>
      <rPr>
        <sz val="11"/>
        <color rgb="FFFF0000"/>
        <rFont val="Calibri"/>
        <family val="1"/>
      </rPr>
      <t>Use of Sumifs</t>
    </r>
  </si>
  <si>
    <r>
      <rPr>
        <b/>
        <sz val="14"/>
        <rFont val="Calibri"/>
        <family val="1"/>
      </rPr>
      <t>Assignment -16</t>
    </r>
  </si>
  <si>
    <r>
      <rPr>
        <b/>
        <u/>
        <sz val="11"/>
        <rFont val="Calibri"/>
        <family val="1"/>
      </rPr>
      <t>                                                    Use of Formulas -  Countif, Countifs and Sumifs and Vlookup                                                </t>
    </r>
  </si>
  <si>
    <r>
      <rPr>
        <b/>
        <sz val="11"/>
        <rFont val="Calibri"/>
        <family val="1"/>
      </rPr>
      <t>Name</t>
    </r>
  </si>
  <si>
    <r>
      <rPr>
        <b/>
        <sz val="11"/>
        <rFont val="Calibri"/>
        <family val="1"/>
      </rPr>
      <t>Score</t>
    </r>
  </si>
  <si>
    <r>
      <rPr>
        <sz val="11"/>
        <rFont val="Calibri"/>
        <family val="1"/>
      </rPr>
      <t>Richard</t>
    </r>
  </si>
  <si>
    <r>
      <rPr>
        <sz val="11"/>
        <rFont val="Calibri"/>
        <family val="1"/>
      </rPr>
      <t>Male</t>
    </r>
  </si>
  <si>
    <r>
      <rPr>
        <sz val="11"/>
        <rFont val="Calibri"/>
        <family val="1"/>
      </rPr>
      <t>Jennifer</t>
    </r>
  </si>
  <si>
    <r>
      <rPr>
        <sz val="11"/>
        <rFont val="Calibri"/>
        <family val="1"/>
      </rPr>
      <t>Female</t>
    </r>
  </si>
  <si>
    <r>
      <rPr>
        <sz val="11"/>
        <rFont val="Calibri"/>
        <family val="1"/>
      </rPr>
      <t>James</t>
    </r>
  </si>
  <si>
    <r>
      <rPr>
        <sz val="11"/>
        <rFont val="Calibri"/>
        <family val="1"/>
      </rPr>
      <t>Lisa</t>
    </r>
  </si>
  <si>
    <r>
      <rPr>
        <sz val="11"/>
        <rFont val="Calibri"/>
        <family val="1"/>
      </rPr>
      <t>Sharon</t>
    </r>
  </si>
  <si>
    <r>
      <rPr>
        <sz val="11"/>
        <rFont val="Calibri"/>
        <family val="1"/>
      </rPr>
      <t>Elizabeth</t>
    </r>
  </si>
  <si>
    <r>
      <rPr>
        <sz val="11"/>
        <rFont val="Calibri"/>
        <family val="1"/>
      </rPr>
      <t>Carol</t>
    </r>
  </si>
  <si>
    <r>
      <rPr>
        <sz val="11"/>
        <rFont val="Calibri"/>
        <family val="1"/>
      </rPr>
      <t>Mark</t>
    </r>
  </si>
  <si>
    <r>
      <rPr>
        <sz val="11"/>
        <rFont val="Calibri"/>
        <family val="1"/>
      </rPr>
      <t>Susan</t>
    </r>
  </si>
  <si>
    <r>
      <rPr>
        <sz val="11"/>
        <rFont val="Calibri"/>
        <family val="1"/>
      </rPr>
      <t>David</t>
    </r>
  </si>
  <si>
    <r>
      <rPr>
        <b/>
        <sz val="11"/>
        <rFont val="Calibri"/>
        <family val="1"/>
      </rPr>
      <t>Q.1 How Many Male and Female Candidate in a List?</t>
    </r>
  </si>
  <si>
    <r>
      <rPr>
        <b/>
        <sz val="11"/>
        <rFont val="Calibri"/>
        <family val="1"/>
      </rPr>
      <t>Q.2 How Many Male Employee in United States?</t>
    </r>
  </si>
  <si>
    <r>
      <rPr>
        <sz val="11"/>
        <color rgb="FFFF0000"/>
        <rFont val="Calibri"/>
        <family val="1"/>
      </rPr>
      <t xml:space="preserve">Use of Formula
</t>
    </r>
    <r>
      <rPr>
        <sz val="11"/>
        <color rgb="FFFF0000"/>
        <rFont val="Calibri"/>
        <family val="1"/>
      </rPr>
      <t>Countifs</t>
    </r>
  </si>
  <si>
    <r>
      <rPr>
        <b/>
        <sz val="11"/>
        <rFont val="Calibri"/>
        <family val="1"/>
      </rPr>
      <t>Q.3 Lisa and John Which Country Belong?</t>
    </r>
  </si>
  <si>
    <r>
      <rPr>
        <b/>
        <sz val="11"/>
        <rFont val="Calibri"/>
        <family val="1"/>
      </rPr>
      <t>Q.4 United States Male and Female Candidate Scores?</t>
    </r>
  </si>
  <si>
    <r>
      <rPr>
        <b/>
        <sz val="11"/>
        <rFont val="Calibri"/>
        <family val="1"/>
      </rPr>
      <t>Q.5 How Many Male Candidate Belong Country United State Total Score?</t>
    </r>
  </si>
  <si>
    <r>
      <rPr>
        <b/>
        <sz val="14"/>
        <rFont val="Calibri"/>
        <family val="1"/>
      </rPr>
      <t>Assignment -17</t>
    </r>
  </si>
  <si>
    <r>
      <rPr>
        <b/>
        <u/>
        <sz val="11"/>
        <rFont val="Calibri"/>
        <family val="1"/>
      </rPr>
      <t>                                                         Use of Formulas - Vlookup                                                         </t>
    </r>
  </si>
  <si>
    <r>
      <rPr>
        <b/>
        <sz val="11"/>
        <color rgb="FFFFFFFF"/>
        <rFont val="Calibri"/>
        <family val="1"/>
      </rPr>
      <t>ID</t>
    </r>
  </si>
  <si>
    <r>
      <rPr>
        <b/>
        <sz val="11"/>
        <color rgb="FFFFFFFF"/>
        <rFont val="Calibri"/>
        <family val="1"/>
      </rPr>
      <t>Brand</t>
    </r>
  </si>
  <si>
    <r>
      <rPr>
        <b/>
        <sz val="11"/>
        <rFont val="Calibri"/>
        <family val="1"/>
      </rPr>
      <t>ID</t>
    </r>
  </si>
  <si>
    <r>
      <rPr>
        <b/>
        <sz val="11"/>
        <rFont val="Calibri"/>
        <family val="1"/>
      </rPr>
      <t>Brand</t>
    </r>
  </si>
  <si>
    <r>
      <rPr>
        <b/>
        <sz val="11"/>
        <rFont val="Calibri"/>
        <family val="1"/>
      </rPr>
      <t>Product</t>
    </r>
  </si>
  <si>
    <r>
      <rPr>
        <sz val="11"/>
        <rFont val="Calibri"/>
        <family val="1"/>
      </rPr>
      <t>Dell</t>
    </r>
  </si>
  <si>
    <r>
      <rPr>
        <sz val="11"/>
        <rFont val="Calibri"/>
        <family val="1"/>
      </rPr>
      <t>Computer</t>
    </r>
  </si>
  <si>
    <r>
      <rPr>
        <sz val="11"/>
        <rFont val="Calibri"/>
        <family val="1"/>
      </rPr>
      <t>HP</t>
    </r>
  </si>
  <si>
    <r>
      <rPr>
        <sz val="11"/>
        <rFont val="Calibri"/>
        <family val="1"/>
      </rPr>
      <t>Printer</t>
    </r>
  </si>
  <si>
    <r>
      <rPr>
        <sz val="11"/>
        <rFont val="Calibri"/>
        <family val="1"/>
      </rPr>
      <t>Logitech</t>
    </r>
  </si>
  <si>
    <r>
      <rPr>
        <sz val="11"/>
        <rFont val="Calibri"/>
        <family val="1"/>
      </rPr>
      <t>Keyboard</t>
    </r>
  </si>
  <si>
    <r>
      <rPr>
        <sz val="11"/>
        <rFont val="Calibri"/>
        <family val="1"/>
      </rPr>
      <t>Mouse</t>
    </r>
  </si>
  <si>
    <r>
      <rPr>
        <b/>
        <sz val="11"/>
        <rFont val="Calibri"/>
        <family val="1"/>
      </rPr>
      <t>Use of Vlookup Function ?</t>
    </r>
  </si>
  <si>
    <r>
      <rPr>
        <b/>
        <sz val="14"/>
        <rFont val="Calibri"/>
        <family val="1"/>
      </rPr>
      <t>Assignment -18</t>
    </r>
  </si>
  <si>
    <r>
      <rPr>
        <b/>
        <u/>
        <sz val="11"/>
        <rFont val="Calibri"/>
        <family val="1"/>
      </rPr>
      <t>                                                       Use of Formulas - Hlookup                                                       </t>
    </r>
  </si>
  <si>
    <r>
      <rPr>
        <b/>
        <sz val="11"/>
        <color rgb="FFFF0000"/>
        <rFont val="Calibri"/>
        <family val="1"/>
      </rPr>
      <t>ID</t>
    </r>
  </si>
  <si>
    <r>
      <rPr>
        <b/>
        <sz val="14"/>
        <rFont val="Calibri"/>
        <family val="1"/>
      </rPr>
      <t>Assignment -19</t>
    </r>
  </si>
  <si>
    <r>
      <rPr>
        <b/>
        <u/>
        <sz val="11"/>
        <rFont val="Calibri"/>
        <family val="1"/>
      </rPr>
      <t>                                           Use of Formulas - Index with Match                                           </t>
    </r>
  </si>
  <si>
    <r>
      <rPr>
        <b/>
        <sz val="11"/>
        <color rgb="FFFF0000"/>
        <rFont val="Calibri"/>
        <family val="1"/>
      </rPr>
      <t>Region</t>
    </r>
  </si>
  <si>
    <r>
      <rPr>
        <b/>
        <sz val="11"/>
        <color rgb="FFFF0000"/>
        <rFont val="Calibri"/>
        <family val="1"/>
      </rPr>
      <t>Jan</t>
    </r>
  </si>
  <si>
    <r>
      <rPr>
        <b/>
        <sz val="11"/>
        <color rgb="FFFF0000"/>
        <rFont val="Calibri"/>
        <family val="1"/>
      </rPr>
      <t>Feb</t>
    </r>
  </si>
  <si>
    <r>
      <rPr>
        <b/>
        <sz val="11"/>
        <color rgb="FFFF0000"/>
        <rFont val="Calibri"/>
        <family val="1"/>
      </rPr>
      <t>Mar</t>
    </r>
  </si>
  <si>
    <r>
      <rPr>
        <sz val="11"/>
        <rFont val="Calibri"/>
        <family val="1"/>
      </rPr>
      <t>North</t>
    </r>
  </si>
  <si>
    <r>
      <rPr>
        <sz val="11"/>
        <rFont val="Calibri"/>
        <family val="1"/>
      </rPr>
      <t>South</t>
    </r>
  </si>
  <si>
    <r>
      <rPr>
        <sz val="11"/>
        <rFont val="Calibri"/>
        <family val="1"/>
      </rPr>
      <t>East</t>
    </r>
  </si>
  <si>
    <r>
      <rPr>
        <sz val="11"/>
        <rFont val="Calibri"/>
        <family val="1"/>
      </rPr>
      <t>West</t>
    </r>
  </si>
  <si>
    <r>
      <rPr>
        <b/>
        <sz val="11"/>
        <color rgb="FFFF0000"/>
        <rFont val="Calibri"/>
        <family val="1"/>
      </rPr>
      <t>East</t>
    </r>
  </si>
  <si>
    <r>
      <rPr>
        <sz val="11"/>
        <rFont val="Calibri"/>
        <family val="1"/>
      </rPr>
      <t>INDEX(A4:D8,MATCH(A10,A4:A8,0),MATCH(B10,A4:D4,0))</t>
    </r>
  </si>
  <si>
    <r>
      <rPr>
        <sz val="11"/>
        <rFont val="Calibri"/>
        <family val="1"/>
      </rPr>
      <t>Feb</t>
    </r>
  </si>
  <si>
    <r>
      <rPr>
        <sz val="11"/>
        <rFont val="Calibri"/>
        <family val="1"/>
      </rPr>
      <t>Jan</t>
    </r>
  </si>
  <si>
    <r>
      <rPr>
        <sz val="11"/>
        <rFont val="Calibri"/>
        <family val="1"/>
      </rPr>
      <t>Mar</t>
    </r>
  </si>
  <si>
    <r>
      <rPr>
        <b/>
        <sz val="14"/>
        <rFont val="Calibri"/>
        <family val="1"/>
      </rPr>
      <t>Assignment -21</t>
    </r>
  </si>
  <si>
    <r>
      <rPr>
        <b/>
        <u/>
        <sz val="11"/>
        <rFont val="Calibri"/>
        <family val="1"/>
      </rPr>
      <t>                                          Use of Formulas - Index + Match                                          </t>
    </r>
  </si>
  <si>
    <r>
      <rPr>
        <b/>
        <sz val="12"/>
        <rFont val="Calibri"/>
        <family val="1"/>
      </rPr>
      <t>Emp Name</t>
    </r>
  </si>
  <si>
    <r>
      <rPr>
        <b/>
        <sz val="12"/>
        <rFont val="Calibri"/>
        <family val="1"/>
      </rPr>
      <t>Salary</t>
    </r>
  </si>
  <si>
    <r>
      <rPr>
        <b/>
        <sz val="12"/>
        <rFont val="Calibri"/>
        <family val="1"/>
      </rPr>
      <t>Department</t>
    </r>
  </si>
  <si>
    <r>
      <rPr>
        <b/>
        <sz val="12"/>
        <rFont val="Calibri"/>
        <family val="1"/>
      </rPr>
      <t>Emp ID</t>
    </r>
  </si>
  <si>
    <r>
      <rPr>
        <sz val="12"/>
        <rFont val="Calibri"/>
        <family val="1"/>
      </rPr>
      <t>Raju</t>
    </r>
  </si>
  <si>
    <r>
      <rPr>
        <sz val="12"/>
        <rFont val="Calibri"/>
        <family val="1"/>
      </rPr>
      <t>Sales</t>
    </r>
  </si>
  <si>
    <r>
      <rPr>
        <sz val="12"/>
        <rFont val="Calibri"/>
        <family val="1"/>
      </rPr>
      <t>Prd001</t>
    </r>
  </si>
  <si>
    <r>
      <rPr>
        <sz val="12"/>
        <rFont val="Calibri"/>
        <family val="1"/>
      </rPr>
      <t>Ramesh</t>
    </r>
  </si>
  <si>
    <r>
      <rPr>
        <sz val="12"/>
        <rFont val="Calibri"/>
        <family val="1"/>
      </rPr>
      <t>Operations</t>
    </r>
  </si>
  <si>
    <r>
      <rPr>
        <sz val="12"/>
        <rFont val="Calibri"/>
        <family val="1"/>
      </rPr>
      <t>Prd002</t>
    </r>
  </si>
  <si>
    <r>
      <rPr>
        <sz val="12"/>
        <rFont val="Calibri"/>
        <family val="1"/>
      </rPr>
      <t>Ramila</t>
    </r>
  </si>
  <si>
    <r>
      <rPr>
        <sz val="12"/>
        <rFont val="Calibri"/>
        <family val="1"/>
      </rPr>
      <t>Marketing</t>
    </r>
  </si>
  <si>
    <r>
      <rPr>
        <sz val="12"/>
        <rFont val="Calibri"/>
        <family val="1"/>
      </rPr>
      <t>Prd003</t>
    </r>
  </si>
  <si>
    <r>
      <rPr>
        <sz val="12"/>
        <rFont val="Calibri"/>
        <family val="1"/>
      </rPr>
      <t>Rajeshwari</t>
    </r>
  </si>
  <si>
    <r>
      <rPr>
        <sz val="12"/>
        <rFont val="Calibri"/>
        <family val="1"/>
      </rPr>
      <t>HR</t>
    </r>
  </si>
  <si>
    <r>
      <rPr>
        <sz val="12"/>
        <rFont val="Calibri"/>
        <family val="1"/>
      </rPr>
      <t>Prd004</t>
    </r>
  </si>
  <si>
    <r>
      <rPr>
        <sz val="12"/>
        <rFont val="Calibri"/>
        <family val="1"/>
      </rPr>
      <t>Karan</t>
    </r>
  </si>
  <si>
    <r>
      <rPr>
        <sz val="12"/>
        <rFont val="Calibri"/>
        <family val="1"/>
      </rPr>
      <t>Finance</t>
    </r>
  </si>
  <si>
    <r>
      <rPr>
        <sz val="12"/>
        <rFont val="Calibri"/>
        <family val="1"/>
      </rPr>
      <t>Prd005</t>
    </r>
  </si>
  <si>
    <r>
      <rPr>
        <sz val="12"/>
        <rFont val="Calibri"/>
        <family val="1"/>
      </rPr>
      <t>Rohith</t>
    </r>
  </si>
  <si>
    <r>
      <rPr>
        <sz val="12"/>
        <rFont val="Calibri"/>
        <family val="1"/>
      </rPr>
      <t>IT</t>
    </r>
  </si>
  <si>
    <r>
      <rPr>
        <sz val="12"/>
        <rFont val="Calibri"/>
        <family val="1"/>
      </rPr>
      <t>Prd006</t>
    </r>
  </si>
  <si>
    <r>
      <rPr>
        <sz val="12"/>
        <rFont val="Calibri"/>
        <family val="1"/>
      </rPr>
      <t>Jacob</t>
    </r>
  </si>
  <si>
    <r>
      <rPr>
        <sz val="12"/>
        <rFont val="Calibri"/>
        <family val="1"/>
      </rPr>
      <t>Prd007</t>
    </r>
  </si>
  <si>
    <r>
      <rPr>
        <sz val="12"/>
        <rFont val="Calibri"/>
        <family val="1"/>
      </rPr>
      <t>Fleming</t>
    </r>
  </si>
  <si>
    <r>
      <rPr>
        <sz val="12"/>
        <rFont val="Calibri"/>
        <family val="1"/>
      </rPr>
      <t>Prd008</t>
    </r>
  </si>
  <si>
    <r>
      <rPr>
        <sz val="12"/>
        <rFont val="Calibri"/>
        <family val="1"/>
      </rPr>
      <t>Navya</t>
    </r>
  </si>
  <si>
    <r>
      <rPr>
        <sz val="12"/>
        <rFont val="Calibri"/>
        <family val="1"/>
      </rPr>
      <t>Prd009</t>
    </r>
  </si>
  <si>
    <r>
      <rPr>
        <sz val="12"/>
        <rFont val="Calibri"/>
        <family val="1"/>
      </rPr>
      <t>Kavya</t>
    </r>
  </si>
  <si>
    <r>
      <rPr>
        <sz val="12"/>
        <rFont val="Calibri"/>
        <family val="1"/>
      </rPr>
      <t>Prd010</t>
    </r>
  </si>
  <si>
    <r>
      <rPr>
        <sz val="12"/>
        <rFont val="Calibri"/>
        <family val="1"/>
      </rPr>
      <t>Santosh</t>
    </r>
  </si>
  <si>
    <r>
      <rPr>
        <sz val="12"/>
        <rFont val="Calibri"/>
        <family val="1"/>
      </rPr>
      <t>Prd011</t>
    </r>
  </si>
  <si>
    <r>
      <rPr>
        <sz val="12"/>
        <rFont val="Calibri"/>
        <family val="1"/>
      </rPr>
      <t>Shankar</t>
    </r>
  </si>
  <si>
    <r>
      <rPr>
        <sz val="12"/>
        <rFont val="Calibri"/>
        <family val="1"/>
      </rPr>
      <t>Prd012</t>
    </r>
  </si>
  <si>
    <r>
      <rPr>
        <sz val="12"/>
        <rFont val="Calibri"/>
        <family val="1"/>
      </rPr>
      <t>Rajesh</t>
    </r>
  </si>
  <si>
    <r>
      <rPr>
        <sz val="12"/>
        <rFont val="Calibri"/>
        <family val="1"/>
      </rPr>
      <t>Prd013</t>
    </r>
  </si>
  <si>
    <r>
      <rPr>
        <sz val="12"/>
        <rFont val="Calibri"/>
        <family val="1"/>
      </rPr>
      <t>Mahesh</t>
    </r>
  </si>
  <si>
    <r>
      <rPr>
        <sz val="12"/>
        <rFont val="Calibri"/>
        <family val="1"/>
      </rPr>
      <t>Prd014</t>
    </r>
  </si>
  <si>
    <r>
      <rPr>
        <sz val="12"/>
        <rFont val="Calibri"/>
        <family val="1"/>
      </rPr>
      <t>Hemaraj</t>
    </r>
  </si>
  <si>
    <r>
      <rPr>
        <sz val="12"/>
        <rFont val="Calibri"/>
        <family val="1"/>
      </rPr>
      <t>Prd015</t>
    </r>
  </si>
  <si>
    <r>
      <rPr>
        <sz val="12"/>
        <rFont val="Calibri"/>
        <family val="1"/>
      </rPr>
      <t>Nagaraj</t>
    </r>
  </si>
  <si>
    <r>
      <rPr>
        <sz val="12"/>
        <rFont val="Calibri"/>
        <family val="1"/>
      </rPr>
      <t>Prd016</t>
    </r>
  </si>
  <si>
    <r>
      <rPr>
        <sz val="12"/>
        <rFont val="Calibri"/>
        <family val="1"/>
      </rPr>
      <t>Johson</t>
    </r>
  </si>
  <si>
    <r>
      <rPr>
        <sz val="12"/>
        <rFont val="Calibri"/>
        <family val="1"/>
      </rPr>
      <t>Prd017</t>
    </r>
  </si>
  <si>
    <r>
      <rPr>
        <sz val="12"/>
        <rFont val="Calibri"/>
        <family val="1"/>
      </rPr>
      <t>David</t>
    </r>
  </si>
  <si>
    <r>
      <rPr>
        <sz val="12"/>
        <rFont val="Calibri"/>
        <family val="1"/>
      </rPr>
      <t>Prd018</t>
    </r>
  </si>
  <si>
    <r>
      <rPr>
        <sz val="12"/>
        <rFont val="Calibri"/>
        <family val="1"/>
      </rPr>
      <t>Anderson</t>
    </r>
  </si>
  <si>
    <r>
      <rPr>
        <sz val="12"/>
        <rFont val="Calibri"/>
        <family val="1"/>
      </rPr>
      <t>Prd019</t>
    </r>
  </si>
  <si>
    <r>
      <rPr>
        <sz val="12"/>
        <rFont val="Calibri"/>
        <family val="1"/>
      </rPr>
      <t>Peter</t>
    </r>
  </si>
  <si>
    <r>
      <rPr>
        <sz val="12"/>
        <rFont val="Calibri"/>
        <family val="1"/>
      </rPr>
      <t>Prd020</t>
    </r>
  </si>
  <si>
    <r>
      <rPr>
        <b/>
        <sz val="14"/>
        <rFont val="Calibri"/>
        <family val="1"/>
      </rPr>
      <t>Assignment -22</t>
    </r>
  </si>
  <si>
    <r>
      <rPr>
        <b/>
        <sz val="11"/>
        <rFont val="Calibri"/>
        <family val="1"/>
      </rPr>
      <t>Use of Formulas - Lookup</t>
    </r>
  </si>
  <si>
    <r>
      <rPr>
        <sz val="12"/>
        <rFont val="Calibri"/>
        <family val="1"/>
      </rPr>
      <t>Q.1 How Many Employee in Work HR, IT, Marketing Department ?</t>
    </r>
  </si>
  <si>
    <r>
      <rPr>
        <sz val="12"/>
        <color rgb="FFFF0000"/>
        <rFont val="Calibri"/>
        <family val="1"/>
      </rPr>
      <t>Use of Countif</t>
    </r>
  </si>
  <si>
    <r>
      <rPr>
        <sz val="12"/>
        <rFont val="Calibri"/>
        <family val="1"/>
      </rPr>
      <t>Q.2 Employee Santosh Salary?</t>
    </r>
  </si>
  <si>
    <r>
      <rPr>
        <sz val="12"/>
        <color rgb="FFFF0000"/>
        <rFont val="Calibri"/>
        <family val="1"/>
      </rPr>
      <t>Use of Sumif</t>
    </r>
  </si>
  <si>
    <r>
      <rPr>
        <sz val="11"/>
        <rFont val="Calibri"/>
        <family val="1"/>
      </rPr>
      <t>Q.3 IT &amp; Marketing Department Total Salary?</t>
    </r>
  </si>
  <si>
    <r>
      <rPr>
        <b/>
        <sz val="14"/>
        <rFont val="Calibri"/>
        <family val="1"/>
      </rPr>
      <t>Assignment -23</t>
    </r>
  </si>
  <si>
    <r>
      <rPr>
        <b/>
        <sz val="11"/>
        <rFont val="Calibri"/>
        <family val="1"/>
      </rPr>
      <t>Use of Formulas - AND</t>
    </r>
  </si>
  <si>
    <r>
      <rPr>
        <b/>
        <sz val="11"/>
        <rFont val="Calibri"/>
        <family val="1"/>
      </rPr>
      <t>NAME</t>
    </r>
  </si>
  <si>
    <r>
      <rPr>
        <b/>
        <sz val="11"/>
        <rFont val="Calibri"/>
        <family val="1"/>
      </rPr>
      <t>PHYSICS</t>
    </r>
  </si>
  <si>
    <r>
      <rPr>
        <b/>
        <sz val="11"/>
        <rFont val="Calibri"/>
        <family val="1"/>
      </rPr>
      <t>CHEMISTRY</t>
    </r>
  </si>
  <si>
    <r>
      <rPr>
        <b/>
        <sz val="11"/>
        <rFont val="Calibri"/>
        <family val="1"/>
      </rPr>
      <t>MATHS</t>
    </r>
  </si>
  <si>
    <r>
      <rPr>
        <b/>
        <sz val="11"/>
        <rFont val="Calibri"/>
        <family val="1"/>
      </rPr>
      <t>BIOLOGY</t>
    </r>
  </si>
  <si>
    <r>
      <rPr>
        <b/>
        <sz val="11"/>
        <rFont val="Calibri"/>
        <family val="1"/>
      </rPr>
      <t>PASSED THE EXAM ?</t>
    </r>
  </si>
  <si>
    <r>
      <rPr>
        <b/>
        <sz val="11"/>
        <rFont val="Calibri"/>
        <family val="1"/>
      </rPr>
      <t>NITIN</t>
    </r>
  </si>
  <si>
    <r>
      <rPr>
        <sz val="11"/>
        <rFont val="Calibri"/>
        <family val="1"/>
      </rPr>
      <t>PASS</t>
    </r>
  </si>
  <si>
    <r>
      <rPr>
        <sz val="11"/>
        <rFont val="Calibri"/>
        <family val="1"/>
      </rPr>
      <t>FAIL</t>
    </r>
  </si>
  <si>
    <r>
      <rPr>
        <b/>
        <sz val="11"/>
        <rFont val="Calibri"/>
        <family val="1"/>
      </rPr>
      <t>FEROZ</t>
    </r>
  </si>
  <si>
    <r>
      <rPr>
        <b/>
        <sz val="11"/>
        <rFont val="Calibri"/>
        <family val="1"/>
      </rPr>
      <t>ANITHA</t>
    </r>
  </si>
  <si>
    <r>
      <rPr>
        <b/>
        <sz val="11"/>
        <rFont val="Calibri"/>
        <family val="1"/>
      </rPr>
      <t>MADAN</t>
    </r>
  </si>
  <si>
    <r>
      <rPr>
        <b/>
        <sz val="11"/>
        <rFont val="Calibri"/>
        <family val="1"/>
      </rPr>
      <t>HARRY</t>
    </r>
  </si>
  <si>
    <r>
      <rPr>
        <b/>
        <sz val="11"/>
        <rFont val="Calibri"/>
        <family val="1"/>
      </rPr>
      <t>SUMITH</t>
    </r>
  </si>
  <si>
    <r>
      <rPr>
        <b/>
        <sz val="11"/>
        <rFont val="Calibri"/>
        <family val="1"/>
      </rPr>
      <t>HARSH</t>
    </r>
  </si>
  <si>
    <r>
      <rPr>
        <b/>
        <sz val="11"/>
        <rFont val="Calibri"/>
        <family val="1"/>
      </rPr>
      <t>TRIVEDI</t>
    </r>
  </si>
  <si>
    <r>
      <rPr>
        <b/>
        <sz val="11"/>
        <rFont val="Calibri"/>
        <family val="1"/>
      </rPr>
      <t>ASHISH</t>
    </r>
  </si>
  <si>
    <r>
      <rPr>
        <b/>
        <sz val="11"/>
        <rFont val="Calibri"/>
        <family val="1"/>
      </rPr>
      <t>IN THIS EXAMPLE, IF STUDENT PASSES ALL THE SUBJECT, THEN HE HAS PASSED THE EXAM</t>
    </r>
  </si>
  <si>
    <r>
      <rPr>
        <b/>
        <sz val="14"/>
        <rFont val="Calibri"/>
        <family val="1"/>
      </rPr>
      <t>Assignment -24</t>
    </r>
  </si>
  <si>
    <r>
      <rPr>
        <b/>
        <sz val="11"/>
        <rFont val="Calibri"/>
        <family val="1"/>
      </rPr>
      <t>Use of Formulas - Averageif</t>
    </r>
  </si>
  <si>
    <r>
      <rPr>
        <b/>
        <sz val="11"/>
        <color rgb="FFFFFFFF"/>
        <rFont val="Calibri"/>
        <family val="1"/>
      </rPr>
      <t>Units sold</t>
    </r>
  </si>
  <si>
    <r>
      <rPr>
        <b/>
        <sz val="11"/>
        <color rgb="FFFFFFFF"/>
        <rFont val="Calibri"/>
        <family val="1"/>
      </rPr>
      <t>Student</t>
    </r>
  </si>
  <si>
    <r>
      <rPr>
        <b/>
        <sz val="11"/>
        <color rgb="FFFFFFFF"/>
        <rFont val="Calibri"/>
        <family val="1"/>
      </rPr>
      <t>Semester</t>
    </r>
  </si>
  <si>
    <r>
      <rPr>
        <b/>
        <sz val="11"/>
        <color rgb="FFFFFFFF"/>
        <rFont val="Calibri"/>
        <family val="1"/>
      </rPr>
      <t>Score</t>
    </r>
  </si>
  <si>
    <r>
      <rPr>
        <sz val="11"/>
        <rFont val="Calibri"/>
        <family val="1"/>
      </rPr>
      <t>second</t>
    </r>
  </si>
  <si>
    <r>
      <rPr>
        <sz val="11"/>
        <rFont val="Calibri"/>
        <family val="1"/>
      </rPr>
      <t>gary</t>
    </r>
  </si>
  <si>
    <r>
      <rPr>
        <sz val="11"/>
        <rFont val="Calibri"/>
        <family val="1"/>
      </rPr>
      <t>Third</t>
    </r>
  </si>
  <si>
    <r>
      <rPr>
        <sz val="11"/>
        <rFont val="Calibri"/>
        <family val="1"/>
      </rPr>
      <t>E</t>
    </r>
  </si>
  <si>
    <r>
      <rPr>
        <sz val="11"/>
        <rFont val="Calibri"/>
        <family val="1"/>
      </rPr>
      <t>Richa</t>
    </r>
  </si>
  <si>
    <r>
      <rPr>
        <sz val="11"/>
        <rFont val="Calibri"/>
        <family val="1"/>
      </rPr>
      <t>Hari</t>
    </r>
  </si>
  <si>
    <r>
      <rPr>
        <sz val="11"/>
        <rFont val="Calibri"/>
        <family val="1"/>
      </rPr>
      <t>C</t>
    </r>
  </si>
  <si>
    <r>
      <rPr>
        <sz val="11"/>
        <rFont val="Calibri"/>
        <family val="1"/>
      </rPr>
      <t>Tom</t>
    </r>
  </si>
  <si>
    <r>
      <rPr>
        <sz val="11"/>
        <rFont val="Calibri"/>
        <family val="1"/>
      </rPr>
      <t>Will</t>
    </r>
  </si>
  <si>
    <r>
      <rPr>
        <sz val="11"/>
        <rFont val="Calibri"/>
        <family val="1"/>
      </rPr>
      <t>F</t>
    </r>
  </si>
  <si>
    <r>
      <rPr>
        <sz val="11"/>
        <rFont val="Calibri"/>
        <family val="1"/>
      </rPr>
      <t>Average semester score</t>
    </r>
  </si>
  <si>
    <r>
      <rPr>
        <b/>
        <sz val="11"/>
        <color rgb="FFFFFFFF"/>
        <rFont val="Calibri"/>
        <family val="1"/>
      </rPr>
      <t>Second</t>
    </r>
  </si>
  <si>
    <r>
      <rPr>
        <b/>
        <sz val="11"/>
        <color rgb="FFFFFFFF"/>
        <rFont val="Calibri"/>
        <family val="1"/>
      </rPr>
      <t>Third</t>
    </r>
  </si>
  <si>
    <r>
      <rPr>
        <b/>
        <sz val="11"/>
        <color rgb="FFFFFFFF"/>
        <rFont val="Calibri"/>
        <family val="1"/>
      </rPr>
      <t>Zone</t>
    </r>
  </si>
  <si>
    <r>
      <rPr>
        <b/>
        <sz val="11"/>
        <color rgb="FFFFFFFF"/>
        <rFont val="Calibri"/>
        <family val="1"/>
      </rPr>
      <t>City</t>
    </r>
  </si>
  <si>
    <r>
      <rPr>
        <b/>
        <sz val="11"/>
        <color rgb="FFFFFFFF"/>
        <rFont val="Calibri"/>
        <family val="1"/>
      </rPr>
      <t>Sales</t>
    </r>
  </si>
  <si>
    <r>
      <rPr>
        <sz val="11"/>
        <rFont val="Calibri"/>
        <family val="1"/>
      </rPr>
      <t>Chennai</t>
    </r>
  </si>
  <si>
    <r>
      <rPr>
        <sz val="11"/>
        <rFont val="Calibri"/>
        <family val="1"/>
      </rPr>
      <t>Patna</t>
    </r>
  </si>
  <si>
    <r>
      <rPr>
        <sz val="11"/>
        <rFont val="Calibri"/>
        <family val="1"/>
      </rPr>
      <t>Delhi</t>
    </r>
  </si>
  <si>
    <r>
      <rPr>
        <sz val="11"/>
        <rFont val="Calibri"/>
        <family val="1"/>
      </rPr>
      <t>Kanpur</t>
    </r>
  </si>
  <si>
    <r>
      <rPr>
        <sz val="11"/>
        <rFont val="Calibri"/>
        <family val="1"/>
      </rPr>
      <t>Gandhinagar</t>
    </r>
  </si>
  <si>
    <r>
      <rPr>
        <sz val="11"/>
        <rFont val="Calibri"/>
        <family val="1"/>
      </rPr>
      <t>Hubli</t>
    </r>
  </si>
  <si>
    <r>
      <rPr>
        <sz val="11"/>
        <rFont val="Calibri"/>
        <family val="1"/>
      </rPr>
      <t>Manglore</t>
    </r>
  </si>
  <si>
    <r>
      <rPr>
        <sz val="11"/>
        <rFont val="Calibri"/>
        <family val="1"/>
      </rPr>
      <t>Chandigarh</t>
    </r>
  </si>
  <si>
    <r>
      <rPr>
        <sz val="11"/>
        <rFont val="Calibri"/>
        <family val="1"/>
      </rPr>
      <t>Pune</t>
    </r>
  </si>
  <si>
    <r>
      <rPr>
        <sz val="11"/>
        <rFont val="Calibri"/>
        <family val="1"/>
      </rPr>
      <t>south</t>
    </r>
  </si>
  <si>
    <r>
      <rPr>
        <sz val="11"/>
        <rFont val="Calibri"/>
        <family val="1"/>
      </rPr>
      <t>Hyderabad</t>
    </r>
  </si>
  <si>
    <r>
      <rPr>
        <sz val="11"/>
        <rFont val="Calibri"/>
        <family val="1"/>
      </rPr>
      <t>Meerut</t>
    </r>
  </si>
  <si>
    <r>
      <rPr>
        <sz val="11"/>
        <rFont val="Calibri"/>
        <family val="1"/>
      </rPr>
      <t>Nagpur</t>
    </r>
  </si>
  <si>
    <r>
      <rPr>
        <b/>
        <sz val="11"/>
        <color rgb="FFFFFFFF"/>
        <rFont val="Calibri"/>
        <family val="1"/>
      </rPr>
      <t>Average of West zone</t>
    </r>
  </si>
  <si>
    <r>
      <rPr>
        <b/>
        <sz val="11"/>
        <color rgb="FFFFFFFF"/>
        <rFont val="Calibri"/>
        <family val="1"/>
      </rPr>
      <t>Avg of Units Sold above 250</t>
    </r>
  </si>
  <si>
    <r>
      <rPr>
        <b/>
        <sz val="11"/>
        <color rgb="FFFFFFFF"/>
        <rFont val="Calibri"/>
        <family val="1"/>
      </rPr>
      <t>Avg of Units Sold below 100</t>
    </r>
  </si>
  <si>
    <r>
      <rPr>
        <b/>
        <sz val="14"/>
        <rFont val="Calibri"/>
        <family val="1"/>
      </rPr>
      <t>Assignment -26</t>
    </r>
  </si>
  <si>
    <r>
      <rPr>
        <b/>
        <sz val="11"/>
        <rFont val="Calibri"/>
        <family val="1"/>
      </rPr>
      <t>Use of If and Vlookup -Compare List 1 to List 2</t>
    </r>
  </si>
  <si>
    <r>
      <rPr>
        <b/>
        <sz val="11"/>
        <color rgb="FFFFFFFF"/>
        <rFont val="Calibri"/>
        <family val="1"/>
      </rPr>
      <t>List 1</t>
    </r>
  </si>
  <si>
    <r>
      <rPr>
        <b/>
        <sz val="11"/>
        <color rgb="FFFFFFFF"/>
        <rFont val="Calibri"/>
        <family val="1"/>
      </rPr>
      <t>List 2</t>
    </r>
  </si>
  <si>
    <r>
      <rPr>
        <b/>
        <sz val="11"/>
        <color rgb="FFFFFFFF"/>
        <rFont val="Calibri"/>
        <family val="1"/>
      </rPr>
      <t>Result</t>
    </r>
  </si>
  <si>
    <r>
      <rPr>
        <sz val="11"/>
        <rFont val="Calibri"/>
        <family val="1"/>
      </rPr>
      <t>Raj</t>
    </r>
  </si>
  <si>
    <r>
      <rPr>
        <sz val="11"/>
        <rFont val="Calibri"/>
        <family val="1"/>
      </rPr>
      <t>Ankita</t>
    </r>
  </si>
  <si>
    <r>
      <rPr>
        <sz val="11"/>
        <rFont val="Calibri"/>
        <family val="1"/>
      </rPr>
      <t>Rohit</t>
    </r>
  </si>
  <si>
    <r>
      <rPr>
        <sz val="11"/>
        <rFont val="Calibri"/>
        <family val="1"/>
      </rPr>
      <t>Value not in List 1</t>
    </r>
  </si>
  <si>
    <r>
      <rPr>
        <sz val="11"/>
        <rFont val="Calibri"/>
        <family val="1"/>
      </rPr>
      <t>Kajal</t>
    </r>
  </si>
  <si>
    <r>
      <rPr>
        <sz val="11"/>
        <rFont val="Calibri"/>
        <family val="1"/>
      </rPr>
      <t>Abhay</t>
    </r>
  </si>
  <si>
    <r>
      <rPr>
        <sz val="11"/>
        <rFont val="Calibri"/>
        <family val="1"/>
      </rPr>
      <t>Rohan</t>
    </r>
  </si>
  <si>
    <r>
      <rPr>
        <sz val="11"/>
        <rFont val="Calibri"/>
        <family val="1"/>
      </rPr>
      <t>Akshay</t>
    </r>
  </si>
  <si>
    <r>
      <rPr>
        <sz val="11"/>
        <rFont val="Calibri"/>
        <family val="1"/>
      </rPr>
      <t>Puneet</t>
    </r>
  </si>
  <si>
    <r>
      <rPr>
        <b/>
        <sz val="11"/>
        <rFont val="Calibri"/>
        <family val="1"/>
      </rPr>
      <t>IF(A9=B9,"Matching","Not Matching")</t>
    </r>
  </si>
  <si>
    <r>
      <rPr>
        <b/>
        <sz val="11"/>
        <rFont val="Calibri"/>
        <family val="1"/>
      </rPr>
      <t>VLOOKUP(F12,E5:E12,1,0)</t>
    </r>
  </si>
  <si>
    <r>
      <rPr>
        <b/>
        <sz val="11"/>
        <rFont val="Calibri"/>
        <family val="1"/>
      </rPr>
      <t>Color List-1</t>
    </r>
  </si>
  <si>
    <r>
      <rPr>
        <b/>
        <sz val="11"/>
        <rFont val="Calibri"/>
        <family val="1"/>
      </rPr>
      <t>Color List-2</t>
    </r>
  </si>
  <si>
    <r>
      <rPr>
        <sz val="11"/>
        <rFont val="Calibri"/>
        <family val="1"/>
      </rPr>
      <t>Red</t>
    </r>
  </si>
  <si>
    <r>
      <rPr>
        <sz val="11"/>
        <rFont val="Calibri"/>
        <family val="1"/>
      </rPr>
      <t>Yellow</t>
    </r>
  </si>
  <si>
    <r>
      <rPr>
        <sz val="11"/>
        <rFont val="Calibri"/>
        <family val="1"/>
      </rPr>
      <t>Green</t>
    </r>
  </si>
  <si>
    <r>
      <rPr>
        <sz val="11"/>
        <rFont val="Calibri"/>
        <family val="1"/>
      </rPr>
      <t>Grey</t>
    </r>
  </si>
  <si>
    <r>
      <rPr>
        <sz val="11"/>
        <rFont val="Calibri"/>
        <family val="1"/>
      </rPr>
      <t>Blue</t>
    </r>
  </si>
  <si>
    <r>
      <rPr>
        <sz val="11"/>
        <rFont val="Calibri"/>
        <family val="1"/>
      </rPr>
      <t>White</t>
    </r>
  </si>
  <si>
    <r>
      <rPr>
        <sz val="11"/>
        <rFont val="Calibri"/>
        <family val="1"/>
      </rPr>
      <t>Black</t>
    </r>
  </si>
  <si>
    <r>
      <rPr>
        <b/>
        <sz val="11"/>
        <rFont val="Calibri"/>
        <family val="1"/>
      </rPr>
      <t>VLOOKUP(A17,E17:E22,1,FALSE)</t>
    </r>
  </si>
  <si>
    <r>
      <rPr>
        <b/>
        <sz val="14"/>
        <rFont val="Calibri"/>
        <family val="1"/>
      </rPr>
      <t>Assignment -27</t>
    </r>
  </si>
  <si>
    <r>
      <rPr>
        <b/>
        <sz val="11"/>
        <rFont val="Calibri"/>
        <family val="1"/>
      </rPr>
      <t>Use of Concatenate</t>
    </r>
  </si>
  <si>
    <r>
      <rPr>
        <b/>
        <sz val="11"/>
        <color rgb="FFFFFFFF"/>
        <rFont val="Calibri"/>
        <family val="1"/>
      </rPr>
      <t>Emp ID</t>
    </r>
  </si>
  <si>
    <r>
      <rPr>
        <b/>
        <sz val="11"/>
        <color rgb="FFFFFFFF"/>
        <rFont val="Calibri"/>
        <family val="1"/>
      </rPr>
      <t>First Name</t>
    </r>
  </si>
  <si>
    <r>
      <rPr>
        <b/>
        <sz val="11"/>
        <color rgb="FFFFFFFF"/>
        <rFont val="Calibri"/>
        <family val="1"/>
      </rPr>
      <t>Last Name</t>
    </r>
  </si>
  <si>
    <r>
      <rPr>
        <b/>
        <sz val="11"/>
        <color rgb="FFFFFFFF"/>
        <rFont val="Calibri"/>
        <family val="1"/>
      </rPr>
      <t>Full Name</t>
    </r>
  </si>
  <si>
    <r>
      <rPr>
        <sz val="11"/>
        <rFont val="Calibri"/>
        <family val="1"/>
      </rPr>
      <t>D21</t>
    </r>
  </si>
  <si>
    <r>
      <rPr>
        <sz val="11"/>
        <rFont val="Calibri"/>
        <family val="1"/>
      </rPr>
      <t>Vishal</t>
    </r>
  </si>
  <si>
    <r>
      <rPr>
        <sz val="11"/>
        <rFont val="Calibri"/>
        <family val="1"/>
      </rPr>
      <t>Mohan</t>
    </r>
  </si>
  <si>
    <r>
      <rPr>
        <sz val="11"/>
        <rFont val="Calibri"/>
        <family val="1"/>
      </rPr>
      <t>D22</t>
    </r>
  </si>
  <si>
    <r>
      <rPr>
        <sz val="11"/>
        <rFont val="Calibri"/>
        <family val="1"/>
      </rPr>
      <t>Mathew</t>
    </r>
  </si>
  <si>
    <r>
      <rPr>
        <sz val="11"/>
        <rFont val="Calibri"/>
        <family val="1"/>
      </rPr>
      <t>D23</t>
    </r>
  </si>
  <si>
    <r>
      <rPr>
        <sz val="11"/>
        <rFont val="Calibri"/>
        <family val="1"/>
      </rPr>
      <t>Jamemah</t>
    </r>
  </si>
  <si>
    <r>
      <rPr>
        <sz val="11"/>
        <rFont val="Calibri"/>
        <family val="1"/>
      </rPr>
      <t>Powel</t>
    </r>
  </si>
  <si>
    <r>
      <rPr>
        <sz val="11"/>
        <rFont val="Calibri"/>
        <family val="1"/>
      </rPr>
      <t>Jamemah Powel</t>
    </r>
  </si>
  <si>
    <r>
      <rPr>
        <sz val="11"/>
        <rFont val="Calibri"/>
        <family val="1"/>
      </rPr>
      <t>D24</t>
    </r>
  </si>
  <si>
    <r>
      <rPr>
        <sz val="11"/>
        <rFont val="Calibri"/>
        <family val="1"/>
      </rPr>
      <t>Arundhati</t>
    </r>
  </si>
  <si>
    <r>
      <rPr>
        <sz val="11"/>
        <rFont val="Calibri"/>
        <family val="1"/>
      </rPr>
      <t>Swaminathan</t>
    </r>
  </si>
  <si>
    <r>
      <rPr>
        <sz val="11"/>
        <rFont val="Calibri"/>
        <family val="1"/>
      </rPr>
      <t>D25</t>
    </r>
  </si>
  <si>
    <r>
      <rPr>
        <sz val="11"/>
        <rFont val="Calibri"/>
        <family val="1"/>
      </rPr>
      <t>Potter</t>
    </r>
  </si>
  <si>
    <r>
      <rPr>
        <sz val="11"/>
        <rFont val="Calibri"/>
        <family val="1"/>
      </rPr>
      <t>D26</t>
    </r>
  </si>
  <si>
    <r>
      <rPr>
        <sz val="11"/>
        <rFont val="Calibri"/>
        <family val="1"/>
      </rPr>
      <t>Roger</t>
    </r>
  </si>
  <si>
    <r>
      <rPr>
        <sz val="11"/>
        <rFont val="Calibri"/>
        <family val="1"/>
      </rPr>
      <t>=</t>
    </r>
  </si>
  <si>
    <r>
      <rPr>
        <b/>
        <sz val="11"/>
        <rFont val="Calibri"/>
        <family val="1"/>
      </rPr>
      <t>CONCATENATE(B5," ",C5)</t>
    </r>
  </si>
  <si>
    <r>
      <rPr>
        <b/>
        <sz val="11"/>
        <rFont val="Calibri"/>
        <family val="1"/>
      </rPr>
      <t>B16&amp;" "&amp;C16</t>
    </r>
  </si>
  <si>
    <r>
      <rPr>
        <b/>
        <sz val="14"/>
        <rFont val="Calibri"/>
        <family val="1"/>
      </rPr>
      <t>Assignment -28</t>
    </r>
  </si>
  <si>
    <r>
      <rPr>
        <b/>
        <sz val="11"/>
        <rFont val="Calibri"/>
        <family val="1"/>
      </rPr>
      <t>Use of Counta, Countif, Countifs, Vlookup and Index with Match</t>
    </r>
  </si>
  <si>
    <r>
      <rPr>
        <b/>
        <sz val="11"/>
        <rFont val="Calibri"/>
        <family val="1"/>
      </rPr>
      <t>Employee Database</t>
    </r>
  </si>
  <si>
    <r>
      <rPr>
        <b/>
        <sz val="11"/>
        <rFont val="Calibri"/>
        <family val="1"/>
      </rPr>
      <t>Emp Id</t>
    </r>
  </si>
  <si>
    <r>
      <rPr>
        <b/>
        <sz val="11"/>
        <rFont val="Calibri"/>
        <family val="1"/>
      </rPr>
      <t>Designation</t>
    </r>
  </si>
  <si>
    <r>
      <rPr>
        <b/>
        <sz val="11"/>
        <rFont val="Calibri"/>
        <family val="1"/>
      </rPr>
      <t>KRA</t>
    </r>
  </si>
  <si>
    <r>
      <rPr>
        <sz val="11"/>
        <rFont val="Calibri"/>
        <family val="1"/>
      </rPr>
      <t>ARUN</t>
    </r>
  </si>
  <si>
    <r>
      <rPr>
        <sz val="11"/>
        <rFont val="Calibri"/>
        <family val="1"/>
      </rPr>
      <t>MIS-OPERATION</t>
    </r>
  </si>
  <si>
    <r>
      <rPr>
        <sz val="11"/>
        <rFont val="Calibri"/>
        <family val="1"/>
      </rPr>
      <t>SALES</t>
    </r>
  </si>
  <si>
    <r>
      <rPr>
        <sz val="11"/>
        <rFont val="Calibri"/>
        <family val="1"/>
      </rPr>
      <t>OPERATION</t>
    </r>
  </si>
  <si>
    <r>
      <rPr>
        <sz val="11"/>
        <rFont val="Calibri"/>
        <family val="1"/>
      </rPr>
      <t>PHP</t>
    </r>
  </si>
  <si>
    <r>
      <rPr>
        <sz val="11"/>
        <rFont val="Calibri"/>
        <family val="1"/>
      </rPr>
      <t>BISWAS</t>
    </r>
  </si>
  <si>
    <r>
      <rPr>
        <sz val="11"/>
        <rFont val="Calibri"/>
        <family val="1"/>
      </rPr>
      <t>SOFTWARE ENG</t>
    </r>
  </si>
  <si>
    <r>
      <rPr>
        <sz val="11"/>
        <rFont val="Calibri"/>
        <family val="1"/>
      </rPr>
      <t>JAVA</t>
    </r>
  </si>
  <si>
    <r>
      <rPr>
        <sz val="11"/>
        <rFont val="Calibri"/>
        <family val="1"/>
      </rPr>
      <t>DINESH</t>
    </r>
  </si>
  <si>
    <r>
      <rPr>
        <sz val="11"/>
        <rFont val="Calibri"/>
        <family val="1"/>
      </rPr>
      <t>SME</t>
    </r>
  </si>
  <si>
    <r>
      <rPr>
        <sz val="11"/>
        <rFont val="Calibri"/>
        <family val="1"/>
      </rPr>
      <t>MAILS</t>
    </r>
  </si>
  <si>
    <r>
      <rPr>
        <sz val="11"/>
        <rFont val="Calibri"/>
        <family val="1"/>
      </rPr>
      <t>ESHWAR</t>
    </r>
  </si>
  <si>
    <r>
      <rPr>
        <sz val="11"/>
        <rFont val="Calibri"/>
        <family val="1"/>
      </rPr>
      <t>PROGRAMMER</t>
    </r>
  </si>
  <si>
    <r>
      <rPr>
        <sz val="11"/>
        <rFont val="Calibri"/>
        <family val="1"/>
      </rPr>
      <t>C++</t>
    </r>
  </si>
  <si>
    <r>
      <rPr>
        <sz val="11"/>
        <rFont val="Calibri"/>
        <family val="1"/>
      </rPr>
      <t>FAHAD</t>
    </r>
  </si>
  <si>
    <r>
      <rPr>
        <sz val="11"/>
        <rFont val="Calibri"/>
        <family val="1"/>
      </rPr>
      <t>DOT NET</t>
    </r>
  </si>
  <si>
    <r>
      <rPr>
        <sz val="11"/>
        <rFont val="Calibri"/>
        <family val="1"/>
      </rPr>
      <t>GANGA</t>
    </r>
  </si>
  <si>
    <r>
      <rPr>
        <sz val="11"/>
        <rFont val="Calibri"/>
        <family val="1"/>
      </rPr>
      <t>SOFTWARE ASSOCIATE</t>
    </r>
  </si>
  <si>
    <r>
      <rPr>
        <sz val="11"/>
        <rFont val="Calibri"/>
        <family val="1"/>
      </rPr>
      <t>TESTING</t>
    </r>
  </si>
  <si>
    <r>
      <rPr>
        <sz val="11"/>
        <rFont val="Calibri"/>
        <family val="1"/>
      </rPr>
      <t>HEMA</t>
    </r>
  </si>
  <si>
    <r>
      <rPr>
        <sz val="11"/>
        <rFont val="Calibri"/>
        <family val="1"/>
      </rPr>
      <t>NETWORK ENG</t>
    </r>
  </si>
  <si>
    <r>
      <rPr>
        <sz val="11"/>
        <rFont val="Calibri"/>
        <family val="1"/>
      </rPr>
      <t>SERVER</t>
    </r>
  </si>
  <si>
    <r>
      <rPr>
        <sz val="11"/>
        <rFont val="Calibri"/>
        <family val="1"/>
      </rPr>
      <t>FARZANA</t>
    </r>
  </si>
  <si>
    <r>
      <rPr>
        <sz val="11"/>
        <rFont val="Calibri"/>
        <family val="1"/>
      </rPr>
      <t>SALES EXECUTIVE</t>
    </r>
  </si>
  <si>
    <r>
      <rPr>
        <sz val="11"/>
        <rFont val="Calibri"/>
        <family val="1"/>
      </rPr>
      <t>AYESH</t>
    </r>
  </si>
  <si>
    <r>
      <rPr>
        <sz val="11"/>
        <rFont val="Calibri"/>
        <family val="1"/>
      </rPr>
      <t>AMAZON</t>
    </r>
  </si>
  <si>
    <r>
      <rPr>
        <sz val="11"/>
        <rFont val="Calibri"/>
        <family val="1"/>
      </rPr>
      <t>PRAVEEN</t>
    </r>
  </si>
  <si>
    <r>
      <rPr>
        <sz val="11"/>
        <rFont val="Calibri"/>
        <family val="1"/>
      </rPr>
      <t>VISHAL</t>
    </r>
  </si>
  <si>
    <r>
      <rPr>
        <sz val="11"/>
        <rFont val="Calibri"/>
        <family val="1"/>
      </rPr>
      <t>GROFFERS</t>
    </r>
  </si>
  <si>
    <r>
      <rPr>
        <sz val="11"/>
        <rFont val="Calibri"/>
        <family val="1"/>
      </rPr>
      <t>VISHNU</t>
    </r>
  </si>
  <si>
    <r>
      <rPr>
        <sz val="11"/>
        <rFont val="Calibri"/>
        <family val="1"/>
      </rPr>
      <t>PAYTM</t>
    </r>
  </si>
  <si>
    <r>
      <rPr>
        <sz val="11"/>
        <rFont val="Calibri"/>
        <family val="1"/>
      </rPr>
      <t>KRISHNA</t>
    </r>
  </si>
  <si>
    <r>
      <rPr>
        <sz val="11"/>
        <rFont val="Calibri"/>
        <family val="1"/>
      </rPr>
      <t>ABHISHEK</t>
    </r>
  </si>
  <si>
    <r>
      <rPr>
        <sz val="11"/>
        <rFont val="Calibri"/>
        <family val="1"/>
      </rPr>
      <t>MYNTRA</t>
    </r>
  </si>
  <si>
    <r>
      <rPr>
        <sz val="11"/>
        <rFont val="Calibri"/>
        <family val="1"/>
      </rPr>
      <t>FARZANA BANU</t>
    </r>
  </si>
  <si>
    <r>
      <rPr>
        <sz val="11"/>
        <rFont val="Calibri"/>
        <family val="1"/>
      </rPr>
      <t>01-</t>
    </r>
    <r>
      <rPr>
        <sz val="11"/>
        <rFont val="Nirmala UI"/>
        <family val="2"/>
      </rPr>
      <t>नवम्बर</t>
    </r>
    <r>
      <rPr>
        <sz val="11"/>
        <rFont val="Courier New"/>
        <family val="3"/>
      </rPr>
      <t>-</t>
    </r>
    <r>
      <rPr>
        <sz val="11"/>
        <rFont val="Calibri"/>
        <family val="1"/>
      </rPr>
      <t>18</t>
    </r>
  </si>
  <si>
    <r>
      <rPr>
        <sz val="11"/>
        <rFont val="Calibri"/>
        <family val="1"/>
      </rPr>
      <t>VAMSEE KRISHNA</t>
    </r>
  </si>
  <si>
    <r>
      <rPr>
        <sz val="11"/>
        <rFont val="Calibri"/>
        <family val="1"/>
      </rPr>
      <t>BRAND MANAGER</t>
    </r>
  </si>
  <si>
    <r>
      <rPr>
        <sz val="11"/>
        <rFont val="Calibri"/>
        <family val="1"/>
      </rPr>
      <t>MARKETING</t>
    </r>
  </si>
  <si>
    <r>
      <rPr>
        <b/>
        <sz val="11"/>
        <rFont val="Calibri"/>
        <family val="1"/>
      </rPr>
      <t>Q.1 How Many Employee?</t>
    </r>
  </si>
  <si>
    <r>
      <rPr>
        <b/>
        <sz val="11"/>
        <rFont val="Calibri"/>
        <family val="1"/>
      </rPr>
      <t xml:space="preserve">Q.2 How Many Employee in Sales
</t>
    </r>
    <r>
      <rPr>
        <b/>
        <sz val="11"/>
        <rFont val="Calibri"/>
        <family val="1"/>
      </rPr>
      <t>Executive?</t>
    </r>
  </si>
  <si>
    <r>
      <rPr>
        <sz val="11"/>
        <color rgb="FFFF0000"/>
        <rFont val="Calibri"/>
        <family val="1"/>
      </rPr>
      <t>Use of Countif</t>
    </r>
  </si>
  <si>
    <r>
      <rPr>
        <b/>
        <sz val="11"/>
        <rFont val="Calibri"/>
        <family val="1"/>
      </rPr>
      <t>Q.3 How Many Employee Sales Executive in Amazone and Myntra?</t>
    </r>
  </si>
  <si>
    <r>
      <rPr>
        <b/>
        <sz val="11"/>
        <rFont val="Calibri"/>
        <family val="1"/>
      </rPr>
      <t>Q.4 Employee Dinesh and Vishal Post and KRA?</t>
    </r>
  </si>
  <si>
    <r>
      <rPr>
        <sz val="11"/>
        <color rgb="FFFF0000"/>
        <rFont val="Calibri"/>
        <family val="1"/>
      </rPr>
      <t>use of Vlookup</t>
    </r>
  </si>
  <si>
    <r>
      <rPr>
        <b/>
        <sz val="11"/>
        <rFont val="Calibri"/>
        <family val="1"/>
      </rPr>
      <t xml:space="preserve">Q.5 Employee Abhishek and Hema Emp
</t>
    </r>
    <r>
      <rPr>
        <b/>
        <sz val="11"/>
        <rFont val="Calibri"/>
        <family val="1"/>
      </rPr>
      <t>id?</t>
    </r>
  </si>
  <si>
    <r>
      <rPr>
        <sz val="11"/>
        <color rgb="FFFF0000"/>
        <rFont val="Calibri"/>
        <family val="1"/>
      </rPr>
      <t>Use of Index with Match</t>
    </r>
  </si>
  <si>
    <r>
      <rPr>
        <b/>
        <sz val="14"/>
        <rFont val="Calibri"/>
        <family val="1"/>
      </rPr>
      <t>Assignment -29</t>
    </r>
  </si>
  <si>
    <r>
      <rPr>
        <b/>
        <sz val="11"/>
        <rFont val="Calibri"/>
        <family val="1"/>
      </rPr>
      <t>Use of Vlookup One Sheet to Another Sheet</t>
    </r>
  </si>
  <si>
    <r>
      <rPr>
        <b/>
        <sz val="11"/>
        <color rgb="FFFF0000"/>
        <rFont val="Calibri"/>
        <family val="1"/>
      </rPr>
      <t>Sheet 1- Data</t>
    </r>
  </si>
  <si>
    <r>
      <rPr>
        <b/>
        <sz val="11"/>
        <rFont val="Calibri"/>
        <family val="1"/>
      </rPr>
      <t>First Name</t>
    </r>
  </si>
  <si>
    <r>
      <rPr>
        <b/>
        <sz val="11"/>
        <rFont val="Calibri"/>
        <family val="1"/>
      </rPr>
      <t>Location</t>
    </r>
  </si>
  <si>
    <r>
      <rPr>
        <sz val="11"/>
        <rFont val="Calibri"/>
        <family val="1"/>
      </rPr>
      <t>Donald</t>
    </r>
  </si>
  <si>
    <r>
      <rPr>
        <sz val="11"/>
        <rFont val="Calibri"/>
        <family val="1"/>
      </rPr>
      <t>Patrick</t>
    </r>
  </si>
  <si>
    <r>
      <rPr>
        <sz val="11"/>
        <rFont val="Calibri"/>
        <family val="1"/>
      </rPr>
      <t>Finance</t>
    </r>
  </si>
  <si>
    <r>
      <rPr>
        <sz val="11"/>
        <rFont val="Calibri"/>
        <family val="1"/>
      </rPr>
      <t>Banglore</t>
    </r>
  </si>
  <si>
    <r>
      <rPr>
        <sz val="11"/>
        <rFont val="Calibri"/>
        <family val="1"/>
      </rPr>
      <t>Samuel</t>
    </r>
  </si>
  <si>
    <r>
      <rPr>
        <sz val="11"/>
        <rFont val="Calibri"/>
        <family val="1"/>
      </rPr>
      <t>Samson</t>
    </r>
  </si>
  <si>
    <r>
      <rPr>
        <sz val="11"/>
        <rFont val="Calibri"/>
        <family val="1"/>
      </rPr>
      <t>Marketing</t>
    </r>
  </si>
  <si>
    <r>
      <rPr>
        <sz val="11"/>
        <rFont val="Calibri"/>
        <family val="1"/>
      </rPr>
      <t>Ian</t>
    </r>
  </si>
  <si>
    <r>
      <rPr>
        <sz val="11"/>
        <rFont val="Calibri"/>
        <family val="1"/>
      </rPr>
      <t>Jacob</t>
    </r>
  </si>
  <si>
    <r>
      <rPr>
        <sz val="11"/>
        <rFont val="Calibri"/>
        <family val="1"/>
      </rPr>
      <t>Henry</t>
    </r>
  </si>
  <si>
    <r>
      <rPr>
        <sz val="11"/>
        <rFont val="Calibri"/>
        <family val="1"/>
      </rPr>
      <t>Madrid</t>
    </r>
  </si>
  <si>
    <r>
      <rPr>
        <sz val="11"/>
        <rFont val="Calibri"/>
        <family val="1"/>
      </rPr>
      <t>IT</t>
    </r>
  </si>
  <si>
    <r>
      <rPr>
        <sz val="11"/>
        <rFont val="Calibri"/>
        <family val="1"/>
      </rPr>
      <t>Ronica</t>
    </r>
  </si>
  <si>
    <r>
      <rPr>
        <sz val="11"/>
        <rFont val="Calibri"/>
        <family val="1"/>
      </rPr>
      <t>Brave</t>
    </r>
  </si>
  <si>
    <r>
      <rPr>
        <sz val="11"/>
        <rFont val="Calibri"/>
        <family val="1"/>
      </rPr>
      <t>Christine</t>
    </r>
  </si>
  <si>
    <r>
      <rPr>
        <sz val="11"/>
        <rFont val="Calibri"/>
        <family val="1"/>
      </rPr>
      <t>Salvi</t>
    </r>
  </si>
  <si>
    <r>
      <rPr>
        <sz val="11"/>
        <rFont val="Calibri"/>
        <family val="1"/>
      </rPr>
      <t>Andrew</t>
    </r>
  </si>
  <si>
    <r>
      <rPr>
        <sz val="11"/>
        <rFont val="Calibri"/>
        <family val="1"/>
      </rPr>
      <t>Baisley</t>
    </r>
  </si>
  <si>
    <r>
      <rPr>
        <sz val="11"/>
        <rFont val="Calibri"/>
        <family val="1"/>
      </rPr>
      <t>Erica</t>
    </r>
  </si>
  <si>
    <r>
      <rPr>
        <sz val="11"/>
        <rFont val="Calibri"/>
        <family val="1"/>
      </rPr>
      <t>Irons</t>
    </r>
  </si>
  <si>
    <r>
      <rPr>
        <b/>
        <sz val="11"/>
        <color rgb="FFFF0000"/>
        <rFont val="Calibri"/>
        <family val="1"/>
      </rPr>
      <t>Sheet 2- Use of Vlookup</t>
    </r>
  </si>
  <si>
    <r>
      <rPr>
        <b/>
        <sz val="14"/>
        <rFont val="Calibri"/>
        <family val="1"/>
      </rPr>
      <t>Assignment -30</t>
    </r>
  </si>
  <si>
    <r>
      <rPr>
        <b/>
        <sz val="11"/>
        <rFont val="Calibri"/>
        <family val="1"/>
      </rPr>
      <t>Get Pivot Table</t>
    </r>
  </si>
  <si>
    <r>
      <rPr>
        <u/>
        <sz val="11"/>
        <rFont val="Calibri"/>
        <family val="1"/>
      </rPr>
      <t>                          Pivot Table Result                          </t>
    </r>
  </si>
  <si>
    <r>
      <rPr>
        <b/>
        <sz val="11"/>
        <rFont val="Calibri"/>
        <family val="1"/>
      </rPr>
      <t>Date of Sale</t>
    </r>
  </si>
  <si>
    <r>
      <rPr>
        <b/>
        <sz val="11"/>
        <rFont val="Calibri"/>
        <family val="1"/>
      </rPr>
      <t>Month</t>
    </r>
  </si>
  <si>
    <r>
      <rPr>
        <b/>
        <sz val="11"/>
        <rFont val="Calibri"/>
        <family val="1"/>
      </rPr>
      <t>Sales Amt</t>
    </r>
  </si>
  <si>
    <r>
      <rPr>
        <sz val="11"/>
        <rFont val="Calibri"/>
        <family val="1"/>
      </rPr>
      <t>Month</t>
    </r>
  </si>
  <si>
    <r>
      <rPr>
        <sz val="11"/>
        <rFont val="Calibri"/>
        <family val="1"/>
      </rPr>
      <t>(All)</t>
    </r>
  </si>
  <si>
    <r>
      <rPr>
        <sz val="11"/>
        <rFont val="Calibri"/>
        <family val="1"/>
      </rPr>
      <t>January</t>
    </r>
  </si>
  <si>
    <r>
      <rPr>
        <sz val="11"/>
        <rFont val="Calibri"/>
        <family val="1"/>
      </rPr>
      <t>2,01,440</t>
    </r>
  </si>
  <si>
    <r>
      <rPr>
        <sz val="11"/>
        <rFont val="Calibri"/>
        <family val="1"/>
      </rPr>
      <t>3,52,519</t>
    </r>
  </si>
  <si>
    <r>
      <rPr>
        <b/>
        <sz val="11"/>
        <rFont val="Calibri"/>
        <family val="1"/>
      </rPr>
      <t>Sum of Sales Amt</t>
    </r>
  </si>
  <si>
    <r>
      <rPr>
        <sz val="11"/>
        <rFont val="Calibri"/>
        <family val="1"/>
      </rPr>
      <t>1,72,406</t>
    </r>
  </si>
  <si>
    <r>
      <rPr>
        <sz val="11"/>
        <rFont val="Calibri"/>
        <family val="1"/>
      </rPr>
      <t>2,40,000</t>
    </r>
  </si>
  <si>
    <r>
      <rPr>
        <sz val="11"/>
        <rFont val="Calibri"/>
        <family val="1"/>
      </rPr>
      <t>February</t>
    </r>
  </si>
  <si>
    <r>
      <rPr>
        <sz val="11"/>
        <rFont val="Calibri"/>
        <family val="1"/>
      </rPr>
      <t>3,00,000</t>
    </r>
  </si>
  <si>
    <r>
      <rPr>
        <sz val="11"/>
        <rFont val="Calibri"/>
        <family val="1"/>
      </rPr>
      <t>1,50,000</t>
    </r>
  </si>
  <si>
    <r>
      <rPr>
        <sz val="11"/>
        <rFont val="Calibri"/>
        <family val="1"/>
      </rPr>
      <t>3,30,553</t>
    </r>
  </si>
  <si>
    <r>
      <rPr>
        <sz val="11"/>
        <rFont val="Calibri"/>
        <family val="1"/>
      </rPr>
      <t>6,43,835</t>
    </r>
  </si>
  <si>
    <r>
      <rPr>
        <sz val="11"/>
        <rFont val="Calibri"/>
        <family val="1"/>
      </rPr>
      <t>1,63,282</t>
    </r>
  </si>
  <si>
    <r>
      <rPr>
        <sz val="11"/>
        <rFont val="Calibri"/>
        <family val="1"/>
      </rPr>
      <t>5,64,030</t>
    </r>
  </si>
  <si>
    <r>
      <rPr>
        <sz val="11"/>
        <rFont val="Calibri"/>
        <family val="1"/>
      </rPr>
      <t>7,20,256</t>
    </r>
  </si>
  <si>
    <r>
      <rPr>
        <sz val="11"/>
        <rFont val="Calibri"/>
        <family val="1"/>
      </rPr>
      <t>5,03,599</t>
    </r>
  </si>
  <si>
    <r>
      <rPr>
        <b/>
        <sz val="11"/>
        <rFont val="Calibri"/>
        <family val="1"/>
      </rPr>
      <t>Grand Total</t>
    </r>
  </si>
  <si>
    <r>
      <rPr>
        <b/>
        <sz val="11"/>
        <rFont val="Calibri"/>
        <family val="1"/>
      </rPr>
      <t>33,34,777</t>
    </r>
  </si>
  <si>
    <r>
      <rPr>
        <b/>
        <sz val="14"/>
        <rFont val="Calibri"/>
        <family val="1"/>
      </rPr>
      <t>Assignment -31</t>
    </r>
  </si>
  <si>
    <r>
      <rPr>
        <b/>
        <sz val="11"/>
        <rFont val="Calibri"/>
        <family val="1"/>
      </rPr>
      <t>USE OF HLOOKUP</t>
    </r>
  </si>
  <si>
    <r>
      <rPr>
        <b/>
        <sz val="11"/>
        <color rgb="FFFFFFFF"/>
        <rFont val="Calibri"/>
        <family val="1"/>
      </rPr>
      <t>Months</t>
    </r>
  </si>
  <si>
    <r>
      <rPr>
        <sz val="11"/>
        <rFont val="Calibri"/>
        <family val="1"/>
      </rPr>
      <t>March</t>
    </r>
  </si>
  <si>
    <r>
      <rPr>
        <sz val="11"/>
        <rFont val="Calibri"/>
        <family val="1"/>
      </rPr>
      <t>April</t>
    </r>
  </si>
  <si>
    <r>
      <rPr>
        <sz val="11"/>
        <rFont val="Calibri"/>
        <family val="1"/>
      </rPr>
      <t>May</t>
    </r>
  </si>
  <si>
    <r>
      <rPr>
        <sz val="11"/>
        <rFont val="Calibri"/>
        <family val="1"/>
      </rPr>
      <t>June</t>
    </r>
  </si>
  <si>
    <r>
      <rPr>
        <b/>
        <sz val="11"/>
        <color rgb="FFFFFFFF"/>
        <rFont val="Calibri"/>
        <family val="1"/>
      </rPr>
      <t>Sale</t>
    </r>
  </si>
  <si>
    <r>
      <rPr>
        <b/>
        <sz val="11"/>
        <color rgb="FFFFFFFF"/>
        <rFont val="Calibri"/>
        <family val="1"/>
      </rPr>
      <t>Name</t>
    </r>
  </si>
  <si>
    <r>
      <rPr>
        <sz val="11"/>
        <rFont val="Calibri"/>
        <family val="1"/>
      </rPr>
      <t>Mat</t>
    </r>
  </si>
  <si>
    <r>
      <rPr>
        <sz val="11"/>
        <rFont val="Calibri"/>
        <family val="1"/>
      </rPr>
      <t>Jim</t>
    </r>
  </si>
  <si>
    <r>
      <rPr>
        <sz val="11"/>
        <rFont val="Calibri"/>
        <family val="1"/>
      </rPr>
      <t>Cole</t>
    </r>
  </si>
  <si>
    <r>
      <rPr>
        <sz val="11"/>
        <rFont val="Calibri"/>
        <family val="1"/>
      </rPr>
      <t>Ricky</t>
    </r>
  </si>
  <si>
    <r>
      <rPr>
        <sz val="11"/>
        <rFont val="Calibri"/>
        <family val="1"/>
      </rPr>
      <t>Mary</t>
    </r>
  </si>
  <si>
    <r>
      <rPr>
        <b/>
        <sz val="11"/>
        <color rgb="FFFFFFFF"/>
        <rFont val="Calibri"/>
        <family val="1"/>
      </rPr>
      <t>Science</t>
    </r>
  </si>
  <si>
    <r>
      <rPr>
        <b/>
        <sz val="11"/>
        <color rgb="FFFFFFFF"/>
        <rFont val="Calibri"/>
        <family val="1"/>
      </rPr>
      <t>Maths</t>
    </r>
  </si>
  <si>
    <r>
      <rPr>
        <b/>
        <sz val="11"/>
        <color rgb="FFFFFFFF"/>
        <rFont val="Calibri"/>
        <family val="1"/>
      </rPr>
      <t>Marks in English</t>
    </r>
  </si>
  <si>
    <r>
      <rPr>
        <b/>
        <sz val="11"/>
        <color rgb="FFFFFFFF"/>
        <rFont val="Calibri"/>
        <family val="1"/>
      </rPr>
      <t>Marks in Maths</t>
    </r>
  </si>
  <si>
    <r>
      <rPr>
        <b/>
        <sz val="11"/>
        <color rgb="FFFFFFFF"/>
        <rFont val="Calibri"/>
        <family val="1"/>
      </rPr>
      <t>EMP</t>
    </r>
  </si>
  <si>
    <r>
      <rPr>
        <sz val="11"/>
        <rFont val="Calibri"/>
        <family val="1"/>
      </rPr>
      <t>FIS6067</t>
    </r>
  </si>
  <si>
    <r>
      <rPr>
        <sz val="11"/>
        <rFont val="Calibri"/>
        <family val="1"/>
      </rPr>
      <t>FIS5228</t>
    </r>
  </si>
  <si>
    <r>
      <rPr>
        <sz val="11"/>
        <rFont val="Calibri"/>
        <family val="1"/>
      </rPr>
      <t>FIS6799</t>
    </r>
  </si>
  <si>
    <r>
      <rPr>
        <sz val="11"/>
        <rFont val="Calibri"/>
        <family val="1"/>
      </rPr>
      <t>FIS1149</t>
    </r>
  </si>
  <si>
    <r>
      <rPr>
        <sz val="11"/>
        <rFont val="Calibri"/>
        <family val="1"/>
      </rPr>
      <t>FIS5834</t>
    </r>
  </si>
  <si>
    <r>
      <rPr>
        <b/>
        <sz val="11"/>
        <color rgb="FFFFFFFF"/>
        <rFont val="Calibri"/>
        <family val="1"/>
      </rPr>
      <t>SALES1</t>
    </r>
  </si>
  <si>
    <r>
      <rPr>
        <b/>
        <sz val="11"/>
        <color rgb="FFFFFFFF"/>
        <rFont val="Calibri"/>
        <family val="1"/>
      </rPr>
      <t>SALES2</t>
    </r>
  </si>
  <si>
    <r>
      <rPr>
        <b/>
        <sz val="11"/>
        <color rgb="FFFFFFFF"/>
        <rFont val="Calibri"/>
        <family val="1"/>
      </rPr>
      <t>SALES3</t>
    </r>
  </si>
  <si>
    <r>
      <rPr>
        <b/>
        <sz val="11"/>
        <color rgb="FFFFFFFF"/>
        <rFont val="Calibri"/>
        <family val="1"/>
      </rPr>
      <t>SALES4</t>
    </r>
  </si>
  <si>
    <r>
      <rPr>
        <b/>
        <sz val="11"/>
        <color rgb="FFFFFFFF"/>
        <rFont val="Calibri"/>
        <family val="1"/>
      </rPr>
      <t>SALES5</t>
    </r>
  </si>
  <si>
    <r>
      <rPr>
        <b/>
        <sz val="11"/>
        <color rgb="FFFFFFFF"/>
        <rFont val="Calibri"/>
        <family val="1"/>
      </rPr>
      <t>Sales 4</t>
    </r>
  </si>
  <si>
    <r>
      <rPr>
        <b/>
        <sz val="11"/>
        <color rgb="FFFFFFFF"/>
        <rFont val="Calibri"/>
        <family val="1"/>
      </rPr>
      <t>Temperarture (In Celsius)</t>
    </r>
  </si>
  <si>
    <r>
      <rPr>
        <b/>
        <sz val="11"/>
        <color rgb="FFFFFFFF"/>
        <rFont val="Calibri"/>
        <family val="1"/>
      </rPr>
      <t>Cities</t>
    </r>
  </si>
  <si>
    <r>
      <rPr>
        <sz val="11"/>
        <rFont val="Calibri"/>
        <family val="1"/>
      </rPr>
      <t>New Delhi</t>
    </r>
  </si>
  <si>
    <r>
      <rPr>
        <sz val="11"/>
        <rFont val="Calibri"/>
        <family val="1"/>
      </rPr>
      <t>Mumbai</t>
    </r>
  </si>
  <si>
    <r>
      <rPr>
        <sz val="11"/>
        <rFont val="Calibri"/>
        <family val="1"/>
      </rPr>
      <t>Bangalore</t>
    </r>
  </si>
  <si>
    <r>
      <rPr>
        <b/>
        <sz val="11"/>
        <color rgb="FFFFFFFF"/>
        <rFont val="Calibri"/>
        <family val="1"/>
      </rPr>
      <t>Temperature</t>
    </r>
  </si>
  <si>
    <r>
      <rPr>
        <b/>
        <sz val="11"/>
        <color rgb="FFFFFFFF"/>
        <rFont val="Calibri"/>
        <family val="1"/>
      </rPr>
      <t>Employee</t>
    </r>
  </si>
  <si>
    <r>
      <rPr>
        <sz val="11"/>
        <rFont val="Calibri"/>
        <family val="1"/>
      </rPr>
      <t>Albert</t>
    </r>
  </si>
  <si>
    <r>
      <rPr>
        <sz val="11"/>
        <rFont val="Calibri"/>
        <family val="1"/>
      </rPr>
      <t>Aaron</t>
    </r>
  </si>
  <si>
    <r>
      <rPr>
        <sz val="11"/>
        <rFont val="Calibri"/>
        <family val="1"/>
      </rPr>
      <t>Albama</t>
    </r>
  </si>
  <si>
    <r>
      <rPr>
        <sz val="11"/>
        <rFont val="Calibri"/>
        <family val="1"/>
      </rPr>
      <t>Abeey</t>
    </r>
  </si>
  <si>
    <r>
      <rPr>
        <sz val="11"/>
        <rFont val="Calibri"/>
        <family val="1"/>
      </rPr>
      <t>Cathy</t>
    </r>
  </si>
  <si>
    <r>
      <rPr>
        <sz val="11"/>
        <rFont val="Calibri"/>
        <family val="1"/>
      </rPr>
      <t>Cat</t>
    </r>
  </si>
  <si>
    <r>
      <rPr>
        <b/>
        <sz val="14"/>
        <rFont val="Calibri"/>
        <family val="1"/>
      </rPr>
      <t>Assignment -32</t>
    </r>
  </si>
  <si>
    <r>
      <rPr>
        <b/>
        <sz val="11"/>
        <rFont val="Calibri"/>
        <family val="1"/>
      </rPr>
      <t>USE OF NESTEDIF</t>
    </r>
  </si>
  <si>
    <r>
      <rPr>
        <b/>
        <sz val="10"/>
        <color rgb="FFFFFFFF"/>
        <rFont val="Arial"/>
        <family val="2"/>
      </rPr>
      <t>Total Numbers Earned</t>
    </r>
  </si>
  <si>
    <r>
      <rPr>
        <b/>
        <sz val="10"/>
        <color rgb="FFFFFFFF"/>
        <rFont val="Arial"/>
        <family val="2"/>
      </rPr>
      <t>Grade earned</t>
    </r>
  </si>
  <si>
    <r>
      <rPr>
        <sz val="11"/>
        <rFont val="Calibri"/>
        <family val="1"/>
      </rPr>
      <t>Condition List</t>
    </r>
  </si>
  <si>
    <r>
      <rPr>
        <sz val="11"/>
        <rFont val="Calibri"/>
        <family val="1"/>
      </rPr>
      <t>John Wilkins</t>
    </r>
  </si>
  <si>
    <r>
      <rPr>
        <sz val="11"/>
        <rFont val="Calibri"/>
        <family val="1"/>
      </rPr>
      <t>A+</t>
    </r>
  </si>
  <si>
    <r>
      <rPr>
        <sz val="11"/>
        <rFont val="Calibri"/>
        <family val="1"/>
      </rPr>
      <t>90-100</t>
    </r>
  </si>
  <si>
    <r>
      <rPr>
        <sz val="11"/>
        <rFont val="Calibri"/>
        <family val="1"/>
      </rPr>
      <t>Steve Harrington</t>
    </r>
  </si>
  <si>
    <r>
      <rPr>
        <sz val="11"/>
        <rFont val="Calibri"/>
        <family val="1"/>
      </rPr>
      <t>85 - &lt; 90</t>
    </r>
  </si>
  <si>
    <r>
      <rPr>
        <sz val="11"/>
        <rFont val="Calibri"/>
        <family val="1"/>
      </rPr>
      <t>Edward Clark</t>
    </r>
  </si>
  <si>
    <r>
      <rPr>
        <sz val="11"/>
        <rFont val="Calibri"/>
        <family val="1"/>
      </rPr>
      <t>80 - &lt; 85</t>
    </r>
  </si>
  <si>
    <r>
      <rPr>
        <sz val="11"/>
        <rFont val="Calibri"/>
        <family val="1"/>
      </rPr>
      <t>B+</t>
    </r>
  </si>
  <si>
    <r>
      <rPr>
        <sz val="11"/>
        <rFont val="Calibri"/>
        <family val="1"/>
      </rPr>
      <t>Jimmy Chemberlin</t>
    </r>
  </si>
  <si>
    <r>
      <rPr>
        <sz val="11"/>
        <rFont val="Calibri"/>
        <family val="1"/>
      </rPr>
      <t>75 - &lt; 80</t>
    </r>
  </si>
  <si>
    <r>
      <rPr>
        <sz val="11"/>
        <rFont val="Calibri"/>
        <family val="1"/>
      </rPr>
      <t>Alex Wilkins</t>
    </r>
  </si>
  <si>
    <r>
      <rPr>
        <sz val="11"/>
        <rFont val="Calibri"/>
        <family val="1"/>
      </rPr>
      <t>70 - &lt; 75</t>
    </r>
  </si>
  <si>
    <r>
      <rPr>
        <sz val="11"/>
        <rFont val="Calibri"/>
        <family val="1"/>
      </rPr>
      <t>C+</t>
    </r>
  </si>
  <si>
    <r>
      <rPr>
        <sz val="11"/>
        <rFont val="Calibri"/>
        <family val="1"/>
      </rPr>
      <t>Patty Scott</t>
    </r>
  </si>
  <si>
    <r>
      <rPr>
        <sz val="11"/>
        <rFont val="Calibri"/>
        <family val="1"/>
      </rPr>
      <t>65 - &lt; 70</t>
    </r>
  </si>
  <si>
    <r>
      <rPr>
        <sz val="11"/>
        <rFont val="Calibri"/>
        <family val="1"/>
      </rPr>
      <t>Andrew Williams</t>
    </r>
  </si>
  <si>
    <r>
      <rPr>
        <sz val="11"/>
        <rFont val="Calibri"/>
        <family val="1"/>
      </rPr>
      <t>60 - &lt; 65</t>
    </r>
  </si>
  <si>
    <r>
      <rPr>
        <sz val="11"/>
        <rFont val="Calibri"/>
        <family val="1"/>
      </rPr>
      <t>D+</t>
    </r>
  </si>
  <si>
    <r>
      <rPr>
        <sz val="11"/>
        <rFont val="Calibri"/>
        <family val="1"/>
      </rPr>
      <t>Emilia johnson</t>
    </r>
  </si>
  <si>
    <r>
      <rPr>
        <sz val="11"/>
        <rFont val="Calibri"/>
        <family val="1"/>
      </rPr>
      <t>50 - &lt; 60</t>
    </r>
  </si>
  <si>
    <r>
      <rPr>
        <sz val="11"/>
        <rFont val="Calibri"/>
        <family val="1"/>
      </rPr>
      <t>Anthony Rogers</t>
    </r>
  </si>
  <si>
    <r>
      <rPr>
        <sz val="11"/>
        <rFont val="Calibri"/>
        <family val="1"/>
      </rPr>
      <t>&lt; 50</t>
    </r>
  </si>
  <si>
    <r>
      <rPr>
        <b/>
        <sz val="14"/>
        <rFont val="Calibri"/>
        <family val="1"/>
      </rPr>
      <t>Assignment -33</t>
    </r>
  </si>
  <si>
    <r>
      <rPr>
        <b/>
        <sz val="11"/>
        <rFont val="Calibri"/>
        <family val="1"/>
      </rPr>
      <t>Merge Table 1,2 &amp; 3 Using Vlookup</t>
    </r>
  </si>
  <si>
    <r>
      <rPr>
        <b/>
        <sz val="10"/>
        <rFont val="Calibri"/>
        <family val="1"/>
      </rPr>
      <t>Table 1</t>
    </r>
  </si>
  <si>
    <r>
      <rPr>
        <b/>
        <sz val="10"/>
        <rFont val="Calibri"/>
        <family val="1"/>
      </rPr>
      <t>Table 2</t>
    </r>
  </si>
  <si>
    <r>
      <rPr>
        <b/>
        <sz val="10"/>
        <rFont val="Calibri"/>
        <family val="1"/>
      </rPr>
      <t>Table 3</t>
    </r>
  </si>
  <si>
    <r>
      <rPr>
        <b/>
        <sz val="10"/>
        <rFont val="Calibri"/>
        <family val="1"/>
      </rPr>
      <t>Emp ID</t>
    </r>
  </si>
  <si>
    <r>
      <rPr>
        <b/>
        <sz val="10"/>
        <rFont val="Calibri"/>
        <family val="1"/>
      </rPr>
      <t>Emp Name</t>
    </r>
  </si>
  <si>
    <r>
      <rPr>
        <b/>
        <sz val="10"/>
        <rFont val="Calibri"/>
        <family val="1"/>
      </rPr>
      <t>Dept</t>
    </r>
  </si>
  <si>
    <r>
      <rPr>
        <b/>
        <sz val="10"/>
        <rFont val="Calibri"/>
        <family val="1"/>
      </rPr>
      <t>Salary</t>
    </r>
  </si>
  <si>
    <r>
      <rPr>
        <sz val="10"/>
        <rFont val="Calibri"/>
        <family val="1"/>
      </rPr>
      <t>Prd001</t>
    </r>
  </si>
  <si>
    <r>
      <rPr>
        <sz val="10"/>
        <rFont val="Calibri"/>
        <family val="1"/>
      </rPr>
      <t>Raju</t>
    </r>
  </si>
  <si>
    <r>
      <rPr>
        <sz val="10"/>
        <rFont val="Calibri"/>
        <family val="1"/>
      </rPr>
      <t>Sales</t>
    </r>
  </si>
  <si>
    <r>
      <rPr>
        <sz val="10"/>
        <rFont val="Calibri"/>
        <family val="1"/>
      </rPr>
      <t>Prd002</t>
    </r>
  </si>
  <si>
    <r>
      <rPr>
        <sz val="10"/>
        <rFont val="Calibri"/>
        <family val="1"/>
      </rPr>
      <t>Ramesh</t>
    </r>
  </si>
  <si>
    <r>
      <rPr>
        <sz val="10"/>
        <rFont val="Calibri"/>
        <family val="1"/>
      </rPr>
      <t>Operations</t>
    </r>
  </si>
  <si>
    <r>
      <rPr>
        <sz val="10"/>
        <rFont val="Calibri"/>
        <family val="1"/>
      </rPr>
      <t>Prd003</t>
    </r>
  </si>
  <si>
    <r>
      <rPr>
        <sz val="10"/>
        <rFont val="Calibri"/>
        <family val="1"/>
      </rPr>
      <t>Ramila</t>
    </r>
  </si>
  <si>
    <r>
      <rPr>
        <sz val="10"/>
        <rFont val="Calibri"/>
        <family val="1"/>
      </rPr>
      <t>Prd004</t>
    </r>
  </si>
  <si>
    <r>
      <rPr>
        <sz val="10"/>
        <rFont val="Calibri"/>
        <family val="1"/>
      </rPr>
      <t>Rajeshwari</t>
    </r>
  </si>
  <si>
    <r>
      <rPr>
        <sz val="10"/>
        <rFont val="Calibri"/>
        <family val="1"/>
      </rPr>
      <t>Prd013</t>
    </r>
  </si>
  <si>
    <r>
      <rPr>
        <sz val="10"/>
        <rFont val="Calibri"/>
        <family val="1"/>
      </rPr>
      <t>Prd005</t>
    </r>
  </si>
  <si>
    <r>
      <rPr>
        <sz val="10"/>
        <rFont val="Calibri"/>
        <family val="1"/>
      </rPr>
      <t>Karan</t>
    </r>
  </si>
  <si>
    <r>
      <rPr>
        <sz val="10"/>
        <rFont val="Calibri"/>
        <family val="1"/>
      </rPr>
      <t>Prd014</t>
    </r>
  </si>
  <si>
    <r>
      <rPr>
        <sz val="10"/>
        <rFont val="Calibri"/>
        <family val="1"/>
      </rPr>
      <t>Prd006</t>
    </r>
  </si>
  <si>
    <r>
      <rPr>
        <sz val="10"/>
        <rFont val="Calibri"/>
        <family val="1"/>
      </rPr>
      <t>Rohith</t>
    </r>
  </si>
  <si>
    <r>
      <rPr>
        <sz val="10"/>
        <rFont val="Calibri"/>
        <family val="1"/>
      </rPr>
      <t>Prd015</t>
    </r>
  </si>
  <si>
    <r>
      <rPr>
        <sz val="10"/>
        <rFont val="Calibri"/>
        <family val="1"/>
      </rPr>
      <t>IT</t>
    </r>
  </si>
  <si>
    <r>
      <rPr>
        <sz val="10"/>
        <rFont val="Calibri"/>
        <family val="1"/>
      </rPr>
      <t>Prd007</t>
    </r>
  </si>
  <si>
    <r>
      <rPr>
        <sz val="10"/>
        <rFont val="Calibri"/>
        <family val="1"/>
      </rPr>
      <t>Jacob</t>
    </r>
  </si>
  <si>
    <r>
      <rPr>
        <sz val="10"/>
        <rFont val="Calibri"/>
        <family val="1"/>
      </rPr>
      <t>Prd016</t>
    </r>
  </si>
  <si>
    <r>
      <rPr>
        <sz val="10"/>
        <rFont val="Calibri"/>
        <family val="1"/>
      </rPr>
      <t>Prd008</t>
    </r>
  </si>
  <si>
    <r>
      <rPr>
        <sz val="10"/>
        <rFont val="Calibri"/>
        <family val="1"/>
      </rPr>
      <t>Fleming</t>
    </r>
  </si>
  <si>
    <r>
      <rPr>
        <sz val="10"/>
        <rFont val="Calibri"/>
        <family val="1"/>
      </rPr>
      <t>Prd017</t>
    </r>
  </si>
  <si>
    <r>
      <rPr>
        <sz val="10"/>
        <rFont val="Calibri"/>
        <family val="1"/>
      </rPr>
      <t>Prd009</t>
    </r>
  </si>
  <si>
    <r>
      <rPr>
        <sz val="10"/>
        <rFont val="Calibri"/>
        <family val="1"/>
      </rPr>
      <t>Navya</t>
    </r>
  </si>
  <si>
    <r>
      <rPr>
        <sz val="10"/>
        <rFont val="Calibri"/>
        <family val="1"/>
      </rPr>
      <t>Prd020</t>
    </r>
  </si>
  <si>
    <r>
      <rPr>
        <sz val="10"/>
        <rFont val="Calibri"/>
        <family val="1"/>
      </rPr>
      <t>Prd010</t>
    </r>
  </si>
  <si>
    <r>
      <rPr>
        <sz val="10"/>
        <rFont val="Calibri"/>
        <family val="1"/>
      </rPr>
      <t>Kavya</t>
    </r>
  </si>
  <si>
    <r>
      <rPr>
        <sz val="10"/>
        <rFont val="Calibri"/>
        <family val="1"/>
      </rPr>
      <t>HR</t>
    </r>
  </si>
  <si>
    <r>
      <rPr>
        <sz val="10"/>
        <rFont val="Calibri"/>
        <family val="1"/>
      </rPr>
      <t>Prd018</t>
    </r>
  </si>
  <si>
    <r>
      <rPr>
        <sz val="10"/>
        <rFont val="Calibri"/>
        <family val="1"/>
      </rPr>
      <t>Prd011</t>
    </r>
  </si>
  <si>
    <r>
      <rPr>
        <sz val="10"/>
        <rFont val="Calibri"/>
        <family val="1"/>
      </rPr>
      <t>Santosh</t>
    </r>
  </si>
  <si>
    <r>
      <rPr>
        <sz val="10"/>
        <rFont val="Calibri"/>
        <family val="1"/>
      </rPr>
      <t>Prd019</t>
    </r>
  </si>
  <si>
    <r>
      <rPr>
        <sz val="10"/>
        <rFont val="Calibri"/>
        <family val="1"/>
      </rPr>
      <t>Prd012</t>
    </r>
  </si>
  <si>
    <r>
      <rPr>
        <sz val="10"/>
        <rFont val="Calibri"/>
        <family val="1"/>
      </rPr>
      <t>Shankar</t>
    </r>
  </si>
  <si>
    <r>
      <rPr>
        <sz val="10"/>
        <rFont val="Calibri"/>
        <family val="1"/>
      </rPr>
      <t>Rajesh</t>
    </r>
  </si>
  <si>
    <r>
      <rPr>
        <sz val="10"/>
        <rFont val="Calibri"/>
        <family val="1"/>
      </rPr>
      <t>Mahesh</t>
    </r>
  </si>
  <si>
    <r>
      <rPr>
        <sz val="10"/>
        <rFont val="Calibri"/>
        <family val="1"/>
      </rPr>
      <t>Hemaraj</t>
    </r>
  </si>
  <si>
    <r>
      <rPr>
        <sz val="10"/>
        <rFont val="Calibri"/>
        <family val="1"/>
      </rPr>
      <t>Nagaraj</t>
    </r>
  </si>
  <si>
    <r>
      <rPr>
        <sz val="10"/>
        <rFont val="Calibri"/>
        <family val="1"/>
      </rPr>
      <t>Johson</t>
    </r>
  </si>
  <si>
    <r>
      <rPr>
        <sz val="10"/>
        <rFont val="Calibri"/>
        <family val="1"/>
      </rPr>
      <t>David</t>
    </r>
  </si>
  <si>
    <r>
      <rPr>
        <sz val="10"/>
        <rFont val="Calibri"/>
        <family val="1"/>
      </rPr>
      <t>Anderson</t>
    </r>
  </si>
  <si>
    <r>
      <rPr>
        <sz val="10"/>
        <rFont val="Calibri"/>
        <family val="1"/>
      </rPr>
      <t>Peter</t>
    </r>
  </si>
  <si>
    <r>
      <rPr>
        <b/>
        <sz val="10"/>
        <rFont val="Calibri"/>
        <family val="1"/>
      </rPr>
      <t>Result</t>
    </r>
  </si>
  <si>
    <r>
      <rPr>
        <b/>
        <sz val="10"/>
        <rFont val="Calibri"/>
        <family val="1"/>
      </rPr>
      <t>Department</t>
    </r>
  </si>
  <si>
    <r>
      <rPr>
        <b/>
        <sz val="14"/>
        <rFont val="Calibri"/>
        <family val="1"/>
      </rPr>
      <t>Assignment -34</t>
    </r>
  </si>
  <si>
    <r>
      <rPr>
        <b/>
        <sz val="11"/>
        <color rgb="FFFFFFFF"/>
        <rFont val="Calibri"/>
        <family val="1"/>
      </rPr>
      <t>Owner</t>
    </r>
  </si>
  <si>
    <r>
      <rPr>
        <b/>
        <sz val="11"/>
        <color rgb="FFFFFFFF"/>
        <rFont val="Calibri"/>
        <family val="1"/>
      </rPr>
      <t>Product Class</t>
    </r>
  </si>
  <si>
    <r>
      <rPr>
        <b/>
        <sz val="11"/>
        <color rgb="FFFFFFFF"/>
        <rFont val="Calibri"/>
        <family val="1"/>
      </rPr>
      <t>Quantity  Sold</t>
    </r>
  </si>
  <si>
    <r>
      <rPr>
        <sz val="11"/>
        <rFont val="Calibri"/>
        <family val="1"/>
      </rPr>
      <t>Ben</t>
    </r>
  </si>
  <si>
    <r>
      <rPr>
        <sz val="11"/>
        <rFont val="Calibri"/>
        <family val="1"/>
      </rPr>
      <t>A1</t>
    </r>
  </si>
  <si>
    <r>
      <rPr>
        <sz val="11"/>
        <rFont val="Calibri"/>
        <family val="1"/>
      </rPr>
      <t>Jeff</t>
    </r>
  </si>
  <si>
    <r>
      <rPr>
        <sz val="11"/>
        <rFont val="Calibri"/>
        <family val="1"/>
      </rPr>
      <t>A4</t>
    </r>
  </si>
  <si>
    <r>
      <rPr>
        <sz val="11"/>
        <rFont val="Calibri"/>
        <family val="1"/>
      </rPr>
      <t>C3</t>
    </r>
  </si>
  <si>
    <r>
      <rPr>
        <sz val="11"/>
        <rFont val="Calibri"/>
        <family val="1"/>
      </rPr>
      <t>C14</t>
    </r>
  </si>
  <si>
    <r>
      <rPr>
        <sz val="11"/>
        <rFont val="Calibri"/>
        <family val="1"/>
      </rPr>
      <t>Jenny</t>
    </r>
  </si>
  <si>
    <r>
      <rPr>
        <sz val="11"/>
        <rFont val="Calibri"/>
        <family val="1"/>
      </rPr>
      <t>A12</t>
    </r>
  </si>
  <si>
    <r>
      <rPr>
        <sz val="11"/>
        <rFont val="Calibri"/>
        <family val="1"/>
      </rPr>
      <t>B3</t>
    </r>
  </si>
  <si>
    <r>
      <rPr>
        <sz val="11"/>
        <rFont val="Calibri"/>
        <family val="1"/>
      </rPr>
      <t>B7</t>
    </r>
  </si>
  <si>
    <r>
      <rPr>
        <sz val="11"/>
        <rFont val="Calibri"/>
        <family val="1"/>
      </rPr>
      <t>B11</t>
    </r>
  </si>
  <si>
    <r>
      <rPr>
        <b/>
        <sz val="11"/>
        <color rgb="FFFFFFFF"/>
        <rFont val="Calibri"/>
        <family val="1"/>
      </rPr>
      <t>Total Quantity Sold</t>
    </r>
  </si>
  <si>
    <r>
      <rPr>
        <b/>
        <sz val="11"/>
        <color rgb="FFFFFFFF"/>
        <rFont val="Calibri"/>
        <family val="1"/>
      </rPr>
      <t>By Ben</t>
    </r>
  </si>
  <si>
    <r>
      <rPr>
        <b/>
        <sz val="11"/>
        <color rgb="FFFFFFFF"/>
        <rFont val="Calibri"/>
        <family val="1"/>
      </rPr>
      <t xml:space="preserve">Total Quantity Sold
</t>
    </r>
    <r>
      <rPr>
        <b/>
        <sz val="11"/>
        <color rgb="FFFFFFFF"/>
        <rFont val="Calibri"/>
        <family val="1"/>
      </rPr>
      <t>By Jenny</t>
    </r>
  </si>
  <si>
    <r>
      <rPr>
        <b/>
        <sz val="11"/>
        <color rgb="FFFFFFFF"/>
        <rFont val="Calibri"/>
        <family val="1"/>
      </rPr>
      <t>By Ben  &amp; Jenny</t>
    </r>
  </si>
  <si>
    <r>
      <rPr>
        <b/>
        <sz val="11"/>
        <color rgb="FFFFFFFF"/>
        <rFont val="Calibri"/>
        <family val="1"/>
      </rPr>
      <t xml:space="preserve">Total Quantity Sold
</t>
    </r>
    <r>
      <rPr>
        <b/>
        <sz val="11"/>
        <color rgb="FFFFFFFF"/>
        <rFont val="Calibri"/>
        <family val="1"/>
      </rPr>
      <t>By Ben &amp; Jenny</t>
    </r>
  </si>
  <si>
    <r>
      <rPr>
        <sz val="11"/>
        <rFont val="Calibri"/>
        <family val="1"/>
      </rPr>
      <t>SUMIF(A2:A9,"Ben",C2:C9)+SUMIF(A2:A9,"Jenny",C2:C9)</t>
    </r>
  </si>
  <si>
    <r>
      <rPr>
        <b/>
        <sz val="11"/>
        <color rgb="FFFFFFFF"/>
        <rFont val="Calibri"/>
        <family val="1"/>
      </rPr>
      <t xml:space="preserve">Total Quantity Sold
</t>
    </r>
    <r>
      <rPr>
        <b/>
        <sz val="11"/>
        <color rgb="FFFFFFFF"/>
        <rFont val="Calibri"/>
        <family val="1"/>
      </rPr>
      <t>By Jeff &amp; Jenny</t>
    </r>
  </si>
  <si>
    <r>
      <rPr>
        <b/>
        <sz val="14"/>
        <rFont val="Calibri"/>
        <family val="1"/>
      </rPr>
      <t>Assignment -36</t>
    </r>
  </si>
  <si>
    <r>
      <rPr>
        <u/>
        <sz val="16"/>
        <rFont val="Malgun Gothic Semilight"/>
        <family val="2"/>
      </rPr>
      <t>USE OF VLOOKUP</t>
    </r>
  </si>
  <si>
    <r>
      <rPr>
        <b/>
        <sz val="11"/>
        <color rgb="FFFFFFFF"/>
        <rFont val="Calibri"/>
        <family val="1"/>
      </rPr>
      <t>Emp</t>
    </r>
  </si>
  <si>
    <r>
      <rPr>
        <b/>
        <sz val="11"/>
        <color rgb="FFFFFFFF"/>
        <rFont val="Calibri"/>
        <family val="1"/>
      </rPr>
      <t>Dept</t>
    </r>
  </si>
  <si>
    <r>
      <rPr>
        <b/>
        <sz val="11"/>
        <color rgb="FFFFFFFF"/>
        <rFont val="Calibri"/>
        <family val="1"/>
      </rPr>
      <t>Region</t>
    </r>
  </si>
  <si>
    <r>
      <rPr>
        <b/>
        <sz val="11"/>
        <color rgb="FFFFFFFF"/>
        <rFont val="Calibri"/>
        <family val="1"/>
      </rPr>
      <t>Salary</t>
    </r>
  </si>
  <si>
    <r>
      <rPr>
        <b/>
        <sz val="11"/>
        <color rgb="FFFFFFFF"/>
        <rFont val="Calibri"/>
        <family val="1"/>
      </rPr>
      <t>INCENTIVE</t>
    </r>
  </si>
  <si>
    <r>
      <rPr>
        <b/>
        <sz val="11"/>
        <color rgb="FFFFFFFF"/>
        <rFont val="Calibri"/>
        <family val="1"/>
      </rPr>
      <t>Bonus</t>
    </r>
  </si>
  <si>
    <r>
      <rPr>
        <b/>
        <sz val="11"/>
        <color rgb="FFFFFFFF"/>
        <rFont val="Calibri"/>
        <family val="1"/>
      </rPr>
      <t>TA</t>
    </r>
  </si>
  <si>
    <r>
      <rPr>
        <sz val="11"/>
        <color rgb="FFFFFF00"/>
        <rFont val="Calibri"/>
        <family val="1"/>
      </rPr>
      <t>Dept</t>
    </r>
  </si>
  <si>
    <r>
      <rPr>
        <sz val="11"/>
        <color rgb="FFFFFF00"/>
        <rFont val="Calibri"/>
        <family val="1"/>
      </rPr>
      <t>INCENTIVE</t>
    </r>
  </si>
  <si>
    <r>
      <rPr>
        <sz val="11"/>
        <color rgb="FFFFFF00"/>
        <rFont val="Calibri"/>
        <family val="1"/>
      </rPr>
      <t>Bonus</t>
    </r>
  </si>
  <si>
    <r>
      <rPr>
        <sz val="11"/>
        <rFont val="Calibri"/>
        <family val="1"/>
      </rPr>
      <t>Raja</t>
    </r>
  </si>
  <si>
    <r>
      <rPr>
        <sz val="11"/>
        <rFont val="Calibri"/>
        <family val="1"/>
      </rPr>
      <t>Sales</t>
    </r>
  </si>
  <si>
    <r>
      <rPr>
        <sz val="11"/>
        <rFont val="Calibri"/>
        <family val="1"/>
      </rPr>
      <t>north</t>
    </r>
  </si>
  <si>
    <r>
      <rPr>
        <sz val="11"/>
        <rFont val="Calibri"/>
        <family val="1"/>
      </rPr>
      <t>Suman</t>
    </r>
  </si>
  <si>
    <r>
      <rPr>
        <sz val="11"/>
        <rFont val="Calibri"/>
        <family val="1"/>
      </rPr>
      <t>east</t>
    </r>
  </si>
  <si>
    <r>
      <rPr>
        <sz val="11"/>
        <rFont val="Calibri"/>
        <family val="1"/>
      </rPr>
      <t>Mktg</t>
    </r>
  </si>
  <si>
    <r>
      <rPr>
        <sz val="11"/>
        <rFont val="Calibri"/>
        <family val="1"/>
      </rPr>
      <t>Beena</t>
    </r>
  </si>
  <si>
    <r>
      <rPr>
        <sz val="11"/>
        <rFont val="Calibri"/>
        <family val="1"/>
      </rPr>
      <t>R&amp;D</t>
    </r>
  </si>
  <si>
    <r>
      <rPr>
        <sz val="11"/>
        <rFont val="Calibri"/>
        <family val="1"/>
      </rPr>
      <t>Seema</t>
    </r>
  </si>
  <si>
    <r>
      <rPr>
        <sz val="11"/>
        <rFont val="Calibri"/>
        <family val="1"/>
      </rPr>
      <t>Julie</t>
    </r>
  </si>
  <si>
    <r>
      <rPr>
        <sz val="11"/>
        <rFont val="Calibri"/>
        <family val="1"/>
      </rPr>
      <t>Admin</t>
    </r>
  </si>
  <si>
    <r>
      <rPr>
        <sz val="11"/>
        <rFont val="Calibri"/>
        <family val="1"/>
      </rPr>
      <t>Neena</t>
    </r>
  </si>
  <si>
    <r>
      <rPr>
        <sz val="11"/>
        <rFont val="Calibri"/>
        <family val="1"/>
      </rPr>
      <t>Director</t>
    </r>
  </si>
  <si>
    <r>
      <rPr>
        <sz val="11"/>
        <rFont val="Calibri"/>
        <family val="1"/>
      </rPr>
      <t>Pankaj</t>
    </r>
  </si>
  <si>
    <r>
      <rPr>
        <sz val="11"/>
        <rFont val="Calibri"/>
        <family val="1"/>
      </rPr>
      <t>Personal</t>
    </r>
  </si>
  <si>
    <r>
      <rPr>
        <sz val="11"/>
        <rFont val="Calibri"/>
        <family val="1"/>
      </rPr>
      <t>Andre</t>
    </r>
  </si>
  <si>
    <r>
      <rPr>
        <sz val="11"/>
        <rFont val="Calibri"/>
        <family val="1"/>
      </rPr>
      <t>CCD</t>
    </r>
  </si>
  <si>
    <r>
      <rPr>
        <sz val="11"/>
        <rFont val="Calibri"/>
        <family val="1"/>
      </rPr>
      <t>Sujay</t>
    </r>
  </si>
  <si>
    <r>
      <rPr>
        <sz val="11"/>
        <rFont val="Calibri"/>
        <family val="1"/>
      </rPr>
      <t>west</t>
    </r>
  </si>
  <si>
    <r>
      <rPr>
        <sz val="11"/>
        <rFont val="Calibri"/>
        <family val="1"/>
      </rPr>
      <t>Shilpa</t>
    </r>
  </si>
  <si>
    <r>
      <rPr>
        <sz val="11"/>
        <rFont val="Calibri"/>
        <family val="1"/>
      </rPr>
      <t>Meera</t>
    </r>
  </si>
  <si>
    <r>
      <rPr>
        <sz val="11"/>
        <rFont val="Calibri"/>
        <family val="1"/>
      </rPr>
      <t>Sheetal</t>
    </r>
  </si>
  <si>
    <r>
      <rPr>
        <sz val="11"/>
        <rFont val="Calibri"/>
        <family val="1"/>
      </rPr>
      <t>K. Sita</t>
    </r>
  </si>
  <si>
    <r>
      <rPr>
        <b/>
        <sz val="11"/>
        <color rgb="FFFFFF00"/>
        <rFont val="Calibri"/>
        <family val="1"/>
      </rPr>
      <t>Region</t>
    </r>
  </si>
  <si>
    <r>
      <rPr>
        <b/>
        <sz val="11"/>
        <color rgb="FFFFFF00"/>
        <rFont val="Calibri"/>
        <family val="1"/>
      </rPr>
      <t>TA</t>
    </r>
  </si>
  <si>
    <r>
      <rPr>
        <sz val="11"/>
        <rFont val="Calibri"/>
        <family val="1"/>
      </rPr>
      <t>Priya</t>
    </r>
  </si>
  <si>
    <r>
      <rPr>
        <sz val="11"/>
        <rFont val="Calibri"/>
        <family val="1"/>
      </rPr>
      <t>Aalok</t>
    </r>
  </si>
  <si>
    <r>
      <rPr>
        <sz val="11"/>
        <rFont val="Calibri"/>
        <family val="1"/>
      </rPr>
      <t>Aakash</t>
    </r>
  </si>
  <si>
    <r>
      <rPr>
        <sz val="11"/>
        <rFont val="Calibri"/>
        <family val="1"/>
      </rPr>
      <t>Parvati</t>
    </r>
  </si>
  <si>
    <r>
      <rPr>
        <sz val="11"/>
        <rFont val="Calibri"/>
        <family val="1"/>
      </rPr>
      <t>Q.1 How many Emloyee in Sales and Mktg Department.</t>
    </r>
  </si>
  <si>
    <r>
      <rPr>
        <sz val="11"/>
        <rFont val="Calibri"/>
        <family val="1"/>
      </rPr>
      <t>Q.2 How Many salary in Sales Department.</t>
    </r>
  </si>
  <si>
    <r>
      <rPr>
        <sz val="11"/>
        <rFont val="Calibri"/>
        <family val="1"/>
      </rPr>
      <t>Q.3 How many Employee Department Sales, North Region Salary.</t>
    </r>
  </si>
  <si>
    <r>
      <rPr>
        <sz val="11"/>
        <rFont val="Calibri"/>
        <family val="1"/>
      </rPr>
      <t>Q.4 How many Employee Department Sales and Region north.</t>
    </r>
  </si>
  <si>
    <r>
      <rPr>
        <sz val="11"/>
        <rFont val="Calibri"/>
        <family val="1"/>
      </rPr>
      <t>Q.5 If Salary Greater Then 15000, "A", if salary Greater Then 10000, "B" otherwise "C".</t>
    </r>
  </si>
  <si>
    <r>
      <rPr>
        <b/>
        <sz val="14"/>
        <rFont val="Calibri"/>
        <family val="1"/>
      </rPr>
      <t>Assignment -37</t>
    </r>
  </si>
  <si>
    <r>
      <rPr>
        <b/>
        <i/>
        <u/>
        <sz val="14"/>
        <rFont val="Calibri"/>
        <family val="1"/>
      </rPr>
      <t>USE OF VLOOKUP</t>
    </r>
  </si>
  <si>
    <r>
      <rPr>
        <b/>
        <i/>
        <u/>
        <sz val="11"/>
        <rFont val="Calibri"/>
        <family val="1"/>
      </rPr>
      <t>WITH CONDITION TRUE/FALSE</t>
    </r>
  </si>
  <si>
    <r>
      <rPr>
        <b/>
        <sz val="11"/>
        <color rgb="FFFF0000"/>
        <rFont val="Calibri"/>
        <family val="1"/>
      </rPr>
      <t>CONDITION</t>
    </r>
  </si>
  <si>
    <r>
      <rPr>
        <b/>
        <sz val="11"/>
        <rFont val="Arial"/>
        <family val="2"/>
      </rPr>
      <t>Empcode</t>
    </r>
  </si>
  <si>
    <r>
      <rPr>
        <b/>
        <sz val="11"/>
        <rFont val="Arial"/>
        <family val="2"/>
      </rPr>
      <t>incentive</t>
    </r>
  </si>
  <si>
    <r>
      <rPr>
        <b/>
        <sz val="11"/>
        <rFont val="Arial"/>
        <family val="2"/>
      </rPr>
      <t>grade</t>
    </r>
  </si>
  <si>
    <r>
      <rPr>
        <sz val="10"/>
        <rFont val="Arial MT"/>
        <family val="2"/>
      </rPr>
      <t>Sales</t>
    </r>
  </si>
  <si>
    <r>
      <rPr>
        <sz val="11"/>
        <rFont val="Calibri"/>
        <family val="1"/>
      </rPr>
      <t>G</t>
    </r>
  </si>
  <si>
    <r>
      <rPr>
        <sz val="11"/>
        <rFont val="Calibri"/>
        <family val="1"/>
      </rPr>
      <t>H</t>
    </r>
  </si>
  <si>
    <r>
      <rPr>
        <b/>
        <sz val="14"/>
        <rFont val="Calibri"/>
        <family val="1"/>
      </rPr>
      <t>Assignment -38</t>
    </r>
  </si>
  <si>
    <r>
      <rPr>
        <b/>
        <sz val="11"/>
        <rFont val="Calibri"/>
        <family val="1"/>
      </rPr>
      <t>USE OF DATEDIF FORMULAS CALCULATE DOB</t>
    </r>
  </si>
  <si>
    <r>
      <rPr>
        <sz val="10"/>
        <rFont val="Arial MT"/>
        <family val="2"/>
      </rPr>
      <t>FirstDate</t>
    </r>
  </si>
  <si>
    <r>
      <rPr>
        <sz val="10"/>
        <rFont val="Arial MT"/>
        <family val="2"/>
      </rPr>
      <t>SecondDate</t>
    </r>
  </si>
  <si>
    <r>
      <rPr>
        <sz val="10"/>
        <rFont val="Arial MT"/>
        <family val="2"/>
      </rPr>
      <t>Interval</t>
    </r>
  </si>
  <si>
    <r>
      <rPr>
        <sz val="10"/>
        <rFont val="Arial MT"/>
        <family val="2"/>
      </rPr>
      <t>Difference</t>
    </r>
  </si>
  <si>
    <r>
      <rPr>
        <sz val="10"/>
        <color rgb="FF800080"/>
        <rFont val="Arial MT"/>
        <family val="2"/>
      </rPr>
      <t>01-</t>
    </r>
    <r>
      <rPr>
        <sz val="10"/>
        <color rgb="FF800080"/>
        <rFont val="Nirmala UI"/>
        <family val="2"/>
      </rPr>
      <t>जनवरी</t>
    </r>
    <r>
      <rPr>
        <sz val="10"/>
        <color rgb="FF800080"/>
        <rFont val="Courier New"/>
        <family val="3"/>
      </rPr>
      <t>-</t>
    </r>
    <r>
      <rPr>
        <sz val="10"/>
        <color rgb="FF800080"/>
        <rFont val="Arial MT"/>
        <family val="2"/>
      </rPr>
      <t>60</t>
    </r>
  </si>
  <si>
    <r>
      <rPr>
        <sz val="10"/>
        <color rgb="FF800080"/>
        <rFont val="Arial MT"/>
        <family val="2"/>
      </rPr>
      <t>10-</t>
    </r>
    <r>
      <rPr>
        <sz val="10"/>
        <color rgb="FF800080"/>
        <rFont val="Nirmala UI"/>
        <family val="2"/>
      </rPr>
      <t>मई</t>
    </r>
    <r>
      <rPr>
        <sz val="10"/>
        <color rgb="FF800080"/>
        <rFont val="Courier New"/>
        <family val="3"/>
      </rPr>
      <t>-</t>
    </r>
    <r>
      <rPr>
        <sz val="10"/>
        <color rgb="FF800080"/>
        <rFont val="Arial MT"/>
        <family val="2"/>
      </rPr>
      <t>70</t>
    </r>
  </si>
  <si>
    <r>
      <rPr>
        <sz val="10"/>
        <rFont val="Arial MT"/>
        <family val="2"/>
      </rPr>
      <t>days</t>
    </r>
  </si>
  <si>
    <r>
      <rPr>
        <sz val="10"/>
        <color rgb="FF0000FF"/>
        <rFont val="Arial MT"/>
        <family val="2"/>
      </rPr>
      <t>=DATEDIF(C4,D4,"d")</t>
    </r>
  </si>
  <si>
    <r>
      <rPr>
        <sz val="10"/>
        <rFont val="Arial MT"/>
        <family val="2"/>
      </rPr>
      <t>months</t>
    </r>
  </si>
  <si>
    <r>
      <rPr>
        <sz val="10"/>
        <color rgb="FF0000FF"/>
        <rFont val="Arial MT"/>
        <family val="2"/>
      </rPr>
      <t>=DATEDIF(C5,D5,"m")</t>
    </r>
  </si>
  <si>
    <r>
      <rPr>
        <sz val="10"/>
        <rFont val="Arial MT"/>
        <family val="2"/>
      </rPr>
      <t>years</t>
    </r>
  </si>
  <si>
    <r>
      <rPr>
        <sz val="10"/>
        <color rgb="FF0000FF"/>
        <rFont val="Arial MT"/>
        <family val="2"/>
      </rPr>
      <t>=DATEDIF(C6,D6,"y")</t>
    </r>
  </si>
  <si>
    <r>
      <rPr>
        <sz val="10"/>
        <rFont val="Arial MT"/>
        <family val="2"/>
      </rPr>
      <t>yeardays</t>
    </r>
  </si>
  <si>
    <r>
      <rPr>
        <sz val="10"/>
        <color rgb="FF0000FF"/>
        <rFont val="Arial MT"/>
        <family val="2"/>
      </rPr>
      <t>=DATEDIF(C7,D7,"yd")</t>
    </r>
  </si>
  <si>
    <r>
      <rPr>
        <sz val="10"/>
        <rFont val="Arial MT"/>
        <family val="2"/>
      </rPr>
      <t>yearmonths</t>
    </r>
  </si>
  <si>
    <r>
      <rPr>
        <sz val="10"/>
        <color rgb="FF0000FF"/>
        <rFont val="Arial MT"/>
        <family val="2"/>
      </rPr>
      <t>=DATEDIF(C8,D8,"ym")</t>
    </r>
  </si>
  <si>
    <r>
      <rPr>
        <sz val="10"/>
        <rFont val="Arial MT"/>
        <family val="2"/>
      </rPr>
      <t>monthdays</t>
    </r>
  </si>
  <si>
    <r>
      <rPr>
        <sz val="10"/>
        <color rgb="FF0000FF"/>
        <rFont val="Arial MT"/>
        <family val="2"/>
      </rPr>
      <t>=DATEDIF(C9,D9,"md")</t>
    </r>
  </si>
  <si>
    <r>
      <rPr>
        <b/>
        <u/>
        <sz val="10"/>
        <rFont val="Arial"/>
        <family val="2"/>
      </rPr>
      <t>  What Does It Do?                                                                                                                                                </t>
    </r>
  </si>
  <si>
    <r>
      <rPr>
        <sz val="11"/>
        <rFont val="Calibri"/>
        <family val="1"/>
      </rPr>
      <t>This function calculates the difference between two dates.</t>
    </r>
  </si>
  <si>
    <r>
      <rPr>
        <sz val="11"/>
        <rFont val="Calibri"/>
        <family val="1"/>
      </rPr>
      <t>It can show the result in weeks, months or years.</t>
    </r>
  </si>
  <si>
    <r>
      <rPr>
        <b/>
        <u/>
        <sz val="10"/>
        <rFont val="Arial"/>
        <family val="2"/>
      </rPr>
      <t>  Syntax                                                                                                                                                                  </t>
    </r>
  </si>
  <si>
    <r>
      <rPr>
        <sz val="11"/>
        <rFont val="Calibri"/>
        <family val="1"/>
      </rPr>
      <t>=DATEDIF(FirstDate,SecondDate,"Interval")</t>
    </r>
  </si>
  <si>
    <r>
      <rPr>
        <sz val="11"/>
        <rFont val="Calibri"/>
        <family val="1"/>
      </rPr>
      <t>FirstDate : This is the earliest of the two dates.</t>
    </r>
  </si>
  <si>
    <r>
      <rPr>
        <sz val="11"/>
        <rFont val="Calibri"/>
        <family val="1"/>
      </rPr>
      <t>SecondDate : This is the most recent of the two dates.</t>
    </r>
  </si>
  <si>
    <r>
      <rPr>
        <sz val="11"/>
        <rFont val="Calibri"/>
        <family val="1"/>
      </rPr>
      <t>"Interval" : This indicates what you want to calculate.</t>
    </r>
  </si>
  <si>
    <r>
      <rPr>
        <sz val="11"/>
        <rFont val="Calibri"/>
        <family val="1"/>
      </rPr>
      <t>These are the available intervals.</t>
    </r>
  </si>
  <si>
    <r>
      <rPr>
        <sz val="11"/>
        <rFont val="Calibri"/>
        <family val="1"/>
      </rPr>
      <t>"d"</t>
    </r>
  </si>
  <si>
    <r>
      <rPr>
        <sz val="11"/>
        <rFont val="Calibri"/>
        <family val="1"/>
      </rPr>
      <t>Days between the two dates.</t>
    </r>
  </si>
  <si>
    <r>
      <rPr>
        <sz val="11"/>
        <rFont val="Calibri"/>
        <family val="1"/>
      </rPr>
      <t>"m"</t>
    </r>
  </si>
  <si>
    <r>
      <rPr>
        <sz val="11"/>
        <rFont val="Calibri"/>
        <family val="1"/>
      </rPr>
      <t>Months between the two dates.</t>
    </r>
  </si>
  <si>
    <r>
      <rPr>
        <sz val="11"/>
        <rFont val="Calibri"/>
        <family val="1"/>
      </rPr>
      <t>"y"</t>
    </r>
  </si>
  <si>
    <r>
      <rPr>
        <sz val="11"/>
        <rFont val="Calibri"/>
        <family val="1"/>
      </rPr>
      <t>Years between the two dates.</t>
    </r>
  </si>
  <si>
    <r>
      <rPr>
        <sz val="11"/>
        <rFont val="Calibri"/>
        <family val="1"/>
      </rPr>
      <t>"yd"</t>
    </r>
  </si>
  <si>
    <r>
      <rPr>
        <sz val="11"/>
        <rFont val="Calibri"/>
        <family val="1"/>
      </rPr>
      <t>Days between the dates, as if the dates were in the same year.</t>
    </r>
  </si>
  <si>
    <r>
      <rPr>
        <sz val="11"/>
        <rFont val="Calibri"/>
        <family val="1"/>
      </rPr>
      <t>"ym"</t>
    </r>
  </si>
  <si>
    <r>
      <rPr>
        <sz val="11"/>
        <rFont val="Calibri"/>
        <family val="1"/>
      </rPr>
      <t>Months between the dates, as if the dates were in the same year.</t>
    </r>
  </si>
  <si>
    <r>
      <rPr>
        <sz val="11"/>
        <rFont val="Calibri"/>
        <family val="1"/>
      </rPr>
      <t>"md"</t>
    </r>
  </si>
  <si>
    <r>
      <rPr>
        <sz val="11"/>
        <rFont val="Calibri"/>
        <family val="1"/>
      </rPr>
      <t>Days between the two dates, as if the dates were in the same month and year.</t>
    </r>
  </si>
  <si>
    <r>
      <rPr>
        <b/>
        <u/>
        <sz val="10"/>
        <rFont val="Arial"/>
        <family val="2"/>
      </rPr>
      <t>  Formatting                                                                                                                                                           </t>
    </r>
  </si>
  <si>
    <r>
      <rPr>
        <sz val="11"/>
        <rFont val="Calibri"/>
        <family val="1"/>
      </rPr>
      <t>No special formatting is needed.</t>
    </r>
  </si>
  <si>
    <r>
      <rPr>
        <sz val="10"/>
        <rFont val="Arial MT"/>
        <family val="2"/>
      </rPr>
      <t>Birth date :</t>
    </r>
  </si>
  <si>
    <r>
      <rPr>
        <sz val="10"/>
        <rFont val="Arial MT"/>
        <family val="2"/>
      </rPr>
      <t>Years lived :</t>
    </r>
  </si>
  <si>
    <r>
      <rPr>
        <sz val="10"/>
        <color rgb="FF0000FF"/>
        <rFont val="Arial MT"/>
        <family val="2"/>
      </rPr>
      <t>=DATEDIF(C8,TODAY(),"y")</t>
    </r>
  </si>
  <si>
    <r>
      <rPr>
        <sz val="10"/>
        <rFont val="Arial MT"/>
        <family val="2"/>
      </rPr>
      <t>and the months :</t>
    </r>
  </si>
  <si>
    <r>
      <rPr>
        <sz val="10"/>
        <color rgb="FF0000FF"/>
        <rFont val="Arial MT"/>
        <family val="2"/>
      </rPr>
      <t>=DATEDIF(C8,TODAY(),"ym")</t>
    </r>
  </si>
  <si>
    <r>
      <rPr>
        <sz val="10"/>
        <rFont val="Arial MT"/>
        <family val="2"/>
      </rPr>
      <t>and the days :</t>
    </r>
  </si>
  <si>
    <r>
      <rPr>
        <sz val="10"/>
        <color rgb="FF0000FF"/>
        <rFont val="Arial MT"/>
        <family val="2"/>
      </rPr>
      <t>=DATEDIF(C8,TODAY(),"md")</t>
    </r>
  </si>
  <si>
    <r>
      <rPr>
        <sz val="11"/>
        <rFont val="Calibri"/>
        <family val="1"/>
      </rPr>
      <t>You can put this all together in one calculation, which creates a text version.</t>
    </r>
  </si>
  <si>
    <r>
      <rPr>
        <sz val="10"/>
        <color rgb="FF0000FF"/>
        <rFont val="Arial MT"/>
        <family val="2"/>
      </rPr>
      <t>Age is 61 Years, 3 Months and 24 Days</t>
    </r>
  </si>
  <si>
    <r>
      <rPr>
        <sz val="8"/>
        <color rgb="FF0000FF"/>
        <rFont val="Arial MT"/>
        <family val="2"/>
      </rPr>
      <t>="Age is "&amp;DATEDIF(C8,TODAY(),"y")&amp;" Years, "&amp;DATEDIF(C8,TODAY(),"ym")&amp;" Months and "&amp;DATEDIF(C8,TODAY(),"md")&amp;" Days"</t>
    </r>
  </si>
  <si>
    <r>
      <rPr>
        <b/>
        <sz val="14"/>
        <rFont val="Calibri"/>
        <family val="1"/>
      </rPr>
      <t>Assignment -44</t>
    </r>
  </si>
  <si>
    <r>
      <rPr>
        <b/>
        <sz val="11"/>
        <rFont val="Calibri"/>
        <family val="1"/>
      </rPr>
      <t>USE OF FIND &amp; LARGE FORMULA</t>
    </r>
  </si>
  <si>
    <r>
      <rPr>
        <sz val="10"/>
        <rFont val="Arial MT"/>
        <family val="2"/>
      </rPr>
      <t>Text</t>
    </r>
  </si>
  <si>
    <r>
      <rPr>
        <sz val="10"/>
        <rFont val="Arial MT"/>
        <family val="2"/>
      </rPr>
      <t>Letter To Find</t>
    </r>
  </si>
  <si>
    <r>
      <rPr>
        <sz val="10"/>
        <rFont val="Arial MT"/>
        <family val="2"/>
      </rPr>
      <t>Position Of Letter</t>
    </r>
  </si>
  <si>
    <r>
      <rPr>
        <sz val="10"/>
        <color rgb="FF800080"/>
        <rFont val="Arial MT"/>
        <family val="2"/>
      </rPr>
      <t>Hello</t>
    </r>
  </si>
  <si>
    <r>
      <rPr>
        <sz val="10"/>
        <color rgb="FF800080"/>
        <rFont val="Arial MT"/>
        <family val="2"/>
      </rPr>
      <t>e</t>
    </r>
  </si>
  <si>
    <r>
      <rPr>
        <sz val="10"/>
        <color rgb="FF0000FF"/>
        <rFont val="Arial MT"/>
        <family val="2"/>
      </rPr>
      <t>=FIND(D4,C4)</t>
    </r>
  </si>
  <si>
    <r>
      <rPr>
        <sz val="10"/>
        <color rgb="FF800080"/>
        <rFont val="Arial MT"/>
        <family val="2"/>
      </rPr>
      <t>H</t>
    </r>
  </si>
  <si>
    <r>
      <rPr>
        <sz val="10"/>
        <color rgb="FF0000FF"/>
        <rFont val="Arial MT"/>
        <family val="2"/>
      </rPr>
      <t>=FIND(D5,C5)</t>
    </r>
  </si>
  <si>
    <r>
      <rPr>
        <sz val="10"/>
        <color rgb="FF800080"/>
        <rFont val="Arial MT"/>
        <family val="2"/>
      </rPr>
      <t>o</t>
    </r>
  </si>
  <si>
    <r>
      <rPr>
        <sz val="10"/>
        <color rgb="FF0000FF"/>
        <rFont val="Arial MT"/>
        <family val="2"/>
      </rPr>
      <t>=FIND(D6,C6)</t>
    </r>
  </si>
  <si>
    <r>
      <rPr>
        <sz val="10"/>
        <color rgb="FF800080"/>
        <rFont val="Arial MT"/>
        <family val="2"/>
      </rPr>
      <t>Alan Williams</t>
    </r>
  </si>
  <si>
    <r>
      <rPr>
        <sz val="10"/>
        <color rgb="FF800080"/>
        <rFont val="Arial MT"/>
        <family val="2"/>
      </rPr>
      <t>a</t>
    </r>
  </si>
  <si>
    <r>
      <rPr>
        <sz val="10"/>
        <color rgb="FF0000FF"/>
        <rFont val="Arial MT"/>
        <family val="2"/>
      </rPr>
      <t>=FIND(D7,C7)</t>
    </r>
  </si>
  <si>
    <r>
      <rPr>
        <sz val="10"/>
        <color rgb="FF0000FF"/>
        <rFont val="Arial MT"/>
        <family val="2"/>
      </rPr>
      <t>=FIND(D8,C8,6)</t>
    </r>
  </si>
  <si>
    <r>
      <rPr>
        <sz val="10"/>
        <color rgb="FF800080"/>
        <rFont val="Arial MT"/>
        <family val="2"/>
      </rPr>
      <t>T</t>
    </r>
  </si>
  <si>
    <r>
      <rPr>
        <sz val="10"/>
        <color rgb="FF0000FF"/>
        <rFont val="Arial MT"/>
        <family val="2"/>
      </rPr>
      <t>=FIND(D9,C9)</t>
    </r>
  </si>
  <si>
    <r>
      <rPr>
        <sz val="10"/>
        <rFont val="Arial MT"/>
        <family val="2"/>
      </rPr>
      <t>Values</t>
    </r>
  </si>
  <si>
    <r>
      <rPr>
        <sz val="10"/>
        <rFont val="Arial MT"/>
        <family val="2"/>
      </rPr>
      <t>Highest Value</t>
    </r>
  </si>
  <si>
    <r>
      <rPr>
        <sz val="10"/>
        <color rgb="FF0000FF"/>
        <rFont val="Arial MT"/>
        <family val="2"/>
      </rPr>
      <t>=LARGE(C4:C8,1)</t>
    </r>
  </si>
  <si>
    <r>
      <rPr>
        <sz val="10"/>
        <rFont val="Arial MT"/>
        <family val="2"/>
      </rPr>
      <t>2nd Highest Value</t>
    </r>
  </si>
  <si>
    <r>
      <rPr>
        <sz val="10"/>
        <color rgb="FF0000FF"/>
        <rFont val="Arial MT"/>
        <family val="2"/>
      </rPr>
      <t>=LARGE(C4:C8,2)</t>
    </r>
  </si>
  <si>
    <r>
      <rPr>
        <sz val="10"/>
        <rFont val="Arial MT"/>
        <family val="2"/>
      </rPr>
      <t>3rd Highest Value</t>
    </r>
  </si>
  <si>
    <r>
      <rPr>
        <sz val="10"/>
        <color rgb="FF0000FF"/>
        <rFont val="Arial MT"/>
        <family val="2"/>
      </rPr>
      <t>=LARGE(C4:C8,3)</t>
    </r>
  </si>
  <si>
    <r>
      <rPr>
        <sz val="10"/>
        <rFont val="Arial MT"/>
        <family val="2"/>
      </rPr>
      <t>4th Highest Value</t>
    </r>
  </si>
  <si>
    <r>
      <rPr>
        <sz val="10"/>
        <color rgb="FF0000FF"/>
        <rFont val="Arial MT"/>
        <family val="2"/>
      </rPr>
      <t>=LARGE(C4:C8,4)</t>
    </r>
  </si>
  <si>
    <r>
      <rPr>
        <sz val="10"/>
        <rFont val="Arial MT"/>
        <family val="2"/>
      </rPr>
      <t>5th Highest Value</t>
    </r>
  </si>
  <si>
    <r>
      <rPr>
        <sz val="10"/>
        <color rgb="FF0000FF"/>
        <rFont val="Arial MT"/>
        <family val="2"/>
      </rPr>
      <t>=LARGE(C4:C8,5)</t>
    </r>
  </si>
  <si>
    <r>
      <rPr>
        <b/>
        <u/>
        <sz val="10"/>
        <rFont val="Arial"/>
        <family val="2"/>
      </rPr>
      <t>  What Does It Do ?                                                                                                                                              </t>
    </r>
  </si>
  <si>
    <r>
      <rPr>
        <sz val="11"/>
        <rFont val="Calibri"/>
        <family val="1"/>
      </rPr>
      <t>This function examines a list of values and picks the value at a user specified position</t>
    </r>
  </si>
  <si>
    <r>
      <rPr>
        <sz val="11"/>
        <rFont val="Calibri"/>
        <family val="1"/>
      </rPr>
      <t>in the list.</t>
    </r>
  </si>
  <si>
    <r>
      <rPr>
        <b/>
        <u/>
        <sz val="10"/>
        <rFont val="Arial"/>
        <family val="2"/>
      </rPr>
      <t>  Syntax                                                                                                                                                                 </t>
    </r>
  </si>
  <si>
    <r>
      <rPr>
        <sz val="11"/>
        <rFont val="Calibri"/>
        <family val="1"/>
      </rPr>
      <t>=LARGE(ListOfNumbersToExamine,PositionToPickFrom)</t>
    </r>
  </si>
  <si>
    <r>
      <rPr>
        <b/>
        <u/>
        <sz val="10"/>
        <rFont val="Arial"/>
        <family val="2"/>
      </rPr>
      <t>  Formatting                                                                                                                                                          </t>
    </r>
  </si>
  <si>
    <r>
      <rPr>
        <b/>
        <u/>
        <sz val="10"/>
        <rFont val="Arial"/>
        <family val="2"/>
      </rPr>
      <t>  Example                                                                                                                                                              </t>
    </r>
  </si>
  <si>
    <r>
      <rPr>
        <sz val="11"/>
        <rFont val="Calibri"/>
        <family val="1"/>
      </rPr>
      <t>The following table was used to calculate the top 3 sales figures between Jan, Feb and Mar.</t>
    </r>
  </si>
  <si>
    <r>
      <rPr>
        <sz val="10"/>
        <rFont val="Arial MT"/>
        <family val="2"/>
      </rPr>
      <t>Jan</t>
    </r>
  </si>
  <si>
    <r>
      <rPr>
        <sz val="10"/>
        <rFont val="Arial MT"/>
        <family val="2"/>
      </rPr>
      <t>Feb</t>
    </r>
  </si>
  <si>
    <r>
      <rPr>
        <sz val="10"/>
        <rFont val="Arial MT"/>
        <family val="2"/>
      </rPr>
      <t>Mar</t>
    </r>
  </si>
  <si>
    <r>
      <rPr>
        <sz val="10"/>
        <rFont val="Arial MT"/>
        <family val="2"/>
      </rPr>
      <t>North</t>
    </r>
  </si>
  <si>
    <r>
      <rPr>
        <sz val="10"/>
        <rFont val="Arial MT"/>
        <family val="2"/>
      </rPr>
      <t>South</t>
    </r>
  </si>
  <si>
    <r>
      <rPr>
        <sz val="10"/>
        <rFont val="Arial MT"/>
        <family val="2"/>
      </rPr>
      <t>East</t>
    </r>
  </si>
  <si>
    <r>
      <rPr>
        <sz val="10"/>
        <rFont val="Arial MT"/>
        <family val="2"/>
      </rPr>
      <t>West</t>
    </r>
  </si>
  <si>
    <r>
      <rPr>
        <sz val="10"/>
        <color rgb="FF0000FF"/>
        <rFont val="Arial MT"/>
        <family val="2"/>
      </rPr>
      <t>=LARGE(D24:F27,1)</t>
    </r>
  </si>
  <si>
    <r>
      <rPr>
        <sz val="10"/>
        <color rgb="FF0000FF"/>
        <rFont val="Arial MT"/>
        <family val="2"/>
      </rPr>
      <t>=LARGE(D24:F27,2)</t>
    </r>
  </si>
  <si>
    <r>
      <rPr>
        <sz val="10"/>
        <color rgb="FF0000FF"/>
        <rFont val="Arial MT"/>
        <family val="2"/>
      </rPr>
      <t>=LARGE(D24:F27,3)</t>
    </r>
  </si>
  <si>
    <r>
      <rPr>
        <b/>
        <u/>
        <sz val="10"/>
        <rFont val="Arial"/>
        <family val="2"/>
      </rPr>
      <t>  Note                                                                                                                                                                     </t>
    </r>
  </si>
  <si>
    <r>
      <rPr>
        <sz val="11"/>
        <rFont val="Calibri"/>
        <family val="1"/>
      </rPr>
      <t>Another way to find the Highest and Lowest values would have been to use</t>
    </r>
  </si>
  <si>
    <r>
      <rPr>
        <sz val="11"/>
        <rFont val="Calibri"/>
        <family val="1"/>
      </rPr>
      <t>the =MAX() and =MIN() functions.</t>
    </r>
  </si>
  <si>
    <r>
      <rPr>
        <sz val="10"/>
        <rFont val="Arial MT"/>
        <family val="2"/>
      </rPr>
      <t>Highest</t>
    </r>
  </si>
  <si>
    <r>
      <rPr>
        <sz val="10"/>
        <color rgb="FF0000FF"/>
        <rFont val="Arial MT"/>
        <family val="2"/>
      </rPr>
      <t>=MAX(D24:F27)</t>
    </r>
  </si>
  <si>
    <r>
      <rPr>
        <sz val="10"/>
        <rFont val="Arial MT"/>
        <family val="2"/>
      </rPr>
      <t>Lowest</t>
    </r>
  </si>
  <si>
    <r>
      <rPr>
        <sz val="10"/>
        <color rgb="FF0000FF"/>
        <rFont val="Arial MT"/>
        <family val="2"/>
      </rPr>
      <t>=MIN(D24:F27)</t>
    </r>
  </si>
  <si>
    <r>
      <rPr>
        <b/>
        <sz val="14"/>
        <rFont val="Calibri"/>
        <family val="1"/>
      </rPr>
      <t>Assignment -45</t>
    </r>
  </si>
  <si>
    <r>
      <rPr>
        <b/>
        <sz val="11"/>
        <rFont val="Calibri"/>
        <family val="1"/>
      </rPr>
      <t>USE OF LEFT, FIND, LEN,LOWER, NETWORKDAYS</t>
    </r>
  </si>
  <si>
    <r>
      <rPr>
        <b/>
        <sz val="11"/>
        <rFont val="Calibri"/>
        <family val="1"/>
      </rPr>
      <t>USE OF LEFT</t>
    </r>
  </si>
  <si>
    <r>
      <rPr>
        <sz val="10"/>
        <color rgb="FF0000FF"/>
        <rFont val="Arial MT"/>
        <family val="2"/>
      </rPr>
      <t>LEFT(A5,B5)</t>
    </r>
  </si>
  <si>
    <r>
      <rPr>
        <sz val="10"/>
        <rFont val="Arial MT"/>
        <family val="2"/>
      </rPr>
      <t>Number Of Characters Required</t>
    </r>
  </si>
  <si>
    <r>
      <rPr>
        <sz val="10"/>
        <rFont val="Arial MT"/>
        <family val="2"/>
      </rPr>
      <t>Left String</t>
    </r>
  </si>
  <si>
    <r>
      <rPr>
        <sz val="10"/>
        <color rgb="FF800080"/>
        <rFont val="Arial MT"/>
        <family val="2"/>
      </rPr>
      <t>Alan Jones</t>
    </r>
  </si>
  <si>
    <r>
      <rPr>
        <sz val="10"/>
        <color rgb="FF800080"/>
        <rFont val="Arial MT"/>
        <family val="2"/>
      </rPr>
      <t>Cardiff</t>
    </r>
  </si>
  <si>
    <r>
      <rPr>
        <sz val="10"/>
        <color rgb="FF800080"/>
        <rFont val="Arial MT"/>
        <family val="2"/>
      </rPr>
      <t>ABC123</t>
    </r>
  </si>
  <si>
    <r>
      <rPr>
        <b/>
        <sz val="11"/>
        <rFont val="Calibri"/>
        <family val="1"/>
      </rPr>
      <t>USE OF LEFT AND FIND</t>
    </r>
  </si>
  <si>
    <r>
      <rPr>
        <sz val="10"/>
        <color rgb="FF0000FF"/>
        <rFont val="Arial MT"/>
        <family val="2"/>
      </rPr>
      <t>=LEFT(A12,FIND(" ",A12)-1)</t>
    </r>
  </si>
  <si>
    <r>
      <rPr>
        <sz val="10"/>
        <rFont val="Arial MT"/>
        <family val="2"/>
      </rPr>
      <t>Full Name</t>
    </r>
  </si>
  <si>
    <r>
      <rPr>
        <sz val="10"/>
        <rFont val="Arial MT"/>
        <family val="2"/>
      </rPr>
      <t>First Name</t>
    </r>
  </si>
  <si>
    <r>
      <rPr>
        <sz val="10"/>
        <color rgb="FF800080"/>
        <rFont val="Arial MT"/>
        <family val="2"/>
      </rPr>
      <t>Bob Smith</t>
    </r>
  </si>
  <si>
    <r>
      <rPr>
        <sz val="10"/>
        <color rgb="FF800080"/>
        <rFont val="Arial MT"/>
        <family val="2"/>
      </rPr>
      <t>Carol Williams</t>
    </r>
  </si>
  <si>
    <r>
      <rPr>
        <b/>
        <sz val="11"/>
        <rFont val="Calibri"/>
        <family val="1"/>
      </rPr>
      <t>USE OF LEN</t>
    </r>
  </si>
  <si>
    <r>
      <rPr>
        <sz val="10"/>
        <color rgb="FF0000FF"/>
        <rFont val="Arial MT"/>
        <family val="2"/>
      </rPr>
      <t>=LEN(A18)</t>
    </r>
  </si>
  <si>
    <r>
      <rPr>
        <sz val="10"/>
        <rFont val="Arial MT"/>
        <family val="2"/>
      </rPr>
      <t>Length</t>
    </r>
  </si>
  <si>
    <r>
      <rPr>
        <b/>
        <sz val="10"/>
        <rFont val="Arial"/>
        <family val="2"/>
      </rPr>
      <t>USE OF LOWER</t>
    </r>
  </si>
  <si>
    <r>
      <rPr>
        <sz val="10"/>
        <color rgb="FF0000FF"/>
        <rFont val="Arial MT"/>
        <family val="2"/>
      </rPr>
      <t>=LOWER(A27)</t>
    </r>
  </si>
  <si>
    <r>
      <rPr>
        <sz val="10"/>
        <rFont val="Arial MT"/>
        <family val="2"/>
      </rPr>
      <t>Upper Case Text</t>
    </r>
  </si>
  <si>
    <r>
      <rPr>
        <sz val="10"/>
        <rFont val="Arial MT"/>
        <family val="2"/>
      </rPr>
      <t>Lower Case</t>
    </r>
  </si>
  <si>
    <r>
      <rPr>
        <sz val="10"/>
        <color rgb="FF800080"/>
        <rFont val="Arial MT"/>
        <family val="2"/>
      </rPr>
      <t>ALAN JONES</t>
    </r>
  </si>
  <si>
    <r>
      <rPr>
        <sz val="10"/>
        <color rgb="FF800080"/>
        <rFont val="Arial MT"/>
        <family val="2"/>
      </rPr>
      <t>BOB SMITH</t>
    </r>
  </si>
  <si>
    <r>
      <rPr>
        <sz val="10"/>
        <color rgb="FF800080"/>
        <rFont val="Arial MT"/>
        <family val="2"/>
      </rPr>
      <t>CAROL WILLIAMS</t>
    </r>
  </si>
  <si>
    <r>
      <rPr>
        <sz val="10"/>
        <color rgb="FF800080"/>
        <rFont val="Arial MT"/>
        <family val="2"/>
      </rPr>
      <t>CARDIFF</t>
    </r>
  </si>
  <si>
    <r>
      <rPr>
        <b/>
        <sz val="10"/>
        <rFont val="Arial"/>
        <family val="2"/>
      </rPr>
      <t>USE OF NETWORKDAYS</t>
    </r>
  </si>
  <si>
    <r>
      <rPr>
        <sz val="10"/>
        <rFont val="Arial MT"/>
        <family val="2"/>
      </rPr>
      <t>Start Date</t>
    </r>
  </si>
  <si>
    <r>
      <rPr>
        <sz val="10"/>
        <rFont val="Arial MT"/>
        <family val="2"/>
      </rPr>
      <t>End Date</t>
    </r>
  </si>
  <si>
    <r>
      <rPr>
        <sz val="10"/>
        <rFont val="Arial MT"/>
        <family val="2"/>
      </rPr>
      <t>Work Days</t>
    </r>
  </si>
  <si>
    <r>
      <rPr>
        <sz val="10"/>
        <color rgb="FF0000FF"/>
        <rFont val="Arial MT"/>
        <family val="2"/>
      </rPr>
      <t>=NETWORKDAYS(A36,B36)</t>
    </r>
  </si>
  <si>
    <r>
      <rPr>
        <b/>
        <sz val="14"/>
        <rFont val="Calibri"/>
        <family val="1"/>
      </rPr>
      <t>Assignment -46</t>
    </r>
  </si>
  <si>
    <r>
      <rPr>
        <b/>
        <sz val="11"/>
        <rFont val="Calibri"/>
        <family val="1"/>
      </rPr>
      <t>USE OF POWER, PRODUCT, PROPER, REPT</t>
    </r>
  </si>
  <si>
    <r>
      <rPr>
        <b/>
        <sz val="11"/>
        <rFont val="Calibri"/>
        <family val="1"/>
      </rPr>
      <t>USE OF POWER</t>
    </r>
  </si>
  <si>
    <r>
      <rPr>
        <sz val="10"/>
        <color rgb="FF0000FF"/>
        <rFont val="Arial MT"/>
        <family val="2"/>
      </rPr>
      <t>=POWER(A5,B5)</t>
    </r>
  </si>
  <si>
    <r>
      <rPr>
        <sz val="10"/>
        <rFont val="Arial MT"/>
        <family val="2"/>
      </rPr>
      <t>Number</t>
    </r>
  </si>
  <si>
    <r>
      <rPr>
        <sz val="10"/>
        <rFont val="Arial MT"/>
        <family val="2"/>
      </rPr>
      <t>Power</t>
    </r>
  </si>
  <si>
    <r>
      <rPr>
        <sz val="10"/>
        <rFont val="Arial MT"/>
        <family val="2"/>
      </rPr>
      <t>Result</t>
    </r>
  </si>
  <si>
    <r>
      <rPr>
        <b/>
        <sz val="11"/>
        <rFont val="Calibri"/>
        <family val="1"/>
      </rPr>
      <t>USE OF PRODUCT</t>
    </r>
  </si>
  <si>
    <r>
      <rPr>
        <sz val="10"/>
        <color rgb="FF0000FF"/>
        <rFont val="Arial MT"/>
        <family val="2"/>
      </rPr>
      <t>=PRODUCT(A12,B12)</t>
    </r>
  </si>
  <si>
    <r>
      <rPr>
        <sz val="10"/>
        <rFont val="Arial MT"/>
        <family val="2"/>
      </rPr>
      <t>Numbers</t>
    </r>
  </si>
  <si>
    <r>
      <rPr>
        <sz val="10"/>
        <rFont val="Arial MT"/>
        <family val="2"/>
      </rPr>
      <t>Product</t>
    </r>
  </si>
  <si>
    <r>
      <rPr>
        <b/>
        <sz val="11"/>
        <rFont val="Calibri"/>
        <family val="1"/>
      </rPr>
      <t>USE OF PROPER</t>
    </r>
  </si>
  <si>
    <r>
      <rPr>
        <sz val="10"/>
        <color rgb="FF0000FF"/>
        <rFont val="Arial MT"/>
        <family val="2"/>
      </rPr>
      <t>=PROPER(A19)</t>
    </r>
  </si>
  <si>
    <r>
      <rPr>
        <sz val="10"/>
        <rFont val="Arial MT"/>
        <family val="2"/>
      </rPr>
      <t>Original Text</t>
    </r>
  </si>
  <si>
    <r>
      <rPr>
        <sz val="10"/>
        <rFont val="Arial MT"/>
        <family val="2"/>
      </rPr>
      <t>Proper</t>
    </r>
  </si>
  <si>
    <r>
      <rPr>
        <sz val="10"/>
        <color rgb="FF800080"/>
        <rFont val="Arial MT"/>
        <family val="2"/>
      </rPr>
      <t>alan jones</t>
    </r>
  </si>
  <si>
    <r>
      <rPr>
        <sz val="10"/>
        <color rgb="FF800080"/>
        <rFont val="Arial MT"/>
        <family val="2"/>
      </rPr>
      <t>bob smith</t>
    </r>
  </si>
  <si>
    <r>
      <rPr>
        <sz val="10"/>
        <color rgb="FF800080"/>
        <rFont val="Arial MT"/>
        <family val="2"/>
      </rPr>
      <t>caRol wILLIAMS</t>
    </r>
  </si>
  <si>
    <r>
      <rPr>
        <sz val="10"/>
        <color rgb="FF800080"/>
        <rFont val="Arial MT"/>
        <family val="2"/>
      </rPr>
      <t>cardiff</t>
    </r>
  </si>
  <si>
    <r>
      <rPr>
        <b/>
        <sz val="11"/>
        <rFont val="Calibri"/>
        <family val="1"/>
      </rPr>
      <t>USE OF REPT</t>
    </r>
  </si>
  <si>
    <r>
      <rPr>
        <sz val="10"/>
        <color rgb="FF0000FF"/>
        <rFont val="Arial MT"/>
        <family val="2"/>
      </rPr>
      <t>=REPT(A27,B27)</t>
    </r>
  </si>
  <si>
    <r>
      <rPr>
        <sz val="10"/>
        <rFont val="Arial MT"/>
        <family val="2"/>
      </rPr>
      <t>Text To Repeat</t>
    </r>
  </si>
  <si>
    <r>
      <rPr>
        <sz val="10"/>
        <rFont val="Arial MT"/>
        <family val="2"/>
      </rPr>
      <t>Number Of Repeats</t>
    </r>
  </si>
  <si>
    <r>
      <rPr>
        <sz val="10"/>
        <rFont val="Arial MT"/>
        <family val="2"/>
      </rPr>
      <t>Repeated Text</t>
    </r>
  </si>
  <si>
    <r>
      <rPr>
        <sz val="10"/>
        <color rgb="FF800080"/>
        <rFont val="Arial MT"/>
        <family val="2"/>
      </rPr>
      <t>A</t>
    </r>
  </si>
  <si>
    <r>
      <rPr>
        <sz val="10"/>
        <color rgb="FF800080"/>
        <rFont val="Arial MT"/>
        <family val="2"/>
      </rPr>
      <t>AB</t>
    </r>
  </si>
  <si>
    <r>
      <rPr>
        <sz val="10"/>
        <color rgb="FF800080"/>
        <rFont val="Arial MT"/>
        <family val="2"/>
      </rPr>
      <t>-</t>
    </r>
  </si>
  <si>
    <r>
      <rPr>
        <sz val="10"/>
        <color rgb="FF800080"/>
        <rFont val="Arial MT"/>
        <family val="2"/>
      </rPr>
      <t>|</t>
    </r>
  </si>
  <si>
    <r>
      <rPr>
        <b/>
        <sz val="14"/>
        <rFont val="Calibri"/>
        <family val="1"/>
      </rPr>
      <t>Assignment -48</t>
    </r>
  </si>
  <si>
    <r>
      <rPr>
        <b/>
        <sz val="11"/>
        <rFont val="Calibri"/>
        <family val="1"/>
      </rPr>
      <t>SALESMAN</t>
    </r>
  </si>
  <si>
    <r>
      <rPr>
        <b/>
        <sz val="11"/>
        <rFont val="Calibri"/>
        <family val="1"/>
      </rPr>
      <t>JAN</t>
    </r>
  </si>
  <si>
    <r>
      <rPr>
        <b/>
        <sz val="11"/>
        <rFont val="Calibri"/>
        <family val="1"/>
      </rPr>
      <t>FEB</t>
    </r>
  </si>
  <si>
    <r>
      <rPr>
        <b/>
        <sz val="11"/>
        <rFont val="Calibri"/>
        <family val="1"/>
      </rPr>
      <t>MAR</t>
    </r>
  </si>
  <si>
    <r>
      <rPr>
        <b/>
        <sz val="11"/>
        <rFont val="Calibri"/>
        <family val="1"/>
      </rPr>
      <t>APR</t>
    </r>
  </si>
  <si>
    <r>
      <rPr>
        <b/>
        <sz val="11"/>
        <rFont val="Calibri"/>
        <family val="1"/>
      </rPr>
      <t>MAY</t>
    </r>
  </si>
  <si>
    <r>
      <rPr>
        <b/>
        <sz val="11"/>
        <rFont val="Calibri"/>
        <family val="1"/>
      </rPr>
      <t>JUNE</t>
    </r>
  </si>
  <si>
    <r>
      <rPr>
        <b/>
        <sz val="11"/>
        <rFont val="Calibri"/>
        <family val="1"/>
      </rPr>
      <t>SALES</t>
    </r>
  </si>
  <si>
    <r>
      <rPr>
        <b/>
        <sz val="11"/>
        <rFont val="Calibri"/>
        <family val="1"/>
      </rPr>
      <t>TARGET</t>
    </r>
  </si>
  <si>
    <r>
      <rPr>
        <b/>
        <sz val="11"/>
        <rFont val="Calibri"/>
        <family val="1"/>
      </rPr>
      <t>RESULT</t>
    </r>
  </si>
  <si>
    <r>
      <rPr>
        <b/>
        <sz val="11"/>
        <rFont val="Calibri"/>
        <family val="1"/>
      </rPr>
      <t>comission</t>
    </r>
  </si>
  <si>
    <r>
      <rPr>
        <sz val="11"/>
        <rFont val="Calibri"/>
        <family val="1"/>
      </rPr>
      <t>ACHIEVED</t>
    </r>
  </si>
  <si>
    <r>
      <rPr>
        <sz val="11"/>
        <rFont val="Calibri"/>
        <family val="1"/>
      </rPr>
      <t>Q.1 How many salesman? Salesman Ajeet Targest &amp; Result?</t>
    </r>
  </si>
  <si>
    <r>
      <rPr>
        <sz val="11"/>
        <rFont val="Calibri"/>
        <family val="1"/>
      </rPr>
      <t>USE OF COUNTA AND VLOOKUP</t>
    </r>
  </si>
  <si>
    <r>
      <rPr>
        <sz val="11"/>
        <rFont val="Calibri"/>
        <family val="1"/>
      </rPr>
      <t>Q.3 Rahul Pooja &amp; Ashok Targest &amp; result?</t>
    </r>
  </si>
  <si>
    <r>
      <rPr>
        <sz val="11"/>
        <rFont val="Calibri"/>
        <family val="1"/>
      </rPr>
      <t>USE OF VLOOKUP</t>
    </r>
  </si>
  <si>
    <r>
      <rPr>
        <sz val="11"/>
        <rFont val="Calibri"/>
        <family val="1"/>
      </rPr>
      <t>Q.4 How Many Salesman Achived Target.</t>
    </r>
  </si>
  <si>
    <r>
      <rPr>
        <sz val="11"/>
        <rFont val="Calibri"/>
        <family val="1"/>
      </rPr>
      <t>USE OF COUNTIF</t>
    </r>
  </si>
  <si>
    <r>
      <rPr>
        <sz val="11"/>
        <rFont val="Calibri"/>
        <family val="1"/>
      </rPr>
      <t>Q.5 Which Sales Man Jan Sales 2000, &amp; Feb Sales is 2500?</t>
    </r>
  </si>
  <si>
    <r>
      <rPr>
        <sz val="11"/>
        <rFont val="Calibri"/>
        <family val="1"/>
      </rPr>
      <t>USE OF LOOKUP</t>
    </r>
  </si>
  <si>
    <r>
      <rPr>
        <sz val="11"/>
        <rFont val="Calibri"/>
        <family val="1"/>
      </rPr>
      <t xml:space="preserve">USE OF
</t>
    </r>
    <r>
      <rPr>
        <sz val="11"/>
        <rFont val="Calibri"/>
        <family val="1"/>
      </rPr>
      <t>COUNTIFS</t>
    </r>
  </si>
  <si>
    <r>
      <rPr>
        <sz val="11"/>
        <rFont val="Calibri"/>
        <family val="1"/>
      </rPr>
      <t>Q.7 Jan to Target Highlights 2000 between 5000, Font Red &amp; Background Yeloow?</t>
    </r>
  </si>
  <si>
    <r>
      <rPr>
        <sz val="11"/>
        <rFont val="Calibri"/>
        <family val="1"/>
      </rPr>
      <t xml:space="preserve">USE OF
</t>
    </r>
    <r>
      <rPr>
        <sz val="11"/>
        <rFont val="Calibri"/>
        <family val="1"/>
      </rPr>
      <t>CONDITIONL F</t>
    </r>
  </si>
  <si>
    <r>
      <rPr>
        <sz val="11"/>
        <rFont val="Calibri"/>
        <family val="1"/>
      </rPr>
      <t>Q.8 If sales Greter then Target then Comission 10% otherwise 5% ?</t>
    </r>
  </si>
  <si>
    <r>
      <rPr>
        <sz val="11"/>
        <rFont val="Calibri"/>
        <family val="1"/>
      </rPr>
      <t xml:space="preserve">UEE OF IF
</t>
    </r>
    <r>
      <rPr>
        <sz val="11"/>
        <rFont val="Calibri"/>
        <family val="1"/>
      </rPr>
      <t>FUNCTION</t>
    </r>
  </si>
  <si>
    <r>
      <rPr>
        <b/>
        <sz val="14"/>
        <rFont val="Calibri"/>
        <family val="1"/>
      </rPr>
      <t>Assignment -49</t>
    </r>
  </si>
  <si>
    <r>
      <rPr>
        <sz val="11"/>
        <color rgb="FFFF0000"/>
        <rFont val="Calibri"/>
        <family val="1"/>
      </rPr>
      <t>USE OF COUNTA AND VLOOKUP</t>
    </r>
  </si>
  <si>
    <r>
      <rPr>
        <sz val="11"/>
        <color rgb="FFFF0000"/>
        <rFont val="Calibri"/>
        <family val="1"/>
      </rPr>
      <t>USE OF VLOOKUP</t>
    </r>
  </si>
  <si>
    <r>
      <rPr>
        <sz val="11"/>
        <color rgb="FFFF0000"/>
        <rFont val="Calibri"/>
        <family val="1"/>
      </rPr>
      <t>USE OF COUNTIF</t>
    </r>
  </si>
  <si>
    <r>
      <rPr>
        <sz val="11"/>
        <color rgb="FFFF0000"/>
        <rFont val="Calibri"/>
        <family val="1"/>
      </rPr>
      <t>USE OF LOOKUP</t>
    </r>
  </si>
  <si>
    <r>
      <rPr>
        <sz val="11"/>
        <rFont val="Calibri"/>
        <family val="1"/>
      </rPr>
      <t xml:space="preserve">Q.6 How Many sales Man sales Jan Months Sales &gt;2000 &amp; March Sales
</t>
    </r>
    <r>
      <rPr>
        <sz val="11"/>
        <rFont val="Calibri"/>
        <family val="1"/>
      </rPr>
      <t>&lt;=1500 ?</t>
    </r>
  </si>
  <si>
    <r>
      <rPr>
        <sz val="11"/>
        <rFont val="Calibri"/>
        <family val="1"/>
      </rPr>
      <t xml:space="preserve">Q.7 Jan to Target Highlights 2000 between 5000, Font Red &amp;
</t>
    </r>
    <r>
      <rPr>
        <sz val="11"/>
        <rFont val="Calibri"/>
        <family val="1"/>
      </rPr>
      <t>Background Yeloow?</t>
    </r>
  </si>
  <si>
    <r>
      <rPr>
        <sz val="11"/>
        <color rgb="FFFF0000"/>
        <rFont val="Calibri"/>
        <family val="1"/>
      </rPr>
      <t>USE OF CONDITIONAL FORMATTING</t>
    </r>
  </si>
  <si>
    <r>
      <rPr>
        <b/>
        <sz val="14"/>
        <rFont val="Calibri"/>
        <family val="1"/>
      </rPr>
      <t>Assignment -50</t>
    </r>
  </si>
  <si>
    <r>
      <rPr>
        <b/>
        <sz val="11"/>
        <rFont val="Calibri"/>
        <family val="1"/>
      </rPr>
      <t>USE OF DATEDIF</t>
    </r>
  </si>
  <si>
    <r>
      <rPr>
        <sz val="11"/>
        <rFont val="Calibri"/>
        <family val="1"/>
      </rPr>
      <t>NAME</t>
    </r>
  </si>
  <si>
    <r>
      <rPr>
        <sz val="11"/>
        <rFont val="Calibri"/>
        <family val="1"/>
      </rPr>
      <t>DATE OF BIRTH</t>
    </r>
  </si>
  <si>
    <r>
      <rPr>
        <sz val="11"/>
        <rFont val="Calibri"/>
        <family val="1"/>
      </rPr>
      <t>DAY</t>
    </r>
  </si>
  <si>
    <r>
      <rPr>
        <sz val="11"/>
        <rFont val="Calibri"/>
        <family val="1"/>
      </rPr>
      <t>MONTH</t>
    </r>
  </si>
  <si>
    <r>
      <rPr>
        <sz val="11"/>
        <rFont val="Calibri"/>
        <family val="1"/>
      </rPr>
      <t>YEAR</t>
    </r>
  </si>
  <si>
    <r>
      <rPr>
        <sz val="11"/>
        <rFont val="Calibri"/>
        <family val="1"/>
      </rPr>
      <t>Q.1 HOW MANY STUDENT?</t>
    </r>
  </si>
  <si>
    <r>
      <rPr>
        <sz val="11"/>
        <rFont val="Calibri"/>
        <family val="1"/>
      </rPr>
      <t>Q.2 STUDENT SURENDRA IS HOW MANY YEAR OLD?</t>
    </r>
  </si>
  <si>
    <r>
      <rPr>
        <sz val="11"/>
        <rFont val="Calibri"/>
        <family val="1"/>
      </rPr>
      <t>Q.3 HOW MANY STUDENT AGE GREATER THEN 20 YEARS?</t>
    </r>
  </si>
  <si>
    <r>
      <rPr>
        <sz val="11"/>
        <rFont val="Calibri"/>
        <family val="1"/>
      </rPr>
      <t>Q.4 IF STUDENT AGE IS GREATHER THEN 20 THEN STUDENT ADULT / CHILD?</t>
    </r>
  </si>
  <si>
    <r>
      <rPr>
        <sz val="11"/>
        <rFont val="Calibri"/>
        <family val="1"/>
      </rPr>
      <t>Q.5 HOW MANY STUDENT AGE IS &gt;= 25 YEARS?</t>
    </r>
  </si>
  <si>
    <t>Gender</t>
  </si>
  <si>
    <t>sumif</t>
  </si>
  <si>
    <t>SUBJECT</t>
  </si>
  <si>
    <t>a</t>
  </si>
  <si>
    <t>counta</t>
  </si>
  <si>
    <t>Grade</t>
  </si>
  <si>
    <t>b</t>
  </si>
  <si>
    <t>COUNT</t>
  </si>
  <si>
    <t>PHYSICS</t>
  </si>
  <si>
    <t>Q.5 SUBJECT PHYSICS, MATHS &amp; ENGLISH TOTAL /AVERAGE</t>
  </si>
  <si>
    <t>Q.3 How Many Student "A" and "B" Grade</t>
  </si>
  <si>
    <t>question-3</t>
  </si>
  <si>
    <t>question-4</t>
  </si>
  <si>
    <t>&gt;20</t>
  </si>
  <si>
    <t>&lt;15</t>
  </si>
  <si>
    <t>MATH</t>
  </si>
  <si>
    <t>ctrl -</t>
  </si>
  <si>
    <t>Assignment -2</t>
  </si>
  <si>
    <t>SUMIF</t>
  </si>
  <si>
    <t>INDEX+MATCH</t>
  </si>
  <si>
    <t>VLOOKUP</t>
  </si>
  <si>
    <t>COMPUTER</t>
  </si>
  <si>
    <t>Use of Formulas - Sum, NestedIf, Counta, Countif, Sumif, Vlookup</t>
  </si>
  <si>
    <t>QUESTION .5</t>
  </si>
  <si>
    <t>QUESTION .3</t>
  </si>
  <si>
    <t>INDEX</t>
  </si>
  <si>
    <t>COUNTIF</t>
  </si>
  <si>
    <t>COUNTA</t>
  </si>
  <si>
    <t>HLOOKUP</t>
  </si>
  <si>
    <t>QUESTION.1</t>
  </si>
  <si>
    <t>QUESTION.2</t>
  </si>
  <si>
    <t>year</t>
  </si>
  <si>
    <t>QUESTION.3</t>
  </si>
  <si>
    <t>TYRES</t>
  </si>
  <si>
    <t>ctrl+1 =for date pattern</t>
  </si>
  <si>
    <t xml:space="preserve">?  </t>
  </si>
  <si>
    <t>QUESTION.6</t>
  </si>
  <si>
    <t>QUESTION.5</t>
  </si>
  <si>
    <t>bad</t>
  </si>
  <si>
    <t>good</t>
  </si>
  <si>
    <t>First Name</t>
  </si>
  <si>
    <t>QUESTION.4</t>
  </si>
  <si>
    <t>Earnings</t>
  </si>
  <si>
    <t>california</t>
  </si>
  <si>
    <t>QQUESTION.1</t>
  </si>
  <si>
    <t>State</t>
  </si>
  <si>
    <t>Washington</t>
  </si>
  <si>
    <t>Fall</t>
  </si>
  <si>
    <t>United Kingdom</t>
  </si>
  <si>
    <t>United States</t>
  </si>
  <si>
    <t>Name</t>
  </si>
  <si>
    <t>Country</t>
  </si>
  <si>
    <t>AVERAGE OF</t>
  </si>
  <si>
    <t>AVERAGEIF</t>
  </si>
  <si>
    <t>&gt;250</t>
  </si>
  <si>
    <t>&lt;100</t>
  </si>
  <si>
    <t>Emp Id</t>
  </si>
  <si>
    <t>ABHISHEK</t>
  </si>
  <si>
    <t>Total Quantity Sold</t>
  </si>
  <si>
    <t>total of both</t>
  </si>
  <si>
    <t>TOTAL OF BOTH</t>
  </si>
  <si>
    <t>COUNTIFS</t>
  </si>
  <si>
    <t>salary</t>
  </si>
  <si>
    <t>countifs</t>
  </si>
  <si>
    <t>Q.6 How Many sales Man sales Jan Months Sales &gt;2000 &amp; March Sales &lt;=1500 ?</t>
  </si>
  <si>
    <t>&gt;2000</t>
  </si>
  <si>
    <t>&lt;=1500</t>
  </si>
  <si>
    <t>NOT ACHIVED</t>
  </si>
  <si>
    <t>Row Labels</t>
  </si>
  <si>
    <t>Grand Total</t>
  </si>
  <si>
    <t>Broccoli</t>
  </si>
  <si>
    <t>Count of Product</t>
  </si>
  <si>
    <t>Vegetables</t>
  </si>
  <si>
    <t>Count of Category</t>
  </si>
  <si>
    <t>Count of Last Name</t>
  </si>
  <si>
    <t>Sum of Sales</t>
  </si>
  <si>
    <t>USA</t>
  </si>
  <si>
    <t>Count of Country</t>
  </si>
  <si>
    <t>Qtr 4</t>
  </si>
  <si>
    <t>Count of Quarter</t>
  </si>
  <si>
    <t>QUES.1</t>
  </si>
  <si>
    <t>indexmatch</t>
  </si>
  <si>
    <t>by vlookup</t>
  </si>
  <si>
    <t>Caffe Latte</t>
  </si>
  <si>
    <t>QQ.1</t>
  </si>
  <si>
    <t>SOLUTION</t>
  </si>
  <si>
    <t>index+match</t>
  </si>
  <si>
    <t>vlookup+match</t>
  </si>
  <si>
    <t>hlookup</t>
  </si>
  <si>
    <t xml:space="preserve">apply on horizontal </t>
  </si>
  <si>
    <t>Emp Name</t>
  </si>
  <si>
    <t>&gt;1000</t>
  </si>
  <si>
    <t>&lt;=1000</t>
  </si>
  <si>
    <t>QQUESTION.3</t>
  </si>
  <si>
    <t>by  own</t>
  </si>
  <si>
    <t>conditonal formatting</t>
  </si>
  <si>
    <t>SALESMAN</t>
  </si>
  <si>
    <t>percentage</t>
  </si>
  <si>
    <t>select  all numbers</t>
  </si>
  <si>
    <t xml:space="preserve">Sales </t>
  </si>
  <si>
    <t>5,54,536</t>
  </si>
  <si>
    <t>5,40,643</t>
  </si>
  <si>
    <t>5,77,548</t>
  </si>
  <si>
    <t>4,55,905</t>
  </si>
  <si>
    <t>4,90,871</t>
  </si>
  <si>
    <t>4,46,383</t>
  </si>
  <si>
    <t>4,57,726</t>
  </si>
  <si>
    <t>3,47,696</t>
  </si>
  <si>
    <t>3,84,541</t>
  </si>
  <si>
    <t>3,86,420</t>
  </si>
  <si>
    <t>3,70,970</t>
  </si>
  <si>
    <t>4,30,754</t>
  </si>
  <si>
    <t>5,00,847</t>
  </si>
  <si>
    <t>5,07,070</t>
  </si>
  <si>
    <t>4,82,346</t>
  </si>
  <si>
    <t>6,08,713</t>
  </si>
  <si>
    <t>1,50,000</t>
  </si>
  <si>
    <t>5,00,649</t>
  </si>
  <si>
    <t>5,45,780</t>
  </si>
  <si>
    <t>4,40,644</t>
  </si>
  <si>
    <t>5,80,359</t>
  </si>
  <si>
    <t>5,36,225</t>
  </si>
  <si>
    <t>4,14,908</t>
  </si>
  <si>
    <t>3,77,997</t>
  </si>
  <si>
    <t>3,31,289</t>
  </si>
  <si>
    <t>3,84,572</t>
  </si>
  <si>
    <t>3,65,813</t>
  </si>
  <si>
    <t>3,96,338</t>
  </si>
  <si>
    <t>4,53,761</t>
  </si>
  <si>
    <t>3,56,538</t>
  </si>
  <si>
    <t>6,06,332</t>
  </si>
  <si>
    <t>5,35,218</t>
  </si>
  <si>
    <t>4,93,364</t>
  </si>
  <si>
    <t>5,59,100</t>
  </si>
  <si>
    <t>2,20,350</t>
  </si>
  <si>
    <t>4,76,975</t>
  </si>
  <si>
    <t>Jan</t>
  </si>
  <si>
    <t>English</t>
  </si>
  <si>
    <t>Qtr 2</t>
  </si>
  <si>
    <t>Brown</t>
  </si>
  <si>
    <t>&gt;=25</t>
  </si>
  <si>
    <t>Spring</t>
  </si>
  <si>
    <t>Amber Ale</t>
  </si>
  <si>
    <t>Hefeweizen</t>
  </si>
  <si>
    <t>Pilsner</t>
  </si>
  <si>
    <t>Porter</t>
  </si>
  <si>
    <t>Stout</t>
  </si>
  <si>
    <t>Column Labels</t>
  </si>
  <si>
    <t xml:space="preserve">Count of Sales </t>
  </si>
  <si>
    <t>Washington Total</t>
  </si>
  <si>
    <t>ctrl+1</t>
  </si>
  <si>
    <t>to chamge pattern</t>
  </si>
  <si>
    <t>q.3</t>
  </si>
  <si>
    <t>q.5</t>
  </si>
  <si>
    <t>q1</t>
  </si>
  <si>
    <t>q2</t>
  </si>
  <si>
    <t>List 2</t>
  </si>
  <si>
    <t>Sum of Date of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</si>
</sst>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0.00000000"/>
    <numFmt numFmtId="165" formatCode="dd\-mm\-yyyy;@"/>
    <numFmt numFmtId="166" formatCode="\$\ #,##0"/>
    <numFmt numFmtId="167" formatCode="\$#,##0.00"/>
    <numFmt numFmtId="168" formatCode="\$0.00"/>
    <numFmt numFmtId="169" formatCode="\$#,##0"/>
    <numFmt numFmtId="170" formatCode="\$0"/>
    <numFmt numFmtId="171" formatCode="0;[Red]0"/>
    <numFmt numFmtId="172" formatCode="yy\ &quot;years&quot;\ mm\ &quot;months&quot;\ dd\ &quot;days&quot;"/>
    <numFmt numFmtId="173" formatCode="yy"/>
    <numFmt numFmtId="174" formatCode="dd/mm/yyyy"/>
    <numFmt numFmtId="175" formatCode="dd/mmmm/yyyy"/>
    <numFmt numFmtId="176" formatCode="yy/mmm/dd"/>
    <numFmt numFmtId="177" formatCode="yy\-mm\-dd"/>
    <numFmt numFmtId="178" formatCode="yy\,&quot;year&quot;\,mm\,&quot;month&quot;\,dd\,&quot;days&quot;"/>
    <numFmt numFmtId="179" formatCode="dd\-mmm\-yy"/>
    <numFmt numFmtId="181" formatCode="d"/>
    <numFmt numFmtId="182" formatCode="m"/>
  </numFmts>
  <fonts count="58">
    <font>
      <sz val="10"/>
      <color rgb="FF000000"/>
      <name val="Times New Roman"/>
      <charset val="204"/>
    </font>
    <font>
      <b/>
      <sz val="14"/>
      <name val="Calibri"/>
      <family val="2"/>
    </font>
    <font>
      <b/>
      <sz val="12"/>
      <name val="Calibri"/>
      <family val="2"/>
    </font>
    <font>
      <b/>
      <sz val="11"/>
      <name val="Calibri"/>
      <family val="2"/>
    </font>
    <font>
      <sz val="11"/>
      <color rgb="FF000000"/>
      <name val="Calibri"/>
      <family val="2"/>
    </font>
    <font>
      <sz val="11"/>
      <name val="Calibri"/>
      <family val="2"/>
    </font>
    <font>
      <sz val="12"/>
      <color rgb="FF000000"/>
      <name val="Calibri"/>
      <family val="2"/>
    </font>
    <font>
      <sz val="12"/>
      <name val="Calibri"/>
      <family val="2"/>
    </font>
    <font>
      <b/>
      <sz val="10"/>
      <name val="Arial"/>
      <family val="2"/>
    </font>
    <font>
      <sz val="10"/>
      <name val="Arial MT"/>
    </font>
    <font>
      <sz val="10"/>
      <color rgb="FF800080"/>
      <name val="Arial MT"/>
      <family val="2"/>
    </font>
    <font>
      <sz val="10"/>
      <color rgb="FF0000FF"/>
      <name val="Arial MT"/>
      <family val="2"/>
    </font>
    <font>
      <b/>
      <sz val="12"/>
      <name val="Arial"/>
      <family val="2"/>
    </font>
    <font>
      <sz val="20"/>
      <name val="Calibri"/>
      <family val="2"/>
    </font>
    <font>
      <sz val="10"/>
      <name val="Calibri"/>
      <family val="2"/>
    </font>
    <font>
      <sz val="10"/>
      <color rgb="FF000000"/>
      <name val="Calibri"/>
      <family val="2"/>
    </font>
    <font>
      <b/>
      <sz val="10"/>
      <name val="Calibri"/>
      <family val="2"/>
    </font>
    <font>
      <sz val="10"/>
      <color rgb="FF000000"/>
      <name val="Arial MT"/>
      <family val="2"/>
    </font>
    <font>
      <sz val="11"/>
      <color rgb="FFFF0000"/>
      <name val="Calibri"/>
      <family val="2"/>
    </font>
    <font>
      <sz val="16"/>
      <name val="Malgun Gothic Semilight"/>
      <family val="2"/>
    </font>
    <font>
      <b/>
      <i/>
      <sz val="14"/>
      <name val="Calibri"/>
      <family val="2"/>
    </font>
    <font>
      <b/>
      <i/>
      <sz val="11"/>
      <name val="Calibri"/>
      <family val="2"/>
    </font>
    <font>
      <b/>
      <sz val="11"/>
      <name val="Arial"/>
      <family val="2"/>
    </font>
    <font>
      <sz val="8"/>
      <name val="Arial MT"/>
    </font>
    <font>
      <b/>
      <u/>
      <sz val="14"/>
      <name val="Calibri"/>
      <family val="1"/>
    </font>
    <font>
      <b/>
      <sz val="12"/>
      <name val="Calibri"/>
      <family val="1"/>
    </font>
    <font>
      <b/>
      <sz val="11"/>
      <color rgb="FFFFFFFF"/>
      <name val="Calibri"/>
      <family val="1"/>
    </font>
    <font>
      <sz val="11"/>
      <name val="Calibri"/>
      <family val="1"/>
    </font>
    <font>
      <b/>
      <sz val="11"/>
      <name val="Calibri"/>
      <family val="1"/>
    </font>
    <font>
      <b/>
      <sz val="14"/>
      <name val="Calibri"/>
      <family val="1"/>
    </font>
    <font>
      <b/>
      <sz val="12"/>
      <color rgb="FFFFFFFF"/>
      <name val="Calibri"/>
      <family val="1"/>
    </font>
    <font>
      <sz val="12"/>
      <name val="Calibri"/>
      <family val="1"/>
    </font>
    <font>
      <b/>
      <u/>
      <sz val="11"/>
      <name val="Calibri"/>
      <family val="1"/>
    </font>
    <font>
      <sz val="11"/>
      <color rgb="FFFF0000"/>
      <name val="Calibri"/>
      <family val="1"/>
    </font>
    <font>
      <b/>
      <sz val="10"/>
      <color rgb="FFFFFFFF"/>
      <name val="Arial"/>
      <family val="2"/>
    </font>
    <font>
      <sz val="20"/>
      <color rgb="FFFFFFFF"/>
      <name val="Calibri"/>
      <family val="1"/>
    </font>
    <font>
      <sz val="10"/>
      <name val="Calibri"/>
      <family val="1"/>
    </font>
    <font>
      <b/>
      <sz val="10"/>
      <name val="Calibri"/>
      <family val="1"/>
    </font>
    <font>
      <b/>
      <u/>
      <sz val="11"/>
      <color rgb="FFFFFF00"/>
      <name val="Calibri"/>
      <family val="1"/>
    </font>
    <font>
      <b/>
      <sz val="11"/>
      <color rgb="FFFFFF00"/>
      <name val="Calibri"/>
      <family val="1"/>
    </font>
    <font>
      <sz val="10"/>
      <name val="Arial MT"/>
      <family val="2"/>
    </font>
    <font>
      <b/>
      <sz val="11"/>
      <color rgb="FFFF0000"/>
      <name val="Calibri"/>
      <family val="1"/>
    </font>
    <font>
      <sz val="12"/>
      <color rgb="FFFF0000"/>
      <name val="Calibri"/>
      <family val="1"/>
    </font>
    <font>
      <sz val="11"/>
      <name val="Nirmala UI"/>
      <family val="2"/>
    </font>
    <font>
      <sz val="11"/>
      <name val="Courier New"/>
      <family val="3"/>
    </font>
    <font>
      <u/>
      <sz val="11"/>
      <name val="Calibri"/>
      <family val="1"/>
    </font>
    <font>
      <u/>
      <sz val="16"/>
      <name val="Malgun Gothic Semilight"/>
      <family val="2"/>
    </font>
    <font>
      <sz val="11"/>
      <color rgb="FFFFFF00"/>
      <name val="Calibri"/>
      <family val="1"/>
    </font>
    <font>
      <b/>
      <i/>
      <u/>
      <sz val="14"/>
      <name val="Calibri"/>
      <family val="1"/>
    </font>
    <font>
      <b/>
      <i/>
      <u/>
      <sz val="11"/>
      <name val="Calibri"/>
      <family val="1"/>
    </font>
    <font>
      <sz val="10"/>
      <color rgb="FF800080"/>
      <name val="Nirmala UI"/>
      <family val="2"/>
    </font>
    <font>
      <sz val="10"/>
      <color rgb="FF800080"/>
      <name val="Courier New"/>
      <family val="3"/>
    </font>
    <font>
      <b/>
      <u/>
      <sz val="10"/>
      <name val="Arial"/>
      <family val="2"/>
    </font>
    <font>
      <sz val="8"/>
      <color rgb="FF0000FF"/>
      <name val="Arial MT"/>
      <family val="2"/>
    </font>
    <font>
      <sz val="10"/>
      <color rgb="FF000000"/>
      <name val="Times New Roman"/>
      <family val="1"/>
    </font>
    <font>
      <sz val="11"/>
      <color rgb="FF002060"/>
      <name val="Calibri"/>
      <family val="2"/>
    </font>
    <font>
      <sz val="10"/>
      <color rgb="FF000000"/>
      <name val="Times New Roman"/>
      <family val="1"/>
    </font>
    <font>
      <sz val="8"/>
      <name val="Times New Roman"/>
      <family val="1"/>
    </font>
  </fonts>
  <fills count="35">
    <fill>
      <patternFill patternType="none"/>
    </fill>
    <fill>
      <patternFill patternType="gray125"/>
    </fill>
    <fill>
      <patternFill patternType="solid">
        <fgColor rgb="FFC0504D"/>
      </patternFill>
    </fill>
    <fill>
      <patternFill patternType="solid">
        <fgColor rgb="FF9BBA58"/>
      </patternFill>
    </fill>
    <fill>
      <patternFill patternType="solid">
        <fgColor rgb="FF8063A1"/>
      </patternFill>
    </fill>
    <fill>
      <patternFill patternType="solid">
        <fgColor rgb="FFFFFF00"/>
      </patternFill>
    </fill>
    <fill>
      <patternFill patternType="solid">
        <fgColor rgb="FFFCE9D9"/>
      </patternFill>
    </fill>
    <fill>
      <patternFill patternType="solid">
        <fgColor rgb="FFDDD9C3"/>
      </patternFill>
    </fill>
    <fill>
      <patternFill patternType="solid">
        <fgColor rgb="FFF1F1F1"/>
      </patternFill>
    </fill>
    <fill>
      <patternFill patternType="solid">
        <fgColor rgb="FF4F81BC"/>
      </patternFill>
    </fill>
    <fill>
      <patternFill patternType="solid">
        <fgColor rgb="FFD7D7D7"/>
      </patternFill>
    </fill>
    <fill>
      <patternFill patternType="solid">
        <fgColor rgb="FFFFFF66"/>
      </patternFill>
    </fill>
    <fill>
      <patternFill patternType="solid">
        <fgColor rgb="FFC5D9F0"/>
      </patternFill>
    </fill>
    <fill>
      <patternFill patternType="solid">
        <fgColor rgb="FFD6E3BB"/>
      </patternFill>
    </fill>
    <fill>
      <patternFill patternType="solid">
        <fgColor rgb="FFF79546"/>
      </patternFill>
    </fill>
    <fill>
      <patternFill patternType="solid">
        <fgColor rgb="FF800000"/>
      </patternFill>
    </fill>
    <fill>
      <patternFill patternType="solid">
        <fgColor rgb="FF92D050"/>
      </patternFill>
    </fill>
    <fill>
      <patternFill patternType="solid">
        <fgColor rgb="FF00AFEF"/>
      </patternFill>
    </fill>
    <fill>
      <patternFill patternType="solid">
        <fgColor rgb="FF7E7E7E"/>
      </patternFill>
    </fill>
    <fill>
      <patternFill patternType="solid">
        <fgColor rgb="FF00AF50"/>
      </patternFill>
    </fill>
    <fill>
      <patternFill patternType="solid">
        <fgColor rgb="FFFFC000"/>
      </patternFill>
    </fill>
    <fill>
      <patternFill patternType="solid">
        <fgColor rgb="FFF1DDDC"/>
      </patternFill>
    </fill>
    <fill>
      <patternFill patternType="solid">
        <fgColor rgb="FFFFCC99"/>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5" tint="-0.249977111117893"/>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3" tint="0.39997558519241921"/>
        <bgColor indexed="64"/>
      </patternFill>
    </fill>
  </fills>
  <borders count="5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style="thin">
        <color rgb="FF000000"/>
      </top>
      <bottom style="thin">
        <color rgb="FF000000"/>
      </bottom>
      <diagonal/>
    </border>
    <border>
      <left style="thin">
        <color rgb="FF000000"/>
      </left>
      <right/>
      <top/>
      <bottom/>
      <diagonal/>
    </border>
    <border>
      <left/>
      <right/>
      <top style="thin">
        <color rgb="FF612322"/>
      </top>
      <bottom style="thin">
        <color rgb="FF000000"/>
      </bottom>
      <diagonal/>
    </border>
    <border>
      <left/>
      <right/>
      <top style="thin">
        <color rgb="FF612322"/>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504D"/>
      </left>
      <right/>
      <top/>
      <bottom/>
      <diagonal/>
    </border>
    <border>
      <left style="thin">
        <color rgb="FFC0504D"/>
      </left>
      <right/>
      <top/>
      <bottom style="thin">
        <color rgb="FFC0504D"/>
      </bottom>
      <diagonal/>
    </border>
    <border>
      <left/>
      <right/>
      <top/>
      <bottom style="thin">
        <color rgb="FFC0504D"/>
      </bottom>
      <diagonal/>
    </border>
    <border>
      <left style="thin">
        <color rgb="FFC0504D"/>
      </left>
      <right/>
      <top style="thin">
        <color rgb="FFC0504D"/>
      </top>
      <bottom/>
      <diagonal/>
    </border>
    <border>
      <left/>
      <right/>
      <top style="thin">
        <color rgb="FFC0504D"/>
      </top>
      <bottom/>
      <diagonal/>
    </border>
    <border>
      <left style="thin">
        <color rgb="FFC0504D"/>
      </left>
      <right/>
      <top style="thin">
        <color rgb="FFC0504D"/>
      </top>
      <bottom style="thin">
        <color rgb="FFC0504D"/>
      </bottom>
      <diagonal/>
    </border>
    <border>
      <left/>
      <right/>
      <top style="thin">
        <color rgb="FFC0504D"/>
      </top>
      <bottom style="thin">
        <color rgb="FFC0504D"/>
      </bottom>
      <diagonal/>
    </border>
    <border>
      <left/>
      <right style="thin">
        <color rgb="FFC0504D"/>
      </right>
      <top style="thin">
        <color rgb="FFC0504D"/>
      </top>
      <bottom style="thin">
        <color rgb="FFC0504D"/>
      </bottom>
      <diagonal/>
    </border>
    <border>
      <left style="thin">
        <color rgb="FF000000"/>
      </left>
      <right style="thin">
        <color rgb="FF000000"/>
      </right>
      <top style="thin">
        <color rgb="FF612322"/>
      </top>
      <bottom style="thin">
        <color rgb="FF000000"/>
      </bottom>
      <diagonal/>
    </border>
    <border>
      <left style="thin">
        <color rgb="FF000000"/>
      </left>
      <right/>
      <top style="thin">
        <color rgb="FF612322"/>
      </top>
      <bottom style="thin">
        <color rgb="FF000000"/>
      </bottom>
      <diagonal/>
    </border>
    <border>
      <left/>
      <right style="thin">
        <color rgb="FF000000"/>
      </right>
      <top style="thin">
        <color rgb="FF612322"/>
      </top>
      <bottom style="thin">
        <color rgb="FF000000"/>
      </bottom>
      <diagonal/>
    </border>
    <border>
      <left style="thin">
        <color rgb="FF000000"/>
      </left>
      <right style="thin">
        <color rgb="FF000000"/>
      </right>
      <top style="thin">
        <color rgb="FF000000"/>
      </top>
      <bottom style="thin">
        <color rgb="FFD99694"/>
      </bottom>
      <diagonal/>
    </border>
    <border>
      <left style="thin">
        <color rgb="FF000000"/>
      </left>
      <right/>
      <top style="thin">
        <color rgb="FF000000"/>
      </top>
      <bottom style="thin">
        <color rgb="FFD99694"/>
      </bottom>
      <diagonal/>
    </border>
    <border>
      <left/>
      <right/>
      <top style="thin">
        <color rgb="FFD99694"/>
      </top>
      <bottom style="thin">
        <color rgb="FF000000"/>
      </bottom>
      <diagonal/>
    </border>
    <border>
      <left/>
      <right/>
      <top/>
      <bottom style="thin">
        <color rgb="FFFCE9D9"/>
      </bottom>
      <diagonal/>
    </border>
    <border>
      <left/>
      <right/>
      <top style="thin">
        <color rgb="FFFCE9D9"/>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C0504D"/>
      </top>
      <bottom style="thin">
        <color rgb="FF000000"/>
      </bottom>
      <diagonal/>
    </border>
    <border>
      <left/>
      <right style="thin">
        <color rgb="FF000000"/>
      </right>
      <top style="thin">
        <color rgb="FFFFFFFF"/>
      </top>
      <bottom style="thin">
        <color rgb="FF000000"/>
      </bottom>
      <diagonal/>
    </border>
    <border>
      <left style="thin">
        <color rgb="FF000000"/>
      </left>
      <right/>
      <top style="thin">
        <color rgb="FF612322"/>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theme="0"/>
      </right>
      <top style="thin">
        <color rgb="FF000000"/>
      </top>
      <bottom style="thin">
        <color rgb="FF000000"/>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diagonal/>
    </border>
    <border>
      <left style="medium">
        <color indexed="64"/>
      </left>
      <right/>
      <top style="thin">
        <color rgb="FF000000"/>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s>
  <cellStyleXfs count="2">
    <xf numFmtId="0" fontId="0" fillId="0" borderId="0"/>
    <xf numFmtId="9" fontId="56" fillId="0" borderId="0" applyFont="0" applyFill="0" applyBorder="0" applyAlignment="0" applyProtection="0"/>
  </cellStyleXfs>
  <cellXfs count="791">
    <xf numFmtId="0" fontId="0" fillId="0" borderId="0" xfId="0" applyAlignment="1">
      <alignment horizontal="left" vertical="top"/>
    </xf>
    <xf numFmtId="0" fontId="3" fillId="2" borderId="2" xfId="0" applyFont="1" applyFill="1" applyBorder="1" applyAlignment="1">
      <alignment horizontal="left" vertical="top" wrapText="1"/>
    </xf>
    <xf numFmtId="0" fontId="3" fillId="2" borderId="2" xfId="0" applyFont="1" applyFill="1" applyBorder="1" applyAlignment="1">
      <alignment horizontal="right" vertical="top" wrapText="1" indent="1"/>
    </xf>
    <xf numFmtId="0" fontId="3" fillId="2" borderId="2" xfId="0" applyFont="1" applyFill="1" applyBorder="1" applyAlignment="1">
      <alignment horizontal="center" vertical="top" wrapText="1"/>
    </xf>
    <xf numFmtId="1" fontId="4" fillId="0" borderId="2" xfId="0" applyNumberFormat="1" applyFont="1" applyBorder="1" applyAlignment="1">
      <alignment horizontal="right" vertical="top" shrinkToFit="1"/>
    </xf>
    <xf numFmtId="0" fontId="5" fillId="0" borderId="2" xfId="0" applyFont="1" applyBorder="1" applyAlignment="1">
      <alignment horizontal="left" vertical="top" wrapText="1"/>
    </xf>
    <xf numFmtId="1" fontId="4" fillId="0" borderId="2" xfId="0" applyNumberFormat="1" applyFont="1" applyBorder="1" applyAlignment="1">
      <alignment horizontal="center" vertical="top" shrinkToFit="1"/>
    </xf>
    <xf numFmtId="0" fontId="5" fillId="0" borderId="2" xfId="0" applyFont="1" applyBorder="1" applyAlignment="1">
      <alignment horizontal="center" vertical="top" wrapText="1"/>
    </xf>
    <xf numFmtId="0" fontId="0" fillId="0" borderId="0" xfId="0" applyAlignment="1">
      <alignment horizontal="left" wrapText="1"/>
    </xf>
    <xf numFmtId="0" fontId="5" fillId="0" borderId="0" xfId="0" applyFont="1" applyAlignment="1">
      <alignment horizontal="left" vertical="top" wrapText="1"/>
    </xf>
    <xf numFmtId="0" fontId="2" fillId="3" borderId="2" xfId="0" applyFont="1" applyFill="1" applyBorder="1" applyAlignment="1">
      <alignment horizontal="center" vertical="top" wrapText="1"/>
    </xf>
    <xf numFmtId="1" fontId="6" fillId="0" borderId="2" xfId="0" applyNumberFormat="1" applyFont="1" applyBorder="1" applyAlignment="1">
      <alignment horizontal="center" vertical="top" shrinkToFit="1"/>
    </xf>
    <xf numFmtId="0" fontId="7" fillId="0" borderId="2" xfId="0" applyFont="1" applyBorder="1" applyAlignment="1">
      <alignment horizontal="center" vertical="top" wrapText="1"/>
    </xf>
    <xf numFmtId="0" fontId="0" fillId="0" borderId="2" xfId="0" applyBorder="1" applyAlignment="1">
      <alignment horizontal="left" wrapText="1"/>
    </xf>
    <xf numFmtId="0" fontId="0" fillId="0" borderId="0" xfId="0" applyAlignment="1">
      <alignment horizontal="left" vertical="top" wrapText="1"/>
    </xf>
    <xf numFmtId="0" fontId="5" fillId="0" borderId="7" xfId="0" applyFont="1" applyBorder="1" applyAlignment="1">
      <alignment horizontal="center" vertical="top" wrapText="1"/>
    </xf>
    <xf numFmtId="0" fontId="0" fillId="0" borderId="5" xfId="0" applyBorder="1" applyAlignment="1">
      <alignment horizontal="left" vertical="center" wrapText="1"/>
    </xf>
    <xf numFmtId="0" fontId="0" fillId="0" borderId="0" xfId="0" applyAlignment="1">
      <alignment horizontal="left" vertical="center" wrapText="1"/>
    </xf>
    <xf numFmtId="0" fontId="3" fillId="2" borderId="2" xfId="0" applyFont="1" applyFill="1" applyBorder="1" applyAlignment="1">
      <alignment horizontal="right" vertical="top" wrapText="1"/>
    </xf>
    <xf numFmtId="1" fontId="4" fillId="0" borderId="2" xfId="0" applyNumberFormat="1" applyFont="1" applyBorder="1" applyAlignment="1">
      <alignment horizontal="left" vertical="top" indent="1" shrinkToFit="1"/>
    </xf>
    <xf numFmtId="0" fontId="3" fillId="4" borderId="2" xfId="0" applyFont="1" applyFill="1" applyBorder="1" applyAlignment="1">
      <alignment horizontal="left" vertical="top" wrapText="1" indent="2"/>
    </xf>
    <xf numFmtId="0" fontId="3" fillId="4" borderId="2" xfId="0" applyFont="1" applyFill="1" applyBorder="1" applyAlignment="1">
      <alignment horizontal="left" vertical="top" wrapText="1" indent="1"/>
    </xf>
    <xf numFmtId="0" fontId="3" fillId="4" borderId="2" xfId="0" applyFont="1" applyFill="1" applyBorder="1" applyAlignment="1">
      <alignment horizontal="center" vertical="top" wrapText="1"/>
    </xf>
    <xf numFmtId="0" fontId="5" fillId="0" borderId="2" xfId="0" applyFont="1" applyBorder="1" applyAlignment="1">
      <alignment horizontal="left" vertical="center" wrapText="1"/>
    </xf>
    <xf numFmtId="1" fontId="4" fillId="0" borderId="2" xfId="0" applyNumberFormat="1" applyFont="1" applyBorder="1" applyAlignment="1">
      <alignment horizontal="right" vertical="center" shrinkToFit="1"/>
    </xf>
    <xf numFmtId="0" fontId="5" fillId="0" borderId="2" xfId="0" applyFont="1" applyBorder="1" applyAlignment="1">
      <alignment horizontal="left" vertical="top" wrapText="1" indent="2"/>
    </xf>
    <xf numFmtId="0" fontId="3" fillId="5" borderId="2" xfId="0" applyFont="1" applyFill="1" applyBorder="1" applyAlignment="1">
      <alignment horizontal="center" vertical="top" wrapText="1"/>
    </xf>
    <xf numFmtId="2" fontId="4" fillId="0" borderId="2" xfId="0" applyNumberFormat="1" applyFont="1" applyBorder="1" applyAlignment="1">
      <alignment horizontal="center" vertical="top" shrinkToFit="1"/>
    </xf>
    <xf numFmtId="0" fontId="0" fillId="0" borderId="9" xfId="0" applyBorder="1" applyAlignment="1">
      <alignment horizontal="left" wrapText="1"/>
    </xf>
    <xf numFmtId="165" fontId="4" fillId="0" borderId="2" xfId="0" applyNumberFormat="1" applyFont="1" applyBorder="1" applyAlignment="1">
      <alignment horizontal="right" vertical="top" shrinkToFit="1"/>
    </xf>
    <xf numFmtId="0" fontId="0" fillId="0" borderId="5" xfId="0" applyBorder="1" applyAlignment="1">
      <alignment horizontal="left" vertical="top" wrapText="1"/>
    </xf>
    <xf numFmtId="0" fontId="3" fillId="0" borderId="2" xfId="0" applyFont="1" applyBorder="1" applyAlignment="1">
      <alignment horizontal="center" vertical="top" wrapText="1"/>
    </xf>
    <xf numFmtId="0" fontId="8" fillId="2" borderId="2" xfId="0" applyFont="1" applyFill="1" applyBorder="1" applyAlignment="1">
      <alignment horizontal="center" vertical="top" wrapText="1"/>
    </xf>
    <xf numFmtId="0" fontId="9" fillId="0" borderId="2" xfId="0" applyFont="1" applyBorder="1" applyAlignment="1">
      <alignment horizontal="center" vertical="top" wrapText="1"/>
    </xf>
    <xf numFmtId="1" fontId="10" fillId="0" borderId="2" xfId="0" applyNumberFormat="1" applyFont="1" applyBorder="1" applyAlignment="1">
      <alignment horizontal="center" vertical="top" shrinkToFit="1"/>
    </xf>
    <xf numFmtId="1" fontId="11" fillId="0" borderId="2" xfId="0" applyNumberFormat="1" applyFont="1" applyBorder="1" applyAlignment="1">
      <alignment horizontal="center" vertical="top" shrinkToFit="1"/>
    </xf>
    <xf numFmtId="0" fontId="8" fillId="0" borderId="0" xfId="0" applyFont="1" applyAlignment="1">
      <alignment horizontal="left" vertical="top" wrapText="1"/>
    </xf>
    <xf numFmtId="0" fontId="12" fillId="7" borderId="2" xfId="0" applyFont="1" applyFill="1" applyBorder="1" applyAlignment="1">
      <alignment horizontal="left" vertical="center" wrapText="1" indent="1"/>
    </xf>
    <xf numFmtId="0" fontId="0" fillId="0" borderId="11" xfId="0" applyBorder="1" applyAlignment="1">
      <alignment horizontal="left" vertical="top" wrapText="1"/>
    </xf>
    <xf numFmtId="1" fontId="4" fillId="8" borderId="2" xfId="0" applyNumberFormat="1" applyFont="1" applyFill="1" applyBorder="1" applyAlignment="1">
      <alignment horizontal="left" vertical="top" shrinkToFit="1"/>
    </xf>
    <xf numFmtId="0" fontId="5" fillId="8" borderId="2" xfId="0" applyFont="1" applyFill="1" applyBorder="1" applyAlignment="1">
      <alignment horizontal="left" vertical="top" wrapText="1"/>
    </xf>
    <xf numFmtId="1" fontId="4" fillId="0" borderId="2" xfId="0" applyNumberFormat="1" applyFont="1" applyBorder="1" applyAlignment="1">
      <alignment horizontal="left" vertical="top" shrinkToFit="1"/>
    </xf>
    <xf numFmtId="166" fontId="4" fillId="0" borderId="2" xfId="0" applyNumberFormat="1" applyFont="1" applyBorder="1" applyAlignment="1">
      <alignment horizontal="left" vertical="top" indent="1" shrinkToFit="1"/>
    </xf>
    <xf numFmtId="0" fontId="5" fillId="0" borderId="2" xfId="0" applyFont="1" applyBorder="1" applyAlignment="1">
      <alignment horizontal="right" vertical="top" wrapText="1" indent="2"/>
    </xf>
    <xf numFmtId="0" fontId="5" fillId="0" borderId="2" xfId="0" applyFont="1" applyBorder="1" applyAlignment="1">
      <alignment horizontal="left" vertical="top" wrapText="1" indent="1"/>
    </xf>
    <xf numFmtId="1" fontId="4" fillId="8" borderId="12" xfId="0" applyNumberFormat="1" applyFont="1" applyFill="1" applyBorder="1" applyAlignment="1">
      <alignment horizontal="left" vertical="top" shrinkToFit="1"/>
    </xf>
    <xf numFmtId="0" fontId="0" fillId="0" borderId="11" xfId="0" applyBorder="1" applyAlignment="1">
      <alignment horizontal="left" wrapText="1"/>
    </xf>
    <xf numFmtId="0" fontId="5" fillId="0" borderId="11" xfId="0" applyFont="1" applyBorder="1" applyAlignment="1">
      <alignment horizontal="left" vertical="top" wrapText="1" indent="1"/>
    </xf>
    <xf numFmtId="0" fontId="0" fillId="0" borderId="1" xfId="0" applyBorder="1" applyAlignment="1">
      <alignment horizontal="left" wrapText="1"/>
    </xf>
    <xf numFmtId="0" fontId="3" fillId="10" borderId="2" xfId="0" applyFont="1" applyFill="1" applyBorder="1" applyAlignment="1">
      <alignment horizontal="right" vertical="top" wrapText="1" indent="1"/>
    </xf>
    <xf numFmtId="0" fontId="3" fillId="10" borderId="2" xfId="0" applyFont="1" applyFill="1" applyBorder="1" applyAlignment="1">
      <alignment horizontal="left" vertical="top" wrapText="1" indent="3"/>
    </xf>
    <xf numFmtId="0" fontId="3" fillId="10" borderId="2" xfId="0" applyFont="1" applyFill="1" applyBorder="1" applyAlignment="1">
      <alignment horizontal="center" vertical="top" wrapText="1"/>
    </xf>
    <xf numFmtId="0" fontId="3" fillId="10" borderId="2" xfId="0" applyFont="1" applyFill="1" applyBorder="1" applyAlignment="1">
      <alignment horizontal="left" vertical="top" wrapText="1" indent="1"/>
    </xf>
    <xf numFmtId="0" fontId="5" fillId="11" borderId="2" xfId="0" applyFont="1" applyFill="1" applyBorder="1" applyAlignment="1">
      <alignment horizontal="left" vertical="top" wrapText="1" indent="2"/>
    </xf>
    <xf numFmtId="0" fontId="14" fillId="0" borderId="2" xfId="0" applyFont="1" applyBorder="1" applyAlignment="1">
      <alignment horizontal="center" vertical="top" wrapText="1"/>
    </xf>
    <xf numFmtId="0" fontId="3" fillId="12" borderId="2" xfId="0" applyFont="1" applyFill="1" applyBorder="1" applyAlignment="1">
      <alignment horizontal="right" vertical="top" wrapText="1" indent="1"/>
    </xf>
    <xf numFmtId="0" fontId="3" fillId="12" borderId="2" xfId="0" applyFont="1" applyFill="1" applyBorder="1" applyAlignment="1">
      <alignment horizontal="left" vertical="top" wrapText="1" indent="3"/>
    </xf>
    <xf numFmtId="0" fontId="3" fillId="12" borderId="2" xfId="0" applyFont="1" applyFill="1" applyBorder="1" applyAlignment="1">
      <alignment horizontal="center" vertical="top" wrapText="1"/>
    </xf>
    <xf numFmtId="0" fontId="3" fillId="12" borderId="2" xfId="0" applyFont="1" applyFill="1" applyBorder="1" applyAlignment="1">
      <alignment horizontal="left" vertical="top" wrapText="1" indent="1"/>
    </xf>
    <xf numFmtId="0" fontId="14" fillId="0" borderId="2" xfId="0" applyFont="1" applyBorder="1" applyAlignment="1">
      <alignment horizontal="left" vertical="top" wrapText="1" indent="2"/>
    </xf>
    <xf numFmtId="0" fontId="14" fillId="0" borderId="2" xfId="0" applyFont="1" applyBorder="1" applyAlignment="1">
      <alignment horizontal="left" vertical="top" wrapText="1"/>
    </xf>
    <xf numFmtId="165" fontId="15" fillId="0" borderId="2" xfId="0" applyNumberFormat="1" applyFont="1" applyBorder="1" applyAlignment="1">
      <alignment horizontal="left" vertical="top" indent="1" shrinkToFit="1"/>
    </xf>
    <xf numFmtId="0" fontId="5" fillId="0" borderId="0" xfId="0" applyFont="1" applyAlignment="1">
      <alignment horizontal="right" vertical="top" wrapText="1"/>
    </xf>
    <xf numFmtId="0" fontId="3" fillId="2" borderId="0" xfId="0" applyFont="1" applyFill="1" applyAlignment="1">
      <alignment horizontal="center" vertical="top" wrapText="1"/>
    </xf>
    <xf numFmtId="0" fontId="3" fillId="2" borderId="0" xfId="0" applyFont="1" applyFill="1" applyAlignment="1">
      <alignment horizontal="right" vertical="top" wrapText="1"/>
    </xf>
    <xf numFmtId="0" fontId="5" fillId="0" borderId="16" xfId="0" applyFont="1" applyBorder="1" applyAlignment="1">
      <alignment horizontal="left" vertical="top" wrapText="1"/>
    </xf>
    <xf numFmtId="0" fontId="5" fillId="0" borderId="18" xfId="0" applyFont="1" applyBorder="1" applyAlignment="1">
      <alignment horizontal="left" vertical="top" wrapText="1"/>
    </xf>
    <xf numFmtId="0" fontId="3" fillId="14" borderId="2" xfId="0" applyFont="1" applyFill="1" applyBorder="1" applyAlignment="1">
      <alignment horizontal="left" vertical="center" wrapText="1"/>
    </xf>
    <xf numFmtId="0" fontId="3" fillId="14" borderId="2" xfId="0" applyFont="1" applyFill="1" applyBorder="1" applyAlignment="1">
      <alignment horizontal="center" vertical="center" wrapText="1"/>
    </xf>
    <xf numFmtId="0" fontId="3" fillId="14" borderId="2" xfId="0" applyFont="1" applyFill="1" applyBorder="1" applyAlignment="1">
      <alignment horizontal="left" vertical="center" wrapText="1" indent="1"/>
    </xf>
    <xf numFmtId="0" fontId="3" fillId="14" borderId="12" xfId="0" applyFont="1" applyFill="1" applyBorder="1" applyAlignment="1">
      <alignment horizontal="left" vertical="top" wrapText="1" indent="2"/>
    </xf>
    <xf numFmtId="169" fontId="4" fillId="0" borderId="2" xfId="0" applyNumberFormat="1" applyFont="1" applyBorder="1" applyAlignment="1">
      <alignment horizontal="right" vertical="top" shrinkToFit="1"/>
    </xf>
    <xf numFmtId="169" fontId="4" fillId="0" borderId="2" xfId="0" applyNumberFormat="1" applyFont="1" applyBorder="1" applyAlignment="1">
      <alignment horizontal="center" vertical="top" shrinkToFit="1"/>
    </xf>
    <xf numFmtId="0" fontId="0" fillId="0" borderId="5" xfId="0" applyBorder="1" applyAlignment="1">
      <alignment horizontal="left" wrapText="1"/>
    </xf>
    <xf numFmtId="0" fontId="8" fillId="15" borderId="2" xfId="0" applyFont="1" applyFill="1" applyBorder="1" applyAlignment="1">
      <alignment horizontal="center" vertical="top" wrapText="1"/>
    </xf>
    <xf numFmtId="0" fontId="9" fillId="0" borderId="12" xfId="0" applyFont="1" applyBorder="1" applyAlignment="1">
      <alignment horizontal="right" vertical="top" wrapText="1" indent="2"/>
    </xf>
    <xf numFmtId="0" fontId="9" fillId="0" borderId="2" xfId="0" applyFont="1" applyBorder="1" applyAlignment="1">
      <alignment horizontal="right" vertical="top" wrapText="1" indent="2"/>
    </xf>
    <xf numFmtId="0" fontId="0" fillId="0" borderId="0" xfId="0" applyAlignment="1">
      <alignment horizontal="left" vertical="top" wrapText="1" indent="5"/>
    </xf>
    <xf numFmtId="170" fontId="4" fillId="0" borderId="2" xfId="0" applyNumberFormat="1" applyFont="1" applyBorder="1" applyAlignment="1">
      <alignment horizontal="right" vertical="top" shrinkToFit="1"/>
    </xf>
    <xf numFmtId="165" fontId="4" fillId="0" borderId="2" xfId="0" applyNumberFormat="1" applyFont="1" applyBorder="1" applyAlignment="1">
      <alignment horizontal="center" vertical="top" shrinkToFit="1"/>
    </xf>
    <xf numFmtId="0" fontId="3" fillId="0" borderId="2" xfId="0" applyFont="1" applyBorder="1" applyAlignment="1">
      <alignment horizontal="left" vertical="top" wrapText="1"/>
    </xf>
    <xf numFmtId="0" fontId="3" fillId="5" borderId="2" xfId="0" applyFont="1" applyFill="1" applyBorder="1" applyAlignment="1">
      <alignment horizontal="right" vertical="top" wrapText="1" indent="3"/>
    </xf>
    <xf numFmtId="0" fontId="5" fillId="0" borderId="2" xfId="0" applyFont="1" applyBorder="1" applyAlignment="1">
      <alignment horizontal="right" vertical="top" wrapText="1" indent="3"/>
    </xf>
    <xf numFmtId="171" fontId="18" fillId="5" borderId="2" xfId="0" applyNumberFormat="1" applyFont="1" applyFill="1" applyBorder="1" applyAlignment="1">
      <alignment horizontal="center" vertical="top" shrinkToFit="1"/>
    </xf>
    <xf numFmtId="0" fontId="3" fillId="5" borderId="2" xfId="0" applyFont="1" applyFill="1" applyBorder="1" applyAlignment="1">
      <alignment horizontal="left" vertical="top" wrapText="1" indent="2"/>
    </xf>
    <xf numFmtId="0" fontId="3" fillId="5" borderId="2" xfId="0" applyFont="1" applyFill="1" applyBorder="1" applyAlignment="1">
      <alignment horizontal="right" vertical="top" wrapText="1" indent="4"/>
    </xf>
    <xf numFmtId="3" fontId="4" fillId="0" borderId="2" xfId="0" applyNumberFormat="1" applyFont="1" applyBorder="1" applyAlignment="1">
      <alignment horizontal="right" vertical="top" indent="4" shrinkToFit="1"/>
    </xf>
    <xf numFmtId="0" fontId="3" fillId="5" borderId="2" xfId="0" applyFont="1" applyFill="1" applyBorder="1" applyAlignment="1">
      <alignment horizontal="left" vertical="top" wrapText="1" indent="1"/>
    </xf>
    <xf numFmtId="0" fontId="2" fillId="17" borderId="2" xfId="0" applyFont="1" applyFill="1" applyBorder="1" applyAlignment="1">
      <alignment horizontal="center" vertical="top" wrapText="1"/>
    </xf>
    <xf numFmtId="0" fontId="2" fillId="17" borderId="2" xfId="0" applyFont="1" applyFill="1" applyBorder="1" applyAlignment="1">
      <alignment horizontal="left" vertical="top" wrapText="1" indent="1"/>
    </xf>
    <xf numFmtId="0" fontId="2" fillId="17" borderId="2" xfId="0" applyFont="1" applyFill="1" applyBorder="1" applyAlignment="1">
      <alignment horizontal="left" vertical="top" wrapText="1" indent="3"/>
    </xf>
    <xf numFmtId="3" fontId="6" fillId="0" borderId="2" xfId="0" applyNumberFormat="1" applyFont="1" applyBorder="1" applyAlignment="1">
      <alignment horizontal="left" vertical="top" indent="1" shrinkToFit="1"/>
    </xf>
    <xf numFmtId="0" fontId="3" fillId="17" borderId="2" xfId="0" applyFont="1" applyFill="1" applyBorder="1" applyAlignment="1">
      <alignment horizontal="left" vertical="top" wrapText="1"/>
    </xf>
    <xf numFmtId="0" fontId="3" fillId="0" borderId="23" xfId="0" applyFont="1" applyBorder="1" applyAlignment="1">
      <alignment horizontal="left" vertical="center" wrapText="1"/>
    </xf>
    <xf numFmtId="0" fontId="5" fillId="0" borderId="23" xfId="0" applyFont="1" applyBorder="1" applyAlignment="1">
      <alignment horizontal="left" vertical="center" wrapText="1"/>
    </xf>
    <xf numFmtId="0" fontId="3" fillId="18" borderId="2" xfId="0" applyFont="1" applyFill="1" applyBorder="1" applyAlignment="1">
      <alignment horizontal="center" vertical="top"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19" borderId="2" xfId="0" applyFont="1" applyFill="1" applyBorder="1" applyAlignment="1">
      <alignment horizontal="center" vertical="top" wrapText="1"/>
    </xf>
    <xf numFmtId="0" fontId="3" fillId="18" borderId="2" xfId="0" applyFont="1" applyFill="1" applyBorder="1" applyAlignment="1">
      <alignment horizontal="left" vertical="top" wrapText="1"/>
    </xf>
    <xf numFmtId="0" fontId="0" fillId="0" borderId="7" xfId="0" applyBorder="1" applyAlignment="1">
      <alignment horizontal="left" vertical="top" wrapText="1"/>
    </xf>
    <xf numFmtId="0" fontId="5" fillId="0" borderId="12" xfId="0" applyFont="1" applyBorder="1" applyAlignment="1">
      <alignment horizontal="center" vertical="center" wrapText="1"/>
    </xf>
    <xf numFmtId="0" fontId="5" fillId="0" borderId="5" xfId="0" applyFont="1" applyBorder="1" applyAlignment="1">
      <alignment horizontal="center" vertical="top" wrapText="1"/>
    </xf>
    <xf numFmtId="0" fontId="3" fillId="17" borderId="2" xfId="0" applyFont="1" applyFill="1" applyBorder="1" applyAlignment="1">
      <alignment horizontal="center" vertical="top" wrapText="1"/>
    </xf>
    <xf numFmtId="0" fontId="3" fillId="2" borderId="2" xfId="0" applyFont="1" applyFill="1" applyBorder="1" applyAlignment="1">
      <alignment horizontal="left" vertical="top" wrapText="1" indent="1"/>
    </xf>
    <xf numFmtId="1" fontId="4" fillId="21" borderId="2" xfId="0" applyNumberFormat="1" applyFont="1" applyFill="1" applyBorder="1" applyAlignment="1">
      <alignment horizontal="center" vertical="top" shrinkToFit="1"/>
    </xf>
    <xf numFmtId="1" fontId="4" fillId="0" borderId="26" xfId="0" applyNumberFormat="1" applyFont="1" applyBorder="1" applyAlignment="1">
      <alignment horizontal="center" vertical="top" shrinkToFit="1"/>
    </xf>
    <xf numFmtId="0" fontId="5" fillId="0" borderId="2" xfId="0" applyFont="1" applyBorder="1" applyAlignment="1">
      <alignment horizontal="right" vertical="top" wrapText="1" indent="1"/>
    </xf>
    <xf numFmtId="0" fontId="0" fillId="0" borderId="8" xfId="0" applyBorder="1" applyAlignment="1">
      <alignment horizontal="left" wrapText="1"/>
    </xf>
    <xf numFmtId="0" fontId="0" fillId="0" borderId="1" xfId="0" applyBorder="1" applyAlignment="1">
      <alignment horizontal="left" vertical="center" wrapText="1"/>
    </xf>
    <xf numFmtId="0" fontId="3" fillId="18" borderId="12" xfId="0" applyFont="1" applyFill="1" applyBorder="1" applyAlignment="1">
      <alignment horizontal="center" vertical="top" wrapText="1"/>
    </xf>
    <xf numFmtId="1" fontId="4" fillId="0" borderId="12" xfId="0" applyNumberFormat="1" applyFont="1" applyBorder="1" applyAlignment="1">
      <alignment horizontal="center" vertical="top" shrinkToFit="1"/>
    </xf>
    <xf numFmtId="0" fontId="3" fillId="18" borderId="2" xfId="0" applyFont="1" applyFill="1" applyBorder="1" applyAlignment="1">
      <alignment horizontal="left" vertical="center" wrapText="1" indent="1"/>
    </xf>
    <xf numFmtId="1" fontId="4" fillId="0" borderId="2" xfId="0" applyNumberFormat="1" applyFont="1" applyBorder="1" applyAlignment="1">
      <alignment horizontal="center" vertical="center" shrinkToFit="1"/>
    </xf>
    <xf numFmtId="0" fontId="5" fillId="0" borderId="2" xfId="0" applyFont="1" applyBorder="1" applyAlignment="1">
      <alignment horizontal="right" vertical="top" wrapText="1"/>
    </xf>
    <xf numFmtId="0" fontId="16" fillId="17" borderId="2" xfId="0" applyFont="1" applyFill="1" applyBorder="1" applyAlignment="1">
      <alignment horizontal="center" vertical="top" wrapText="1"/>
    </xf>
    <xf numFmtId="0" fontId="16" fillId="17" borderId="2" xfId="0" applyFont="1" applyFill="1" applyBorder="1" applyAlignment="1">
      <alignment horizontal="left" vertical="top" wrapText="1" indent="2"/>
    </xf>
    <xf numFmtId="3" fontId="15" fillId="0" borderId="2" xfId="0" applyNumberFormat="1" applyFont="1" applyBorder="1" applyAlignment="1">
      <alignment horizontal="right" vertical="top" indent="1" shrinkToFit="1"/>
    </xf>
    <xf numFmtId="0" fontId="14" fillId="0" borderId="12" xfId="0" applyFont="1" applyBorder="1" applyAlignment="1">
      <alignment horizontal="center" vertical="top" wrapText="1"/>
    </xf>
    <xf numFmtId="3" fontId="15" fillId="0" borderId="12" xfId="0" applyNumberFormat="1" applyFont="1" applyBorder="1" applyAlignment="1">
      <alignment horizontal="right" vertical="top" indent="1" shrinkToFit="1"/>
    </xf>
    <xf numFmtId="0" fontId="3" fillId="18" borderId="2" xfId="0" applyFont="1" applyFill="1" applyBorder="1" applyAlignment="1">
      <alignment horizontal="right" vertical="top" wrapText="1" indent="3"/>
    </xf>
    <xf numFmtId="0" fontId="0" fillId="19" borderId="31" xfId="0" applyFill="1" applyBorder="1" applyAlignment="1">
      <alignment horizontal="center" vertical="top" wrapText="1"/>
    </xf>
    <xf numFmtId="0" fontId="5" fillId="0" borderId="2" xfId="0" applyFont="1" applyBorder="1" applyAlignment="1">
      <alignment horizontal="center" wrapText="1"/>
    </xf>
    <xf numFmtId="0" fontId="3" fillId="19"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vertical="top" wrapText="1"/>
    </xf>
    <xf numFmtId="0" fontId="9" fillId="0" borderId="8" xfId="0" applyFont="1" applyBorder="1" applyAlignment="1">
      <alignment horizontal="left" vertical="top" wrapText="1" indent="1"/>
    </xf>
    <xf numFmtId="0" fontId="0" fillId="0" borderId="23" xfId="0" applyBorder="1" applyAlignment="1">
      <alignment horizontal="left" vertical="center" wrapText="1"/>
    </xf>
    <xf numFmtId="0" fontId="9" fillId="0" borderId="34" xfId="0" applyFont="1" applyBorder="1" applyAlignment="1">
      <alignment horizontal="left" vertical="center" wrapText="1"/>
    </xf>
    <xf numFmtId="1" fontId="11" fillId="0" borderId="2" xfId="0" applyNumberFormat="1" applyFont="1" applyBorder="1" applyAlignment="1">
      <alignment horizontal="center" vertical="center" shrinkToFit="1"/>
    </xf>
    <xf numFmtId="0" fontId="9" fillId="0" borderId="8" xfId="0" applyFont="1" applyBorder="1" applyAlignment="1">
      <alignment horizontal="left" vertical="center" wrapText="1"/>
    </xf>
    <xf numFmtId="0" fontId="8" fillId="0" borderId="0" xfId="0" applyFont="1" applyAlignment="1">
      <alignment horizontal="left" vertical="center" wrapText="1"/>
    </xf>
    <xf numFmtId="0" fontId="0" fillId="0" borderId="6" xfId="0" applyBorder="1" applyAlignment="1">
      <alignment horizontal="left" wrapText="1"/>
    </xf>
    <xf numFmtId="0" fontId="9" fillId="0" borderId="23" xfId="0" applyFont="1" applyBorder="1" applyAlignment="1">
      <alignment horizontal="left" vertical="center" wrapText="1" indent="1"/>
    </xf>
    <xf numFmtId="0" fontId="9" fillId="0" borderId="23" xfId="0" applyFont="1" applyBorder="1" applyAlignment="1">
      <alignment horizontal="center" vertical="center" wrapText="1"/>
    </xf>
    <xf numFmtId="1" fontId="11" fillId="0" borderId="23" xfId="0" applyNumberFormat="1" applyFont="1" applyBorder="1" applyAlignment="1">
      <alignment horizontal="center" vertical="center" shrinkToFit="1"/>
    </xf>
    <xf numFmtId="0" fontId="9" fillId="0" borderId="34" xfId="0" applyFont="1" applyBorder="1" applyAlignment="1">
      <alignment horizontal="left" vertical="center" wrapText="1" indent="1"/>
    </xf>
    <xf numFmtId="0" fontId="0" fillId="0" borderId="10" xfId="0" applyBorder="1" applyAlignment="1">
      <alignment horizontal="left" vertical="center" wrapText="1"/>
    </xf>
    <xf numFmtId="0" fontId="9" fillId="0" borderId="2" xfId="0" applyFont="1" applyBorder="1" applyAlignment="1">
      <alignment horizontal="left" vertical="top" wrapText="1" indent="1"/>
    </xf>
    <xf numFmtId="0" fontId="9" fillId="0" borderId="2" xfId="0" applyFont="1" applyBorder="1" applyAlignment="1">
      <alignment horizontal="left" vertical="top" wrapText="1" indent="4"/>
    </xf>
    <xf numFmtId="0" fontId="0" fillId="0" borderId="7" xfId="0" applyBorder="1" applyAlignment="1">
      <alignment horizontal="left" vertical="center" wrapText="1"/>
    </xf>
    <xf numFmtId="0" fontId="9" fillId="0" borderId="2" xfId="0" applyFont="1" applyBorder="1" applyAlignment="1">
      <alignment horizontal="left" vertical="top" wrapText="1" indent="3"/>
    </xf>
    <xf numFmtId="0" fontId="9" fillId="0" borderId="2" xfId="0" applyFont="1" applyBorder="1" applyAlignment="1">
      <alignment horizontal="right" vertical="top" wrapText="1"/>
    </xf>
    <xf numFmtId="0" fontId="0" fillId="0" borderId="3" xfId="0" applyBorder="1" applyAlignment="1">
      <alignment horizontal="left" vertical="center" wrapText="1"/>
    </xf>
    <xf numFmtId="0" fontId="9" fillId="0" borderId="4" xfId="0" applyFont="1" applyBorder="1" applyAlignment="1">
      <alignment horizontal="right" vertical="center" wrapText="1"/>
    </xf>
    <xf numFmtId="0" fontId="9" fillId="0" borderId="4" xfId="0" applyFont="1" applyBorder="1" applyAlignment="1">
      <alignment horizontal="right" vertical="top" wrapText="1"/>
    </xf>
    <xf numFmtId="0" fontId="3" fillId="5" borderId="1" xfId="0" applyFont="1" applyFill="1" applyBorder="1" applyAlignment="1">
      <alignment horizontal="left" vertical="top" wrapText="1"/>
    </xf>
    <xf numFmtId="0" fontId="9" fillId="0" borderId="2" xfId="0" applyFont="1" applyBorder="1" applyAlignment="1">
      <alignment horizontal="center" vertical="center" wrapText="1"/>
    </xf>
    <xf numFmtId="0" fontId="8" fillId="5" borderId="1" xfId="0" applyFont="1" applyFill="1" applyBorder="1" applyAlignment="1">
      <alignment horizontal="left" vertical="top" wrapText="1" indent="5"/>
    </xf>
    <xf numFmtId="0" fontId="3" fillId="0" borderId="2" xfId="0" applyFont="1" applyBorder="1" applyAlignment="1">
      <alignment horizontal="right" vertical="top" wrapText="1"/>
    </xf>
    <xf numFmtId="1" fontId="4" fillId="0" borderId="23" xfId="0" applyNumberFormat="1" applyFont="1" applyBorder="1" applyAlignment="1">
      <alignment horizontal="right" vertical="center" shrinkToFit="1"/>
    </xf>
    <xf numFmtId="0" fontId="28" fillId="0" borderId="3" xfId="0" applyFont="1" applyBorder="1" applyAlignment="1">
      <alignment horizontal="left" vertical="top" wrapText="1"/>
    </xf>
    <xf numFmtId="165" fontId="4" fillId="0" borderId="3" xfId="0" applyNumberFormat="1" applyFont="1" applyBorder="1" applyAlignment="1">
      <alignment vertical="top" shrinkToFit="1"/>
    </xf>
    <xf numFmtId="1" fontId="4" fillId="0" borderId="3" xfId="0" applyNumberFormat="1" applyFont="1" applyBorder="1" applyAlignment="1">
      <alignment vertical="top" shrinkToFit="1"/>
    </xf>
    <xf numFmtId="0" fontId="5" fillId="0" borderId="20" xfId="0" applyFont="1" applyBorder="1" applyAlignment="1">
      <alignment vertical="top" wrapText="1"/>
    </xf>
    <xf numFmtId="168" fontId="4" fillId="0" borderId="21" xfId="0" applyNumberFormat="1" applyFont="1" applyBorder="1" applyAlignment="1">
      <alignment vertical="top" shrinkToFit="1"/>
    </xf>
    <xf numFmtId="168" fontId="4" fillId="0" borderId="22" xfId="0" applyNumberFormat="1" applyFont="1" applyBorder="1" applyAlignment="1">
      <alignment vertical="top" shrinkToFit="1"/>
    </xf>
    <xf numFmtId="0" fontId="3" fillId="2" borderId="0" xfId="0" applyFont="1" applyFill="1" applyAlignment="1">
      <alignment vertical="top" wrapText="1"/>
    </xf>
    <xf numFmtId="0" fontId="0" fillId="0" borderId="15" xfId="0" applyBorder="1" applyAlignment="1">
      <alignment vertical="top" wrapText="1"/>
    </xf>
    <xf numFmtId="0" fontId="14" fillId="0" borderId="3" xfId="0" applyFont="1" applyBorder="1" applyAlignment="1">
      <alignment vertical="top" wrapText="1"/>
    </xf>
    <xf numFmtId="167" fontId="15" fillId="0" borderId="3" xfId="0" applyNumberFormat="1" applyFont="1" applyBorder="1" applyAlignment="1">
      <alignment vertical="top" shrinkToFit="1"/>
    </xf>
    <xf numFmtId="0" fontId="3" fillId="12" borderId="3" xfId="0" applyFont="1" applyFill="1" applyBorder="1" applyAlignment="1">
      <alignment vertical="top" wrapText="1"/>
    </xf>
    <xf numFmtId="0" fontId="5" fillId="0" borderId="3" xfId="0" applyFont="1" applyBorder="1" applyAlignment="1">
      <alignment vertical="top" wrapText="1"/>
    </xf>
    <xf numFmtId="0" fontId="3" fillId="10" borderId="3" xfId="0" applyFont="1" applyFill="1" applyBorder="1" applyAlignment="1">
      <alignment vertical="top" wrapText="1"/>
    </xf>
    <xf numFmtId="2" fontId="4" fillId="0" borderId="3" xfId="0" applyNumberFormat="1" applyFont="1" applyBorder="1" applyAlignment="1">
      <alignment vertical="top" shrinkToFit="1"/>
    </xf>
    <xf numFmtId="165" fontId="4" fillId="6" borderId="3" xfId="0" applyNumberFormat="1" applyFont="1" applyFill="1" applyBorder="1" applyAlignment="1">
      <alignment vertical="top" shrinkToFit="1"/>
    </xf>
    <xf numFmtId="2" fontId="4" fillId="6" borderId="3" xfId="0" applyNumberFormat="1" applyFont="1" applyFill="1" applyBorder="1" applyAlignment="1">
      <alignment vertical="top" shrinkToFit="1"/>
    </xf>
    <xf numFmtId="0" fontId="5" fillId="6" borderId="7" xfId="0" applyFont="1" applyFill="1" applyBorder="1" applyAlignment="1">
      <alignment vertical="top" wrapText="1"/>
    </xf>
    <xf numFmtId="0" fontId="5" fillId="0" borderId="7" xfId="0" applyFont="1" applyBorder="1" applyAlignment="1">
      <alignment vertical="top" wrapText="1"/>
    </xf>
    <xf numFmtId="0" fontId="3" fillId="5" borderId="1" xfId="0" applyFont="1" applyFill="1" applyBorder="1" applyAlignment="1">
      <alignment vertical="top" wrapText="1"/>
    </xf>
    <xf numFmtId="0" fontId="3" fillId="5" borderId="13" xfId="0" applyFont="1" applyFill="1" applyBorder="1" applyAlignment="1">
      <alignment vertical="top" wrapText="1"/>
    </xf>
    <xf numFmtId="0" fontId="5" fillId="6" borderId="5" xfId="0" applyFont="1" applyFill="1" applyBorder="1" applyAlignment="1">
      <alignment vertical="top" wrapText="1"/>
    </xf>
    <xf numFmtId="165" fontId="4" fillId="6" borderId="37" xfId="0" applyNumberFormat="1" applyFont="1" applyFill="1" applyBorder="1" applyAlignment="1">
      <alignment vertical="top" shrinkToFit="1"/>
    </xf>
    <xf numFmtId="2" fontId="4" fillId="6" borderId="37" xfId="0" applyNumberFormat="1" applyFont="1" applyFill="1" applyBorder="1" applyAlignment="1">
      <alignment vertical="top" shrinkToFit="1"/>
    </xf>
    <xf numFmtId="0" fontId="12" fillId="7" borderId="3" xfId="0" applyFont="1" applyFill="1" applyBorder="1" applyAlignment="1">
      <alignment vertical="center" wrapText="1"/>
    </xf>
    <xf numFmtId="0" fontId="5" fillId="8" borderId="3" xfId="0" applyFont="1" applyFill="1" applyBorder="1" applyAlignment="1">
      <alignment vertical="top" wrapText="1"/>
    </xf>
    <xf numFmtId="0" fontId="5" fillId="8" borderId="13" xfId="0" applyFont="1" applyFill="1" applyBorder="1" applyAlignment="1">
      <alignment vertical="top" wrapText="1"/>
    </xf>
    <xf numFmtId="1" fontId="4" fillId="0" borderId="8" xfId="0" applyNumberFormat="1" applyFont="1" applyBorder="1" applyAlignment="1">
      <alignment vertical="top" shrinkToFit="1"/>
    </xf>
    <xf numFmtId="0" fontId="12" fillId="5" borderId="3" xfId="0" applyFont="1" applyFill="1" applyBorder="1" applyAlignment="1">
      <alignment vertical="center"/>
    </xf>
    <xf numFmtId="0" fontId="12" fillId="5" borderId="2" xfId="0" applyFont="1" applyFill="1" applyBorder="1" applyAlignment="1">
      <alignment horizontal="center" vertical="center"/>
    </xf>
    <xf numFmtId="0" fontId="0" fillId="5" borderId="2" xfId="0" applyFill="1" applyBorder="1" applyAlignment="1">
      <alignment horizontal="center" vertical="top"/>
    </xf>
    <xf numFmtId="0" fontId="0" fillId="5" borderId="3" xfId="0" applyFill="1" applyBorder="1" applyAlignment="1">
      <alignment vertical="top"/>
    </xf>
    <xf numFmtId="0" fontId="3" fillId="0" borderId="0" xfId="0" applyFont="1" applyAlignment="1">
      <alignment horizontal="left" vertical="top" wrapText="1"/>
    </xf>
    <xf numFmtId="0" fontId="3" fillId="24" borderId="4" xfId="0" applyFont="1" applyFill="1" applyBorder="1" applyAlignment="1">
      <alignment horizontal="center" vertical="top" wrapText="1"/>
    </xf>
    <xf numFmtId="0" fontId="5" fillId="0" borderId="3" xfId="0" applyFont="1" applyBorder="1" applyAlignment="1">
      <alignment horizontal="left" vertical="top" wrapText="1"/>
    </xf>
    <xf numFmtId="1" fontId="4" fillId="0" borderId="3" xfId="0" applyNumberFormat="1" applyFont="1" applyBorder="1" applyAlignment="1">
      <alignment horizontal="right" vertical="top" shrinkToFit="1"/>
    </xf>
    <xf numFmtId="1" fontId="4" fillId="0" borderId="3" xfId="0" applyNumberFormat="1" applyFont="1" applyBorder="1" applyAlignment="1">
      <alignment horizontal="left" vertical="top" indent="3" shrinkToFit="1"/>
    </xf>
    <xf numFmtId="0" fontId="3" fillId="2" borderId="3" xfId="0" applyFont="1" applyFill="1" applyBorder="1" applyAlignment="1">
      <alignment horizontal="left" vertical="top" wrapText="1"/>
    </xf>
    <xf numFmtId="0" fontId="3" fillId="2" borderId="3" xfId="0" applyFont="1" applyFill="1" applyBorder="1" applyAlignment="1">
      <alignment horizontal="left" vertical="top" wrapText="1" indent="3"/>
    </xf>
    <xf numFmtId="0" fontId="3" fillId="2" borderId="4" xfId="0" applyFont="1" applyFill="1" applyBorder="1" applyAlignment="1">
      <alignment horizontal="left" vertical="top" wrapText="1"/>
    </xf>
    <xf numFmtId="0" fontId="5" fillId="0" borderId="4" xfId="0" applyFont="1" applyBorder="1" applyAlignment="1">
      <alignment horizontal="left" vertical="top" wrapText="1"/>
    </xf>
    <xf numFmtId="1" fontId="4" fillId="0" borderId="4" xfId="0" applyNumberFormat="1" applyFont="1" applyBorder="1" applyAlignment="1">
      <alignment horizontal="right" vertical="top" shrinkToFit="1"/>
    </xf>
    <xf numFmtId="0" fontId="5" fillId="0" borderId="4" xfId="0" applyFont="1" applyBorder="1" applyAlignment="1">
      <alignment horizontal="center" vertical="top" wrapText="1"/>
    </xf>
    <xf numFmtId="0" fontId="2" fillId="3" borderId="3" xfId="0" applyFont="1" applyFill="1" applyBorder="1" applyAlignment="1">
      <alignment horizontal="left" vertical="top" wrapText="1" indent="4"/>
    </xf>
    <xf numFmtId="0" fontId="26" fillId="2" borderId="3" xfId="0" applyFont="1" applyFill="1" applyBorder="1" applyAlignment="1">
      <alignment horizontal="left" vertical="top" wrapText="1" indent="3"/>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 fontId="4" fillId="0" borderId="3" xfId="0" applyNumberFormat="1" applyFont="1" applyBorder="1" applyAlignment="1">
      <alignment horizontal="center" vertical="top" shrinkToFit="1"/>
    </xf>
    <xf numFmtId="1" fontId="4" fillId="0" borderId="4" xfId="0" applyNumberFormat="1" applyFont="1" applyBorder="1" applyAlignment="1">
      <alignment horizontal="center" vertical="top" shrinkToFit="1"/>
    </xf>
    <xf numFmtId="0" fontId="3" fillId="2" borderId="7" xfId="0" applyFont="1" applyFill="1" applyBorder="1" applyAlignment="1">
      <alignment horizontal="left" vertical="top" wrapText="1"/>
    </xf>
    <xf numFmtId="0" fontId="3" fillId="2" borderId="3" xfId="0" applyFont="1" applyFill="1" applyBorder="1" applyAlignment="1">
      <alignment horizontal="right" vertical="top" wrapText="1"/>
    </xf>
    <xf numFmtId="0" fontId="3" fillId="2" borderId="4" xfId="0" applyFont="1" applyFill="1" applyBorder="1" applyAlignment="1">
      <alignment horizontal="right" vertical="top" wrapText="1"/>
    </xf>
    <xf numFmtId="0" fontId="5" fillId="0" borderId="7" xfId="0" applyFont="1" applyBorder="1" applyAlignment="1">
      <alignment horizontal="left" vertical="top" wrapText="1"/>
    </xf>
    <xf numFmtId="0" fontId="3" fillId="2" borderId="3" xfId="0" applyFont="1" applyFill="1" applyBorder="1" applyAlignment="1">
      <alignment vertical="top" wrapText="1"/>
    </xf>
    <xf numFmtId="0" fontId="0" fillId="0" borderId="5" xfId="0" applyBorder="1" applyAlignment="1">
      <alignment vertical="top"/>
    </xf>
    <xf numFmtId="0" fontId="0" fillId="0" borderId="0" xfId="0" applyAlignment="1">
      <alignment vertical="top"/>
    </xf>
    <xf numFmtId="0" fontId="54" fillId="0" borderId="0" xfId="0" applyFont="1" applyAlignment="1">
      <alignment horizontal="left" vertical="top"/>
    </xf>
    <xf numFmtId="0" fontId="3" fillId="0" borderId="4" xfId="0" applyFont="1" applyBorder="1" applyAlignment="1">
      <alignment vertical="top" wrapText="1"/>
    </xf>
    <xf numFmtId="0" fontId="3" fillId="24" borderId="36" xfId="0" applyFont="1" applyFill="1" applyBorder="1" applyAlignment="1">
      <alignment horizontal="center" vertical="top" wrapText="1"/>
    </xf>
    <xf numFmtId="0" fontId="3" fillId="2" borderId="3" xfId="0" applyFont="1" applyFill="1" applyBorder="1" applyAlignment="1">
      <alignment horizontal="right" vertical="top" wrapText="1" indent="1"/>
    </xf>
    <xf numFmtId="164" fontId="4" fillId="0" borderId="3" xfId="0" applyNumberFormat="1" applyFont="1" applyBorder="1" applyAlignment="1">
      <alignment horizontal="center" vertical="top" shrinkToFit="1"/>
    </xf>
    <xf numFmtId="0" fontId="0" fillId="0" borderId="37" xfId="0" applyBorder="1" applyAlignment="1">
      <alignment horizontal="left" vertical="top"/>
    </xf>
    <xf numFmtId="0" fontId="27" fillId="0" borderId="3" xfId="0" applyFont="1" applyBorder="1" applyAlignment="1">
      <alignment horizontal="left" vertical="top" wrapText="1"/>
    </xf>
    <xf numFmtId="0" fontId="7" fillId="0" borderId="3" xfId="0" applyFont="1" applyBorder="1" applyAlignment="1">
      <alignment horizontal="left" vertical="top" wrapText="1"/>
    </xf>
    <xf numFmtId="1" fontId="6" fillId="0" borderId="3" xfId="0" applyNumberFormat="1" applyFont="1" applyBorder="1" applyAlignment="1">
      <alignment horizontal="right" vertical="top" shrinkToFit="1"/>
    </xf>
    <xf numFmtId="1" fontId="6" fillId="0" borderId="3" xfId="0" applyNumberFormat="1" applyFont="1" applyBorder="1" applyAlignment="1">
      <alignment horizontal="left" vertical="top" indent="4" shrinkToFit="1"/>
    </xf>
    <xf numFmtId="1" fontId="6" fillId="0" borderId="3" xfId="0" applyNumberFormat="1" applyFont="1" applyBorder="1" applyAlignment="1">
      <alignment horizontal="left" vertical="top" indent="5" shrinkToFit="1"/>
    </xf>
    <xf numFmtId="1" fontId="6" fillId="0" borderId="3" xfId="0" applyNumberFormat="1" applyFont="1" applyBorder="1" applyAlignment="1">
      <alignment horizontal="left" vertical="top" indent="2" shrinkToFit="1"/>
    </xf>
    <xf numFmtId="1" fontId="6" fillId="0" borderId="3" xfId="0" applyNumberFormat="1" applyFont="1" applyBorder="1" applyAlignment="1">
      <alignment horizontal="left" vertical="top" indent="3" shrinkToFit="1"/>
    </xf>
    <xf numFmtId="0" fontId="2" fillId="3" borderId="3" xfId="0" applyFont="1" applyFill="1" applyBorder="1" applyAlignment="1">
      <alignment horizontal="center" vertical="top" wrapText="1"/>
    </xf>
    <xf numFmtId="0" fontId="2"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2"/>
    </xf>
    <xf numFmtId="0" fontId="0" fillId="0" borderId="8" xfId="0" applyBorder="1" applyAlignment="1">
      <alignment horizontal="left" vertical="top" wrapText="1"/>
    </xf>
    <xf numFmtId="1" fontId="4" fillId="0" borderId="3" xfId="0" applyNumberFormat="1" applyFont="1" applyBorder="1" applyAlignment="1">
      <alignment horizontal="left" vertical="center" indent="2" shrinkToFit="1"/>
    </xf>
    <xf numFmtId="1" fontId="4" fillId="0" borderId="3" xfId="0" applyNumberFormat="1" applyFont="1" applyBorder="1" applyAlignment="1">
      <alignment horizontal="right" vertical="center" shrinkToFit="1"/>
    </xf>
    <xf numFmtId="0" fontId="3" fillId="4" borderId="3" xfId="0" applyFont="1" applyFill="1" applyBorder="1" applyAlignment="1">
      <alignment horizontal="left" vertical="top" wrapText="1" indent="1"/>
    </xf>
    <xf numFmtId="0" fontId="3" fillId="4" borderId="3" xfId="0" applyFont="1" applyFill="1" applyBorder="1" applyAlignment="1">
      <alignment horizontal="left" vertical="top" wrapText="1"/>
    </xf>
    <xf numFmtId="1" fontId="4" fillId="0" borderId="3" xfId="0" applyNumberFormat="1" applyFont="1" applyBorder="1" applyAlignment="1">
      <alignment horizontal="left" vertical="top" indent="2" shrinkToFit="1"/>
    </xf>
    <xf numFmtId="0" fontId="31" fillId="0" borderId="3" xfId="0" applyFont="1" applyBorder="1" applyAlignment="1">
      <alignment horizontal="left" vertical="top" wrapText="1"/>
    </xf>
    <xf numFmtId="0" fontId="0" fillId="23" borderId="0" xfId="0" applyFill="1" applyAlignment="1">
      <alignment horizontal="left" vertical="top" wrapText="1"/>
    </xf>
    <xf numFmtId="0" fontId="5" fillId="25" borderId="3" xfId="0" applyFont="1" applyFill="1" applyBorder="1" applyAlignment="1">
      <alignment horizontal="left" vertical="top" wrapText="1"/>
    </xf>
    <xf numFmtId="0" fontId="0" fillId="25" borderId="0" xfId="0" applyFill="1" applyAlignment="1">
      <alignment horizontal="left" vertical="top"/>
    </xf>
    <xf numFmtId="0" fontId="27" fillId="25" borderId="3" xfId="0" applyFont="1" applyFill="1" applyBorder="1" applyAlignment="1">
      <alignment horizontal="left" vertical="top" wrapText="1"/>
    </xf>
    <xf numFmtId="0" fontId="0" fillId="26" borderId="0" xfId="0" applyFill="1" applyAlignment="1">
      <alignment horizontal="left" vertical="top"/>
    </xf>
    <xf numFmtId="0" fontId="3" fillId="2" borderId="3" xfId="0" applyFont="1" applyFill="1" applyBorder="1" applyAlignment="1">
      <alignment horizontal="left" vertical="top" wrapText="1" indent="4"/>
    </xf>
    <xf numFmtId="2" fontId="4" fillId="0" borderId="4" xfId="0" applyNumberFormat="1" applyFont="1" applyBorder="1" applyAlignment="1">
      <alignment vertical="top" shrinkToFit="1"/>
    </xf>
    <xf numFmtId="0" fontId="5" fillId="6" borderId="3" xfId="0" applyFont="1" applyFill="1" applyBorder="1" applyAlignment="1">
      <alignment vertical="top" wrapText="1"/>
    </xf>
    <xf numFmtId="2" fontId="4" fillId="6" borderId="4" xfId="0" applyNumberFormat="1" applyFont="1" applyFill="1" applyBorder="1" applyAlignment="1">
      <alignment vertical="top" shrinkToFit="1"/>
    </xf>
    <xf numFmtId="0" fontId="0" fillId="23" borderId="0" xfId="0" applyFill="1" applyAlignment="1">
      <alignment horizontal="left" vertical="top"/>
    </xf>
    <xf numFmtId="0" fontId="5" fillId="25" borderId="7" xfId="0" applyFont="1" applyFill="1" applyBorder="1" applyAlignment="1">
      <alignment vertical="top" wrapText="1"/>
    </xf>
    <xf numFmtId="0" fontId="1" fillId="0" borderId="0" xfId="0" applyFont="1" applyAlignment="1">
      <alignment horizontal="left" vertical="top" wrapText="1" indent="14"/>
    </xf>
    <xf numFmtId="0" fontId="3" fillId="0" borderId="3" xfId="0" applyFont="1" applyBorder="1" applyAlignment="1">
      <alignment horizontal="center" vertical="top" wrapText="1"/>
    </xf>
    <xf numFmtId="0" fontId="8" fillId="2" borderId="3" xfId="0" applyFont="1" applyFill="1" applyBorder="1" applyAlignment="1">
      <alignment horizontal="center" vertical="top" wrapText="1"/>
    </xf>
    <xf numFmtId="0" fontId="8" fillId="2" borderId="3" xfId="0" applyFont="1" applyFill="1" applyBorder="1" applyAlignment="1">
      <alignment horizontal="left" vertical="top" wrapText="1" indent="2"/>
    </xf>
    <xf numFmtId="0" fontId="9" fillId="0" borderId="3" xfId="0" applyFont="1" applyBorder="1" applyAlignment="1">
      <alignment horizontal="center" vertical="top" wrapText="1"/>
    </xf>
    <xf numFmtId="1" fontId="10" fillId="0" borderId="3" xfId="0" applyNumberFormat="1" applyFont="1" applyBorder="1" applyAlignment="1">
      <alignment horizontal="center" vertical="top" shrinkToFit="1"/>
    </xf>
    <xf numFmtId="0" fontId="54" fillId="0" borderId="0" xfId="0" applyFont="1" applyAlignment="1">
      <alignment vertical="top" wrapText="1"/>
    </xf>
    <xf numFmtId="0" fontId="54" fillId="0" borderId="8" xfId="0" applyFont="1" applyBorder="1" applyAlignment="1">
      <alignment vertical="top" wrapText="1"/>
    </xf>
    <xf numFmtId="172" fontId="0" fillId="0" borderId="0" xfId="0" applyNumberFormat="1" applyAlignment="1">
      <alignment vertical="top" wrapText="1"/>
    </xf>
    <xf numFmtId="0" fontId="5" fillId="8" borderId="0" xfId="0" applyFont="1" applyFill="1" applyAlignment="1">
      <alignment horizontal="left" vertical="top" wrapText="1"/>
    </xf>
    <xf numFmtId="1" fontId="17" fillId="0" borderId="3" xfId="0" applyNumberFormat="1" applyFont="1" applyBorder="1" applyAlignment="1">
      <alignment horizontal="center" vertical="top" shrinkToFit="1"/>
    </xf>
    <xf numFmtId="1" fontId="17" fillId="0" borderId="13" xfId="0" applyNumberFormat="1" applyFont="1" applyBorder="1" applyAlignment="1">
      <alignment horizontal="center" vertical="top" shrinkToFit="1"/>
    </xf>
    <xf numFmtId="0" fontId="9" fillId="0" borderId="13" xfId="0" applyFont="1" applyBorder="1" applyAlignment="1">
      <alignment horizontal="center" vertical="top" wrapText="1"/>
    </xf>
    <xf numFmtId="0" fontId="8" fillId="15" borderId="3" xfId="0" applyFont="1" applyFill="1" applyBorder="1" applyAlignment="1">
      <alignment horizontal="center" vertical="top" wrapText="1"/>
    </xf>
    <xf numFmtId="1" fontId="0" fillId="0" borderId="2" xfId="0" applyNumberFormat="1" applyBorder="1" applyAlignment="1">
      <alignment horizontal="left" vertical="top" indent="1" shrinkToFit="1"/>
    </xf>
    <xf numFmtId="0" fontId="0" fillId="27" borderId="0" xfId="0" applyFill="1" applyAlignment="1">
      <alignment horizontal="left" vertical="top"/>
    </xf>
    <xf numFmtId="0" fontId="0" fillId="28" borderId="0" xfId="0" applyFill="1" applyAlignment="1">
      <alignment horizontal="left" vertical="top"/>
    </xf>
    <xf numFmtId="0" fontId="0" fillId="29" borderId="0" xfId="0" applyFill="1" applyAlignment="1">
      <alignment horizontal="left" vertical="top"/>
    </xf>
    <xf numFmtId="0" fontId="5" fillId="26" borderId="3" xfId="0" applyFont="1" applyFill="1" applyBorder="1" applyAlignment="1">
      <alignment horizontal="left" vertical="top" wrapText="1"/>
    </xf>
    <xf numFmtId="0" fontId="5" fillId="26" borderId="2" xfId="0" applyFont="1" applyFill="1" applyBorder="1" applyAlignment="1">
      <alignment horizontal="left" vertical="top" wrapText="1"/>
    </xf>
    <xf numFmtId="0" fontId="5" fillId="28" borderId="2" xfId="0" applyFont="1" applyFill="1" applyBorder="1" applyAlignment="1">
      <alignment horizontal="left" vertical="top" wrapText="1"/>
    </xf>
    <xf numFmtId="0" fontId="5" fillId="28" borderId="13" xfId="0" applyFont="1" applyFill="1" applyBorder="1" applyAlignment="1">
      <alignment horizontal="left" vertical="top" wrapText="1"/>
    </xf>
    <xf numFmtId="0" fontId="0" fillId="28" borderId="39" xfId="0" applyFill="1" applyBorder="1" applyAlignment="1">
      <alignment horizontal="left" vertical="top"/>
    </xf>
    <xf numFmtId="0" fontId="0" fillId="28" borderId="40" xfId="0" applyFill="1" applyBorder="1" applyAlignment="1">
      <alignment horizontal="left" vertical="top"/>
    </xf>
    <xf numFmtId="0" fontId="3" fillId="25" borderId="41" xfId="0" applyFont="1" applyFill="1" applyBorder="1" applyAlignment="1">
      <alignment horizontal="left" vertical="top" wrapText="1" indent="2"/>
    </xf>
    <xf numFmtId="0" fontId="3" fillId="25" borderId="42" xfId="0" applyFont="1" applyFill="1" applyBorder="1" applyAlignment="1">
      <alignment horizontal="left" vertical="top" wrapText="1" indent="1"/>
    </xf>
    <xf numFmtId="0" fontId="3" fillId="25" borderId="43" xfId="0" applyFont="1" applyFill="1" applyBorder="1" applyAlignment="1">
      <alignment horizontal="center" vertical="top" wrapText="1"/>
    </xf>
    <xf numFmtId="1" fontId="4" fillId="28" borderId="3" xfId="0" applyNumberFormat="1" applyFont="1" applyFill="1" applyBorder="1" applyAlignment="1">
      <alignment horizontal="left" vertical="center" indent="2" shrinkToFit="1"/>
    </xf>
    <xf numFmtId="1" fontId="4" fillId="28" borderId="2" xfId="0" applyNumberFormat="1" applyFont="1" applyFill="1" applyBorder="1" applyAlignment="1">
      <alignment horizontal="right" vertical="top" shrinkToFit="1"/>
    </xf>
    <xf numFmtId="0" fontId="55" fillId="30" borderId="7" xfId="0" applyFont="1" applyFill="1" applyBorder="1" applyAlignment="1">
      <alignment vertical="top" wrapText="1"/>
    </xf>
    <xf numFmtId="2" fontId="4" fillId="30" borderId="3" xfId="0" applyNumberFormat="1" applyFont="1" applyFill="1" applyBorder="1" applyAlignment="1">
      <alignment vertical="top" shrinkToFit="1"/>
    </xf>
    <xf numFmtId="165" fontId="4" fillId="30" borderId="3" xfId="0" applyNumberFormat="1" applyFont="1" applyFill="1" applyBorder="1" applyAlignment="1">
      <alignment vertical="top" shrinkToFit="1"/>
    </xf>
    <xf numFmtId="0" fontId="5" fillId="30" borderId="7" xfId="0" applyFont="1" applyFill="1" applyBorder="1" applyAlignment="1">
      <alignment vertical="top" wrapText="1"/>
    </xf>
    <xf numFmtId="0" fontId="5" fillId="30" borderId="3" xfId="0" applyFont="1" applyFill="1" applyBorder="1" applyAlignment="1">
      <alignment vertical="top" wrapText="1"/>
    </xf>
    <xf numFmtId="0" fontId="54" fillId="0" borderId="0" xfId="0" applyFont="1" applyAlignment="1">
      <alignment horizontal="center" vertical="top"/>
    </xf>
    <xf numFmtId="0" fontId="54" fillId="25" borderId="0" xfId="0" applyFont="1" applyFill="1" applyAlignment="1">
      <alignment horizontal="left" vertical="top"/>
    </xf>
    <xf numFmtId="0" fontId="3" fillId="5" borderId="38" xfId="0" applyFont="1" applyFill="1" applyBorder="1" applyAlignment="1">
      <alignment vertical="top" wrapText="1"/>
    </xf>
    <xf numFmtId="0" fontId="54" fillId="23" borderId="0" xfId="0" applyFont="1" applyFill="1" applyAlignment="1">
      <alignment horizontal="left" vertical="top"/>
    </xf>
    <xf numFmtId="0" fontId="0" fillId="33" borderId="0" xfId="0" applyFill="1" applyAlignment="1">
      <alignment horizontal="left" vertical="top"/>
    </xf>
    <xf numFmtId="169" fontId="4" fillId="0" borderId="3" xfId="0" applyNumberFormat="1" applyFont="1" applyBorder="1" applyAlignment="1">
      <alignment horizontal="right" vertical="top" shrinkToFit="1"/>
    </xf>
    <xf numFmtId="1" fontId="4" fillId="0" borderId="3" xfId="0" applyNumberFormat="1" applyFont="1" applyBorder="1" applyAlignment="1">
      <alignment horizontal="left" vertical="top" indent="1" shrinkToFit="1"/>
    </xf>
    <xf numFmtId="0" fontId="3" fillId="0" borderId="3" xfId="0" applyFont="1" applyBorder="1" applyAlignment="1">
      <alignment horizontal="left" vertical="top" wrapText="1"/>
    </xf>
    <xf numFmtId="0" fontId="9" fillId="23" borderId="3" xfId="0" applyFont="1" applyFill="1" applyBorder="1" applyAlignment="1">
      <alignment horizontal="center" vertical="top" wrapText="1"/>
    </xf>
    <xf numFmtId="0" fontId="9" fillId="23" borderId="45" xfId="0" applyFont="1" applyFill="1" applyBorder="1" applyAlignment="1">
      <alignment horizontal="center" vertical="top" wrapText="1"/>
    </xf>
    <xf numFmtId="0" fontId="9" fillId="23" borderId="47" xfId="0" applyFont="1" applyFill="1" applyBorder="1" applyAlignment="1">
      <alignment horizontal="center" vertical="top" wrapText="1"/>
    </xf>
    <xf numFmtId="0" fontId="0" fillId="23" borderId="44" xfId="0" applyFill="1" applyBorder="1" applyAlignment="1">
      <alignment horizontal="left" vertical="top"/>
    </xf>
    <xf numFmtId="0" fontId="3" fillId="25" borderId="48" xfId="0" applyFont="1" applyFill="1" applyBorder="1" applyAlignment="1">
      <alignment horizontal="center" vertical="top" wrapText="1"/>
    </xf>
    <xf numFmtId="0" fontId="8" fillId="25" borderId="43" xfId="0" applyFont="1" applyFill="1" applyBorder="1" applyAlignment="1">
      <alignment horizontal="center" vertical="top" wrapText="1"/>
    </xf>
    <xf numFmtId="0" fontId="54" fillId="26" borderId="0" xfId="0" applyFont="1" applyFill="1" applyAlignment="1">
      <alignment horizontal="left" vertical="top"/>
    </xf>
    <xf numFmtId="0" fontId="8" fillId="25" borderId="3" xfId="0" applyFont="1" applyFill="1" applyBorder="1" applyAlignment="1">
      <alignment horizontal="center" vertical="top" wrapText="1"/>
    </xf>
    <xf numFmtId="0" fontId="8" fillId="25" borderId="49" xfId="0" applyFont="1" applyFill="1" applyBorder="1" applyAlignment="1">
      <alignment horizontal="center" vertical="top" wrapText="1"/>
    </xf>
    <xf numFmtId="0" fontId="54" fillId="25" borderId="46" xfId="0" applyFont="1" applyFill="1" applyBorder="1" applyAlignment="1">
      <alignment horizontal="left" vertical="top"/>
    </xf>
    <xf numFmtId="0" fontId="0" fillId="23" borderId="36" xfId="0" applyFill="1" applyBorder="1" applyAlignment="1">
      <alignment horizontal="left" vertical="top" wrapText="1"/>
    </xf>
    <xf numFmtId="0" fontId="0" fillId="23" borderId="36" xfId="0" applyFill="1" applyBorder="1" applyAlignment="1">
      <alignment horizontal="left" vertical="top"/>
    </xf>
    <xf numFmtId="0" fontId="54" fillId="23" borderId="36" xfId="0" applyFont="1" applyFill="1" applyBorder="1" applyAlignment="1">
      <alignment horizontal="left" vertical="top"/>
    </xf>
    <xf numFmtId="0" fontId="3" fillId="25" borderId="49" xfId="0" applyFont="1" applyFill="1" applyBorder="1" applyAlignment="1">
      <alignment vertical="top" wrapText="1"/>
    </xf>
    <xf numFmtId="0" fontId="14" fillId="23" borderId="36" xfId="0" applyFont="1" applyFill="1" applyBorder="1" applyAlignment="1">
      <alignment vertical="top" wrapText="1"/>
    </xf>
    <xf numFmtId="0" fontId="54" fillId="26" borderId="0" xfId="0" applyFont="1" applyFill="1" applyAlignment="1">
      <alignment horizontal="center" vertical="top"/>
    </xf>
    <xf numFmtId="0" fontId="14" fillId="23" borderId="2" xfId="0" applyFont="1" applyFill="1" applyBorder="1" applyAlignment="1">
      <alignment horizontal="left" vertical="top" wrapText="1" indent="2"/>
    </xf>
    <xf numFmtId="0" fontId="3" fillId="25" borderId="31" xfId="0" applyFont="1" applyFill="1" applyBorder="1" applyAlignment="1">
      <alignment horizontal="right" vertical="top" wrapText="1" indent="1"/>
    </xf>
    <xf numFmtId="0" fontId="3" fillId="25" borderId="31" xfId="0" applyFont="1" applyFill="1" applyBorder="1" applyAlignment="1">
      <alignment horizontal="left" vertical="top" wrapText="1" indent="3"/>
    </xf>
    <xf numFmtId="0" fontId="3" fillId="25" borderId="37" xfId="0" applyFont="1" applyFill="1" applyBorder="1" applyAlignment="1">
      <alignment vertical="top" wrapText="1"/>
    </xf>
    <xf numFmtId="0" fontId="14" fillId="23" borderId="36" xfId="0" applyFont="1" applyFill="1" applyBorder="1" applyAlignment="1">
      <alignment horizontal="left" vertical="top" wrapText="1"/>
    </xf>
    <xf numFmtId="0" fontId="14" fillId="23" borderId="3" xfId="0" applyFont="1" applyFill="1" applyBorder="1" applyAlignment="1">
      <alignment horizontal="left" vertical="top" wrapText="1"/>
    </xf>
    <xf numFmtId="0" fontId="3" fillId="25" borderId="31" xfId="0" applyFont="1" applyFill="1" applyBorder="1" applyAlignment="1">
      <alignment horizontal="center" vertical="top" wrapText="1"/>
    </xf>
    <xf numFmtId="0" fontId="28" fillId="12" borderId="3" xfId="0" applyFont="1" applyFill="1" applyBorder="1" applyAlignment="1">
      <alignment vertical="top" wrapText="1"/>
    </xf>
    <xf numFmtId="169" fontId="5" fillId="23" borderId="2" xfId="0" applyNumberFormat="1" applyFont="1" applyFill="1" applyBorder="1" applyAlignment="1">
      <alignment horizontal="center" vertical="top" wrapText="1"/>
    </xf>
    <xf numFmtId="0" fontId="3" fillId="25" borderId="2" xfId="0" applyFont="1" applyFill="1" applyBorder="1" applyAlignment="1">
      <alignment horizontal="left" vertical="center" wrapText="1"/>
    </xf>
    <xf numFmtId="0" fontId="5" fillId="23" borderId="3" xfId="0" applyFont="1" applyFill="1" applyBorder="1" applyAlignment="1">
      <alignment horizontal="left" vertical="top" wrapText="1"/>
    </xf>
    <xf numFmtId="0" fontId="3" fillId="25" borderId="37" xfId="0" applyFont="1" applyFill="1" applyBorder="1" applyAlignment="1">
      <alignment vertical="center" wrapText="1"/>
    </xf>
    <xf numFmtId="0" fontId="3" fillId="25" borderId="31" xfId="0" applyFont="1" applyFill="1" applyBorder="1" applyAlignment="1">
      <alignment horizontal="center" vertical="center" wrapText="1"/>
    </xf>
    <xf numFmtId="0" fontId="5" fillId="26" borderId="36" xfId="0" applyFont="1" applyFill="1" applyBorder="1" applyAlignment="1">
      <alignment horizontal="left" vertical="top" wrapText="1"/>
    </xf>
    <xf numFmtId="0" fontId="40" fillId="0" borderId="3" xfId="0" applyFont="1" applyBorder="1" applyAlignment="1">
      <alignment horizontal="center" vertical="top" wrapText="1"/>
    </xf>
    <xf numFmtId="0" fontId="9" fillId="25" borderId="2" xfId="0" applyFont="1" applyFill="1" applyBorder="1" applyAlignment="1">
      <alignment horizontal="right" vertical="top" wrapText="1" indent="2"/>
    </xf>
    <xf numFmtId="0" fontId="5" fillId="0" borderId="3" xfId="0" applyFont="1" applyBorder="1" applyAlignment="1">
      <alignment horizontal="center" vertical="top" wrapText="1"/>
    </xf>
    <xf numFmtId="0" fontId="5" fillId="0" borderId="3" xfId="0" applyFont="1" applyBorder="1" applyAlignment="1">
      <alignment horizontal="left" vertical="top" wrapText="1" indent="3"/>
    </xf>
    <xf numFmtId="0" fontId="5" fillId="0" borderId="3" xfId="0" applyFont="1" applyBorder="1" applyAlignment="1">
      <alignment horizontal="left" vertical="top" wrapText="1" indent="2"/>
    </xf>
    <xf numFmtId="0" fontId="7" fillId="0" borderId="3" xfId="0" applyFont="1" applyBorder="1" applyAlignment="1">
      <alignment horizontal="center" vertical="top" wrapText="1"/>
    </xf>
    <xf numFmtId="0" fontId="2" fillId="17" borderId="3" xfId="0" applyFont="1" applyFill="1" applyBorder="1" applyAlignment="1">
      <alignment horizontal="center" vertical="top" wrapText="1"/>
    </xf>
    <xf numFmtId="3" fontId="6" fillId="0" borderId="3" xfId="0" applyNumberFormat="1" applyFont="1" applyBorder="1" applyAlignment="1">
      <alignment horizontal="left" vertical="top" indent="2" shrinkToFit="1"/>
    </xf>
    <xf numFmtId="0" fontId="2" fillId="17" borderId="3" xfId="0" applyFont="1" applyFill="1" applyBorder="1" applyAlignment="1">
      <alignment horizontal="left" vertical="top" wrapText="1" indent="2"/>
    </xf>
    <xf numFmtId="0" fontId="3" fillId="19" borderId="3" xfId="0" applyFont="1" applyFill="1" applyBorder="1" applyAlignment="1">
      <alignment horizontal="left" vertical="top" wrapText="1" indent="2"/>
    </xf>
    <xf numFmtId="2" fontId="4" fillId="0" borderId="3" xfId="0" applyNumberFormat="1" applyFont="1" applyBorder="1" applyAlignment="1">
      <alignment horizontal="center" vertical="top" shrinkToFit="1"/>
    </xf>
    <xf numFmtId="0" fontId="3" fillId="18" borderId="3" xfId="0" applyFont="1" applyFill="1" applyBorder="1" applyAlignment="1">
      <alignment horizontal="center" vertical="top" wrapText="1"/>
    </xf>
    <xf numFmtId="0" fontId="3" fillId="18" borderId="3" xfId="0" applyFont="1" applyFill="1" applyBorder="1" applyAlignment="1">
      <alignment horizontal="left" vertical="top" wrapText="1" indent="1"/>
    </xf>
    <xf numFmtId="0" fontId="3" fillId="18" borderId="3" xfId="0" applyFont="1" applyFill="1" applyBorder="1" applyAlignment="1">
      <alignment horizontal="left" vertical="top" wrapText="1" indent="2"/>
    </xf>
    <xf numFmtId="2" fontId="4" fillId="0" borderId="3" xfId="0" applyNumberFormat="1" applyFont="1" applyBorder="1" applyAlignment="1">
      <alignment horizontal="left" vertical="top" indent="3" shrinkToFit="1"/>
    </xf>
    <xf numFmtId="164" fontId="4" fillId="0" borderId="3" xfId="0" applyNumberFormat="1" applyFont="1" applyBorder="1" applyAlignment="1">
      <alignment horizontal="left" vertical="top" indent="7" shrinkToFit="1"/>
    </xf>
    <xf numFmtId="0" fontId="3" fillId="18" borderId="3" xfId="0" applyFont="1" applyFill="1" applyBorder="1" applyAlignment="1">
      <alignment horizontal="left" vertical="top" wrapText="1" indent="3"/>
    </xf>
    <xf numFmtId="0" fontId="3" fillId="18" borderId="3" xfId="0" applyFont="1" applyFill="1" applyBorder="1" applyAlignment="1">
      <alignment horizontal="left" vertical="top" wrapText="1"/>
    </xf>
    <xf numFmtId="0" fontId="3" fillId="18" borderId="3" xfId="0" applyFont="1" applyFill="1" applyBorder="1" applyAlignment="1">
      <alignment horizontal="left" vertical="center" wrapText="1" indent="5"/>
    </xf>
    <xf numFmtId="0" fontId="5" fillId="0" borderId="3" xfId="0" applyFont="1" applyBorder="1" applyAlignment="1">
      <alignment horizontal="left" vertical="top" wrapText="1" indent="1"/>
    </xf>
    <xf numFmtId="0" fontId="3" fillId="19" borderId="3" xfId="0" applyFont="1" applyFill="1" applyBorder="1" applyAlignment="1">
      <alignment horizontal="center" vertical="top" wrapText="1"/>
    </xf>
    <xf numFmtId="0" fontId="3" fillId="19" borderId="4" xfId="0" applyFont="1" applyFill="1" applyBorder="1" applyAlignment="1">
      <alignment horizontal="center" vertical="top" wrapText="1"/>
    </xf>
    <xf numFmtId="0" fontId="0" fillId="0" borderId="3" xfId="0" applyBorder="1" applyAlignment="1">
      <alignment horizontal="center" vertical="top" wrapText="1"/>
    </xf>
    <xf numFmtId="165" fontId="4" fillId="0" borderId="3" xfId="0" applyNumberFormat="1" applyFont="1" applyBorder="1" applyAlignment="1">
      <alignment horizontal="center" vertical="top" shrinkToFit="1"/>
    </xf>
    <xf numFmtId="0" fontId="5" fillId="0" borderId="13" xfId="0" applyFont="1" applyBorder="1" applyAlignment="1">
      <alignment horizontal="left" vertical="center" wrapText="1" indent="1"/>
    </xf>
    <xf numFmtId="0" fontId="5" fillId="0" borderId="13" xfId="0" applyFont="1" applyBorder="1" applyAlignment="1">
      <alignment horizontal="left" vertical="center" wrapText="1" indent="3"/>
    </xf>
    <xf numFmtId="0" fontId="3" fillId="17" borderId="3" xfId="0" applyFont="1" applyFill="1" applyBorder="1" applyAlignment="1">
      <alignment horizontal="center" vertical="top" wrapText="1"/>
    </xf>
    <xf numFmtId="0" fontId="5" fillId="21" borderId="3" xfId="0" applyFont="1" applyFill="1" applyBorder="1" applyAlignment="1">
      <alignment horizontal="center" vertical="top" wrapText="1"/>
    </xf>
    <xf numFmtId="0" fontId="5" fillId="21" borderId="3" xfId="0" applyFont="1" applyFill="1" applyBorder="1" applyAlignment="1">
      <alignment horizontal="left" vertical="top" wrapText="1" indent="3"/>
    </xf>
    <xf numFmtId="0" fontId="5" fillId="0" borderId="27" xfId="0" applyFont="1" applyBorder="1" applyAlignment="1">
      <alignment horizontal="center" vertical="top"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left" vertical="center" wrapText="1" indent="2"/>
    </xf>
    <xf numFmtId="0" fontId="14" fillId="0" borderId="3" xfId="0" applyFont="1" applyBorder="1" applyAlignment="1">
      <alignment horizontal="center" vertical="top" wrapText="1"/>
    </xf>
    <xf numFmtId="0" fontId="16" fillId="17" borderId="3" xfId="0" applyFont="1" applyFill="1" applyBorder="1" applyAlignment="1">
      <alignment horizontal="center" vertical="top" wrapText="1"/>
    </xf>
    <xf numFmtId="0" fontId="14" fillId="0" borderId="13" xfId="0" applyFont="1" applyBorder="1" applyAlignment="1">
      <alignment horizontal="center" vertical="top" wrapText="1"/>
    </xf>
    <xf numFmtId="0" fontId="3" fillId="19" borderId="3" xfId="0" applyFont="1" applyFill="1" applyBorder="1" applyAlignment="1">
      <alignment horizontal="left" vertical="center" wrapText="1" indent="2"/>
    </xf>
    <xf numFmtId="0" fontId="3" fillId="18" borderId="3" xfId="0" applyFont="1" applyFill="1" applyBorder="1" applyAlignment="1">
      <alignment horizontal="left" vertical="top" wrapText="1" indent="6"/>
    </xf>
    <xf numFmtId="0" fontId="34" fillId="15" borderId="3" xfId="0" applyFont="1" applyFill="1" applyBorder="1" applyAlignment="1">
      <alignment horizontal="center" vertical="top" wrapText="1"/>
    </xf>
    <xf numFmtId="0" fontId="40" fillId="0" borderId="2" xfId="0" applyFont="1" applyBorder="1" applyAlignment="1">
      <alignment horizontal="center" vertical="top" wrapText="1"/>
    </xf>
    <xf numFmtId="0" fontId="34" fillId="25" borderId="37" xfId="0" applyFont="1" applyFill="1" applyBorder="1" applyAlignment="1">
      <alignment horizontal="center" vertical="top" wrapText="1"/>
    </xf>
    <xf numFmtId="0" fontId="40" fillId="25" borderId="31" xfId="0" applyFont="1" applyFill="1" applyBorder="1" applyAlignment="1">
      <alignment horizontal="center" vertical="top" wrapText="1"/>
    </xf>
    <xf numFmtId="0" fontId="40" fillId="23" borderId="36" xfId="0" applyFont="1" applyFill="1" applyBorder="1" applyAlignment="1">
      <alignment horizontal="center" vertical="top" wrapText="1"/>
    </xf>
    <xf numFmtId="0" fontId="9" fillId="23" borderId="36" xfId="0" applyFont="1" applyFill="1" applyBorder="1" applyAlignment="1">
      <alignment horizontal="center" vertical="top" wrapText="1"/>
    </xf>
    <xf numFmtId="0" fontId="3" fillId="25" borderId="31" xfId="0" applyFont="1" applyFill="1" applyBorder="1" applyAlignment="1">
      <alignment horizontal="left" vertical="top" wrapText="1"/>
    </xf>
    <xf numFmtId="0" fontId="5" fillId="23" borderId="36" xfId="0" applyFont="1" applyFill="1" applyBorder="1" applyAlignment="1">
      <alignment horizontal="left" vertical="top" wrapText="1"/>
    </xf>
    <xf numFmtId="0" fontId="3" fillId="25" borderId="37" xfId="0" applyFont="1" applyFill="1" applyBorder="1" applyAlignment="1">
      <alignment horizontal="left" vertical="top" wrapText="1"/>
    </xf>
    <xf numFmtId="0" fontId="0" fillId="25" borderId="36" xfId="0" applyFill="1" applyBorder="1" applyAlignment="1">
      <alignment horizontal="left" vertical="top"/>
    </xf>
    <xf numFmtId="0" fontId="3" fillId="25" borderId="36" xfId="0" applyFont="1" applyFill="1" applyBorder="1" applyAlignment="1">
      <alignment horizontal="left" vertical="top" wrapText="1"/>
    </xf>
    <xf numFmtId="0" fontId="27" fillId="0" borderId="2" xfId="0" applyFont="1" applyBorder="1" applyAlignment="1">
      <alignment horizontal="left" vertical="top" wrapText="1"/>
    </xf>
    <xf numFmtId="0" fontId="5" fillId="25" borderId="37" xfId="0" applyFont="1" applyFill="1" applyBorder="1" applyAlignment="1">
      <alignment horizontal="left" vertical="top" wrapText="1"/>
    </xf>
    <xf numFmtId="0" fontId="5" fillId="25" borderId="31" xfId="0" applyFont="1" applyFill="1" applyBorder="1" applyAlignment="1">
      <alignment horizontal="left" vertical="top" wrapText="1"/>
    </xf>
    <xf numFmtId="0" fontId="28" fillId="25" borderId="3" xfId="0" applyFont="1" applyFill="1" applyBorder="1" applyAlignment="1">
      <alignment horizontal="left" vertical="top" wrapText="1"/>
    </xf>
    <xf numFmtId="0" fontId="28" fillId="25" borderId="36" xfId="0" applyFont="1" applyFill="1" applyBorder="1" applyAlignment="1">
      <alignment horizontal="left" vertical="top" wrapText="1"/>
    </xf>
    <xf numFmtId="0" fontId="5" fillId="0" borderId="24" xfId="0" applyFont="1" applyBorder="1" applyAlignment="1">
      <alignment horizontal="left" vertical="center" wrapText="1"/>
    </xf>
    <xf numFmtId="0" fontId="5" fillId="19" borderId="3" xfId="0" applyFont="1" applyFill="1" applyBorder="1" applyAlignment="1">
      <alignment horizontal="left" vertical="top" wrapText="1"/>
    </xf>
    <xf numFmtId="0" fontId="5" fillId="19" borderId="3" xfId="0" applyFont="1" applyFill="1" applyBorder="1" applyAlignment="1">
      <alignment horizontal="right" vertical="top" wrapText="1"/>
    </xf>
    <xf numFmtId="0" fontId="5" fillId="19" borderId="3" xfId="0" applyFont="1" applyFill="1" applyBorder="1" applyAlignment="1">
      <alignment horizontal="right" vertical="top" wrapText="1" indent="1"/>
    </xf>
    <xf numFmtId="0" fontId="0" fillId="0" borderId="3" xfId="0" applyBorder="1" applyAlignment="1">
      <alignment horizontal="left" wrapText="1"/>
    </xf>
    <xf numFmtId="0" fontId="3" fillId="19" borderId="3" xfId="0" applyFont="1" applyFill="1" applyBorder="1" applyAlignment="1">
      <alignment horizontal="left" vertical="top" wrapText="1"/>
    </xf>
    <xf numFmtId="0" fontId="22" fillId="22" borderId="4" xfId="0" applyFont="1" applyFill="1" applyBorder="1" applyAlignment="1">
      <alignment horizontal="right" vertical="center" wrapText="1"/>
    </xf>
    <xf numFmtId="0" fontId="22" fillId="22" borderId="4" xfId="0" applyFont="1" applyFill="1" applyBorder="1" applyAlignment="1">
      <alignment horizontal="left" vertical="center" wrapText="1"/>
    </xf>
    <xf numFmtId="0" fontId="22" fillId="22" borderId="32" xfId="0" applyFont="1" applyFill="1" applyBorder="1" applyAlignment="1">
      <alignment horizontal="right" vertical="center" wrapText="1"/>
    </xf>
    <xf numFmtId="0" fontId="22" fillId="22" borderId="32" xfId="0" applyFont="1" applyFill="1" applyBorder="1" applyAlignment="1">
      <alignment horizontal="center" vertical="center" wrapText="1"/>
    </xf>
    <xf numFmtId="0" fontId="9" fillId="0" borderId="4" xfId="0" applyFont="1" applyBorder="1" applyAlignment="1">
      <alignment horizontal="left" vertical="top" wrapText="1"/>
    </xf>
    <xf numFmtId="3" fontId="17" fillId="0" borderId="4" xfId="0" applyNumberFormat="1" applyFont="1" applyBorder="1" applyAlignment="1">
      <alignment horizontal="right" vertical="top" shrinkToFit="1"/>
    </xf>
    <xf numFmtId="9" fontId="4" fillId="0" borderId="4" xfId="0" applyNumberFormat="1" applyFont="1" applyBorder="1" applyAlignment="1">
      <alignment horizontal="right" vertical="top" shrinkToFit="1"/>
    </xf>
    <xf numFmtId="0" fontId="9" fillId="0" borderId="14" xfId="0" applyFont="1" applyBorder="1" applyAlignment="1">
      <alignment horizontal="left" vertical="top" wrapText="1"/>
    </xf>
    <xf numFmtId="0" fontId="9" fillId="0" borderId="33" xfId="0" applyFont="1" applyBorder="1" applyAlignment="1">
      <alignment horizontal="left" vertical="top" wrapText="1"/>
    </xf>
    <xf numFmtId="3" fontId="17" fillId="0" borderId="33" xfId="0" applyNumberFormat="1" applyFont="1" applyBorder="1" applyAlignment="1">
      <alignment horizontal="right" vertical="top" shrinkToFit="1"/>
    </xf>
    <xf numFmtId="0" fontId="5" fillId="0" borderId="33" xfId="0" applyFont="1" applyBorder="1" applyAlignment="1">
      <alignment horizontal="center" vertical="top" wrapText="1"/>
    </xf>
    <xf numFmtId="0" fontId="9" fillId="0" borderId="4" xfId="0" applyFont="1" applyBorder="1" applyAlignment="1">
      <alignment horizontal="left" vertical="center" wrapText="1"/>
    </xf>
    <xf numFmtId="3" fontId="17" fillId="0" borderId="4" xfId="0" applyNumberFormat="1" applyFont="1" applyBorder="1" applyAlignment="1">
      <alignment horizontal="right" vertical="center" shrinkToFit="1"/>
    </xf>
    <xf numFmtId="0" fontId="3" fillId="0" borderId="3" xfId="0" applyFont="1" applyBorder="1" applyAlignment="1">
      <alignment horizontal="right" vertical="top" wrapText="1"/>
    </xf>
    <xf numFmtId="1" fontId="4" fillId="0" borderId="3" xfId="0" applyNumberFormat="1" applyFont="1" applyBorder="1" applyAlignment="1">
      <alignment horizontal="left" vertical="top" shrinkToFit="1"/>
    </xf>
    <xf numFmtId="1" fontId="4" fillId="0" borderId="24" xfId="0" applyNumberFormat="1" applyFont="1" applyBorder="1" applyAlignment="1">
      <alignment horizontal="center" vertical="center" shrinkToFit="1"/>
    </xf>
    <xf numFmtId="1" fontId="4" fillId="0" borderId="24" xfId="0" applyNumberFormat="1" applyFont="1" applyBorder="1" applyAlignment="1">
      <alignment horizontal="right" vertical="center" shrinkToFit="1"/>
    </xf>
    <xf numFmtId="3" fontId="6" fillId="33" borderId="2" xfId="0" applyNumberFormat="1" applyFont="1" applyFill="1" applyBorder="1" applyAlignment="1">
      <alignment horizontal="left" vertical="top" indent="5" shrinkToFit="1"/>
    </xf>
    <xf numFmtId="0" fontId="2" fillId="25" borderId="37" xfId="0" applyFont="1" applyFill="1" applyBorder="1" applyAlignment="1">
      <alignment horizontal="center" vertical="top" wrapText="1"/>
    </xf>
    <xf numFmtId="0" fontId="7" fillId="23" borderId="36" xfId="0" applyFont="1" applyFill="1" applyBorder="1" applyAlignment="1">
      <alignment horizontal="center" vertical="top" wrapText="1"/>
    </xf>
    <xf numFmtId="0" fontId="5" fillId="26" borderId="8" xfId="0" applyFont="1" applyFill="1" applyBorder="1" applyAlignment="1">
      <alignment horizontal="center" vertical="center" wrapText="1"/>
    </xf>
    <xf numFmtId="0" fontId="3" fillId="25" borderId="36" xfId="0" applyFont="1" applyFill="1" applyBorder="1" applyAlignment="1">
      <alignment horizontal="left" vertical="top" wrapText="1" indent="1"/>
    </xf>
    <xf numFmtId="0" fontId="3" fillId="25" borderId="36" xfId="0" applyFont="1" applyFill="1" applyBorder="1" applyAlignment="1">
      <alignment horizontal="left" vertical="top" wrapText="1" indent="2"/>
    </xf>
    <xf numFmtId="0" fontId="5" fillId="23" borderId="3" xfId="0" applyFont="1" applyFill="1" applyBorder="1" applyAlignment="1">
      <alignment horizontal="center" vertical="top" wrapText="1"/>
    </xf>
    <xf numFmtId="0" fontId="5" fillId="28" borderId="3" xfId="0" applyFont="1" applyFill="1" applyBorder="1" applyAlignment="1">
      <alignment horizontal="center" vertical="top" wrapText="1"/>
    </xf>
    <xf numFmtId="2" fontId="4" fillId="23" borderId="3" xfId="0" applyNumberFormat="1" applyFont="1" applyFill="1" applyBorder="1" applyAlignment="1">
      <alignment horizontal="center" vertical="top" shrinkToFit="1"/>
    </xf>
    <xf numFmtId="0" fontId="3" fillId="25" borderId="3" xfId="0" applyFont="1" applyFill="1" applyBorder="1" applyAlignment="1">
      <alignment horizontal="left" vertical="top" wrapText="1" indent="8"/>
    </xf>
    <xf numFmtId="0" fontId="0" fillId="34" borderId="0" xfId="0" applyFill="1" applyAlignment="1">
      <alignment horizontal="left" vertical="top"/>
    </xf>
    <xf numFmtId="0" fontId="5" fillId="23" borderId="3" xfId="0" applyFont="1" applyFill="1" applyBorder="1" applyAlignment="1">
      <alignment horizontal="left" vertical="top" wrapText="1" indent="4"/>
    </xf>
    <xf numFmtId="0" fontId="0" fillId="23" borderId="0" xfId="0" applyFill="1" applyAlignment="1">
      <alignment horizontal="left" vertical="center" wrapText="1"/>
    </xf>
    <xf numFmtId="0" fontId="3" fillId="25" borderId="3" xfId="0" applyFont="1" applyFill="1" applyBorder="1" applyAlignment="1">
      <alignment horizontal="center" vertical="top" wrapText="1"/>
    </xf>
    <xf numFmtId="0" fontId="3" fillId="25" borderId="4" xfId="0" applyFont="1" applyFill="1" applyBorder="1" applyAlignment="1">
      <alignment horizontal="center" vertical="top" wrapText="1"/>
    </xf>
    <xf numFmtId="0" fontId="5" fillId="23" borderId="4" xfId="0" applyFont="1" applyFill="1" applyBorder="1" applyAlignment="1">
      <alignment horizontal="center" vertical="top" wrapText="1"/>
    </xf>
    <xf numFmtId="0" fontId="5" fillId="25" borderId="37" xfId="0" applyFont="1" applyFill="1" applyBorder="1" applyAlignment="1">
      <alignment horizontal="center" vertical="top" wrapText="1"/>
    </xf>
    <xf numFmtId="0" fontId="3" fillId="25" borderId="2" xfId="0" applyFont="1" applyFill="1" applyBorder="1" applyAlignment="1">
      <alignment horizontal="center" vertical="top" wrapText="1"/>
    </xf>
    <xf numFmtId="0" fontId="28" fillId="17" borderId="3" xfId="0" applyFont="1" applyFill="1" applyBorder="1" applyAlignment="1">
      <alignment horizontal="left" vertical="top" wrapText="1" indent="1"/>
    </xf>
    <xf numFmtId="0" fontId="27" fillId="0" borderId="3" xfId="0" applyFont="1" applyBorder="1" applyAlignment="1">
      <alignment horizontal="center" vertical="top" wrapText="1"/>
    </xf>
    <xf numFmtId="0" fontId="14" fillId="33" borderId="3" xfId="0" applyFont="1" applyFill="1" applyBorder="1" applyAlignment="1">
      <alignment horizontal="center" vertical="top" wrapText="1"/>
    </xf>
    <xf numFmtId="0" fontId="26" fillId="19" borderId="3" xfId="0" applyFont="1" applyFill="1" applyBorder="1" applyAlignment="1">
      <alignment horizontal="left" vertical="top" wrapText="1" indent="5"/>
    </xf>
    <xf numFmtId="0" fontId="3" fillId="25" borderId="31" xfId="0" applyFont="1" applyFill="1" applyBorder="1" applyAlignment="1">
      <alignment horizontal="right" vertical="top" wrapText="1" indent="3"/>
    </xf>
    <xf numFmtId="0" fontId="5" fillId="23" borderId="36" xfId="0" applyFont="1" applyFill="1" applyBorder="1" applyAlignment="1">
      <alignment horizontal="center" vertical="top" wrapText="1"/>
    </xf>
    <xf numFmtId="0" fontId="5" fillId="23" borderId="36" xfId="0" applyFont="1" applyFill="1" applyBorder="1" applyAlignment="1">
      <alignment horizontal="right" vertical="top" wrapText="1" indent="3"/>
    </xf>
    <xf numFmtId="0" fontId="0" fillId="26" borderId="36" xfId="0" applyFill="1" applyBorder="1" applyAlignment="1">
      <alignment horizontal="left" vertical="top"/>
    </xf>
    <xf numFmtId="0" fontId="5" fillId="0" borderId="3" xfId="0" applyFont="1" applyBorder="1" applyAlignment="1">
      <alignment horizontal="right" vertical="top" wrapText="1" indent="4"/>
    </xf>
    <xf numFmtId="3" fontId="4" fillId="0" borderId="3" xfId="0" applyNumberFormat="1" applyFont="1" applyBorder="1" applyAlignment="1">
      <alignment horizontal="right" vertical="top" indent="4" shrinkToFit="1"/>
    </xf>
    <xf numFmtId="165" fontId="4" fillId="0" borderId="3" xfId="0" applyNumberFormat="1" applyFont="1" applyBorder="1" applyAlignment="1">
      <alignment horizontal="left" vertical="top" indent="1" shrinkToFit="1"/>
    </xf>
    <xf numFmtId="3" fontId="4" fillId="0" borderId="3" xfId="0" applyNumberFormat="1" applyFont="1" applyBorder="1" applyAlignment="1">
      <alignment horizontal="right" vertical="top" indent="1" shrinkToFit="1"/>
    </xf>
    <xf numFmtId="165" fontId="4" fillId="0" borderId="3" xfId="0" applyNumberFormat="1" applyFont="1" applyBorder="1" applyAlignment="1">
      <alignment horizontal="left" vertical="top" indent="2" shrinkToFit="1"/>
    </xf>
    <xf numFmtId="0" fontId="5" fillId="0" borderId="3" xfId="0" applyFont="1" applyBorder="1" applyAlignment="1">
      <alignment horizontal="right" vertical="top" wrapText="1" indent="1"/>
    </xf>
    <xf numFmtId="165" fontId="4" fillId="0" borderId="3" xfId="0" applyNumberFormat="1" applyFont="1" applyBorder="1" applyAlignment="1">
      <alignment horizontal="left" vertical="top" shrinkToFit="1"/>
    </xf>
    <xf numFmtId="0" fontId="3" fillId="0" borderId="3" xfId="0" applyFont="1" applyBorder="1" applyAlignment="1">
      <alignment horizontal="right" vertical="top" wrapText="1" indent="4"/>
    </xf>
    <xf numFmtId="165" fontId="4" fillId="0" borderId="13" xfId="0" applyNumberFormat="1" applyFont="1" applyBorder="1" applyAlignment="1">
      <alignment horizontal="left" vertical="top" indent="1" shrinkToFit="1"/>
    </xf>
    <xf numFmtId="0" fontId="5" fillId="0" borderId="13" xfId="0" applyFont="1" applyBorder="1" applyAlignment="1">
      <alignment horizontal="center" vertical="top" wrapText="1"/>
    </xf>
    <xf numFmtId="0" fontId="5" fillId="0" borderId="13" xfId="0" applyFont="1" applyBorder="1" applyAlignment="1">
      <alignment horizontal="right" vertical="top" wrapText="1" indent="1"/>
    </xf>
    <xf numFmtId="165" fontId="4" fillId="0" borderId="13" xfId="0" applyNumberFormat="1" applyFont="1" applyBorder="1" applyAlignment="1">
      <alignment horizontal="left" vertical="top" shrinkToFit="1"/>
    </xf>
    <xf numFmtId="0" fontId="5" fillId="0" borderId="13" xfId="0" applyFont="1" applyBorder="1" applyAlignment="1">
      <alignment horizontal="right" vertical="top" wrapText="1" indent="4"/>
    </xf>
    <xf numFmtId="0" fontId="3" fillId="17" borderId="3" xfId="0" applyFont="1" applyFill="1" applyBorder="1" applyAlignment="1">
      <alignment horizontal="left" vertical="top" wrapText="1"/>
    </xf>
    <xf numFmtId="0" fontId="3" fillId="17" borderId="3" xfId="0" applyFont="1" applyFill="1" applyBorder="1" applyAlignment="1">
      <alignment horizontal="left" vertical="top" wrapText="1" indent="1"/>
    </xf>
    <xf numFmtId="0" fontId="5" fillId="0" borderId="3" xfId="0" applyFont="1" applyBorder="1" applyAlignment="1">
      <alignment horizontal="left" vertical="top" wrapText="1" indent="7"/>
    </xf>
    <xf numFmtId="0" fontId="3" fillId="17" borderId="3" xfId="0" applyFont="1" applyFill="1" applyBorder="1" applyAlignment="1">
      <alignment horizontal="left" vertical="top" wrapText="1" indent="2"/>
    </xf>
    <xf numFmtId="0" fontId="3" fillId="17" borderId="3" xfId="0" applyFont="1" applyFill="1" applyBorder="1" applyAlignment="1">
      <alignment horizontal="right" vertical="top" wrapText="1" indent="1"/>
    </xf>
    <xf numFmtId="0" fontId="0" fillId="0" borderId="36" xfId="0" applyBorder="1" applyAlignment="1">
      <alignment horizontal="left" vertical="top"/>
    </xf>
    <xf numFmtId="1" fontId="11" fillId="26" borderId="2" xfId="0" applyNumberFormat="1" applyFont="1" applyFill="1" applyBorder="1" applyAlignment="1">
      <alignment horizontal="center" vertical="top" shrinkToFit="1"/>
    </xf>
    <xf numFmtId="0" fontId="9" fillId="29" borderId="2" xfId="0" applyFont="1" applyFill="1" applyBorder="1" applyAlignment="1">
      <alignment horizontal="center" vertical="top" wrapText="1"/>
    </xf>
    <xf numFmtId="0" fontId="9" fillId="26" borderId="2" xfId="0" applyFont="1" applyFill="1" applyBorder="1" applyAlignment="1">
      <alignment horizontal="center" vertical="top" wrapText="1"/>
    </xf>
    <xf numFmtId="0" fontId="8" fillId="29" borderId="0" xfId="0" applyFont="1" applyFill="1" applyAlignment="1">
      <alignment horizontal="left" vertical="top" wrapText="1" indent="3"/>
    </xf>
    <xf numFmtId="0" fontId="3" fillId="25" borderId="2" xfId="0" applyFont="1" applyFill="1" applyBorder="1" applyAlignment="1">
      <alignment horizontal="left" vertical="top" wrapText="1"/>
    </xf>
    <xf numFmtId="0" fontId="3" fillId="25" borderId="3" xfId="0" applyFont="1" applyFill="1" applyBorder="1" applyAlignment="1">
      <alignment horizontal="right" vertical="top" wrapText="1"/>
    </xf>
    <xf numFmtId="0" fontId="5" fillId="23" borderId="2" xfId="0" applyFont="1" applyFill="1" applyBorder="1" applyAlignment="1">
      <alignment horizontal="left" vertical="top" wrapText="1"/>
    </xf>
    <xf numFmtId="0" fontId="5" fillId="26" borderId="23" xfId="0" applyFont="1" applyFill="1" applyBorder="1" applyAlignment="1">
      <alignment horizontal="left" vertical="center" wrapText="1"/>
    </xf>
    <xf numFmtId="0" fontId="0" fillId="30" borderId="0" xfId="0" applyFill="1" applyAlignment="1">
      <alignment horizontal="left" vertical="top"/>
    </xf>
    <xf numFmtId="0" fontId="3" fillId="25" borderId="36" xfId="0" applyFont="1" applyFill="1" applyBorder="1" applyAlignment="1">
      <alignment horizontal="center" vertical="top" wrapText="1"/>
    </xf>
    <xf numFmtId="0" fontId="18" fillId="23" borderId="2" xfId="0" applyFont="1" applyFill="1" applyBorder="1" applyAlignment="1">
      <alignment horizontal="left" vertical="top" wrapText="1"/>
    </xf>
    <xf numFmtId="167" fontId="4" fillId="0" borderId="3" xfId="0" applyNumberFormat="1" applyFont="1" applyBorder="1" applyAlignment="1">
      <alignment horizontal="left" vertical="top" indent="1" shrinkToFit="1"/>
    </xf>
    <xf numFmtId="0" fontId="3" fillId="5" borderId="3" xfId="0" applyFont="1" applyFill="1" applyBorder="1" applyAlignment="1">
      <alignment horizontal="center" vertical="top" wrapText="1"/>
    </xf>
    <xf numFmtId="167" fontId="4" fillId="0" borderId="3" xfId="0" applyNumberFormat="1" applyFont="1" applyBorder="1" applyAlignment="1">
      <alignment horizontal="left" vertical="top" indent="2" shrinkToFit="1"/>
    </xf>
    <xf numFmtId="0" fontId="0" fillId="0" borderId="0" xfId="0" pivotButton="1" applyAlignment="1">
      <alignment horizontal="left" vertical="top"/>
    </xf>
    <xf numFmtId="0" fontId="3" fillId="0" borderId="0" xfId="0" applyFont="1" applyAlignment="1">
      <alignment horizontal="left" vertical="top" indent="1"/>
    </xf>
    <xf numFmtId="0" fontId="3" fillId="0" borderId="10" xfId="0" applyFont="1" applyBorder="1" applyAlignment="1">
      <alignment horizontal="center" wrapText="1"/>
    </xf>
    <xf numFmtId="0" fontId="5" fillId="25" borderId="36" xfId="0" applyFont="1" applyFill="1" applyBorder="1" applyAlignment="1">
      <alignment horizontal="left" vertical="top" wrapText="1"/>
    </xf>
    <xf numFmtId="167" fontId="0" fillId="0" borderId="0" xfId="0" applyNumberFormat="1" applyAlignment="1">
      <alignment horizontal="left" vertical="top"/>
    </xf>
    <xf numFmtId="0" fontId="0" fillId="30" borderId="36" xfId="0" applyFill="1" applyBorder="1" applyAlignment="1">
      <alignment horizontal="left" vertical="top"/>
    </xf>
    <xf numFmtId="0" fontId="5" fillId="30" borderId="3" xfId="0" applyFont="1" applyFill="1" applyBorder="1" applyAlignment="1">
      <alignment horizontal="left" vertical="top" wrapText="1" indent="1"/>
    </xf>
    <xf numFmtId="0" fontId="3" fillId="5" borderId="3" xfId="0" applyFont="1" applyFill="1" applyBorder="1" applyAlignment="1">
      <alignment horizontal="left" vertical="top" wrapText="1"/>
    </xf>
    <xf numFmtId="0" fontId="5" fillId="25" borderId="2" xfId="0" applyFont="1" applyFill="1" applyBorder="1" applyAlignment="1">
      <alignment horizontal="center" vertical="top" wrapText="1"/>
    </xf>
    <xf numFmtId="0" fontId="14" fillId="25" borderId="2" xfId="0" applyFont="1" applyFill="1" applyBorder="1" applyAlignment="1">
      <alignment horizontal="center" vertical="top" wrapText="1"/>
    </xf>
    <xf numFmtId="0" fontId="5" fillId="25" borderId="3" xfId="0" applyFont="1" applyFill="1" applyBorder="1" applyAlignment="1">
      <alignment vertical="top" wrapText="1"/>
    </xf>
    <xf numFmtId="0" fontId="14" fillId="25" borderId="3" xfId="0" applyFont="1" applyFill="1" applyBorder="1" applyAlignment="1">
      <alignment vertical="top" wrapText="1"/>
    </xf>
    <xf numFmtId="0" fontId="27" fillId="0" borderId="16" xfId="0" applyFont="1" applyBorder="1" applyAlignment="1">
      <alignment vertical="top" wrapText="1"/>
    </xf>
    <xf numFmtId="0" fontId="5" fillId="0" borderId="18" xfId="0" applyFont="1" applyBorder="1" applyAlignment="1">
      <alignment vertical="top" wrapText="1"/>
    </xf>
    <xf numFmtId="0" fontId="4" fillId="0" borderId="17" xfId="0" applyFont="1" applyBorder="1" applyAlignment="1">
      <alignment vertical="top" shrinkToFit="1"/>
    </xf>
    <xf numFmtId="0" fontId="4" fillId="0" borderId="19" xfId="0" applyFont="1" applyBorder="1" applyAlignment="1">
      <alignment vertical="top" shrinkToFit="1"/>
    </xf>
    <xf numFmtId="0" fontId="4" fillId="0" borderId="21" xfId="0" applyFont="1" applyBorder="1" applyAlignment="1">
      <alignment vertical="top" shrinkToFit="1"/>
    </xf>
    <xf numFmtId="0" fontId="5" fillId="0" borderId="0" xfId="0" applyFont="1" applyAlignment="1">
      <alignment horizontal="left" vertical="center" wrapText="1"/>
    </xf>
    <xf numFmtId="0" fontId="5" fillId="23" borderId="0" xfId="0" applyFont="1" applyFill="1" applyAlignment="1">
      <alignment horizontal="left" vertical="center" wrapText="1"/>
    </xf>
    <xf numFmtId="0" fontId="3" fillId="23" borderId="0" xfId="0" applyFont="1" applyFill="1" applyAlignment="1">
      <alignment horizontal="left" vertical="top" wrapText="1"/>
    </xf>
    <xf numFmtId="0" fontId="3" fillId="25" borderId="3" xfId="0" applyFont="1" applyFill="1" applyBorder="1" applyAlignment="1">
      <alignment horizontal="left" vertical="top" wrapText="1"/>
    </xf>
    <xf numFmtId="0" fontId="3" fillId="25" borderId="2" xfId="0" applyFont="1" applyFill="1" applyBorder="1" applyAlignment="1">
      <alignment horizontal="right" vertical="top" wrapText="1" indent="3"/>
    </xf>
    <xf numFmtId="0" fontId="5" fillId="23" borderId="0" xfId="0" applyFont="1" applyFill="1" applyAlignment="1">
      <alignment horizontal="left" vertical="center" wrapText="1" indent="6"/>
    </xf>
    <xf numFmtId="0" fontId="5" fillId="23" borderId="0" xfId="0" applyFont="1" applyFill="1" applyAlignment="1">
      <alignment horizontal="left" vertical="top" wrapText="1" indent="6"/>
    </xf>
    <xf numFmtId="1" fontId="0" fillId="23" borderId="0" xfId="0" applyNumberFormat="1" applyFill="1" applyAlignment="1">
      <alignment horizontal="left" vertical="top"/>
    </xf>
    <xf numFmtId="171" fontId="18" fillId="5" borderId="3" xfId="0" applyNumberFormat="1" applyFont="1" applyFill="1" applyBorder="1" applyAlignment="1">
      <alignment horizontal="center" vertical="top" shrinkToFit="1"/>
    </xf>
    <xf numFmtId="0" fontId="3" fillId="0" borderId="3" xfId="0" applyFont="1" applyBorder="1" applyAlignment="1">
      <alignment horizontal="left" vertical="top" wrapText="1" indent="2"/>
    </xf>
    <xf numFmtId="0" fontId="3" fillId="16" borderId="3" xfId="0" applyFont="1" applyFill="1" applyBorder="1" applyAlignment="1">
      <alignment horizontal="left" vertical="top" wrapText="1"/>
    </xf>
    <xf numFmtId="0" fontId="3" fillId="16" borderId="3" xfId="0" applyFont="1" applyFill="1" applyBorder="1" applyAlignment="1">
      <alignment horizontal="left" vertical="top" wrapText="1" indent="3"/>
    </xf>
    <xf numFmtId="0" fontId="3" fillId="0" borderId="0" xfId="0" applyFont="1" applyAlignment="1">
      <alignment horizontal="center" vertical="top" wrapText="1"/>
    </xf>
    <xf numFmtId="0" fontId="3" fillId="0" borderId="5" xfId="0" applyFont="1" applyBorder="1" applyAlignment="1">
      <alignment horizontal="left" vertical="center" wrapText="1"/>
    </xf>
    <xf numFmtId="0" fontId="3" fillId="0" borderId="1" xfId="0" applyFont="1" applyBorder="1" applyAlignment="1">
      <alignment horizontal="center" vertical="top" wrapText="1"/>
    </xf>
    <xf numFmtId="0" fontId="1" fillId="29" borderId="0" xfId="0" applyFont="1" applyFill="1" applyAlignment="1">
      <alignment horizontal="center" vertical="top" wrapText="1"/>
    </xf>
    <xf numFmtId="0" fontId="7" fillId="0" borderId="0" xfId="0" applyFont="1" applyAlignment="1">
      <alignment horizontal="left" vertical="center" wrapText="1"/>
    </xf>
    <xf numFmtId="0" fontId="7" fillId="0" borderId="5" xfId="0" applyFont="1" applyBorder="1" applyAlignment="1">
      <alignment horizontal="left" vertical="center" wrapText="1" indent="2"/>
    </xf>
    <xf numFmtId="0" fontId="7" fillId="0" borderId="0" xfId="0" applyFont="1" applyAlignment="1">
      <alignment horizontal="left" vertical="top" wrapText="1" indent="3"/>
    </xf>
    <xf numFmtId="0" fontId="3" fillId="26" borderId="3" xfId="0" applyFont="1" applyFill="1" applyBorder="1" applyAlignment="1">
      <alignment horizontal="center" vertical="top" wrapText="1"/>
    </xf>
    <xf numFmtId="0" fontId="0" fillId="25" borderId="3" xfId="0" applyFill="1" applyBorder="1" applyAlignment="1">
      <alignment horizontal="left" vertical="top" wrapText="1"/>
    </xf>
    <xf numFmtId="0" fontId="1" fillId="0" borderId="0" xfId="0" applyFont="1" applyAlignment="1">
      <alignment horizontal="center" vertical="top" wrapText="1"/>
    </xf>
    <xf numFmtId="0" fontId="25" fillId="17" borderId="3" xfId="0" applyFont="1" applyFill="1" applyBorder="1" applyAlignment="1">
      <alignment horizontal="center" vertical="top" wrapText="1"/>
    </xf>
    <xf numFmtId="0" fontId="7" fillId="0" borderId="0" xfId="0" applyFont="1" applyAlignment="1">
      <alignment horizontal="left" vertical="top" wrapText="1"/>
    </xf>
    <xf numFmtId="1" fontId="4" fillId="23" borderId="2" xfId="0" applyNumberFormat="1" applyFont="1" applyFill="1" applyBorder="1" applyAlignment="1">
      <alignment horizontal="right" vertical="center" shrinkToFit="1"/>
    </xf>
    <xf numFmtId="1" fontId="4" fillId="23" borderId="2" xfId="0" applyNumberFormat="1" applyFont="1" applyFill="1" applyBorder="1" applyAlignment="1">
      <alignment horizontal="right" vertical="top" shrinkToFit="1"/>
    </xf>
    <xf numFmtId="0" fontId="5" fillId="23" borderId="2" xfId="0" applyFont="1" applyFill="1" applyBorder="1" applyAlignment="1">
      <alignment horizontal="center" vertical="top" wrapText="1"/>
    </xf>
    <xf numFmtId="0" fontId="3" fillId="32" borderId="0" xfId="0" applyFont="1" applyFill="1" applyAlignment="1">
      <alignment horizontal="left" vertical="top" wrapText="1"/>
    </xf>
    <xf numFmtId="0" fontId="26" fillId="4" borderId="2" xfId="0" applyFont="1" applyFill="1" applyBorder="1" applyAlignment="1">
      <alignment horizontal="left" vertical="top" wrapText="1" indent="2"/>
    </xf>
    <xf numFmtId="0" fontId="54" fillId="25" borderId="8" xfId="0" applyFont="1" applyFill="1" applyBorder="1" applyAlignment="1">
      <alignment vertical="top" wrapText="1"/>
    </xf>
    <xf numFmtId="173" fontId="0" fillId="23" borderId="0" xfId="0" applyNumberFormat="1" applyFill="1" applyAlignment="1">
      <alignment horizontal="left" vertical="top"/>
    </xf>
    <xf numFmtId="1" fontId="0" fillId="0" borderId="0" xfId="0" applyNumberFormat="1" applyAlignment="1">
      <alignment horizontal="left" vertical="top"/>
    </xf>
    <xf numFmtId="0" fontId="5" fillId="0" borderId="3" xfId="1" applyNumberFormat="1" applyFont="1" applyBorder="1" applyAlignment="1">
      <alignment horizontal="center" vertical="top" wrapText="1"/>
    </xf>
    <xf numFmtId="2" fontId="9" fillId="0" borderId="2" xfId="1" applyNumberFormat="1" applyFont="1" applyBorder="1" applyAlignment="1">
      <alignment horizontal="center" vertical="top" wrapText="1"/>
    </xf>
    <xf numFmtId="2" fontId="9" fillId="0" borderId="12" xfId="1" applyNumberFormat="1" applyFont="1" applyBorder="1" applyAlignment="1">
      <alignment horizontal="left" vertical="top" wrapText="1" indent="2"/>
    </xf>
    <xf numFmtId="2" fontId="9" fillId="0" borderId="2" xfId="1" applyNumberFormat="1" applyFont="1" applyBorder="1" applyAlignment="1">
      <alignment horizontal="left" vertical="top" wrapText="1" indent="2"/>
    </xf>
    <xf numFmtId="0" fontId="26" fillId="18" borderId="2" xfId="0" applyFont="1" applyFill="1" applyBorder="1" applyAlignment="1">
      <alignment horizontal="center" vertical="top" wrapText="1"/>
    </xf>
    <xf numFmtId="174" fontId="11" fillId="0" borderId="2" xfId="0" applyNumberFormat="1" applyFont="1" applyBorder="1" applyAlignment="1">
      <alignment horizontal="center" vertical="top" shrinkToFit="1"/>
    </xf>
    <xf numFmtId="2" fontId="9" fillId="0" borderId="2" xfId="0" applyNumberFormat="1" applyFont="1" applyBorder="1" applyAlignment="1">
      <alignment horizontal="center" vertical="top" wrapText="1"/>
    </xf>
    <xf numFmtId="0" fontId="9" fillId="0" borderId="4" xfId="0" applyFont="1" applyBorder="1" applyAlignment="1">
      <alignment horizontal="center" vertical="top" wrapText="1"/>
    </xf>
    <xf numFmtId="1" fontId="11" fillId="0" borderId="3" xfId="0" applyNumberFormat="1" applyFont="1" applyBorder="1" applyAlignment="1">
      <alignment horizontal="center" vertical="top" shrinkToFit="1"/>
    </xf>
    <xf numFmtId="1" fontId="11" fillId="0" borderId="4" xfId="0" applyNumberFormat="1" applyFont="1" applyBorder="1" applyAlignment="1">
      <alignment horizontal="center" vertical="top" shrinkToFit="1"/>
    </xf>
    <xf numFmtId="1" fontId="5" fillId="0" borderId="2" xfId="0" applyNumberFormat="1" applyFont="1" applyBorder="1" applyAlignment="1">
      <alignment horizontal="center" vertical="top" wrapText="1"/>
    </xf>
    <xf numFmtId="1" fontId="0" fillId="0" borderId="3" xfId="0" applyNumberFormat="1" applyBorder="1" applyAlignment="1">
      <alignment horizontal="left" wrapText="1"/>
    </xf>
    <xf numFmtId="0" fontId="11" fillId="0" borderId="2" xfId="0" applyFont="1" applyBorder="1" applyAlignment="1">
      <alignment horizontal="left" vertical="center" wrapText="1" indent="4"/>
    </xf>
    <xf numFmtId="2" fontId="0" fillId="0" borderId="0" xfId="0" applyNumberFormat="1"/>
    <xf numFmtId="2" fontId="0" fillId="0" borderId="0" xfId="0" applyNumberFormat="1" applyAlignment="1">
      <alignment horizontal="left" vertical="top"/>
    </xf>
    <xf numFmtId="2" fontId="9" fillId="29" borderId="2" xfId="0" applyNumberFormat="1" applyFont="1" applyFill="1" applyBorder="1" applyAlignment="1">
      <alignment horizontal="center" vertical="top" wrapText="1"/>
    </xf>
    <xf numFmtId="175" fontId="4" fillId="23" borderId="2" xfId="0" applyNumberFormat="1" applyFont="1" applyFill="1" applyBorder="1" applyAlignment="1">
      <alignment horizontal="right" vertical="top" shrinkToFit="1"/>
    </xf>
    <xf numFmtId="15" fontId="0" fillId="0" borderId="2" xfId="0" applyNumberFormat="1" applyBorder="1" applyAlignment="1">
      <alignment horizontal="center" vertical="top" wrapText="1"/>
    </xf>
    <xf numFmtId="173" fontId="0" fillId="0" borderId="0" xfId="0" applyNumberFormat="1" applyAlignment="1">
      <alignment horizontal="left" vertical="top"/>
    </xf>
    <xf numFmtId="0" fontId="0" fillId="0" borderId="0" xfId="0" applyAlignment="1">
      <alignment horizontal="left" vertical="top" indent="1"/>
    </xf>
    <xf numFmtId="174" fontId="0" fillId="0" borderId="0" xfId="0" applyNumberFormat="1" applyAlignment="1">
      <alignment horizontal="left" vertical="top"/>
    </xf>
    <xf numFmtId="165" fontId="0" fillId="0" borderId="0" xfId="0" applyNumberFormat="1" applyAlignment="1">
      <alignment horizontal="left" vertical="top"/>
    </xf>
    <xf numFmtId="3" fontId="0" fillId="0" borderId="0" xfId="0" applyNumberFormat="1" applyAlignment="1">
      <alignment horizontal="left" vertical="top"/>
    </xf>
    <xf numFmtId="3" fontId="10" fillId="0" borderId="0" xfId="0" applyNumberFormat="1" applyFont="1" applyAlignment="1">
      <alignment horizontal="left" vertical="top"/>
    </xf>
    <xf numFmtId="3" fontId="9" fillId="0" borderId="2" xfId="0" applyNumberFormat="1" applyFont="1" applyBorder="1" applyAlignment="1">
      <alignment horizontal="left" vertical="top" wrapText="1" indent="4"/>
    </xf>
    <xf numFmtId="3" fontId="9" fillId="0" borderId="2" xfId="0" applyNumberFormat="1" applyFont="1" applyBorder="1" applyAlignment="1">
      <alignment horizontal="center" vertical="top" wrapText="1"/>
    </xf>
    <xf numFmtId="173" fontId="4" fillId="23" borderId="2" xfId="0" applyNumberFormat="1" applyFont="1" applyFill="1" applyBorder="1" applyAlignment="1">
      <alignment horizontal="left" vertical="top" indent="2" shrinkToFit="1"/>
    </xf>
    <xf numFmtId="173" fontId="4" fillId="0" borderId="2" xfId="0" applyNumberFormat="1" applyFont="1" applyBorder="1" applyAlignment="1">
      <alignment horizontal="right" vertical="top" shrinkToFit="1"/>
    </xf>
    <xf numFmtId="0" fontId="4" fillId="23" borderId="2" xfId="0" applyFont="1" applyFill="1" applyBorder="1" applyAlignment="1">
      <alignment horizontal="right" vertical="top" shrinkToFit="1"/>
    </xf>
    <xf numFmtId="176" fontId="4" fillId="0" borderId="2" xfId="0" applyNumberFormat="1" applyFont="1" applyBorder="1" applyAlignment="1">
      <alignment horizontal="right" vertical="top" shrinkToFit="1"/>
    </xf>
    <xf numFmtId="177" fontId="0" fillId="0" borderId="0" xfId="0" applyNumberFormat="1" applyAlignment="1">
      <alignment horizontal="left" vertical="top"/>
    </xf>
    <xf numFmtId="178" fontId="0" fillId="0" borderId="0" xfId="0" applyNumberFormat="1" applyAlignment="1">
      <alignment horizontal="left" vertical="top"/>
    </xf>
    <xf numFmtId="0" fontId="54" fillId="0" borderId="8" xfId="0" applyFont="1" applyBorder="1" applyAlignment="1">
      <alignment horizontal="left" vertical="top" wrapText="1"/>
    </xf>
    <xf numFmtId="179" fontId="0" fillId="0" borderId="2" xfId="0" applyNumberFormat="1" applyBorder="1" applyAlignment="1">
      <alignment horizontal="center" vertical="top" wrapText="1"/>
    </xf>
    <xf numFmtId="15" fontId="0" fillId="0" borderId="2" xfId="0" applyNumberFormat="1" applyBorder="1" applyAlignment="1">
      <alignment horizontal="left" vertical="top" wrapText="1" indent="7"/>
    </xf>
    <xf numFmtId="0" fontId="1" fillId="0" borderId="0" xfId="0" applyFont="1" applyAlignment="1">
      <alignment horizontal="center" vertical="top" wrapText="1"/>
    </xf>
    <xf numFmtId="0" fontId="2" fillId="0" borderId="1" xfId="0" applyFont="1" applyBorder="1" applyAlignment="1">
      <alignment horizontal="center" vertical="top" wrapText="1"/>
    </xf>
    <xf numFmtId="0" fontId="3" fillId="0" borderId="5" xfId="0" applyFont="1" applyBorder="1" applyAlignment="1">
      <alignment horizontal="left" vertical="center" wrapText="1"/>
    </xf>
    <xf numFmtId="0" fontId="3" fillId="0" borderId="0" xfId="0" applyFont="1" applyAlignment="1">
      <alignment horizontal="left" vertical="top" wrapText="1"/>
    </xf>
    <xf numFmtId="0" fontId="28" fillId="0" borderId="0" xfId="0" applyFont="1" applyAlignment="1">
      <alignment horizontal="left" vertical="top" wrapText="1"/>
    </xf>
    <xf numFmtId="0" fontId="5" fillId="0" borderId="0" xfId="0" applyFont="1" applyAlignment="1">
      <alignment horizontal="left" vertical="top" wrapText="1"/>
    </xf>
    <xf numFmtId="0" fontId="29" fillId="0" borderId="0" xfId="0" applyFont="1" applyAlignment="1">
      <alignment horizontal="center" vertical="top" wrapText="1"/>
    </xf>
    <xf numFmtId="0" fontId="3" fillId="0" borderId="0" xfId="0" applyFont="1" applyAlignment="1">
      <alignment horizontal="left" vertical="top" wrapText="1" indent="25"/>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xf>
    <xf numFmtId="0" fontId="0" fillId="0" borderId="6" xfId="0" applyBorder="1" applyAlignment="1">
      <alignment horizontal="left" vertical="top"/>
    </xf>
    <xf numFmtId="0" fontId="3" fillId="0" borderId="0" xfId="0" applyFont="1" applyAlignment="1">
      <alignment horizontal="left" vertical="center" wrapText="1" indent="7"/>
    </xf>
    <xf numFmtId="0" fontId="3" fillId="0" borderId="0" xfId="0" applyFont="1" applyAlignment="1">
      <alignment horizontal="left" vertical="top" wrapText="1" indent="7"/>
    </xf>
    <xf numFmtId="0" fontId="3" fillId="0" borderId="0" xfId="0" applyFont="1" applyAlignment="1">
      <alignment horizontal="center" vertical="top" wrapText="1"/>
    </xf>
    <xf numFmtId="0" fontId="3" fillId="0" borderId="0" xfId="0" applyFont="1" applyAlignment="1">
      <alignment horizontal="left" vertical="top" wrapText="1" indent="10"/>
    </xf>
    <xf numFmtId="0" fontId="32" fillId="0" borderId="0" xfId="0" applyFont="1" applyAlignment="1">
      <alignment horizontal="center" vertical="top" wrapText="1"/>
    </xf>
    <xf numFmtId="0" fontId="0" fillId="0" borderId="5" xfId="0" applyBorder="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28" fillId="0" borderId="0" xfId="0" applyFont="1" applyAlignment="1">
      <alignment horizontal="left" vertical="center" wrapText="1"/>
    </xf>
    <xf numFmtId="0" fontId="1" fillId="0" borderId="0" xfId="0" applyFont="1" applyAlignment="1">
      <alignment horizontal="left" vertical="top" wrapText="1" indent="19"/>
    </xf>
    <xf numFmtId="0" fontId="3" fillId="0" borderId="1" xfId="0" applyFont="1" applyBorder="1" applyAlignment="1">
      <alignment horizontal="left" vertical="top" wrapText="1" indent="11"/>
    </xf>
    <xf numFmtId="0" fontId="0" fillId="0" borderId="0" xfId="0" applyAlignment="1">
      <alignment horizontal="left" vertical="top" wrapText="1" indent="1"/>
    </xf>
    <xf numFmtId="0" fontId="3" fillId="0" borderId="5" xfId="0" applyFont="1" applyBorder="1" applyAlignment="1">
      <alignment horizontal="left" vertical="center" wrapText="1" indent="1"/>
    </xf>
    <xf numFmtId="0" fontId="5" fillId="0" borderId="5" xfId="0" applyFont="1" applyBorder="1" applyAlignment="1">
      <alignment horizontal="left" vertical="center" wrapText="1"/>
    </xf>
    <xf numFmtId="0" fontId="3" fillId="0" borderId="0" xfId="0" applyFont="1" applyAlignment="1">
      <alignment horizontal="left" vertical="top" wrapText="1" indent="1"/>
    </xf>
    <xf numFmtId="0" fontId="0" fillId="0" borderId="0" xfId="0" applyAlignment="1">
      <alignment horizontal="left" wrapText="1"/>
    </xf>
    <xf numFmtId="0" fontId="3" fillId="0" borderId="0" xfId="0" applyFont="1" applyAlignment="1">
      <alignment horizontal="left" vertical="center" wrapText="1" indent="15"/>
    </xf>
    <xf numFmtId="0" fontId="0" fillId="0" borderId="0" xfId="0" applyAlignment="1">
      <alignment horizontal="center" vertical="top" wrapText="1"/>
    </xf>
    <xf numFmtId="0" fontId="3" fillId="0" borderId="5" xfId="0" applyFont="1" applyBorder="1" applyAlignment="1">
      <alignment vertical="center" wrapText="1"/>
    </xf>
    <xf numFmtId="0" fontId="3" fillId="0" borderId="1" xfId="0" applyFont="1" applyBorder="1" applyAlignment="1">
      <alignment horizontal="left" vertical="top" wrapText="1" indent="5"/>
    </xf>
    <xf numFmtId="0" fontId="3" fillId="31" borderId="5" xfId="0" applyFont="1" applyFill="1" applyBorder="1" applyAlignment="1">
      <alignment horizontal="left" vertical="center" wrapText="1"/>
    </xf>
    <xf numFmtId="0" fontId="1" fillId="0" borderId="0" xfId="0" applyFont="1" applyAlignment="1">
      <alignment horizontal="left" vertical="top" wrapText="1" indent="14"/>
    </xf>
    <xf numFmtId="0" fontId="3" fillId="0" borderId="5" xfId="0" applyFont="1" applyBorder="1" applyAlignment="1">
      <alignment horizontal="left" wrapText="1"/>
    </xf>
    <xf numFmtId="0" fontId="0" fillId="0" borderId="5" xfId="0" applyBorder="1" applyAlignment="1">
      <alignment horizontal="left" vertical="top" wrapText="1"/>
    </xf>
    <xf numFmtId="0" fontId="0" fillId="0" borderId="9" xfId="0" applyBorder="1" applyAlignment="1">
      <alignment horizontal="left" wrapText="1"/>
    </xf>
    <xf numFmtId="0" fontId="0" fillId="0" borderId="10" xfId="0" applyBorder="1" applyAlignment="1">
      <alignment horizontal="left" wrapText="1"/>
    </xf>
    <xf numFmtId="0" fontId="0" fillId="0" borderId="0" xfId="0" applyAlignment="1">
      <alignment horizontal="left" vertical="top" wrapText="1" indent="6"/>
    </xf>
    <xf numFmtId="0" fontId="8" fillId="0" borderId="0" xfId="0" applyFont="1" applyAlignment="1">
      <alignment horizontal="left" vertical="top" wrapText="1"/>
    </xf>
    <xf numFmtId="0" fontId="5" fillId="0" borderId="0" xfId="0" applyFont="1" applyAlignment="1">
      <alignment horizontal="right" vertical="top" wrapText="1" indent="1"/>
    </xf>
    <xf numFmtId="0" fontId="0" fillId="23" borderId="51" xfId="0" applyFill="1" applyBorder="1" applyAlignment="1">
      <alignment horizontal="left" wrapText="1"/>
    </xf>
    <xf numFmtId="0" fontId="8" fillId="0" borderId="5" xfId="0" applyFont="1" applyBorder="1" applyAlignment="1">
      <alignment horizontal="left" wrapText="1" indent="1"/>
    </xf>
    <xf numFmtId="0" fontId="5" fillId="0" borderId="5" xfId="0" applyFont="1" applyBorder="1" applyAlignment="1">
      <alignment horizontal="right" vertical="center" wrapText="1" indent="1"/>
    </xf>
    <xf numFmtId="0" fontId="0" fillId="23" borderId="48" xfId="0" applyFill="1" applyBorder="1" applyAlignment="1">
      <alignment horizontal="left" vertical="center" wrapText="1"/>
    </xf>
    <xf numFmtId="0" fontId="0" fillId="23" borderId="50" xfId="0" applyFill="1" applyBorder="1" applyAlignment="1">
      <alignment horizontal="left" vertical="center" wrapText="1"/>
    </xf>
    <xf numFmtId="0" fontId="0" fillId="0" borderId="0" xfId="0" applyAlignment="1">
      <alignment horizontal="center" vertical="top"/>
    </xf>
    <xf numFmtId="0" fontId="0" fillId="0" borderId="11" xfId="0" applyBorder="1" applyAlignment="1">
      <alignment horizontal="left" vertical="top" wrapText="1"/>
    </xf>
    <xf numFmtId="0" fontId="3" fillId="5" borderId="0" xfId="0" applyFont="1" applyFill="1" applyAlignment="1">
      <alignment horizontal="left" vertical="top" wrapText="1"/>
    </xf>
    <xf numFmtId="0" fontId="13" fillId="9" borderId="0" xfId="0" applyFont="1" applyFill="1" applyAlignment="1">
      <alignment horizontal="center" vertical="top" wrapText="1"/>
    </xf>
    <xf numFmtId="0" fontId="0" fillId="0" borderId="1" xfId="0" applyBorder="1" applyAlignment="1">
      <alignment horizontal="left" wrapText="1"/>
    </xf>
    <xf numFmtId="0" fontId="16" fillId="0" borderId="5" xfId="0" applyFont="1" applyBorder="1" applyAlignment="1">
      <alignment horizontal="left" vertical="center" wrapText="1"/>
    </xf>
    <xf numFmtId="0" fontId="54" fillId="26" borderId="0" xfId="0" applyFont="1" applyFill="1" applyAlignment="1">
      <alignment horizontal="center" vertical="top"/>
    </xf>
    <xf numFmtId="0" fontId="0" fillId="26" borderId="0" xfId="0" applyFill="1" applyAlignment="1">
      <alignment horizontal="center" vertical="top"/>
    </xf>
    <xf numFmtId="0" fontId="16" fillId="0" borderId="0" xfId="0" applyFont="1" applyAlignment="1">
      <alignment horizontal="left" vertical="top" wrapText="1"/>
    </xf>
    <xf numFmtId="0" fontId="0" fillId="0" borderId="7" xfId="0" applyBorder="1" applyAlignment="1">
      <alignment horizontal="left" wrapText="1"/>
    </xf>
    <xf numFmtId="0" fontId="1" fillId="0" borderId="0" xfId="0" applyFont="1" applyAlignment="1">
      <alignment horizontal="center" vertical="center" wrapText="1"/>
    </xf>
    <xf numFmtId="0" fontId="5" fillId="0" borderId="0" xfId="0" applyFont="1" applyAlignment="1">
      <alignment horizontal="left" vertical="top" wrapText="1" indent="6"/>
    </xf>
    <xf numFmtId="0" fontId="5" fillId="0" borderId="0" xfId="0" applyFont="1" applyAlignment="1">
      <alignment horizontal="center" vertical="top" wrapText="1"/>
    </xf>
    <xf numFmtId="0" fontId="5" fillId="0" borderId="0" xfId="0" applyFont="1" applyAlignment="1">
      <alignment horizontal="left" vertical="top" wrapText="1" indent="3"/>
    </xf>
    <xf numFmtId="0" fontId="3" fillId="13" borderId="0" xfId="0" applyFont="1" applyFill="1" applyAlignment="1">
      <alignment horizontal="left" vertical="top" wrapText="1"/>
    </xf>
    <xf numFmtId="0" fontId="5" fillId="0" borderId="0" xfId="0" applyFont="1" applyAlignment="1">
      <alignment horizontal="left" vertical="center" wrapText="1" indent="6"/>
    </xf>
    <xf numFmtId="168" fontId="4" fillId="0" borderId="0" xfId="0" applyNumberFormat="1" applyFont="1" applyAlignment="1">
      <alignment horizontal="right" vertical="center" shrinkToFit="1"/>
    </xf>
    <xf numFmtId="0" fontId="0" fillId="13" borderId="0" xfId="0" applyFill="1" applyAlignment="1">
      <alignment horizontal="left" wrapText="1"/>
    </xf>
    <xf numFmtId="1" fontId="4" fillId="0" borderId="0" xfId="0" applyNumberFormat="1" applyFont="1" applyAlignment="1">
      <alignment horizontal="right" vertical="center" indent="1" shrinkToFit="1"/>
    </xf>
    <xf numFmtId="0" fontId="5" fillId="0" borderId="0" xfId="0" applyFont="1" applyAlignment="1">
      <alignment horizontal="left" vertical="center" wrapText="1" indent="3"/>
    </xf>
    <xf numFmtId="0" fontId="0" fillId="0" borderId="17" xfId="0" applyBorder="1" applyAlignment="1">
      <alignment horizontal="left" wrapText="1"/>
    </xf>
    <xf numFmtId="0" fontId="0" fillId="0" borderId="15" xfId="0" applyBorder="1" applyAlignment="1">
      <alignment horizontal="left" vertical="top" wrapText="1"/>
    </xf>
    <xf numFmtId="169" fontId="4" fillId="0" borderId="3" xfId="0" applyNumberFormat="1" applyFont="1" applyBorder="1" applyAlignment="1">
      <alignment horizontal="right" vertical="top" shrinkToFit="1"/>
    </xf>
    <xf numFmtId="169" fontId="4" fillId="0" borderId="4" xfId="0" applyNumberFormat="1" applyFont="1" applyBorder="1" applyAlignment="1">
      <alignment horizontal="right" vertical="top" shrinkToFit="1"/>
    </xf>
    <xf numFmtId="169" fontId="4" fillId="0" borderId="3" xfId="0" applyNumberFormat="1" applyFont="1" applyBorder="1" applyAlignment="1">
      <alignment horizontal="center" vertical="top" shrinkToFit="1"/>
    </xf>
    <xf numFmtId="169" fontId="4" fillId="0" borderId="4" xfId="0" applyNumberFormat="1" applyFont="1" applyBorder="1" applyAlignment="1">
      <alignment horizontal="center" vertical="top" shrinkToFit="1"/>
    </xf>
    <xf numFmtId="169" fontId="4" fillId="0" borderId="7" xfId="0" applyNumberFormat="1" applyFont="1" applyBorder="1" applyAlignment="1">
      <alignment horizontal="right" vertical="top" shrinkToFit="1"/>
    </xf>
    <xf numFmtId="0" fontId="3" fillId="14" borderId="3" xfId="0" applyFont="1" applyFill="1" applyBorder="1" applyAlignment="1">
      <alignment horizontal="left" vertical="center" wrapText="1" indent="2"/>
    </xf>
    <xf numFmtId="0" fontId="3" fillId="14" borderId="4" xfId="0" applyFont="1" applyFill="1" applyBorder="1" applyAlignment="1">
      <alignment horizontal="left" vertical="center" wrapText="1" indent="2"/>
    </xf>
    <xf numFmtId="0" fontId="3" fillId="14" borderId="3"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3" fillId="14" borderId="7" xfId="0" applyFont="1" applyFill="1" applyBorder="1" applyAlignment="1">
      <alignment horizontal="left" vertical="center" wrapText="1" indent="2"/>
    </xf>
    <xf numFmtId="0" fontId="0" fillId="0" borderId="5" xfId="0" applyBorder="1" applyAlignment="1">
      <alignment horizontal="left" wrapText="1"/>
    </xf>
    <xf numFmtId="0" fontId="5" fillId="8" borderId="0" xfId="0" applyFont="1" applyFill="1" applyAlignment="1">
      <alignment horizontal="left" vertical="top" wrapText="1"/>
    </xf>
    <xf numFmtId="0" fontId="1" fillId="0" borderId="0" xfId="0" applyFont="1" applyAlignment="1">
      <alignment horizontal="left" vertical="top" wrapText="1" indent="11"/>
    </xf>
    <xf numFmtId="0" fontId="3" fillId="0" borderId="1" xfId="0" applyFont="1" applyBorder="1" applyAlignment="1">
      <alignment horizontal="left" vertical="top" wrapText="1" indent="8"/>
    </xf>
    <xf numFmtId="0" fontId="0" fillId="0" borderId="0" xfId="0" applyAlignment="1">
      <alignment horizontal="left" vertical="top" wrapText="1" indent="8"/>
    </xf>
    <xf numFmtId="0" fontId="5" fillId="0" borderId="0" xfId="0" applyFont="1" applyAlignment="1">
      <alignment horizontal="left" vertical="top" wrapText="1" indent="8"/>
    </xf>
    <xf numFmtId="0" fontId="54" fillId="0" borderId="0" xfId="0" applyFont="1" applyAlignment="1">
      <alignment vertical="top"/>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1" fillId="0" borderId="0" xfId="0" applyFont="1" applyAlignment="1">
      <alignment horizontal="left" vertical="top" wrapText="1" indent="5"/>
    </xf>
    <xf numFmtId="0" fontId="3" fillId="0" borderId="6" xfId="0" applyFont="1" applyBorder="1" applyAlignment="1">
      <alignment horizontal="left" vertical="top" wrapText="1"/>
    </xf>
    <xf numFmtId="0" fontId="3" fillId="5" borderId="3" xfId="0" applyFont="1" applyFill="1" applyBorder="1" applyAlignment="1">
      <alignment horizontal="right" vertical="top" wrapText="1" indent="4"/>
    </xf>
    <xf numFmtId="0" fontId="3" fillId="5" borderId="7" xfId="0" applyFont="1" applyFill="1" applyBorder="1" applyAlignment="1">
      <alignment horizontal="right" vertical="top" wrapText="1" indent="4"/>
    </xf>
    <xf numFmtId="0" fontId="3" fillId="5" borderId="4" xfId="0" applyFont="1" applyFill="1" applyBorder="1" applyAlignment="1">
      <alignment horizontal="right" vertical="top" wrapText="1" indent="4"/>
    </xf>
    <xf numFmtId="0" fontId="3" fillId="5" borderId="3"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4" xfId="0" applyFont="1" applyFill="1" applyBorder="1" applyAlignment="1">
      <alignment horizontal="center" vertical="top" wrapText="1"/>
    </xf>
    <xf numFmtId="3" fontId="4" fillId="0" borderId="3" xfId="0" applyNumberFormat="1" applyFont="1" applyBorder="1" applyAlignment="1">
      <alignment horizontal="right" vertical="top" indent="4" shrinkToFit="1"/>
    </xf>
    <xf numFmtId="3" fontId="4" fillId="0" borderId="7" xfId="0" applyNumberFormat="1" applyFont="1" applyBorder="1" applyAlignment="1">
      <alignment horizontal="right" vertical="top" indent="4" shrinkToFit="1"/>
    </xf>
    <xf numFmtId="3" fontId="4" fillId="0" borderId="4" xfId="0" applyNumberFormat="1" applyFont="1" applyBorder="1" applyAlignment="1">
      <alignment horizontal="right" vertical="top" indent="4" shrinkToFit="1"/>
    </xf>
    <xf numFmtId="3" fontId="4" fillId="0" borderId="3" xfId="0" applyNumberFormat="1" applyFont="1" applyBorder="1" applyAlignment="1">
      <alignment horizontal="left" vertical="top" indent="3" shrinkToFit="1"/>
    </xf>
    <xf numFmtId="3" fontId="4" fillId="0" borderId="7" xfId="0" applyNumberFormat="1" applyFont="1" applyBorder="1" applyAlignment="1">
      <alignment horizontal="left" vertical="top" indent="3" shrinkToFit="1"/>
    </xf>
    <xf numFmtId="3" fontId="4" fillId="0" borderId="4" xfId="0" applyNumberFormat="1" applyFont="1" applyBorder="1" applyAlignment="1">
      <alignment horizontal="left" vertical="top" indent="3" shrinkToFit="1"/>
    </xf>
    <xf numFmtId="3" fontId="4" fillId="0" borderId="3" xfId="0" applyNumberFormat="1" applyFont="1" applyBorder="1" applyAlignment="1">
      <alignment horizontal="left" vertical="top" indent="2" shrinkToFit="1"/>
    </xf>
    <xf numFmtId="3" fontId="4" fillId="0" borderId="7" xfId="0" applyNumberFormat="1" applyFont="1" applyBorder="1" applyAlignment="1">
      <alignment horizontal="left" vertical="top" indent="2" shrinkToFit="1"/>
    </xf>
    <xf numFmtId="3" fontId="4" fillId="0" borderId="4" xfId="0" applyNumberFormat="1" applyFont="1" applyBorder="1" applyAlignment="1">
      <alignment horizontal="left" vertical="top" indent="2" shrinkToFit="1"/>
    </xf>
    <xf numFmtId="0" fontId="5" fillId="0" borderId="3" xfId="0" applyFont="1" applyBorder="1" applyAlignment="1">
      <alignment horizontal="right" vertical="top" wrapText="1" indent="4"/>
    </xf>
    <xf numFmtId="0" fontId="5" fillId="0" borderId="7" xfId="0" applyFont="1" applyBorder="1" applyAlignment="1">
      <alignment horizontal="right" vertical="top" wrapText="1" indent="4"/>
    </xf>
    <xf numFmtId="0" fontId="2" fillId="17" borderId="3" xfId="0" applyFont="1" applyFill="1" applyBorder="1" applyAlignment="1">
      <alignment horizontal="center" vertical="top" wrapText="1"/>
    </xf>
    <xf numFmtId="0" fontId="2" fillId="17" borderId="4" xfId="0" applyFont="1" applyFill="1" applyBorder="1" applyAlignment="1">
      <alignment horizontal="center" vertical="top"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Alignment="1">
      <alignment horizontal="left" vertical="center" wrapText="1" indent="29"/>
    </xf>
    <xf numFmtId="0" fontId="3" fillId="5" borderId="3" xfId="0" applyFont="1" applyFill="1" applyBorder="1" applyAlignment="1">
      <alignment horizontal="left" vertical="top" wrapText="1" indent="1"/>
    </xf>
    <xf numFmtId="0" fontId="3" fillId="5" borderId="4" xfId="0" applyFont="1" applyFill="1" applyBorder="1" applyAlignment="1">
      <alignment horizontal="left" vertical="top" wrapText="1" indent="1"/>
    </xf>
    <xf numFmtId="0" fontId="3" fillId="5" borderId="3" xfId="0" applyFont="1" applyFill="1" applyBorder="1" applyAlignment="1">
      <alignment horizontal="left" vertical="top" wrapText="1"/>
    </xf>
    <xf numFmtId="0" fontId="3" fillId="5" borderId="4" xfId="0" applyFont="1" applyFill="1" applyBorder="1" applyAlignment="1">
      <alignment horizontal="left"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3" xfId="0" applyFont="1" applyBorder="1" applyAlignment="1">
      <alignment horizontal="left" vertical="top" wrapText="1" indent="2"/>
    </xf>
    <xf numFmtId="0" fontId="5" fillId="0" borderId="4" xfId="0" applyFont="1" applyBorder="1" applyAlignment="1">
      <alignment horizontal="left" vertical="top" wrapText="1" indent="2"/>
    </xf>
    <xf numFmtId="0" fontId="5" fillId="0" borderId="3" xfId="0" applyFont="1" applyBorder="1" applyAlignment="1">
      <alignment horizontal="left" vertical="top" wrapText="1" indent="3"/>
    </xf>
    <xf numFmtId="0" fontId="5" fillId="0" borderId="4" xfId="0" applyFont="1" applyBorder="1" applyAlignment="1">
      <alignment horizontal="left" vertical="top" wrapText="1" indent="3"/>
    </xf>
    <xf numFmtId="0" fontId="3" fillId="0" borderId="7" xfId="0" applyFont="1" applyBorder="1" applyAlignment="1">
      <alignment horizontal="left" vertical="top" wrapText="1"/>
    </xf>
    <xf numFmtId="0" fontId="1" fillId="0" borderId="0" xfId="0" applyFont="1" applyAlignment="1">
      <alignment horizontal="left" vertical="top" wrapText="1" indent="13"/>
    </xf>
    <xf numFmtId="0" fontId="3" fillId="0" borderId="0" xfId="0" applyFont="1" applyAlignment="1">
      <alignment horizontal="left" vertical="top" wrapText="1" indent="13"/>
    </xf>
    <xf numFmtId="1" fontId="4" fillId="0" borderId="3" xfId="0" applyNumberFormat="1" applyFont="1" applyBorder="1" applyAlignment="1">
      <alignment horizontal="left" vertical="top" indent="1" shrinkToFit="1"/>
    </xf>
    <xf numFmtId="1" fontId="4" fillId="0" borderId="4" xfId="0" applyNumberFormat="1" applyFont="1" applyBorder="1" applyAlignment="1">
      <alignment horizontal="left" vertical="top" indent="1" shrinkToFit="1"/>
    </xf>
    <xf numFmtId="0" fontId="26" fillId="18" borderId="3" xfId="0" applyFont="1" applyFill="1" applyBorder="1" applyAlignment="1">
      <alignment horizontal="left" vertical="top" wrapText="1" indent="1"/>
    </xf>
    <xf numFmtId="0" fontId="3" fillId="18" borderId="4" xfId="0" applyFont="1" applyFill="1" applyBorder="1" applyAlignment="1">
      <alignment horizontal="left" vertical="top" wrapText="1" indent="1"/>
    </xf>
    <xf numFmtId="0" fontId="3" fillId="18" borderId="3" xfId="0" applyFont="1" applyFill="1" applyBorder="1" applyAlignment="1">
      <alignment horizontal="left" vertical="top" wrapText="1" indent="1"/>
    </xf>
    <xf numFmtId="0" fontId="1" fillId="0" borderId="0" xfId="0" applyFont="1" applyAlignment="1">
      <alignment horizontal="left" vertical="top" wrapText="1" indent="20"/>
    </xf>
    <xf numFmtId="0" fontId="3" fillId="0" borderId="0" xfId="0" applyFont="1" applyAlignment="1">
      <alignment horizontal="left" vertical="top" wrapText="1" indent="6"/>
    </xf>
    <xf numFmtId="0" fontId="3" fillId="20" borderId="3" xfId="0" applyFont="1" applyFill="1" applyBorder="1" applyAlignment="1">
      <alignment horizontal="center" vertical="top" wrapText="1"/>
    </xf>
    <xf numFmtId="0" fontId="3" fillId="20" borderId="7" xfId="0" applyFont="1" applyFill="1" applyBorder="1" applyAlignment="1">
      <alignment horizontal="center" vertical="top" wrapText="1"/>
    </xf>
    <xf numFmtId="0" fontId="3" fillId="20" borderId="4" xfId="0" applyFont="1" applyFill="1" applyBorder="1" applyAlignment="1">
      <alignment horizontal="center" vertical="top" wrapText="1"/>
    </xf>
    <xf numFmtId="0" fontId="5" fillId="0" borderId="13" xfId="0" applyFont="1" applyBorder="1" applyAlignment="1">
      <alignment horizontal="left" vertical="center" wrapText="1" indent="1"/>
    </xf>
    <xf numFmtId="0" fontId="5" fillId="0" borderId="14" xfId="0" applyFont="1" applyBorder="1" applyAlignment="1">
      <alignment horizontal="left" vertical="center" wrapText="1" indent="1"/>
    </xf>
    <xf numFmtId="0" fontId="5" fillId="0" borderId="13" xfId="0" applyFont="1" applyBorder="1" applyAlignment="1">
      <alignment horizontal="left" vertical="center" wrapText="1" indent="3"/>
    </xf>
    <xf numFmtId="0" fontId="5" fillId="0" borderId="14" xfId="0" applyFont="1" applyBorder="1" applyAlignment="1">
      <alignment horizontal="left" vertical="center" wrapText="1" indent="3"/>
    </xf>
    <xf numFmtId="0" fontId="3" fillId="0" borderId="5" xfId="0" applyFont="1" applyBorder="1" applyAlignment="1">
      <alignment horizontal="left" vertical="top" wrapText="1"/>
    </xf>
    <xf numFmtId="0" fontId="5" fillId="0" borderId="5" xfId="0" applyFont="1" applyBorder="1" applyAlignment="1">
      <alignment horizontal="center" vertical="center" wrapText="1"/>
    </xf>
    <xf numFmtId="0" fontId="3" fillId="0" borderId="28" xfId="0" applyFont="1" applyBorder="1" applyAlignment="1">
      <alignment horizontal="center" wrapText="1"/>
    </xf>
    <xf numFmtId="0" fontId="0" fillId="0" borderId="30" xfId="0" applyBorder="1" applyAlignment="1">
      <alignment horizontal="left" wrapText="1"/>
    </xf>
    <xf numFmtId="0" fontId="5" fillId="0" borderId="0" xfId="0" applyFont="1" applyAlignment="1">
      <alignment horizontal="left" vertical="top" wrapText="1" indent="30"/>
    </xf>
    <xf numFmtId="0" fontId="0" fillId="0" borderId="11" xfId="0" applyBorder="1" applyAlignment="1">
      <alignment horizontal="left" vertical="center" wrapText="1"/>
    </xf>
    <xf numFmtId="0" fontId="5" fillId="0" borderId="29" xfId="0" applyFont="1" applyBorder="1" applyAlignment="1">
      <alignment horizontal="left" vertical="center" wrapText="1"/>
    </xf>
    <xf numFmtId="0" fontId="0" fillId="0" borderId="1" xfId="0" applyBorder="1" applyAlignment="1">
      <alignment horizontal="left" vertical="center" wrapText="1"/>
    </xf>
    <xf numFmtId="0" fontId="3" fillId="19" borderId="3" xfId="0" applyFont="1" applyFill="1" applyBorder="1" applyAlignment="1">
      <alignment horizontal="left" vertical="top" wrapText="1" indent="5"/>
    </xf>
    <xf numFmtId="0" fontId="3" fillId="19" borderId="4" xfId="0" applyFont="1" applyFill="1" applyBorder="1" applyAlignment="1">
      <alignment horizontal="left" vertical="top" wrapText="1" indent="5"/>
    </xf>
    <xf numFmtId="0" fontId="0" fillId="0" borderId="8" xfId="0" applyBorder="1" applyAlignment="1">
      <alignment horizontal="left" wrapText="1"/>
    </xf>
    <xf numFmtId="0" fontId="5" fillId="0" borderId="7" xfId="0" applyFont="1" applyBorder="1" applyAlignment="1">
      <alignment horizontal="center" vertical="top" wrapText="1"/>
    </xf>
    <xf numFmtId="1" fontId="4" fillId="0" borderId="3" xfId="0" applyNumberFormat="1" applyFont="1" applyBorder="1" applyAlignment="1">
      <alignment horizontal="center" vertical="top" shrinkToFit="1"/>
    </xf>
    <xf numFmtId="1" fontId="4" fillId="0" borderId="4" xfId="0" applyNumberFormat="1" applyFont="1" applyBorder="1" applyAlignment="1">
      <alignment horizontal="center" vertical="top" shrinkToFit="1"/>
    </xf>
    <xf numFmtId="0" fontId="8" fillId="2" borderId="3"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3" xfId="0" applyFont="1" applyFill="1" applyBorder="1" applyAlignment="1">
      <alignment horizontal="left" vertical="top" wrapText="1" indent="1"/>
    </xf>
    <xf numFmtId="0" fontId="8" fillId="2" borderId="4" xfId="0" applyFont="1" applyFill="1" applyBorder="1" applyAlignment="1">
      <alignment horizontal="left" vertical="top" wrapText="1" indent="1"/>
    </xf>
    <xf numFmtId="0" fontId="5" fillId="0" borderId="8" xfId="0" applyFont="1" applyBorder="1" applyAlignment="1">
      <alignment horizontal="left" vertical="center" wrapText="1" indent="2"/>
    </xf>
    <xf numFmtId="0" fontId="5" fillId="0" borderId="0" xfId="0" applyFont="1" applyAlignment="1">
      <alignment horizontal="left" vertical="center" wrapText="1" indent="2"/>
    </xf>
    <xf numFmtId="0" fontId="16" fillId="19" borderId="1" xfId="0" applyFont="1" applyFill="1" applyBorder="1" applyAlignment="1">
      <alignment horizontal="center" vertical="top" wrapText="1"/>
    </xf>
    <xf numFmtId="0" fontId="3" fillId="19" borderId="3" xfId="0" applyFont="1" applyFill="1" applyBorder="1" applyAlignment="1">
      <alignment horizontal="left" vertical="center" wrapText="1" indent="2"/>
    </xf>
    <xf numFmtId="0" fontId="3" fillId="19" borderId="7" xfId="0" applyFont="1" applyFill="1" applyBorder="1" applyAlignment="1">
      <alignment horizontal="left" vertical="center" wrapText="1" indent="2"/>
    </xf>
    <xf numFmtId="0" fontId="19" fillId="0" borderId="0" xfId="0" applyFont="1" applyAlignment="1">
      <alignment horizontal="left" vertical="top" wrapText="1" indent="16"/>
    </xf>
    <xf numFmtId="0" fontId="20" fillId="0" borderId="0" xfId="0" applyFont="1" applyAlignment="1">
      <alignment horizontal="left" vertical="top" wrapText="1" indent="15"/>
    </xf>
    <xf numFmtId="0" fontId="21" fillId="0" borderId="0" xfId="0" applyFont="1" applyAlignment="1">
      <alignment horizontal="left" vertical="top" wrapText="1" indent="12"/>
    </xf>
    <xf numFmtId="0" fontId="22" fillId="22" borderId="3" xfId="0" applyFont="1" applyFill="1" applyBorder="1" applyAlignment="1">
      <alignment horizontal="right" vertical="center" wrapText="1"/>
    </xf>
    <xf numFmtId="0" fontId="22" fillId="22" borderId="4" xfId="0" applyFont="1" applyFill="1" applyBorder="1" applyAlignment="1">
      <alignment horizontal="right" vertical="center" wrapText="1"/>
    </xf>
    <xf numFmtId="0" fontId="0" fillId="22" borderId="3" xfId="0" applyFill="1" applyBorder="1" applyAlignment="1">
      <alignment horizontal="left" vertical="top" wrapText="1"/>
    </xf>
    <xf numFmtId="0" fontId="0" fillId="22" borderId="4" xfId="0" applyFill="1" applyBorder="1" applyAlignment="1">
      <alignment horizontal="left" vertical="top" wrapText="1"/>
    </xf>
    <xf numFmtId="0" fontId="22" fillId="22" borderId="3" xfId="0" applyFont="1" applyFill="1" applyBorder="1" applyAlignment="1">
      <alignment horizontal="left" vertical="center" wrapText="1"/>
    </xf>
    <xf numFmtId="0" fontId="22" fillId="22" borderId="4" xfId="0" applyFont="1" applyFill="1" applyBorder="1" applyAlignment="1">
      <alignment horizontal="left" vertical="center" wrapText="1"/>
    </xf>
    <xf numFmtId="0" fontId="22" fillId="22" borderId="13" xfId="0" applyFont="1" applyFill="1" applyBorder="1" applyAlignment="1">
      <alignment horizontal="center" vertical="center" wrapText="1"/>
    </xf>
    <xf numFmtId="0" fontId="22" fillId="22" borderId="1" xfId="0" applyFont="1" applyFill="1" applyBorder="1" applyAlignment="1">
      <alignment horizontal="center" vertical="center" wrapText="1"/>
    </xf>
    <xf numFmtId="1" fontId="17" fillId="0" borderId="3" xfId="0" applyNumberFormat="1" applyFont="1" applyBorder="1" applyAlignment="1">
      <alignment horizontal="right" vertical="top" shrinkToFit="1"/>
    </xf>
    <xf numFmtId="1" fontId="17" fillId="0" borderId="4" xfId="0" applyNumberFormat="1" applyFont="1" applyBorder="1" applyAlignment="1">
      <alignment horizontal="right" vertical="top" shrinkToFit="1"/>
    </xf>
    <xf numFmtId="1" fontId="4" fillId="0" borderId="3" xfId="0" applyNumberFormat="1" applyFont="1" applyBorder="1" applyAlignment="1">
      <alignment horizontal="right" vertical="top" shrinkToFit="1"/>
    </xf>
    <xf numFmtId="1" fontId="4" fillId="0" borderId="4" xfId="0" applyNumberFormat="1" applyFont="1" applyBorder="1" applyAlignment="1">
      <alignment horizontal="right" vertical="top" shrinkToFit="1"/>
    </xf>
    <xf numFmtId="9" fontId="4" fillId="0" borderId="3" xfId="0" applyNumberFormat="1" applyFont="1" applyBorder="1" applyAlignment="1">
      <alignment horizontal="right" vertical="top" shrinkToFit="1"/>
    </xf>
    <xf numFmtId="9" fontId="4" fillId="0" borderId="4" xfId="0" applyNumberFormat="1" applyFont="1" applyBorder="1" applyAlignment="1">
      <alignment horizontal="right" vertical="top" shrinkToFit="1"/>
    </xf>
    <xf numFmtId="0" fontId="0" fillId="0" borderId="37" xfId="0" applyBorder="1" applyAlignment="1">
      <alignment horizontal="left" vertical="top" wrapText="1"/>
    </xf>
    <xf numFmtId="1" fontId="17" fillId="0" borderId="3" xfId="0" applyNumberFormat="1" applyFont="1" applyBorder="1" applyAlignment="1">
      <alignment horizontal="right" vertical="center" shrinkToFit="1"/>
    </xf>
    <xf numFmtId="1" fontId="17" fillId="0" borderId="4" xfId="0" applyNumberFormat="1" applyFont="1" applyBorder="1" applyAlignment="1">
      <alignment horizontal="right" vertical="center" shrinkToFit="1"/>
    </xf>
    <xf numFmtId="0" fontId="3" fillId="0" borderId="0" xfId="0" applyFont="1" applyAlignment="1">
      <alignment horizontal="left" vertical="top" wrapText="1" indent="26"/>
    </xf>
    <xf numFmtId="0" fontId="9" fillId="0" borderId="0" xfId="0" applyFont="1" applyAlignment="1">
      <alignment horizontal="left" vertical="center" wrapText="1"/>
    </xf>
    <xf numFmtId="0" fontId="9" fillId="0" borderId="0" xfId="0" applyFont="1" applyAlignment="1">
      <alignment horizontal="left" vertical="center" wrapText="1" indent="1"/>
    </xf>
    <xf numFmtId="0" fontId="9" fillId="0" borderId="8" xfId="0" applyFont="1" applyBorder="1" applyAlignment="1">
      <alignment horizontal="left" vertical="center" wrapText="1"/>
    </xf>
    <xf numFmtId="0" fontId="9" fillId="0" borderId="0" xfId="0" applyFont="1" applyAlignment="1">
      <alignment horizontal="left" vertical="top" wrapText="1" indent="1"/>
    </xf>
    <xf numFmtId="0" fontId="3" fillId="0" borderId="0" xfId="0" applyFont="1" applyAlignment="1">
      <alignment horizontal="left" vertical="top" wrapText="1" indent="19"/>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0" fillId="0" borderId="3" xfId="0" applyBorder="1" applyAlignment="1">
      <alignment horizontal="left" vertical="top" wrapText="1" indent="5"/>
    </xf>
    <xf numFmtId="0" fontId="0" fillId="0" borderId="4" xfId="0" applyBorder="1" applyAlignment="1">
      <alignment horizontal="left" vertical="top" wrapText="1" indent="5"/>
    </xf>
    <xf numFmtId="0" fontId="9" fillId="0" borderId="3" xfId="0" applyFont="1" applyBorder="1" applyAlignment="1">
      <alignment horizontal="left" vertical="center" wrapText="1" indent="2"/>
    </xf>
    <xf numFmtId="0" fontId="9" fillId="0" borderId="4" xfId="0" applyFont="1" applyBorder="1" applyAlignment="1">
      <alignment horizontal="left" vertical="center" wrapText="1" indent="2"/>
    </xf>
    <xf numFmtId="0" fontId="8" fillId="0" borderId="0" xfId="0" applyFont="1" applyAlignment="1">
      <alignment horizontal="left" vertical="center" wrapText="1"/>
    </xf>
    <xf numFmtId="0" fontId="8" fillId="0" borderId="0" xfId="0" applyFont="1" applyAlignment="1">
      <alignment horizontal="right" vertical="top" wrapText="1"/>
    </xf>
    <xf numFmtId="0" fontId="5" fillId="0" borderId="0" xfId="0" applyFont="1" applyAlignment="1">
      <alignment horizontal="left" vertical="top" wrapText="1" indent="1"/>
    </xf>
    <xf numFmtId="0" fontId="0" fillId="0" borderId="6" xfId="0" applyBorder="1" applyAlignment="1">
      <alignment horizontal="left"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0" fillId="0" borderId="3" xfId="0" applyBorder="1" applyAlignment="1">
      <alignment horizontal="right" vertical="top" wrapText="1"/>
    </xf>
    <xf numFmtId="0" fontId="0" fillId="0" borderId="4" xfId="0" applyBorder="1" applyAlignment="1">
      <alignment horizontal="right" vertical="top" wrapText="1"/>
    </xf>
    <xf numFmtId="1" fontId="11" fillId="0" borderId="3" xfId="0" applyNumberFormat="1" applyFont="1" applyBorder="1" applyAlignment="1">
      <alignment horizontal="right" vertical="top" shrinkToFit="1"/>
    </xf>
    <xf numFmtId="1" fontId="11" fillId="0" borderId="4" xfId="0" applyNumberFormat="1" applyFont="1" applyBorder="1" applyAlignment="1">
      <alignment horizontal="right" vertical="top" shrinkToFit="1"/>
    </xf>
    <xf numFmtId="0" fontId="9" fillId="0" borderId="8" xfId="0" applyFont="1" applyBorder="1" applyAlignment="1">
      <alignment horizontal="left" vertical="top" wrapText="1" indent="1"/>
    </xf>
    <xf numFmtId="0" fontId="5" fillId="0" borderId="0" xfId="0" applyFont="1" applyAlignment="1">
      <alignment horizontal="center" vertical="center" wrapText="1"/>
    </xf>
    <xf numFmtId="0" fontId="9" fillId="0" borderId="0" xfId="0" applyFont="1" applyAlignment="1">
      <alignment horizontal="left" vertical="top" wrapText="1" indent="12"/>
    </xf>
    <xf numFmtId="0" fontId="23" fillId="0" borderId="0" xfId="0" applyFont="1" applyAlignment="1">
      <alignment horizontal="left" vertical="top" wrapText="1" indent="1"/>
    </xf>
    <xf numFmtId="0" fontId="3" fillId="0" borderId="0" xfId="0" applyFont="1" applyAlignment="1">
      <alignment horizontal="left" vertical="top" wrapText="1" indent="22"/>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1" fontId="11" fillId="0" borderId="3" xfId="0" applyNumberFormat="1" applyFont="1" applyBorder="1" applyAlignment="1">
      <alignment horizontal="center" vertical="top" shrinkToFit="1"/>
    </xf>
    <xf numFmtId="1" fontId="11" fillId="0" borderId="4" xfId="0" applyNumberFormat="1" applyFont="1" applyBorder="1" applyAlignment="1">
      <alignment horizontal="center" vertical="top" shrinkToFit="1"/>
    </xf>
    <xf numFmtId="0" fontId="9" fillId="0" borderId="8" xfId="0" applyFont="1" applyBorder="1" applyAlignment="1">
      <alignment horizontal="left" vertical="center" wrapText="1" indent="1"/>
    </xf>
    <xf numFmtId="0" fontId="27" fillId="0" borderId="0" xfId="0" applyFont="1" applyAlignment="1">
      <alignment horizontal="left" vertical="center" wrapText="1"/>
    </xf>
    <xf numFmtId="0" fontId="5" fillId="0" borderId="5" xfId="0" applyFont="1" applyBorder="1" applyAlignment="1">
      <alignment horizontal="left" wrapText="1"/>
    </xf>
    <xf numFmtId="0" fontId="1" fillId="0" borderId="0" xfId="0" applyFont="1" applyAlignment="1">
      <alignment horizontal="left" vertical="top" wrapText="1" indent="23"/>
    </xf>
    <xf numFmtId="0" fontId="3" fillId="5" borderId="1" xfId="0" applyFont="1" applyFill="1" applyBorder="1" applyAlignment="1">
      <alignment horizontal="left" vertical="top" wrapText="1"/>
    </xf>
    <xf numFmtId="0" fontId="9" fillId="0" borderId="7" xfId="0" applyFont="1" applyBorder="1" applyAlignment="1">
      <alignment horizontal="center" vertical="top" wrapText="1"/>
    </xf>
    <xf numFmtId="1" fontId="10" fillId="0" borderId="3" xfId="0" applyNumberFormat="1" applyFont="1" applyBorder="1" applyAlignment="1">
      <alignment horizontal="center" vertical="top" shrinkToFit="1"/>
    </xf>
    <xf numFmtId="1" fontId="10" fillId="0" borderId="7" xfId="0" applyNumberFormat="1" applyFont="1" applyBorder="1" applyAlignment="1">
      <alignment horizontal="center" vertical="top" shrinkToFit="1"/>
    </xf>
    <xf numFmtId="1" fontId="10" fillId="0" borderId="4" xfId="0" applyNumberFormat="1" applyFont="1" applyBorder="1" applyAlignment="1">
      <alignment horizontal="center" vertical="top" shrinkToFit="1"/>
    </xf>
    <xf numFmtId="1" fontId="11" fillId="26" borderId="3" xfId="0" applyNumberFormat="1" applyFont="1" applyFill="1" applyBorder="1" applyAlignment="1">
      <alignment horizontal="center" vertical="top" shrinkToFit="1"/>
    </xf>
    <xf numFmtId="1" fontId="11" fillId="26" borderId="7" xfId="0" applyNumberFormat="1" applyFont="1" applyFill="1" applyBorder="1" applyAlignment="1">
      <alignment horizontal="center" vertical="top" shrinkToFit="1"/>
    </xf>
    <xf numFmtId="1" fontId="11" fillId="26" borderId="4" xfId="0" applyNumberFormat="1" applyFont="1" applyFill="1" applyBorder="1" applyAlignment="1">
      <alignment horizontal="center" vertical="top" shrinkToFit="1"/>
    </xf>
    <xf numFmtId="1" fontId="10" fillId="0" borderId="3" xfId="0" applyNumberFormat="1" applyFont="1" applyBorder="1" applyAlignment="1">
      <alignment horizontal="center" vertical="center" shrinkToFit="1"/>
    </xf>
    <xf numFmtId="1" fontId="10" fillId="0" borderId="7" xfId="0" applyNumberFormat="1" applyFont="1" applyBorder="1" applyAlignment="1">
      <alignment horizontal="center" vertical="center" shrinkToFit="1"/>
    </xf>
    <xf numFmtId="1" fontId="10" fillId="0" borderId="4" xfId="0" applyNumberFormat="1" applyFont="1" applyBorder="1" applyAlignment="1">
      <alignment horizontal="center" vertical="center" shrinkToFit="1"/>
    </xf>
    <xf numFmtId="1" fontId="11" fillId="26" borderId="3" xfId="0" applyNumberFormat="1" applyFont="1" applyFill="1" applyBorder="1" applyAlignment="1">
      <alignment horizontal="center" vertical="center" shrinkToFit="1"/>
    </xf>
    <xf numFmtId="1" fontId="11" fillId="26" borderId="7" xfId="0" applyNumberFormat="1" applyFont="1" applyFill="1" applyBorder="1" applyAlignment="1">
      <alignment horizontal="center" vertical="center" shrinkToFit="1"/>
    </xf>
    <xf numFmtId="1" fontId="11" fillId="26" borderId="4" xfId="0" applyNumberFormat="1" applyFont="1" applyFill="1" applyBorder="1" applyAlignment="1">
      <alignment horizontal="center" vertical="center" shrinkToFit="1"/>
    </xf>
    <xf numFmtId="0" fontId="0" fillId="0" borderId="35" xfId="0" applyBorder="1" applyAlignment="1">
      <alignment horizontal="left" wrapText="1"/>
    </xf>
    <xf numFmtId="1" fontId="11" fillId="0" borderId="7" xfId="0" applyNumberFormat="1" applyFont="1" applyBorder="1" applyAlignment="1">
      <alignment horizontal="center" vertical="top" shrinkToFit="1"/>
    </xf>
    <xf numFmtId="0" fontId="9" fillId="26" borderId="3" xfId="0" applyFont="1" applyFill="1" applyBorder="1" applyAlignment="1">
      <alignment horizontal="left" vertical="top" wrapText="1" indent="5"/>
    </xf>
    <xf numFmtId="0" fontId="9" fillId="26" borderId="7" xfId="0" applyFont="1" applyFill="1" applyBorder="1" applyAlignment="1">
      <alignment horizontal="left" vertical="top" wrapText="1" indent="5"/>
    </xf>
    <xf numFmtId="0" fontId="9" fillId="26" borderId="4" xfId="0" applyFont="1" applyFill="1" applyBorder="1" applyAlignment="1">
      <alignment horizontal="left" vertical="top" wrapText="1" indent="5"/>
    </xf>
    <xf numFmtId="0" fontId="1" fillId="0" borderId="1" xfId="0" applyFont="1" applyBorder="1" applyAlignment="1">
      <alignment horizontal="center" vertical="top" wrapText="1"/>
    </xf>
    <xf numFmtId="0" fontId="9" fillId="0" borderId="3" xfId="0" applyFont="1" applyBorder="1" applyAlignment="1">
      <alignment horizontal="left" vertical="top" wrapText="1" indent="5"/>
    </xf>
    <xf numFmtId="0" fontId="9" fillId="0" borderId="7" xfId="0" applyFont="1" applyBorder="1" applyAlignment="1">
      <alignment horizontal="left" vertical="top" wrapText="1" indent="5"/>
    </xf>
    <xf numFmtId="0" fontId="9" fillId="0" borderId="4" xfId="0" applyFont="1" applyBorder="1" applyAlignment="1">
      <alignment horizontal="left" vertical="top" wrapText="1" indent="5"/>
    </xf>
    <xf numFmtId="0" fontId="9" fillId="0" borderId="3" xfId="0" applyFont="1" applyBorder="1" applyAlignment="1">
      <alignment horizontal="left" vertical="top" wrapText="1" indent="2"/>
    </xf>
    <xf numFmtId="0" fontId="9" fillId="0" borderId="7" xfId="0" applyFont="1" applyBorder="1" applyAlignment="1">
      <alignment horizontal="left" vertical="top" wrapText="1" indent="2"/>
    </xf>
    <xf numFmtId="0" fontId="9" fillId="0" borderId="4" xfId="0" applyFont="1" applyBorder="1" applyAlignment="1">
      <alignment horizontal="left" vertical="top" wrapText="1" indent="2"/>
    </xf>
    <xf numFmtId="0" fontId="9" fillId="26" borderId="3" xfId="0" applyFont="1" applyFill="1" applyBorder="1" applyAlignment="1">
      <alignment horizontal="center" vertical="top" wrapText="1"/>
    </xf>
    <xf numFmtId="0" fontId="9" fillId="26" borderId="7" xfId="0" applyFont="1" applyFill="1" applyBorder="1" applyAlignment="1">
      <alignment horizontal="center" vertical="top" wrapText="1"/>
    </xf>
    <xf numFmtId="0" fontId="9" fillId="26" borderId="4" xfId="0" applyFont="1" applyFill="1" applyBorder="1" applyAlignment="1">
      <alignment horizontal="center"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1" fillId="0" borderId="0" xfId="0" applyFont="1" applyAlignment="1">
      <alignment horizontal="left" vertical="top" wrapText="1" indent="15"/>
    </xf>
    <xf numFmtId="0" fontId="3" fillId="29" borderId="0" xfId="0" applyFont="1" applyFill="1" applyAlignment="1">
      <alignment horizontal="left" vertical="top" wrapText="1" indent="20"/>
    </xf>
    <xf numFmtId="0" fontId="0" fillId="0" borderId="0" xfId="0" applyNumberFormat="1" applyAlignment="1">
      <alignment horizontal="left" vertical="top"/>
    </xf>
    <xf numFmtId="181" fontId="0" fillId="0" borderId="0" xfId="0" applyNumberFormat="1" applyAlignment="1">
      <alignment horizontal="left" vertical="top"/>
    </xf>
    <xf numFmtId="182" fontId="0" fillId="0" borderId="0" xfId="0" applyNumberFormat="1" applyAlignment="1">
      <alignment horizontal="left" vertical="top"/>
    </xf>
  </cellXfs>
  <cellStyles count="2">
    <cellStyle name="Normal" xfId="0" builtinId="0"/>
    <cellStyle name="Percent" xfId="1" builtinId="5"/>
  </cellStyles>
  <dxfs count="14">
    <dxf>
      <font>
        <color rgb="FFFF0000"/>
      </font>
      <fill>
        <patternFill>
          <bgColor rgb="FFFFFF00"/>
        </patternFill>
      </fill>
    </dxf>
    <dxf>
      <font>
        <color rgb="FFFF0000"/>
      </font>
      <fill>
        <patternFill>
          <bgColor rgb="FFFFFF00"/>
        </patternFill>
      </fill>
    </dxf>
    <dxf>
      <fill>
        <patternFill>
          <bgColor rgb="FF00B0F0"/>
        </patternFill>
      </fill>
    </dxf>
    <dxf>
      <font>
        <b/>
        <i val="0"/>
        <color rgb="FF7030A0"/>
      </font>
    </dxf>
    <dxf>
      <font>
        <color rgb="FF9C6500"/>
      </font>
      <fill>
        <patternFill>
          <bgColor rgb="FFFFEB9C"/>
        </patternFill>
      </fill>
    </dxf>
    <dxf>
      <fill>
        <patternFill>
          <bgColor rgb="FF00B050"/>
        </patternFill>
      </fill>
    </dxf>
    <dxf>
      <fill>
        <patternFill>
          <bgColor rgb="FF00B050"/>
        </patternFill>
      </fill>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CE9D9"/>
        </patternFill>
      </fill>
      <alignment horizontal="general" vertical="top" textRotation="0" wrapText="0" indent="0" justifyLastLine="0" shrinkToFit="1"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5" formatCode="dd\-mm\-yyyy;@"/>
      <fill>
        <patternFill patternType="solid">
          <fgColor indexed="64"/>
          <bgColor rgb="FFFCE9D9"/>
        </patternFill>
      </fill>
      <alignment horizontal="general" vertical="top" textRotation="0" wrapText="0" indent="0" justifyLastLine="0" shrinkToFit="1"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auto="1"/>
        <name val="Calibri"/>
        <scheme val="none"/>
      </font>
      <fill>
        <patternFill patternType="solid">
          <fgColor indexed="64"/>
          <bgColor rgb="FFFCE9D9"/>
        </patternFill>
      </fill>
      <alignment horizontal="general" vertical="top" textRotation="0" wrapText="1" indent="0" justifyLastLine="0" shrinkToFit="0" readingOrder="0"/>
      <border diagonalUp="0" diagonalDown="0">
        <left/>
        <right/>
        <top style="thin">
          <color rgb="FF000000"/>
        </top>
        <bottom style="thin">
          <color rgb="FF000000"/>
        </bottom>
        <vertical/>
        <horizontal/>
      </border>
    </dxf>
    <dxf>
      <border outline="0">
        <top style="thin">
          <color rgb="FF000000"/>
        </top>
      </border>
    </dxf>
    <dxf>
      <border outline="0">
        <left style="thin">
          <color rgb="FF000000"/>
        </lef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auto="1"/>
        <name val="Calibri"/>
        <scheme val="none"/>
      </font>
      <fill>
        <patternFill patternType="solid">
          <fgColor indexed="64"/>
          <bgColor rgb="FFFFFF00"/>
        </patternFill>
      </fil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4.xml"/><Relationship Id="rId21" Type="http://schemas.openxmlformats.org/officeDocument/2006/relationships/worksheet" Target="worksheets/sheet21.xml"/><Relationship Id="rId34" Type="http://schemas.openxmlformats.org/officeDocument/2006/relationships/pivotCacheDefinition" Target="pivotCache/pivotCacheDefinition3.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1.xml"/><Relationship Id="rId37" Type="http://schemas.microsoft.com/office/2007/relationships/slicerCache" Target="slicerCaches/slicerCache2.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4.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2.xml"/><Relationship Id="rId38"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oneCellAnchor>
    <xdr:from>
      <xdr:col>0</xdr:col>
      <xdr:colOff>896416</xdr:colOff>
      <xdr:row>42</xdr:row>
      <xdr:rowOff>140207</xdr:rowOff>
    </xdr:from>
    <xdr:ext cx="5772785" cy="36830"/>
    <xdr:sp macro="" textlink="">
      <xdr:nvSpPr>
        <xdr:cNvPr id="2" name="Shape 2">
          <a:extLst>
            <a:ext uri="{FF2B5EF4-FFF2-40B4-BE49-F238E27FC236}">
              <a16:creationId xmlns:a16="http://schemas.microsoft.com/office/drawing/2014/main" id="{00000000-0008-0000-0100-000002000000}"/>
            </a:ext>
          </a:extLst>
        </xdr:cNvPr>
        <xdr:cNvSpPr/>
      </xdr:nvSpPr>
      <xdr:spPr>
        <a:xfrm>
          <a:off x="896416" y="140207"/>
          <a:ext cx="5772785" cy="36830"/>
        </a:xfrm>
        <a:custGeom>
          <a:avLst/>
          <a:gdLst/>
          <a:ahLst/>
          <a:cxnLst/>
          <a:rect l="0" t="0" r="0" b="0"/>
          <a:pathLst>
            <a:path w="5772785" h="36830">
              <a:moveTo>
                <a:pt x="5772277" y="0"/>
              </a:moveTo>
              <a:lnTo>
                <a:pt x="0" y="0"/>
              </a:lnTo>
              <a:lnTo>
                <a:pt x="0" y="36575"/>
              </a:lnTo>
              <a:lnTo>
                <a:pt x="5772277" y="36575"/>
              </a:lnTo>
              <a:lnTo>
                <a:pt x="5772277" y="0"/>
              </a:lnTo>
              <a:close/>
            </a:path>
          </a:pathLst>
        </a:custGeom>
        <a:solidFill>
          <a:srgbClr val="612322"/>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3047</xdr:colOff>
      <xdr:row>36</xdr:row>
      <xdr:rowOff>192023</xdr:rowOff>
    </xdr:from>
    <xdr:ext cx="3116580" cy="6350"/>
    <xdr:sp macro="" textlink="">
      <xdr:nvSpPr>
        <xdr:cNvPr id="3" name="Shape 3">
          <a:extLst>
            <a:ext uri="{FF2B5EF4-FFF2-40B4-BE49-F238E27FC236}">
              <a16:creationId xmlns:a16="http://schemas.microsoft.com/office/drawing/2014/main" id="{00000000-0008-0000-0400-000003000000}"/>
            </a:ext>
          </a:extLst>
        </xdr:cNvPr>
        <xdr:cNvSpPr/>
      </xdr:nvSpPr>
      <xdr:spPr>
        <a:xfrm>
          <a:off x="0" y="0"/>
          <a:ext cx="3116580" cy="6350"/>
        </a:xfrm>
        <a:custGeom>
          <a:avLst/>
          <a:gdLst/>
          <a:ahLst/>
          <a:cxnLst/>
          <a:rect l="0" t="0" r="0" b="0"/>
          <a:pathLst>
            <a:path w="3116580" h="6350">
              <a:moveTo>
                <a:pt x="1082649" y="0"/>
              </a:moveTo>
              <a:lnTo>
                <a:pt x="0" y="0"/>
              </a:lnTo>
              <a:lnTo>
                <a:pt x="0" y="6096"/>
              </a:lnTo>
              <a:lnTo>
                <a:pt x="1082649" y="6096"/>
              </a:lnTo>
              <a:lnTo>
                <a:pt x="1082649" y="0"/>
              </a:lnTo>
              <a:close/>
            </a:path>
            <a:path w="3116580" h="6350">
              <a:moveTo>
                <a:pt x="2021763" y="0"/>
              </a:moveTo>
              <a:lnTo>
                <a:pt x="1088771" y="0"/>
              </a:lnTo>
              <a:lnTo>
                <a:pt x="1088771" y="6096"/>
              </a:lnTo>
              <a:lnTo>
                <a:pt x="2021763" y="6096"/>
              </a:lnTo>
              <a:lnTo>
                <a:pt x="2021763" y="0"/>
              </a:lnTo>
              <a:close/>
            </a:path>
            <a:path w="3116580" h="6350">
              <a:moveTo>
                <a:pt x="2610281" y="0"/>
              </a:moveTo>
              <a:lnTo>
                <a:pt x="2027809" y="0"/>
              </a:lnTo>
              <a:lnTo>
                <a:pt x="2027809" y="6096"/>
              </a:lnTo>
              <a:lnTo>
                <a:pt x="2610281" y="6096"/>
              </a:lnTo>
              <a:lnTo>
                <a:pt x="2610281" y="0"/>
              </a:lnTo>
              <a:close/>
            </a:path>
            <a:path w="3116580" h="6350">
              <a:moveTo>
                <a:pt x="3116326" y="0"/>
              </a:moveTo>
              <a:lnTo>
                <a:pt x="2616454" y="0"/>
              </a:lnTo>
              <a:lnTo>
                <a:pt x="2616454" y="6096"/>
              </a:lnTo>
              <a:lnTo>
                <a:pt x="3116326" y="6096"/>
              </a:lnTo>
              <a:lnTo>
                <a:pt x="3116326" y="0"/>
              </a:lnTo>
              <a:close/>
            </a:path>
          </a:pathLst>
        </a:custGeom>
        <a:solidFill>
          <a:srgbClr val="000000"/>
        </a:solidFill>
      </xdr:spPr>
    </xdr:sp>
    <xdr:clientData/>
  </xdr:oneCellAnchor>
  <xdr:oneCellAnchor>
    <xdr:from>
      <xdr:col>4</xdr:col>
      <xdr:colOff>3047</xdr:colOff>
      <xdr:row>52</xdr:row>
      <xdr:rowOff>192023</xdr:rowOff>
    </xdr:from>
    <xdr:ext cx="3116580" cy="6350"/>
    <xdr:sp macro="" textlink="">
      <xdr:nvSpPr>
        <xdr:cNvPr id="4" name="Shape 3">
          <a:extLst>
            <a:ext uri="{FF2B5EF4-FFF2-40B4-BE49-F238E27FC236}">
              <a16:creationId xmlns:a16="http://schemas.microsoft.com/office/drawing/2014/main" id="{00000000-0008-0000-0400-000004000000}"/>
            </a:ext>
          </a:extLst>
        </xdr:cNvPr>
        <xdr:cNvSpPr/>
      </xdr:nvSpPr>
      <xdr:spPr>
        <a:xfrm>
          <a:off x="3241547" y="8650223"/>
          <a:ext cx="3116580" cy="6350"/>
        </a:xfrm>
        <a:custGeom>
          <a:avLst/>
          <a:gdLst/>
          <a:ahLst/>
          <a:cxnLst/>
          <a:rect l="0" t="0" r="0" b="0"/>
          <a:pathLst>
            <a:path w="3116580" h="6350">
              <a:moveTo>
                <a:pt x="1082649" y="0"/>
              </a:moveTo>
              <a:lnTo>
                <a:pt x="0" y="0"/>
              </a:lnTo>
              <a:lnTo>
                <a:pt x="0" y="6096"/>
              </a:lnTo>
              <a:lnTo>
                <a:pt x="1082649" y="6096"/>
              </a:lnTo>
              <a:lnTo>
                <a:pt x="1082649" y="0"/>
              </a:lnTo>
              <a:close/>
            </a:path>
            <a:path w="3116580" h="6350">
              <a:moveTo>
                <a:pt x="2021763" y="0"/>
              </a:moveTo>
              <a:lnTo>
                <a:pt x="1088771" y="0"/>
              </a:lnTo>
              <a:lnTo>
                <a:pt x="1088771" y="6096"/>
              </a:lnTo>
              <a:lnTo>
                <a:pt x="2021763" y="6096"/>
              </a:lnTo>
              <a:lnTo>
                <a:pt x="2021763" y="0"/>
              </a:lnTo>
              <a:close/>
            </a:path>
            <a:path w="3116580" h="6350">
              <a:moveTo>
                <a:pt x="2610281" y="0"/>
              </a:moveTo>
              <a:lnTo>
                <a:pt x="2027809" y="0"/>
              </a:lnTo>
              <a:lnTo>
                <a:pt x="2027809" y="6096"/>
              </a:lnTo>
              <a:lnTo>
                <a:pt x="2610281" y="6096"/>
              </a:lnTo>
              <a:lnTo>
                <a:pt x="2610281" y="0"/>
              </a:lnTo>
              <a:close/>
            </a:path>
            <a:path w="3116580" h="6350">
              <a:moveTo>
                <a:pt x="3116326" y="0"/>
              </a:moveTo>
              <a:lnTo>
                <a:pt x="2616454" y="0"/>
              </a:lnTo>
              <a:lnTo>
                <a:pt x="2616454" y="6096"/>
              </a:lnTo>
              <a:lnTo>
                <a:pt x="3116326" y="6096"/>
              </a:lnTo>
              <a:lnTo>
                <a:pt x="3116326"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12</xdr:col>
      <xdr:colOff>498198</xdr:colOff>
      <xdr:row>11</xdr:row>
      <xdr:rowOff>201682</xdr:rowOff>
    </xdr:from>
    <xdr:to>
      <xdr:col>14</xdr:col>
      <xdr:colOff>471693</xdr:colOff>
      <xdr:row>21</xdr:row>
      <xdr:rowOff>187187</xdr:rowOff>
    </xdr:to>
    <mc:AlternateContent xmlns:mc="http://schemas.openxmlformats.org/markup-compatibility/2006" xmlns:a14="http://schemas.microsoft.com/office/drawing/2010/main">
      <mc:Choice Requires="a14">
        <xdr:graphicFrame macro="">
          <xdr:nvGraphicFramePr>
            <xdr:cNvPr id="5" name="Last Name">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microsoft.com/office/drawing/2010/slicer">
              <sle:slicer xmlns:sle="http://schemas.microsoft.com/office/drawing/2010/slicer" name="Last Name"/>
            </a:graphicData>
          </a:graphic>
        </xdr:graphicFrame>
      </mc:Choice>
      <mc:Fallback xmlns="">
        <xdr:sp macro="" textlink="">
          <xdr:nvSpPr>
            <xdr:cNvPr id="0" name=""/>
            <xdr:cNvSpPr>
              <a:spLocks noTextEdit="1"/>
            </xdr:cNvSpPr>
          </xdr:nvSpPr>
          <xdr:spPr>
            <a:xfrm>
              <a:off x="9948655" y="2694747"/>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436908</xdr:colOff>
      <xdr:row>29</xdr:row>
      <xdr:rowOff>5386</xdr:rowOff>
    </xdr:from>
    <xdr:to>
      <xdr:col>14</xdr:col>
      <xdr:colOff>115956</xdr:colOff>
      <xdr:row>35</xdr:row>
      <xdr:rowOff>140805</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9340712" y="6283603"/>
              <a:ext cx="2337766" cy="1228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457200</xdr:colOff>
      <xdr:row>9</xdr:row>
      <xdr:rowOff>133350</xdr:rowOff>
    </xdr:from>
    <xdr:to>
      <xdr:col>21</xdr:col>
      <xdr:colOff>266700</xdr:colOff>
      <xdr:row>19</xdr:row>
      <xdr:rowOff>276225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163675" y="3362325"/>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409575</xdr:colOff>
      <xdr:row>35</xdr:row>
      <xdr:rowOff>19050</xdr:rowOff>
    </xdr:from>
    <xdr:to>
      <xdr:col>11</xdr:col>
      <xdr:colOff>733425</xdr:colOff>
      <xdr:row>45</xdr:row>
      <xdr:rowOff>161925</xdr:rowOff>
    </xdr:to>
    <mc:AlternateContent xmlns:mc="http://schemas.openxmlformats.org/markup-compatibility/2006" xmlns:a14="http://schemas.microsoft.com/office/drawing/2010/main">
      <mc:Choice Requires="a14">
        <xdr:graphicFrame macro="">
          <xdr:nvGraphicFramePr>
            <xdr:cNvPr id="2" name="Date of Sale">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microsoft.com/office/drawing/2010/slicer">
              <sle:slicer xmlns:sle="http://schemas.microsoft.com/office/drawing/2010/slicer" name="Date of Sale"/>
            </a:graphicData>
          </a:graphic>
        </xdr:graphicFrame>
      </mc:Choice>
      <mc:Fallback xmlns="">
        <xdr:sp macro="" textlink="">
          <xdr:nvSpPr>
            <xdr:cNvPr id="0" name=""/>
            <xdr:cNvSpPr>
              <a:spLocks noTextEdit="1"/>
            </xdr:cNvSpPr>
          </xdr:nvSpPr>
          <xdr:spPr>
            <a:xfrm>
              <a:off x="6029325" y="901065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525088</xdr:rowOff>
    </xdr:from>
    <xdr:ext cx="4665980" cy="27940"/>
    <xdr:sp macro="" textlink="">
      <xdr:nvSpPr>
        <xdr:cNvPr id="4" name="Shape 4">
          <a:extLst>
            <a:ext uri="{FF2B5EF4-FFF2-40B4-BE49-F238E27FC236}">
              <a16:creationId xmlns:a16="http://schemas.microsoft.com/office/drawing/2014/main" id="{00000000-0008-0000-1500-000004000000}"/>
            </a:ext>
          </a:extLst>
        </xdr:cNvPr>
        <xdr:cNvSpPr/>
      </xdr:nvSpPr>
      <xdr:spPr>
        <a:xfrm>
          <a:off x="0" y="0"/>
          <a:ext cx="4665980" cy="27940"/>
        </a:xfrm>
        <a:custGeom>
          <a:avLst/>
          <a:gdLst/>
          <a:ahLst/>
          <a:cxnLst/>
          <a:rect l="0" t="0" r="0" b="0"/>
          <a:pathLst>
            <a:path w="4665980" h="27940">
              <a:moveTo>
                <a:pt x="423964" y="18300"/>
              </a:moveTo>
              <a:lnTo>
                <a:pt x="396544" y="18300"/>
              </a:lnTo>
              <a:lnTo>
                <a:pt x="0" y="18300"/>
              </a:lnTo>
              <a:lnTo>
                <a:pt x="0" y="27432"/>
              </a:lnTo>
              <a:lnTo>
                <a:pt x="396544" y="27432"/>
              </a:lnTo>
              <a:lnTo>
                <a:pt x="423964" y="27432"/>
              </a:lnTo>
              <a:lnTo>
                <a:pt x="423964" y="18300"/>
              </a:lnTo>
              <a:close/>
            </a:path>
            <a:path w="4665980" h="27940">
              <a:moveTo>
                <a:pt x="423964" y="0"/>
              </a:moveTo>
              <a:lnTo>
                <a:pt x="396544" y="0"/>
              </a:lnTo>
              <a:lnTo>
                <a:pt x="0" y="0"/>
              </a:lnTo>
              <a:lnTo>
                <a:pt x="0" y="9144"/>
              </a:lnTo>
              <a:lnTo>
                <a:pt x="396544" y="9144"/>
              </a:lnTo>
              <a:lnTo>
                <a:pt x="423964" y="9144"/>
              </a:lnTo>
              <a:lnTo>
                <a:pt x="423964" y="0"/>
              </a:lnTo>
              <a:close/>
            </a:path>
            <a:path w="4665980" h="27940">
              <a:moveTo>
                <a:pt x="1299057" y="18300"/>
              </a:moveTo>
              <a:lnTo>
                <a:pt x="423976" y="18300"/>
              </a:lnTo>
              <a:lnTo>
                <a:pt x="423976" y="27432"/>
              </a:lnTo>
              <a:lnTo>
                <a:pt x="1299057" y="27432"/>
              </a:lnTo>
              <a:lnTo>
                <a:pt x="1299057" y="18300"/>
              </a:lnTo>
              <a:close/>
            </a:path>
            <a:path w="4665980" h="27940">
              <a:moveTo>
                <a:pt x="1299057" y="0"/>
              </a:moveTo>
              <a:lnTo>
                <a:pt x="423976" y="0"/>
              </a:lnTo>
              <a:lnTo>
                <a:pt x="423976" y="9144"/>
              </a:lnTo>
              <a:lnTo>
                <a:pt x="1299057" y="9144"/>
              </a:lnTo>
              <a:lnTo>
                <a:pt x="1299057" y="0"/>
              </a:lnTo>
              <a:close/>
            </a:path>
            <a:path w="4665980" h="27940">
              <a:moveTo>
                <a:pt x="1326502" y="18300"/>
              </a:moveTo>
              <a:lnTo>
                <a:pt x="1299070" y="18300"/>
              </a:lnTo>
              <a:lnTo>
                <a:pt x="1299070" y="27432"/>
              </a:lnTo>
              <a:lnTo>
                <a:pt x="1326502" y="27432"/>
              </a:lnTo>
              <a:lnTo>
                <a:pt x="1326502" y="18300"/>
              </a:lnTo>
              <a:close/>
            </a:path>
            <a:path w="4665980" h="27940">
              <a:moveTo>
                <a:pt x="1326502" y="0"/>
              </a:moveTo>
              <a:lnTo>
                <a:pt x="1299070" y="0"/>
              </a:lnTo>
              <a:lnTo>
                <a:pt x="1299070" y="9144"/>
              </a:lnTo>
              <a:lnTo>
                <a:pt x="1326502" y="9144"/>
              </a:lnTo>
              <a:lnTo>
                <a:pt x="1326502" y="0"/>
              </a:lnTo>
              <a:close/>
            </a:path>
            <a:path w="4665980" h="27940">
              <a:moveTo>
                <a:pt x="2582849" y="18300"/>
              </a:moveTo>
              <a:lnTo>
                <a:pt x="2033905" y="18300"/>
              </a:lnTo>
              <a:lnTo>
                <a:pt x="2006523" y="18300"/>
              </a:lnTo>
              <a:lnTo>
                <a:pt x="1326515" y="18300"/>
              </a:lnTo>
              <a:lnTo>
                <a:pt x="1326515" y="27432"/>
              </a:lnTo>
              <a:lnTo>
                <a:pt x="2006473" y="27432"/>
              </a:lnTo>
              <a:lnTo>
                <a:pt x="2033905" y="27432"/>
              </a:lnTo>
              <a:lnTo>
                <a:pt x="2582849" y="27432"/>
              </a:lnTo>
              <a:lnTo>
                <a:pt x="2582849" y="18300"/>
              </a:lnTo>
              <a:close/>
            </a:path>
            <a:path w="4665980" h="27940">
              <a:moveTo>
                <a:pt x="2582849" y="0"/>
              </a:moveTo>
              <a:lnTo>
                <a:pt x="2033905" y="0"/>
              </a:lnTo>
              <a:lnTo>
                <a:pt x="2006523" y="0"/>
              </a:lnTo>
              <a:lnTo>
                <a:pt x="1326515" y="0"/>
              </a:lnTo>
              <a:lnTo>
                <a:pt x="1326515" y="9144"/>
              </a:lnTo>
              <a:lnTo>
                <a:pt x="2006473" y="9144"/>
              </a:lnTo>
              <a:lnTo>
                <a:pt x="2033905" y="9144"/>
              </a:lnTo>
              <a:lnTo>
                <a:pt x="2582849" y="9144"/>
              </a:lnTo>
              <a:lnTo>
                <a:pt x="2582849" y="0"/>
              </a:lnTo>
              <a:close/>
            </a:path>
            <a:path w="4665980" h="27940">
              <a:moveTo>
                <a:pt x="4665523" y="18300"/>
              </a:moveTo>
              <a:lnTo>
                <a:pt x="4665523" y="18300"/>
              </a:lnTo>
              <a:lnTo>
                <a:pt x="2582926" y="18300"/>
              </a:lnTo>
              <a:lnTo>
                <a:pt x="2582926" y="27432"/>
              </a:lnTo>
              <a:lnTo>
                <a:pt x="4665523" y="27432"/>
              </a:lnTo>
              <a:lnTo>
                <a:pt x="4665523" y="18300"/>
              </a:lnTo>
              <a:close/>
            </a:path>
            <a:path w="4665980" h="27940">
              <a:moveTo>
                <a:pt x="4665523" y="0"/>
              </a:moveTo>
              <a:lnTo>
                <a:pt x="4665523" y="0"/>
              </a:lnTo>
              <a:lnTo>
                <a:pt x="2582926" y="0"/>
              </a:lnTo>
              <a:lnTo>
                <a:pt x="2582926" y="9144"/>
              </a:lnTo>
              <a:lnTo>
                <a:pt x="4665523" y="9144"/>
              </a:lnTo>
              <a:lnTo>
                <a:pt x="4665523" y="0"/>
              </a:lnTo>
              <a:close/>
            </a:path>
          </a:pathLst>
        </a:custGeom>
        <a:solidFill>
          <a:srgbClr val="000000"/>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3048</xdr:colOff>
      <xdr:row>23</xdr:row>
      <xdr:rowOff>192036</xdr:rowOff>
    </xdr:from>
    <xdr:ext cx="3714115" cy="6350"/>
    <xdr:sp macro="" textlink="">
      <xdr:nvSpPr>
        <xdr:cNvPr id="5" name="Shape 5">
          <a:extLst>
            <a:ext uri="{FF2B5EF4-FFF2-40B4-BE49-F238E27FC236}">
              <a16:creationId xmlns:a16="http://schemas.microsoft.com/office/drawing/2014/main" id="{00000000-0008-0000-1900-000005000000}"/>
            </a:ext>
          </a:extLst>
        </xdr:cNvPr>
        <xdr:cNvSpPr/>
      </xdr:nvSpPr>
      <xdr:spPr>
        <a:xfrm>
          <a:off x="0" y="0"/>
          <a:ext cx="3714115" cy="6350"/>
        </a:xfrm>
        <a:custGeom>
          <a:avLst/>
          <a:gdLst/>
          <a:ahLst/>
          <a:cxnLst/>
          <a:rect l="0" t="0" r="0" b="0"/>
          <a:pathLst>
            <a:path w="3714115" h="6350">
              <a:moveTo>
                <a:pt x="1054912" y="0"/>
              </a:moveTo>
              <a:lnTo>
                <a:pt x="6096" y="0"/>
              </a:lnTo>
              <a:lnTo>
                <a:pt x="0" y="0"/>
              </a:lnTo>
              <a:lnTo>
                <a:pt x="0" y="6083"/>
              </a:lnTo>
              <a:lnTo>
                <a:pt x="6096" y="6083"/>
              </a:lnTo>
              <a:lnTo>
                <a:pt x="1054912" y="6083"/>
              </a:lnTo>
              <a:lnTo>
                <a:pt x="1054912" y="0"/>
              </a:lnTo>
              <a:close/>
            </a:path>
            <a:path w="3714115" h="6350">
              <a:moveTo>
                <a:pt x="2439403" y="0"/>
              </a:moveTo>
              <a:lnTo>
                <a:pt x="1061085" y="0"/>
              </a:lnTo>
              <a:lnTo>
                <a:pt x="1054989" y="0"/>
              </a:lnTo>
              <a:lnTo>
                <a:pt x="1054989" y="6083"/>
              </a:lnTo>
              <a:lnTo>
                <a:pt x="1061085" y="6083"/>
              </a:lnTo>
              <a:lnTo>
                <a:pt x="2439403" y="6083"/>
              </a:lnTo>
              <a:lnTo>
                <a:pt x="2439403" y="0"/>
              </a:lnTo>
              <a:close/>
            </a:path>
            <a:path w="3714115" h="6350">
              <a:moveTo>
                <a:pt x="2451468" y="0"/>
              </a:moveTo>
              <a:lnTo>
                <a:pt x="2445385" y="0"/>
              </a:lnTo>
              <a:lnTo>
                <a:pt x="2445385" y="6083"/>
              </a:lnTo>
              <a:lnTo>
                <a:pt x="2451468" y="6083"/>
              </a:lnTo>
              <a:lnTo>
                <a:pt x="2451468" y="0"/>
              </a:lnTo>
              <a:close/>
            </a:path>
            <a:path w="3714115" h="6350">
              <a:moveTo>
                <a:pt x="3713962" y="0"/>
              </a:moveTo>
              <a:lnTo>
                <a:pt x="2451481" y="0"/>
              </a:lnTo>
              <a:lnTo>
                <a:pt x="2451481" y="6083"/>
              </a:lnTo>
              <a:lnTo>
                <a:pt x="3713962" y="6083"/>
              </a:lnTo>
              <a:lnTo>
                <a:pt x="3713962" y="0"/>
              </a:lnTo>
              <a:close/>
            </a:path>
          </a:pathLst>
        </a:custGeom>
        <a:solidFill>
          <a:srgbClr val="000000"/>
        </a:solidFill>
      </xdr:spPr>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89.621641782411" createdVersion="6" refreshedVersion="6" minRefreshableVersion="3" recordCount="18" xr:uid="{00000000-000A-0000-FFFF-FFFF00000000}">
  <cacheSource type="worksheet">
    <worksheetSource ref="A30:C48" sheet="Table 18"/>
  </cacheSource>
  <cacheFields count="4">
    <cacheField name="Date of Sale" numFmtId="165">
      <sharedItems containsSemiMixedTypes="0" containsNonDate="0" containsDate="1" containsString="0" minDate="2018-01-12T00:00:00" maxDate="2018-03-01T00:00:00" count="13">
        <d v="2018-01-19T00:00:00"/>
        <d v="2018-01-16T00:00:00"/>
        <d v="2018-01-22T00:00:00"/>
        <d v="2018-01-12T00:00:00"/>
        <d v="2018-02-05T00:00:00"/>
        <d v="2018-02-02T00:00:00"/>
        <d v="2018-02-13T00:00:00"/>
        <d v="2018-02-15T00:00:00"/>
        <d v="2018-02-09T00:00:00"/>
        <d v="2018-02-22T00:00:00"/>
        <d v="2018-02-26T00:00:00"/>
        <d v="2018-02-27T00:00:00"/>
        <d v="2018-02-28T00:00:00"/>
      </sharedItems>
      <fieldGroup par="3" base="0">
        <rangePr groupBy="days" startDate="2018-01-12T00:00:00" endDate="2018-03-01T00:00:00"/>
        <groupItems count="368">
          <s v="&lt;1/12/2018"/>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018"/>
        </groupItems>
      </fieldGroup>
    </cacheField>
    <cacheField name="Month" numFmtId="0">
      <sharedItems/>
    </cacheField>
    <cacheField name="Sales Amt" numFmtId="0">
      <sharedItems containsMixedTypes="1" containsNumber="1" containsInteger="1" minValue="15106" maxValue="50549" count="16">
        <s v="2,01,440"/>
        <s v="3,52,519"/>
        <s v="1,72,406"/>
        <s v="2,40,000"/>
        <n v="15205"/>
        <n v="24327"/>
        <n v="50549"/>
        <n v="15106"/>
        <n v="19901"/>
        <s v="3,00,000"/>
        <s v="1,50,000"/>
        <s v="3,30,553"/>
        <s v="1,63,282"/>
        <s v="5,64,030"/>
        <s v="5,03,599"/>
        <n v="15218"/>
      </sharedItems>
    </cacheField>
    <cacheField name="Months" numFmtId="0" databaseField="0">
      <fieldGroup base="0">
        <rangePr groupBy="months" startDate="2018-01-12T00:00:00" endDate="2018-03-01T00:00:00"/>
        <groupItems count="14">
          <s v="&lt;1/12/2018"/>
          <s v="Jan"/>
          <s v="Feb"/>
          <s v="Mar"/>
          <s v="Apr"/>
          <s v="May"/>
          <s v="Jun"/>
          <s v="Jul"/>
          <s v="Aug"/>
          <s v="Sep"/>
          <s v="Oct"/>
          <s v="Nov"/>
          <s v="Dec"/>
          <s v="&gt;3/1/2018"/>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89.895367592595" createdVersion="6" refreshedVersion="6" minRefreshableVersion="3" recordCount="30" xr:uid="{00000000-000A-0000-FFFF-FFFF01000000}">
  <cacheSource type="worksheet">
    <worksheetSource ref="B6:F36" sheet="Table 9"/>
  </cacheSource>
  <cacheFields count="5">
    <cacheField name="Product" numFmtId="0">
      <sharedItems count="7">
        <s v="Carrots"/>
        <s v="Broccoli"/>
        <s v="Banana"/>
        <s v="Beans"/>
        <s v="Orange"/>
        <s v="Apple"/>
        <s v="Mango"/>
      </sharedItems>
    </cacheField>
    <cacheField name="Category" numFmtId="0">
      <sharedItems count="2">
        <s v="Vegetables"/>
        <s v="Fruit"/>
      </sharedItems>
    </cacheField>
    <cacheField name="Amount" numFmtId="0">
      <sharedItems containsSemiMixedTypes="0" containsString="0" containsNumber="1" containsInteger="1" minValue="617" maxValue="9062"/>
    </cacheField>
    <cacheField name="Date" numFmtId="165">
      <sharedItems containsSemiMixedTypes="0" containsNonDate="0" containsDate="1" containsString="0" minDate="2016-01-06T00:00:00" maxDate="2016-02-22T00:00:00"/>
    </cacheField>
    <cacheField name="Country" numFmtId="0">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89.900227777776" createdVersion="6" refreshedVersion="6" minRefreshableVersion="3" recordCount="14" xr:uid="{00000000-000A-0000-FFFF-FFFF02000000}">
  <cacheSource type="worksheet">
    <worksheetSource ref="I3:L17" sheet="Table 8"/>
  </cacheSource>
  <cacheFields count="4">
    <cacheField name="Last Name" numFmtId="0">
      <sharedItems count="5">
        <s v="Smith"/>
        <s v="Johnson"/>
        <s v="Williams"/>
        <s v="Jones"/>
        <s v="Brown"/>
      </sharedItems>
    </cacheField>
    <cacheField name="Sales" numFmtId="167">
      <sharedItems containsSemiMixedTypes="0" containsString="0" containsNumber="1" containsInteger="1" minValue="1390" maxValue="19302" count="14">
        <n v="16753"/>
        <n v="14808"/>
        <n v="10644"/>
        <n v="1390"/>
        <n v="4865"/>
        <n v="12438"/>
        <n v="9339"/>
        <n v="18919"/>
        <n v="9213"/>
        <n v="7433"/>
        <n v="3255"/>
        <n v="14867"/>
        <n v="19302"/>
        <n v="9698"/>
      </sharedItems>
    </cacheField>
    <cacheField name="Country" numFmtId="0">
      <sharedItems count="2">
        <s v="UK"/>
        <s v="USA"/>
      </sharedItems>
    </cacheField>
    <cacheField name="Quarter" numFmtId="0">
      <sharedItems count="4">
        <s v="Qtr 3"/>
        <s v="Qtr 4"/>
        <s v="Qtr 2"/>
        <s v="Qtr 1"/>
      </sharedItems>
    </cacheField>
  </cacheFields>
  <extLst>
    <ext xmlns:x14="http://schemas.microsoft.com/office/spreadsheetml/2009/9/main" uri="{725AE2AE-9491-48be-B2B4-4EB974FC3084}">
      <x14:pivotCacheDefinition pivotCacheId="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1.673665972223" createdVersion="6" refreshedVersion="6" minRefreshableVersion="3" recordCount="36" xr:uid="{00000000-000A-0000-FFFF-FFFF03000000}">
  <cacheSource type="worksheet">
    <worksheetSource name="data"/>
  </cacheSource>
  <cacheFields count="5">
    <cacheField name="Season" numFmtId="0">
      <sharedItems count="2">
        <s v="Fall"/>
        <s v="Spring"/>
      </sharedItems>
    </cacheField>
    <cacheField name="Year" numFmtId="1">
      <sharedItems containsSemiMixedTypes="0" containsString="0" containsNumber="1" containsInteger="1" minValue="1998" maxValue="1998" count="1">
        <n v="1998"/>
      </sharedItems>
    </cacheField>
    <cacheField name="Type" numFmtId="0">
      <sharedItems count="6">
        <s v="Amber Ale"/>
        <s v="Hefeweizen"/>
        <s v="Pale Ale"/>
        <s v="Pilsner"/>
        <s v="Porter"/>
        <s v="Stout"/>
      </sharedItems>
    </cacheField>
    <cacheField name="State" numFmtId="0">
      <sharedItems count="3">
        <s v="California"/>
        <s v="Oregon"/>
        <s v="Washington"/>
      </sharedItems>
    </cacheField>
    <cacheField name="Sales " numFmtId="2">
      <sharedItems/>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18">
  <r>
    <x v="0"/>
    <s v="January"/>
    <x v="0"/>
  </r>
  <r>
    <x v="1"/>
    <s v="January"/>
    <x v="1"/>
  </r>
  <r>
    <x v="2"/>
    <s v="January"/>
    <x v="2"/>
  </r>
  <r>
    <x v="3"/>
    <s v="January"/>
    <x v="3"/>
  </r>
  <r>
    <x v="4"/>
    <s v="February"/>
    <x v="4"/>
  </r>
  <r>
    <x v="5"/>
    <s v="February"/>
    <x v="5"/>
  </r>
  <r>
    <x v="6"/>
    <s v="February"/>
    <x v="6"/>
  </r>
  <r>
    <x v="7"/>
    <s v="February"/>
    <x v="7"/>
  </r>
  <r>
    <x v="7"/>
    <s v="February"/>
    <x v="8"/>
  </r>
  <r>
    <x v="8"/>
    <s v="February"/>
    <x v="4"/>
  </r>
  <r>
    <x v="9"/>
    <s v="February"/>
    <x v="9"/>
  </r>
  <r>
    <x v="10"/>
    <s v="February"/>
    <x v="10"/>
  </r>
  <r>
    <x v="10"/>
    <s v="February"/>
    <x v="11"/>
  </r>
  <r>
    <x v="10"/>
    <s v="February"/>
    <x v="12"/>
  </r>
  <r>
    <x v="11"/>
    <s v="February"/>
    <x v="13"/>
  </r>
  <r>
    <x v="12"/>
    <s v="February"/>
    <x v="14"/>
  </r>
  <r>
    <x v="12"/>
    <s v="February"/>
    <x v="15"/>
  </r>
  <r>
    <x v="12"/>
    <s v="February"/>
    <x v="0"/>
  </r>
</pivotCacheRecords>
</file>

<file path=xl/pivotCache/pivotCacheRecords2.xml><?xml version="1.0" encoding="utf-8"?>
<pivotCacheRecords xmlns="http://schemas.openxmlformats.org/spreadsheetml/2006/main" xmlns:r="http://schemas.openxmlformats.org/officeDocument/2006/relationships" count="30">
  <r>
    <x v="0"/>
    <x v="0"/>
    <n v="4270"/>
    <d v="2016-01-06T00:00:00"/>
    <s v="United States"/>
  </r>
  <r>
    <x v="1"/>
    <x v="0"/>
    <n v="8239"/>
    <d v="2016-01-07T00:00:00"/>
    <s v="United Kingdom"/>
  </r>
  <r>
    <x v="2"/>
    <x v="1"/>
    <n v="617"/>
    <d v="2016-01-08T00:00:00"/>
    <s v="United States"/>
  </r>
  <r>
    <x v="2"/>
    <x v="1"/>
    <n v="8384"/>
    <d v="2016-01-10T00:00:00"/>
    <s v="Canada"/>
  </r>
  <r>
    <x v="3"/>
    <x v="0"/>
    <n v="2626"/>
    <d v="2016-01-10T00:00:00"/>
    <s v="Germany"/>
  </r>
  <r>
    <x v="4"/>
    <x v="1"/>
    <n v="3610"/>
    <d v="2016-01-11T00:00:00"/>
    <s v="United States"/>
  </r>
  <r>
    <x v="1"/>
    <x v="0"/>
    <n v="9062"/>
    <d v="2016-01-11T00:00:00"/>
    <s v="Australia"/>
  </r>
  <r>
    <x v="2"/>
    <x v="1"/>
    <n v="6906"/>
    <d v="2016-01-16T00:00:00"/>
    <s v="New Zealand"/>
  </r>
  <r>
    <x v="5"/>
    <x v="1"/>
    <n v="2417"/>
    <d v="2016-01-16T00:00:00"/>
    <s v="France"/>
  </r>
  <r>
    <x v="5"/>
    <x v="1"/>
    <n v="7431"/>
    <d v="2016-01-16T00:00:00"/>
    <s v="Canada"/>
  </r>
  <r>
    <x v="2"/>
    <x v="1"/>
    <n v="8250"/>
    <d v="2016-01-16T00:00:00"/>
    <s v="Germany"/>
  </r>
  <r>
    <x v="1"/>
    <x v="0"/>
    <n v="7012"/>
    <d v="2016-01-18T00:00:00"/>
    <s v="United States"/>
  </r>
  <r>
    <x v="0"/>
    <x v="0"/>
    <n v="1903"/>
    <d v="2016-01-20T00:00:00"/>
    <s v="Germany"/>
  </r>
  <r>
    <x v="1"/>
    <x v="0"/>
    <n v="2824"/>
    <d v="2016-01-22T00:00:00"/>
    <s v="Canada"/>
  </r>
  <r>
    <x v="5"/>
    <x v="1"/>
    <n v="6946"/>
    <d v="2016-01-24T00:00:00"/>
    <s v="France"/>
  </r>
  <r>
    <x v="2"/>
    <x v="1"/>
    <n v="2320"/>
    <d v="2016-01-27T00:00:00"/>
    <s v="United Kingdom"/>
  </r>
  <r>
    <x v="2"/>
    <x v="1"/>
    <n v="2116"/>
    <d v="2016-01-28T00:00:00"/>
    <s v="United States"/>
  </r>
  <r>
    <x v="2"/>
    <x v="1"/>
    <n v="1135"/>
    <d v="2016-01-30T00:00:00"/>
    <s v="United Kingdom"/>
  </r>
  <r>
    <x v="1"/>
    <x v="0"/>
    <n v="3595"/>
    <d v="2016-01-30T00:00:00"/>
    <s v="United Kingdom"/>
  </r>
  <r>
    <x v="5"/>
    <x v="1"/>
    <n v="1161"/>
    <d v="2016-02-02T00:00:00"/>
    <s v="United States"/>
  </r>
  <r>
    <x v="4"/>
    <x v="1"/>
    <n v="2256"/>
    <d v="2016-02-04T00:00:00"/>
    <s v="France"/>
  </r>
  <r>
    <x v="2"/>
    <x v="1"/>
    <n v="1004"/>
    <d v="2016-02-11T00:00:00"/>
    <s v="New Zealand"/>
  </r>
  <r>
    <x v="2"/>
    <x v="1"/>
    <n v="3642"/>
    <d v="2016-02-14T00:00:00"/>
    <s v="Canada"/>
  </r>
  <r>
    <x v="2"/>
    <x v="1"/>
    <n v="4582"/>
    <d v="2016-02-17T00:00:00"/>
    <s v="United States"/>
  </r>
  <r>
    <x v="3"/>
    <x v="0"/>
    <n v="3559"/>
    <d v="2016-02-17T00:00:00"/>
    <s v="United Kingdom"/>
  </r>
  <r>
    <x v="0"/>
    <x v="0"/>
    <n v="5154"/>
    <d v="2016-02-17T00:00:00"/>
    <s v="Australia"/>
  </r>
  <r>
    <x v="6"/>
    <x v="1"/>
    <n v="7388"/>
    <d v="2016-02-18T00:00:00"/>
    <s v="France"/>
  </r>
  <r>
    <x v="3"/>
    <x v="0"/>
    <n v="7163"/>
    <d v="2016-02-18T00:00:00"/>
    <s v="United States"/>
  </r>
  <r>
    <x v="3"/>
    <x v="0"/>
    <n v="5101"/>
    <d v="2016-02-20T00:00:00"/>
    <s v="Germany"/>
  </r>
  <r>
    <x v="5"/>
    <x v="1"/>
    <n v="7602"/>
    <d v="2016-02-21T00:00:00"/>
    <s v="France"/>
  </r>
</pivotCacheRecords>
</file>

<file path=xl/pivotCache/pivotCacheRecords3.xml><?xml version="1.0" encoding="utf-8"?>
<pivotCacheRecords xmlns="http://schemas.openxmlformats.org/spreadsheetml/2006/main" xmlns:r="http://schemas.openxmlformats.org/officeDocument/2006/relationships" count="14">
  <r>
    <x v="0"/>
    <x v="0"/>
    <x v="0"/>
    <x v="0"/>
  </r>
  <r>
    <x v="1"/>
    <x v="1"/>
    <x v="1"/>
    <x v="1"/>
  </r>
  <r>
    <x v="2"/>
    <x v="2"/>
    <x v="0"/>
    <x v="2"/>
  </r>
  <r>
    <x v="3"/>
    <x v="3"/>
    <x v="1"/>
    <x v="0"/>
  </r>
  <r>
    <x v="4"/>
    <x v="4"/>
    <x v="1"/>
    <x v="1"/>
  </r>
  <r>
    <x v="2"/>
    <x v="5"/>
    <x v="0"/>
    <x v="3"/>
  </r>
  <r>
    <x v="1"/>
    <x v="6"/>
    <x v="0"/>
    <x v="2"/>
  </r>
  <r>
    <x v="0"/>
    <x v="7"/>
    <x v="1"/>
    <x v="0"/>
  </r>
  <r>
    <x v="3"/>
    <x v="8"/>
    <x v="1"/>
    <x v="1"/>
  </r>
  <r>
    <x v="3"/>
    <x v="9"/>
    <x v="0"/>
    <x v="3"/>
  </r>
  <r>
    <x v="4"/>
    <x v="10"/>
    <x v="1"/>
    <x v="2"/>
  </r>
  <r>
    <x v="2"/>
    <x v="11"/>
    <x v="1"/>
    <x v="0"/>
  </r>
  <r>
    <x v="2"/>
    <x v="12"/>
    <x v="0"/>
    <x v="1"/>
  </r>
  <r>
    <x v="0"/>
    <x v="13"/>
    <x v="1"/>
    <x v="3"/>
  </r>
</pivotCacheRecords>
</file>

<file path=xl/pivotCache/pivotCacheRecords4.xml><?xml version="1.0" encoding="utf-8"?>
<pivotCacheRecords xmlns="http://schemas.openxmlformats.org/spreadsheetml/2006/main" xmlns:r="http://schemas.openxmlformats.org/officeDocument/2006/relationships" count="36">
  <r>
    <x v="0"/>
    <x v="0"/>
    <x v="0"/>
    <x v="0"/>
    <s v="5,54,536"/>
  </r>
  <r>
    <x v="0"/>
    <x v="0"/>
    <x v="1"/>
    <x v="0"/>
    <s v="5,40,643"/>
  </r>
  <r>
    <x v="0"/>
    <x v="0"/>
    <x v="2"/>
    <x v="0"/>
    <s v="5,77,548"/>
  </r>
  <r>
    <x v="0"/>
    <x v="0"/>
    <x v="3"/>
    <x v="0"/>
    <s v="4,55,905"/>
  </r>
  <r>
    <x v="0"/>
    <x v="0"/>
    <x v="4"/>
    <x v="0"/>
    <s v="4,90,871"/>
  </r>
  <r>
    <x v="0"/>
    <x v="0"/>
    <x v="5"/>
    <x v="0"/>
    <s v="4,46,383"/>
  </r>
  <r>
    <x v="0"/>
    <x v="0"/>
    <x v="0"/>
    <x v="1"/>
    <s v="4,57,726"/>
  </r>
  <r>
    <x v="0"/>
    <x v="0"/>
    <x v="1"/>
    <x v="1"/>
    <s v="3,47,696"/>
  </r>
  <r>
    <x v="0"/>
    <x v="0"/>
    <x v="2"/>
    <x v="1"/>
    <s v="3,84,541"/>
  </r>
  <r>
    <x v="0"/>
    <x v="0"/>
    <x v="3"/>
    <x v="1"/>
    <s v="3,86,420"/>
  </r>
  <r>
    <x v="0"/>
    <x v="0"/>
    <x v="4"/>
    <x v="1"/>
    <s v="3,70,970"/>
  </r>
  <r>
    <x v="0"/>
    <x v="0"/>
    <x v="5"/>
    <x v="1"/>
    <s v="4,30,754"/>
  </r>
  <r>
    <x v="0"/>
    <x v="0"/>
    <x v="0"/>
    <x v="2"/>
    <s v="5,00,847"/>
  </r>
  <r>
    <x v="0"/>
    <x v="0"/>
    <x v="1"/>
    <x v="2"/>
    <s v="5,07,070"/>
  </r>
  <r>
    <x v="0"/>
    <x v="0"/>
    <x v="2"/>
    <x v="2"/>
    <s v="4,82,346"/>
  </r>
  <r>
    <x v="0"/>
    <x v="0"/>
    <x v="3"/>
    <x v="2"/>
    <s v="6,08,713"/>
  </r>
  <r>
    <x v="0"/>
    <x v="0"/>
    <x v="4"/>
    <x v="2"/>
    <s v="1,50,000"/>
  </r>
  <r>
    <x v="0"/>
    <x v="0"/>
    <x v="5"/>
    <x v="2"/>
    <s v="5,00,649"/>
  </r>
  <r>
    <x v="1"/>
    <x v="0"/>
    <x v="0"/>
    <x v="0"/>
    <s v="5,45,780"/>
  </r>
  <r>
    <x v="1"/>
    <x v="0"/>
    <x v="1"/>
    <x v="0"/>
    <s v="4,40,644"/>
  </r>
  <r>
    <x v="1"/>
    <x v="0"/>
    <x v="2"/>
    <x v="0"/>
    <s v="5,80,359"/>
  </r>
  <r>
    <x v="1"/>
    <x v="0"/>
    <x v="3"/>
    <x v="0"/>
    <s v="5,36,225"/>
  </r>
  <r>
    <x v="1"/>
    <x v="0"/>
    <x v="4"/>
    <x v="0"/>
    <s v="4,14,908"/>
  </r>
  <r>
    <x v="1"/>
    <x v="0"/>
    <x v="5"/>
    <x v="0"/>
    <s v="3,77,997"/>
  </r>
  <r>
    <x v="1"/>
    <x v="0"/>
    <x v="0"/>
    <x v="1"/>
    <s v="3,31,289"/>
  </r>
  <r>
    <x v="1"/>
    <x v="0"/>
    <x v="1"/>
    <x v="1"/>
    <s v="3,84,572"/>
  </r>
  <r>
    <x v="1"/>
    <x v="0"/>
    <x v="2"/>
    <x v="1"/>
    <s v="3,65,813"/>
  </r>
  <r>
    <x v="1"/>
    <x v="0"/>
    <x v="3"/>
    <x v="1"/>
    <s v="3,96,338"/>
  </r>
  <r>
    <x v="1"/>
    <x v="0"/>
    <x v="4"/>
    <x v="1"/>
    <s v="4,53,761"/>
  </r>
  <r>
    <x v="1"/>
    <x v="0"/>
    <x v="5"/>
    <x v="1"/>
    <s v="3,56,538"/>
  </r>
  <r>
    <x v="1"/>
    <x v="0"/>
    <x v="0"/>
    <x v="2"/>
    <s v="6,06,332"/>
  </r>
  <r>
    <x v="1"/>
    <x v="0"/>
    <x v="1"/>
    <x v="2"/>
    <s v="5,35,218"/>
  </r>
  <r>
    <x v="1"/>
    <x v="0"/>
    <x v="2"/>
    <x v="0"/>
    <s v="4,93,364"/>
  </r>
  <r>
    <x v="1"/>
    <x v="0"/>
    <x v="3"/>
    <x v="2"/>
    <s v="5,59,100"/>
  </r>
  <r>
    <x v="1"/>
    <x v="0"/>
    <x v="4"/>
    <x v="2"/>
    <s v="2,20,350"/>
  </r>
  <r>
    <x v="1"/>
    <x v="0"/>
    <x v="5"/>
    <x v="2"/>
    <s v="4,76,9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quarter"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7:P10" firstHeaderRow="1" firstDataRow="1" firstDataCol="1"/>
  <pivotFields count="4">
    <pivotField showAll="0">
      <items count="6">
        <item x="4"/>
        <item h="1" x="1"/>
        <item h="1" x="3"/>
        <item h="1" x="0"/>
        <item h="1" x="2"/>
        <item t="default"/>
      </items>
    </pivotField>
    <pivotField numFmtId="167" showAll="0">
      <items count="15">
        <item x="3"/>
        <item x="10"/>
        <item x="4"/>
        <item x="9"/>
        <item x="8"/>
        <item x="6"/>
        <item x="13"/>
        <item x="2"/>
        <item x="5"/>
        <item x="1"/>
        <item x="11"/>
        <item x="0"/>
        <item x="7"/>
        <item x="12"/>
        <item t="default"/>
      </items>
    </pivotField>
    <pivotField showAll="0">
      <items count="3">
        <item x="0"/>
        <item x="1"/>
        <item t="default"/>
      </items>
    </pivotField>
    <pivotField axis="axisRow" dataField="1" showAll="0">
      <items count="5">
        <item x="3"/>
        <item x="2"/>
        <item x="0"/>
        <item x="1"/>
        <item t="default"/>
      </items>
    </pivotField>
  </pivotFields>
  <rowFields count="1">
    <field x="3"/>
  </rowFields>
  <rowItems count="3">
    <i>
      <x v="1"/>
    </i>
    <i>
      <x v="3"/>
    </i>
    <i t="grand">
      <x/>
    </i>
  </rowItems>
  <colItems count="1">
    <i/>
  </colItems>
  <dataFields count="1">
    <dataField name="Count of Quarte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0:K39" firstHeaderRow="1" firstDataRow="3" firstDataCol="1"/>
  <pivotFields count="5">
    <pivotField axis="axisRow" showAll="0">
      <items count="3">
        <item h="1" x="0"/>
        <item x="1"/>
        <item t="default"/>
      </items>
    </pivotField>
    <pivotField axis="axisCol" numFmtId="1" showAll="0">
      <items count="2">
        <item x="0"/>
        <item t="default"/>
      </items>
    </pivotField>
    <pivotField axis="axisRow" showAll="0">
      <items count="7">
        <item x="0"/>
        <item x="1"/>
        <item x="2"/>
        <item x="3"/>
        <item x="4"/>
        <item x="5"/>
        <item t="default"/>
      </items>
    </pivotField>
    <pivotField axis="axisCol" showAll="0">
      <items count="4">
        <item h="1" x="0"/>
        <item h="1" x="1"/>
        <item x="2"/>
        <item t="default"/>
      </items>
    </pivotField>
    <pivotField dataField="1" showAll="0"/>
  </pivotFields>
  <rowFields count="2">
    <field x="0"/>
    <field x="2"/>
  </rowFields>
  <rowItems count="7">
    <i>
      <x v="1"/>
    </i>
    <i r="1">
      <x/>
    </i>
    <i r="1">
      <x v="1"/>
    </i>
    <i r="1">
      <x v="3"/>
    </i>
    <i r="1">
      <x v="4"/>
    </i>
    <i r="1">
      <x v="5"/>
    </i>
    <i t="grand">
      <x/>
    </i>
  </rowItems>
  <colFields count="2">
    <field x="3"/>
    <field x="1"/>
  </colFields>
  <colItems count="3">
    <i>
      <x v="2"/>
      <x/>
    </i>
    <i t="default">
      <x v="2"/>
    </i>
    <i t="grand">
      <x/>
    </i>
  </colItems>
  <dataFields count="1">
    <dataField name="Count of Sales "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country"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7:N9" firstHeaderRow="1" firstDataRow="1" firstDataCol="1"/>
  <pivotFields count="4">
    <pivotField showAll="0">
      <items count="6">
        <item x="4"/>
        <item h="1" x="1"/>
        <item h="1" x="3"/>
        <item h="1" x="0"/>
        <item h="1" x="2"/>
        <item t="default"/>
      </items>
    </pivotField>
    <pivotField numFmtId="167" showAll="0"/>
    <pivotField axis="axisRow" dataField="1" showAll="0">
      <items count="3">
        <item x="0"/>
        <item x="1"/>
        <item t="default"/>
      </items>
    </pivotField>
    <pivotField showAll="0"/>
  </pivotFields>
  <rowFields count="1">
    <field x="2"/>
  </rowFields>
  <rowItems count="2">
    <i>
      <x v="1"/>
    </i>
    <i t="grand">
      <x/>
    </i>
  </rowItems>
  <colItems count="1">
    <i/>
  </colItems>
  <dataFields count="1">
    <dataField name="Count of Countr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sales"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3:P5" firstHeaderRow="1" firstDataRow="1" firstDataCol="1"/>
  <pivotFields count="4">
    <pivotField showAll="0">
      <items count="6">
        <item x="4"/>
        <item h="1" x="1"/>
        <item h="1" x="3"/>
        <item h="1" x="0"/>
        <item h="1" x="2"/>
        <item t="default"/>
      </items>
    </pivotField>
    <pivotField axis="axisRow" dataField="1" numFmtId="167" showAll="0">
      <items count="15">
        <item h="1" x="3"/>
        <item x="10"/>
        <item h="1" x="4"/>
        <item h="1" x="9"/>
        <item h="1" x="8"/>
        <item h="1" x="6"/>
        <item h="1" x="13"/>
        <item h="1" x="2"/>
        <item h="1" x="5"/>
        <item h="1" x="1"/>
        <item h="1" x="11"/>
        <item h="1" x="0"/>
        <item h="1" x="7"/>
        <item h="1" x="12"/>
        <item t="default"/>
      </items>
    </pivotField>
    <pivotField showAll="0"/>
    <pivotField showAll="0"/>
  </pivotFields>
  <rowFields count="1">
    <field x="1"/>
  </rowFields>
  <rowItems count="2">
    <i>
      <x v="1"/>
    </i>
    <i t="grand">
      <x/>
    </i>
  </rowItems>
  <colItems count="1">
    <i/>
  </colItems>
  <dataFields count="1">
    <dataField name="Sum of Sal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name"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N5" firstHeaderRow="1" firstDataRow="1" firstDataCol="1"/>
  <pivotFields count="4">
    <pivotField axis="axisRow" dataField="1" showAll="0">
      <items count="6">
        <item x="4"/>
        <item h="1" x="1"/>
        <item h="1" x="3"/>
        <item h="1" x="0"/>
        <item h="1" x="2"/>
        <item t="default"/>
      </items>
    </pivotField>
    <pivotField numFmtId="167" showAll="0"/>
    <pivotField showAll="0"/>
    <pivotField showAll="0"/>
  </pivotFields>
  <rowFields count="1">
    <field x="0"/>
  </rowFields>
  <rowItems count="2">
    <i>
      <x/>
    </i>
    <i t="grand">
      <x/>
    </i>
  </rowItems>
  <colItems count="1">
    <i/>
  </colItems>
  <dataFields count="1">
    <dataField name="Count of Last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11:R13" firstHeaderRow="1" firstDataRow="1" firstDataCol="1"/>
  <pivotFields count="5">
    <pivotField showAll="0">
      <items count="8">
        <item h="1" x="5"/>
        <item h="1" x="2"/>
        <item x="3"/>
        <item h="1" x="1"/>
        <item h="1" x="0"/>
        <item h="1" x="6"/>
        <item h="1" x="4"/>
        <item t="default"/>
      </items>
    </pivotField>
    <pivotField axis="axisRow" dataField="1" showAll="0">
      <items count="3">
        <item h="1" x="1"/>
        <item x="0"/>
        <item t="default"/>
      </items>
    </pivotField>
    <pivotField showAll="0"/>
    <pivotField numFmtId="165" showAll="0"/>
    <pivotField showAll="0"/>
  </pivotFields>
  <rowFields count="1">
    <field x="1"/>
  </rowFields>
  <rowItems count="2">
    <i>
      <x v="1"/>
    </i>
    <i t="grand">
      <x/>
    </i>
  </rowItems>
  <colItems count="1">
    <i/>
  </colItems>
  <dataFields count="1">
    <dataField name="Count of Categor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R6:S8" firstHeaderRow="1" firstDataRow="1" firstDataCol="1"/>
  <pivotFields count="5">
    <pivotField axis="axisRow" dataField="1" showAll="0">
      <items count="8">
        <item h="1" x="5"/>
        <item h="1" x="2"/>
        <item h="1" x="3"/>
        <item x="1"/>
        <item h="1" x="0"/>
        <item h="1" x="6"/>
        <item h="1" x="4"/>
        <item t="default"/>
      </items>
    </pivotField>
    <pivotField showAll="0">
      <items count="3">
        <item h="1" x="1"/>
        <item x="0"/>
        <item t="default"/>
      </items>
    </pivotField>
    <pivotField showAll="0"/>
    <pivotField numFmtId="165" showAll="0"/>
    <pivotField showAll="0"/>
  </pivotFields>
  <rowFields count="1">
    <field x="0"/>
  </rowFields>
  <rowItems count="2">
    <i>
      <x v="3"/>
    </i>
    <i t="grand">
      <x/>
    </i>
  </rowItems>
  <colItems count="1">
    <i/>
  </colItems>
  <dataFields count="1">
    <dataField name="Count of Produc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PivotTable15" cacheId="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L31:M33" firstHeaderRow="1" firstDataRow="1" firstDataCol="1"/>
  <pivotFields count="4">
    <pivotField axis="axisRow" dataField="1" numFmtId="165" showAll="0">
      <items count="369">
        <item h="1" x="0"/>
        <item h="1" x="1"/>
        <item h="1" x="2"/>
        <item h="1" x="3"/>
        <item h="1" x="4"/>
        <item h="1" x="5"/>
        <item h="1" x="6"/>
        <item h="1" x="7"/>
        <item h="1" x="8"/>
        <item h="1" x="9"/>
        <item h="1" x="10"/>
        <item h="1" x="11"/>
        <item h="1" x="12"/>
        <item h="1" x="13"/>
        <item h="1" x="14"/>
        <item h="1" x="15"/>
        <item h="1" x="16"/>
        <item h="1" x="17"/>
        <item h="1" x="18"/>
        <item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t="default"/>
      </items>
    </pivotField>
    <pivotField showAll="0"/>
    <pivotField showAll="0"/>
    <pivotField axis="axisRow" showAll="0" defaultSubtotal="0">
      <items count="14">
        <item h="1" sd="0" x="0"/>
        <item sd="0" x="1"/>
        <item x="2"/>
        <item h="1" sd="0" x="3"/>
        <item h="1" sd="0" x="4"/>
        <item h="1" sd="0" x="5"/>
        <item h="1" sd="0" x="6"/>
        <item h="1" sd="0" x="7"/>
        <item h="1" sd="0" x="8"/>
        <item h="1" sd="0" x="9"/>
        <item h="1" sd="0" x="10"/>
        <item h="1" sd="0" x="11"/>
        <item h="1" sd="0" x="12"/>
        <item h="1" sd="0" x="13"/>
      </items>
    </pivotField>
  </pivotFields>
  <rowFields count="2">
    <field x="3"/>
    <field x="0"/>
  </rowFields>
  <rowItems count="2">
    <i>
      <x v="1"/>
    </i>
    <i t="grand">
      <x/>
    </i>
  </rowItems>
  <colItems count="1">
    <i/>
  </colItems>
  <dataFields count="1">
    <dataField name="Sum of Date of Sale"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Sale" xr10:uid="{00000000-0013-0000-FFFF-FFFF01000000}" sourceName="Date of Sale">
  <pivotTables>
    <pivotTable tabId="18" name="PivotTable15"/>
  </pivotTables>
  <data>
    <tabular pivotCacheId="1">
      <items count="368">
        <i x="12"/>
        <i x="44"/>
        <i x="46"/>
        <i x="16"/>
        <i x="19" s="1"/>
        <i x="53"/>
        <i x="22"/>
        <i x="57"/>
        <i x="58"/>
        <i x="59"/>
        <i x="33"/>
        <i x="36"/>
        <i x="40"/>
        <i x="0" nd="1"/>
        <i x="367" nd="1"/>
        <i x="101" nd="1"/>
        <i x="223" nd="1"/>
        <i x="345" nd="1"/>
        <i x="41" nd="1"/>
        <i x="10" nd="1"/>
        <i x="192" nd="1"/>
        <i x="162" nd="1"/>
        <i x="70" nd="1"/>
        <i x="131" nd="1"/>
        <i x="315" nd="1"/>
        <i x="284" nd="1"/>
        <i x="254" nd="1"/>
        <i x="102" nd="1"/>
        <i x="224" nd="1"/>
        <i x="346" nd="1"/>
        <i x="42" nd="1"/>
        <i x="11" nd="1"/>
        <i x="193" nd="1"/>
        <i x="163" nd="1"/>
        <i x="71" nd="1"/>
        <i x="132" nd="1"/>
        <i x="316" nd="1"/>
        <i x="285" nd="1"/>
        <i x="255" nd="1"/>
        <i x="103" nd="1"/>
        <i x="225" nd="1"/>
        <i x="347" nd="1"/>
        <i x="43" nd="1"/>
        <i x="194" nd="1"/>
        <i x="164" nd="1"/>
        <i x="72" nd="1"/>
        <i x="133" nd="1"/>
        <i x="317" nd="1"/>
        <i x="286" nd="1"/>
        <i x="256" nd="1"/>
        <i x="104" nd="1"/>
        <i x="226" nd="1"/>
        <i x="348" nd="1"/>
        <i x="13" nd="1"/>
        <i x="195" nd="1"/>
        <i x="165" nd="1"/>
        <i x="73" nd="1"/>
        <i x="134" nd="1"/>
        <i x="318" nd="1"/>
        <i x="287" nd="1"/>
        <i x="257" nd="1"/>
        <i x="105" nd="1"/>
        <i x="227" nd="1"/>
        <i x="349" nd="1"/>
        <i x="45" nd="1"/>
        <i x="14" nd="1"/>
        <i x="196" nd="1"/>
        <i x="166" nd="1"/>
        <i x="74" nd="1"/>
        <i x="135" nd="1"/>
        <i x="319" nd="1"/>
        <i x="288" nd="1"/>
        <i x="258" nd="1"/>
        <i x="106" nd="1"/>
        <i x="228" nd="1"/>
        <i x="350" nd="1"/>
        <i x="15" nd="1"/>
        <i x="197" nd="1"/>
        <i x="167" nd="1"/>
        <i x="75" nd="1"/>
        <i x="136" nd="1"/>
        <i x="320" nd="1"/>
        <i x="289" nd="1"/>
        <i x="259" nd="1"/>
        <i x="107" nd="1"/>
        <i x="229" nd="1"/>
        <i x="351" nd="1"/>
        <i x="47" nd="1"/>
        <i x="198" nd="1"/>
        <i x="168" nd="1"/>
        <i x="76" nd="1"/>
        <i x="137" nd="1"/>
        <i x="321" nd="1"/>
        <i x="290" nd="1"/>
        <i x="260" nd="1"/>
        <i x="108" nd="1"/>
        <i x="230" nd="1"/>
        <i x="352" nd="1"/>
        <i x="48" nd="1"/>
        <i x="17" nd="1"/>
        <i x="199" nd="1"/>
        <i x="169" nd="1"/>
        <i x="77" nd="1"/>
        <i x="138" nd="1"/>
        <i x="322" nd="1"/>
        <i x="291" nd="1"/>
        <i x="261" nd="1"/>
        <i x="109" nd="1"/>
        <i x="231" nd="1"/>
        <i x="353" nd="1"/>
        <i x="49" nd="1"/>
        <i x="18" nd="1"/>
        <i x="200" nd="1"/>
        <i x="170" nd="1"/>
        <i x="78" nd="1"/>
        <i x="139" nd="1"/>
        <i x="323" nd="1"/>
        <i x="292" nd="1"/>
        <i x="262" nd="1"/>
        <i x="110" nd="1"/>
        <i x="232" nd="1"/>
        <i x="354" nd="1"/>
        <i x="50" nd="1"/>
        <i x="201" nd="1"/>
        <i x="171" nd="1"/>
        <i x="79" nd="1"/>
        <i x="140" nd="1"/>
        <i x="324" nd="1"/>
        <i x="293" nd="1"/>
        <i x="263" nd="1"/>
        <i x="92" nd="1"/>
        <i x="214" nd="1"/>
        <i x="336" nd="1"/>
        <i x="32" nd="1"/>
        <i x="1" nd="1"/>
        <i x="183" nd="1"/>
        <i x="153" nd="1"/>
        <i x="61" nd="1"/>
        <i x="122" nd="1"/>
        <i x="306" nd="1"/>
        <i x="275" nd="1"/>
        <i x="245" nd="1"/>
        <i x="111" nd="1"/>
        <i x="233" nd="1"/>
        <i x="355" nd="1"/>
        <i x="51" nd="1"/>
        <i x="20" nd="1"/>
        <i x="202" nd="1"/>
        <i x="172" nd="1"/>
        <i x="80" nd="1"/>
        <i x="141" nd="1"/>
        <i x="325" nd="1"/>
        <i x="294" nd="1"/>
        <i x="264" nd="1"/>
        <i x="112" nd="1"/>
        <i x="234" nd="1"/>
        <i x="356" nd="1"/>
        <i x="52" nd="1"/>
        <i x="21" nd="1"/>
        <i x="203" nd="1"/>
        <i x="173" nd="1"/>
        <i x="81" nd="1"/>
        <i x="142" nd="1"/>
        <i x="326" nd="1"/>
        <i x="295" nd="1"/>
        <i x="265" nd="1"/>
        <i x="113" nd="1"/>
        <i x="235" nd="1"/>
        <i x="357" nd="1"/>
        <i x="204" nd="1"/>
        <i x="174" nd="1"/>
        <i x="82" nd="1"/>
        <i x="143" nd="1"/>
        <i x="327" nd="1"/>
        <i x="296" nd="1"/>
        <i x="266" nd="1"/>
        <i x="114" nd="1"/>
        <i x="236" nd="1"/>
        <i x="358" nd="1"/>
        <i x="54" nd="1"/>
        <i x="23" nd="1"/>
        <i x="205" nd="1"/>
        <i x="175" nd="1"/>
        <i x="83" nd="1"/>
        <i x="144" nd="1"/>
        <i x="328" nd="1"/>
        <i x="297" nd="1"/>
        <i x="267" nd="1"/>
        <i x="115" nd="1"/>
        <i x="237" nd="1"/>
        <i x="359" nd="1"/>
        <i x="55" nd="1"/>
        <i x="24" nd="1"/>
        <i x="206" nd="1"/>
        <i x="176" nd="1"/>
        <i x="84" nd="1"/>
        <i x="145" nd="1"/>
        <i x="329" nd="1"/>
        <i x="298" nd="1"/>
        <i x="268" nd="1"/>
        <i x="116" nd="1"/>
        <i x="238" nd="1"/>
        <i x="360" nd="1"/>
        <i x="56" nd="1"/>
        <i x="25" nd="1"/>
        <i x="207" nd="1"/>
        <i x="177" nd="1"/>
        <i x="85" nd="1"/>
        <i x="146" nd="1"/>
        <i x="330" nd="1"/>
        <i x="299" nd="1"/>
        <i x="269" nd="1"/>
        <i x="117" nd="1"/>
        <i x="239" nd="1"/>
        <i x="361" nd="1"/>
        <i x="26" nd="1"/>
        <i x="208" nd="1"/>
        <i x="178" nd="1"/>
        <i x="86" nd="1"/>
        <i x="147" nd="1"/>
        <i x="331" nd="1"/>
        <i x="300" nd="1"/>
        <i x="270" nd="1"/>
        <i x="118" nd="1"/>
        <i x="240" nd="1"/>
        <i x="362" nd="1"/>
        <i x="27" nd="1"/>
        <i x="209" nd="1"/>
        <i x="179" nd="1"/>
        <i x="87" nd="1"/>
        <i x="148" nd="1"/>
        <i x="332" nd="1"/>
        <i x="301" nd="1"/>
        <i x="271" nd="1"/>
        <i x="119" nd="1"/>
        <i x="241" nd="1"/>
        <i x="363" nd="1"/>
        <i x="28" nd="1"/>
        <i x="210" nd="1"/>
        <i x="180" nd="1"/>
        <i x="88" nd="1"/>
        <i x="149" nd="1"/>
        <i x="333" nd="1"/>
        <i x="302" nd="1"/>
        <i x="272" nd="1"/>
        <i x="120" nd="1"/>
        <i x="242" nd="1"/>
        <i x="364" nd="1"/>
        <i x="60" nd="1"/>
        <i x="29" nd="1"/>
        <i x="211" nd="1"/>
        <i x="181" nd="1"/>
        <i x="89" nd="1"/>
        <i x="150" nd="1"/>
        <i x="334" nd="1"/>
        <i x="303" nd="1"/>
        <i x="273" nd="1"/>
        <i x="93" nd="1"/>
        <i x="215" nd="1"/>
        <i x="337" nd="1"/>
        <i x="2" nd="1"/>
        <i x="184" nd="1"/>
        <i x="154" nd="1"/>
        <i x="62" nd="1"/>
        <i x="123" nd="1"/>
        <i x="307" nd="1"/>
        <i x="276" nd="1"/>
        <i x="246" nd="1"/>
        <i x="121" nd="1"/>
        <i x="243" nd="1"/>
        <i x="365" nd="1"/>
        <i x="30" nd="1"/>
        <i x="212" nd="1"/>
        <i x="182" nd="1"/>
        <i x="90" nd="1"/>
        <i x="151" nd="1"/>
        <i x="335" nd="1"/>
        <i x="304" nd="1"/>
        <i x="274" nd="1"/>
        <i x="244" nd="1"/>
        <i x="366" nd="1"/>
        <i x="31" nd="1"/>
        <i x="213" nd="1"/>
        <i x="91" nd="1"/>
        <i x="152" nd="1"/>
        <i x="305" nd="1"/>
        <i x="94" nd="1"/>
        <i x="216" nd="1"/>
        <i x="338" nd="1"/>
        <i x="34" nd="1"/>
        <i x="3" nd="1"/>
        <i x="185" nd="1"/>
        <i x="155" nd="1"/>
        <i x="63" nd="1"/>
        <i x="124" nd="1"/>
        <i x="308" nd="1"/>
        <i x="277" nd="1"/>
        <i x="247" nd="1"/>
        <i x="95" nd="1"/>
        <i x="217" nd="1"/>
        <i x="339" nd="1"/>
        <i x="35" nd="1"/>
        <i x="4" nd="1"/>
        <i x="186" nd="1"/>
        <i x="156" nd="1"/>
        <i x="64" nd="1"/>
        <i x="125" nd="1"/>
        <i x="309" nd="1"/>
        <i x="278" nd="1"/>
        <i x="248" nd="1"/>
        <i x="96" nd="1"/>
        <i x="218" nd="1"/>
        <i x="340" nd="1"/>
        <i x="5" nd="1"/>
        <i x="187" nd="1"/>
        <i x="157" nd="1"/>
        <i x="65" nd="1"/>
        <i x="126" nd="1"/>
        <i x="310" nd="1"/>
        <i x="279" nd="1"/>
        <i x="249" nd="1"/>
        <i x="97" nd="1"/>
        <i x="219" nd="1"/>
        <i x="341" nd="1"/>
        <i x="37" nd="1"/>
        <i x="6" nd="1"/>
        <i x="188" nd="1"/>
        <i x="158" nd="1"/>
        <i x="66" nd="1"/>
        <i x="127" nd="1"/>
        <i x="311" nd="1"/>
        <i x="280" nd="1"/>
        <i x="250" nd="1"/>
        <i x="98" nd="1"/>
        <i x="220" nd="1"/>
        <i x="342" nd="1"/>
        <i x="38" nd="1"/>
        <i x="7" nd="1"/>
        <i x="189" nd="1"/>
        <i x="159" nd="1"/>
        <i x="67" nd="1"/>
        <i x="128" nd="1"/>
        <i x="312" nd="1"/>
        <i x="281" nd="1"/>
        <i x="251" nd="1"/>
        <i x="99" nd="1"/>
        <i x="221" nd="1"/>
        <i x="343" nd="1"/>
        <i x="39" nd="1"/>
        <i x="8" nd="1"/>
        <i x="190" nd="1"/>
        <i x="160" nd="1"/>
        <i x="68" nd="1"/>
        <i x="129" nd="1"/>
        <i x="313" nd="1"/>
        <i x="282" nd="1"/>
        <i x="252" nd="1"/>
        <i x="100" nd="1"/>
        <i x="222" nd="1"/>
        <i x="344" nd="1"/>
        <i x="9" nd="1"/>
        <i x="191" nd="1"/>
        <i x="161" nd="1"/>
        <i x="69" nd="1"/>
        <i x="130" nd="1"/>
        <i x="314" nd="1"/>
        <i x="283" nd="1"/>
        <i x="25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2000000}" sourceName="Category">
  <pivotTables>
    <pivotTable tabId="9" name="PivotTable1"/>
    <pivotTable tabId="9" name="PivotTable2"/>
  </pivotTables>
  <data>
    <tabular pivotCacheId="2">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st_Name" xr10:uid="{00000000-0013-0000-FFFF-FFFF03000000}" sourceName="Last Name">
  <pivotTables>
    <pivotTable tabId="8" name="quarter"/>
    <pivotTable tabId="8" name="country"/>
    <pivotTable tabId="8" name="name"/>
    <pivotTable tabId="8" name="sales"/>
  </pivotTables>
  <data>
    <tabular pivotCacheId="3">
      <items count="5">
        <i x="4" s="1"/>
        <i x="1"/>
        <i x="3"/>
        <i x="0"/>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0000000-0013-0000-FFFF-FFFF04000000}" sourceName="State">
  <pivotTables>
    <pivotTable tabId="8" name="PivotTable1"/>
  </pivotTables>
  <data>
    <tabular pivotCacheId="4">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st Name" xr10:uid="{00000000-0014-0000-FFFF-FFFF01000000}" cache="Slicer_Last_Name" caption="Last Name" rowHeight="209550"/>
  <slicer name="State" xr10:uid="{00000000-0014-0000-FFFF-FFFF02000000}" cache="Slicer_State" caption="State" style="SlicerStyleLight4"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3000000}" cache="Slicer_Category" caption="Category"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Sale" xr10:uid="{00000000-0014-0000-FFFF-FFFF04000000}" cache="Slicer_Date_of_Sale" caption="Date of Sale" startItem="2"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4:C43" totalsRowShown="0" headerRowDxfId="13" headerRowBorderDxfId="12" tableBorderDxfId="11" totalsRowBorderDxfId="10">
  <autoFilter ref="A24:C43" xr:uid="{00000000-0009-0000-0100-000003000000}">
    <filterColumn colId="0" hiddenButton="1"/>
    <filterColumn colId="1" hiddenButton="1"/>
    <filterColumn colId="2" hiddenButton="1"/>
  </autoFilter>
  <tableColumns count="3">
    <tableColumn id="1" xr3:uid="{00000000-0010-0000-0000-000001000000}" name="Items" dataDxfId="9"/>
    <tableColumn id="2" xr3:uid="{00000000-0010-0000-0000-000002000000}" name="Date" dataDxfId="8"/>
    <tableColumn id="3" xr3:uid="{00000000-0010-0000-0000-000003000000}" name="Cost" dataDxfId="7"/>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4.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2.xml"/></Relationships>
</file>

<file path=xl/worksheets/_rels/sheet1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
  <sheetViews>
    <sheetView topLeftCell="A21" workbookViewId="0">
      <selection activeCell="G25" sqref="G25"/>
    </sheetView>
  </sheetViews>
  <sheetFormatPr defaultRowHeight="13.2"/>
  <cols>
    <col min="1" max="1" width="11.33203125" customWidth="1"/>
    <col min="2" max="2" width="11.77734375" customWidth="1"/>
    <col min="3" max="3" width="12.44140625" customWidth="1"/>
    <col min="4" max="4" width="8.6640625" customWidth="1"/>
    <col min="5" max="5" width="11.44140625" customWidth="1"/>
    <col min="6" max="6" width="16.77734375" bestFit="1" customWidth="1"/>
    <col min="7" max="7" width="11.6640625" bestFit="1" customWidth="1"/>
    <col min="8" max="8" width="10" customWidth="1"/>
    <col min="9" max="9" width="14.6640625" customWidth="1"/>
    <col min="10" max="10" width="12" customWidth="1"/>
    <col min="11" max="11" width="11.33203125" customWidth="1"/>
    <col min="12" max="12" width="15" bestFit="1" customWidth="1"/>
    <col min="13" max="13" width="16" customWidth="1"/>
    <col min="14" max="14" width="16.109375" customWidth="1"/>
    <col min="15" max="15" width="14.44140625" customWidth="1"/>
    <col min="16" max="16" width="12" customWidth="1"/>
    <col min="17" max="17" width="10.77734375" customWidth="1"/>
    <col min="18" max="18" width="16" customWidth="1"/>
    <col min="21" max="21" width="11.44140625" customWidth="1"/>
  </cols>
  <sheetData>
    <row r="1" spans="1:23" ht="23.4" customHeight="1">
      <c r="A1" s="531" t="s">
        <v>0</v>
      </c>
      <c r="B1" s="531"/>
      <c r="C1" s="531"/>
      <c r="D1" s="531"/>
      <c r="E1" s="531"/>
      <c r="F1" s="531"/>
      <c r="G1" s="531"/>
      <c r="H1" s="531"/>
      <c r="I1" s="531"/>
      <c r="J1" s="531"/>
      <c r="K1" s="531"/>
      <c r="L1" s="531"/>
      <c r="M1" s="531"/>
      <c r="N1" s="531"/>
      <c r="O1" s="531"/>
      <c r="P1" s="531"/>
    </row>
    <row r="2" spans="1:23" ht="21.75" customHeight="1">
      <c r="A2" s="532" t="s">
        <v>1</v>
      </c>
      <c r="B2" s="532"/>
      <c r="C2" s="532"/>
      <c r="D2" s="532"/>
      <c r="E2" s="532"/>
      <c r="F2" s="532"/>
      <c r="G2" s="532"/>
      <c r="H2" s="532"/>
      <c r="I2" s="532"/>
      <c r="J2" s="532"/>
      <c r="K2" s="532"/>
      <c r="L2" s="532"/>
      <c r="M2" s="532"/>
      <c r="N2" s="532"/>
      <c r="O2" s="532"/>
      <c r="P2" s="532"/>
      <c r="R2" s="206" t="s">
        <v>1182</v>
      </c>
      <c r="U2" s="206" t="s">
        <v>1183</v>
      </c>
    </row>
    <row r="3" spans="1:23" ht="16.5" customHeight="1">
      <c r="A3" s="1" t="s">
        <v>2</v>
      </c>
      <c r="B3" s="187" t="s">
        <v>3</v>
      </c>
      <c r="C3" s="2" t="s">
        <v>4</v>
      </c>
      <c r="D3" s="1" t="s">
        <v>5</v>
      </c>
      <c r="E3" s="187" t="s">
        <v>6</v>
      </c>
      <c r="F3" s="187" t="s">
        <v>7</v>
      </c>
      <c r="G3" s="187" t="s">
        <v>8</v>
      </c>
      <c r="H3" s="3" t="s">
        <v>9</v>
      </c>
      <c r="I3" s="187" t="s">
        <v>10</v>
      </c>
      <c r="J3" s="187" t="s">
        <v>11</v>
      </c>
      <c r="R3" t="s">
        <v>1176</v>
      </c>
      <c r="S3" t="s">
        <v>1178</v>
      </c>
      <c r="U3" s="187" t="s">
        <v>3</v>
      </c>
      <c r="V3" s="3" t="s">
        <v>9</v>
      </c>
      <c r="W3" s="187" t="s">
        <v>10</v>
      </c>
    </row>
    <row r="4" spans="1:23" ht="16.5" customHeight="1">
      <c r="A4" s="4">
        <v>1</v>
      </c>
      <c r="B4" s="184" t="s">
        <v>12</v>
      </c>
      <c r="C4" s="4">
        <v>20</v>
      </c>
      <c r="D4" s="4">
        <v>10</v>
      </c>
      <c r="E4" s="186">
        <v>14</v>
      </c>
      <c r="F4" s="185">
        <v>18</v>
      </c>
      <c r="G4" s="185">
        <v>15</v>
      </c>
      <c r="H4" s="471">
        <f>SUM(C4:G4)</f>
        <v>77</v>
      </c>
      <c r="I4" s="471">
        <f>AVERAGE(C4:G4)</f>
        <v>15.4</v>
      </c>
      <c r="J4" s="238" t="str">
        <f>IF(I4&gt;15,"a","b")</f>
        <v>a</v>
      </c>
      <c r="R4" t="s">
        <v>1174</v>
      </c>
      <c r="S4">
        <f>COUNTIF($J$3:$J$13,R4)</f>
        <v>6</v>
      </c>
      <c r="U4" s="184" t="s">
        <v>14</v>
      </c>
      <c r="V4">
        <f>SUMIF($B$3:$B$13,$U4,$H$3:$H$13)</f>
        <v>77</v>
      </c>
      <c r="W4">
        <f>AVERAGEIF($B$3:$B$13,$U4,I3:I13)</f>
        <v>15.4</v>
      </c>
    </row>
    <row r="5" spans="1:23" ht="16.5" customHeight="1">
      <c r="A5" s="4">
        <v>2</v>
      </c>
      <c r="B5" s="184" t="s">
        <v>14</v>
      </c>
      <c r="C5" s="4">
        <v>21</v>
      </c>
      <c r="D5" s="4">
        <v>12</v>
      </c>
      <c r="E5" s="186">
        <v>14</v>
      </c>
      <c r="F5" s="185">
        <v>12</v>
      </c>
      <c r="G5" s="185">
        <v>18</v>
      </c>
      <c r="H5" s="471">
        <f t="shared" ref="H5:H13" si="0">SUM(C5:G5)</f>
        <v>77</v>
      </c>
      <c r="I5" s="471">
        <f t="shared" ref="I5:I13" si="1">AVERAGE(C5:G5)</f>
        <v>15.4</v>
      </c>
      <c r="J5" s="238" t="str">
        <f t="shared" ref="J5:J13" si="2">IF(I5&gt;15,"a","b")</f>
        <v>a</v>
      </c>
      <c r="R5" t="s">
        <v>1177</v>
      </c>
      <c r="S5">
        <f>COUNTIF($J$3:$J$13,R5)</f>
        <v>4</v>
      </c>
      <c r="U5" s="184" t="s">
        <v>16</v>
      </c>
      <c r="V5">
        <f>SUMIF($B$3:$B$13,$U5,$H$3:$H$13)</f>
        <v>86</v>
      </c>
      <c r="W5">
        <f>AVERAGEIF($B$3:$B$13,$U5,I4:I14)</f>
        <v>14.6</v>
      </c>
    </row>
    <row r="6" spans="1:23" ht="16.5" customHeight="1">
      <c r="A6" s="4">
        <v>3</v>
      </c>
      <c r="B6" s="184" t="s">
        <v>16</v>
      </c>
      <c r="C6" s="4">
        <v>33</v>
      </c>
      <c r="D6" s="4">
        <v>15</v>
      </c>
      <c r="E6" s="185">
        <v>7</v>
      </c>
      <c r="F6" s="185">
        <v>14</v>
      </c>
      <c r="G6" s="185">
        <v>17</v>
      </c>
      <c r="H6" s="471">
        <f t="shared" si="0"/>
        <v>86</v>
      </c>
      <c r="I6" s="471">
        <f t="shared" si="1"/>
        <v>17.2</v>
      </c>
      <c r="J6" s="238" t="str">
        <f t="shared" si="2"/>
        <v>a</v>
      </c>
    </row>
    <row r="7" spans="1:23" ht="16.5" customHeight="1">
      <c r="A7" s="4">
        <v>4</v>
      </c>
      <c r="B7" s="184" t="s">
        <v>17</v>
      </c>
      <c r="C7" s="4">
        <v>15</v>
      </c>
      <c r="D7" s="4">
        <v>14</v>
      </c>
      <c r="E7" s="185">
        <v>8</v>
      </c>
      <c r="F7" s="185">
        <v>16</v>
      </c>
      <c r="G7" s="185">
        <v>20</v>
      </c>
      <c r="H7" s="471">
        <f t="shared" si="0"/>
        <v>73</v>
      </c>
      <c r="I7" s="471">
        <f t="shared" si="1"/>
        <v>14.6</v>
      </c>
      <c r="J7" s="238" t="str">
        <f t="shared" si="2"/>
        <v>b</v>
      </c>
    </row>
    <row r="8" spans="1:23" ht="16.5" customHeight="1">
      <c r="A8" s="4">
        <v>5</v>
      </c>
      <c r="B8" s="184" t="s">
        <v>18</v>
      </c>
      <c r="C8" s="4">
        <v>14</v>
      </c>
      <c r="D8" s="4">
        <v>17</v>
      </c>
      <c r="E8" s="186">
        <v>10</v>
      </c>
      <c r="F8" s="185">
        <v>13</v>
      </c>
      <c r="G8" s="185">
        <v>18</v>
      </c>
      <c r="H8" s="471">
        <f t="shared" si="0"/>
        <v>72</v>
      </c>
      <c r="I8" s="471">
        <f t="shared" si="1"/>
        <v>14.4</v>
      </c>
      <c r="J8" s="238" t="str">
        <f t="shared" si="2"/>
        <v>b</v>
      </c>
    </row>
    <row r="9" spans="1:23" ht="16.5" customHeight="1">
      <c r="A9" s="4">
        <v>6</v>
      </c>
      <c r="B9" s="184" t="s">
        <v>19</v>
      </c>
      <c r="C9" s="4">
        <v>16</v>
      </c>
      <c r="D9" s="4">
        <v>8</v>
      </c>
      <c r="E9" s="186">
        <v>20</v>
      </c>
      <c r="F9" s="185">
        <v>17</v>
      </c>
      <c r="G9" s="185">
        <v>15</v>
      </c>
      <c r="H9" s="471">
        <f t="shared" si="0"/>
        <v>76</v>
      </c>
      <c r="I9" s="471">
        <f t="shared" si="1"/>
        <v>15.2</v>
      </c>
      <c r="J9" s="238" t="str">
        <f t="shared" si="2"/>
        <v>a</v>
      </c>
      <c r="W9" t="s">
        <v>1187</v>
      </c>
    </row>
    <row r="10" spans="1:23" ht="16.5" customHeight="1">
      <c r="A10" s="4">
        <v>7</v>
      </c>
      <c r="B10" s="184" t="s">
        <v>20</v>
      </c>
      <c r="C10" s="4">
        <v>18</v>
      </c>
      <c r="D10" s="4">
        <v>19</v>
      </c>
      <c r="E10" s="185">
        <v>3</v>
      </c>
      <c r="F10" s="185">
        <v>10</v>
      </c>
      <c r="G10" s="185">
        <v>14</v>
      </c>
      <c r="H10" s="471">
        <f t="shared" si="0"/>
        <v>64</v>
      </c>
      <c r="I10" s="471">
        <f t="shared" si="1"/>
        <v>12.8</v>
      </c>
      <c r="J10" s="238" t="str">
        <f t="shared" si="2"/>
        <v>b</v>
      </c>
    </row>
    <row r="11" spans="1:23" ht="16.5" customHeight="1">
      <c r="A11" s="4">
        <v>8</v>
      </c>
      <c r="B11" s="184" t="s">
        <v>21</v>
      </c>
      <c r="C11" s="4">
        <v>19</v>
      </c>
      <c r="D11" s="4">
        <v>20</v>
      </c>
      <c r="E11" s="185">
        <v>7</v>
      </c>
      <c r="F11" s="185">
        <v>14</v>
      </c>
      <c r="G11" s="185">
        <v>18</v>
      </c>
      <c r="H11" s="471">
        <f t="shared" si="0"/>
        <v>78</v>
      </c>
      <c r="I11" s="471">
        <f t="shared" si="1"/>
        <v>15.6</v>
      </c>
      <c r="J11" s="238" t="str">
        <f t="shared" si="2"/>
        <v>a</v>
      </c>
    </row>
    <row r="12" spans="1:23" ht="16.5" customHeight="1">
      <c r="A12" s="4">
        <v>9</v>
      </c>
      <c r="B12" s="184" t="s">
        <v>22</v>
      </c>
      <c r="C12" s="4">
        <v>22</v>
      </c>
      <c r="D12" s="4">
        <v>13</v>
      </c>
      <c r="E12" s="185">
        <v>8</v>
      </c>
      <c r="F12" s="185">
        <v>12</v>
      </c>
      <c r="G12" s="185">
        <v>19</v>
      </c>
      <c r="H12" s="471">
        <f t="shared" si="0"/>
        <v>74</v>
      </c>
      <c r="I12" s="471">
        <f t="shared" si="1"/>
        <v>14.8</v>
      </c>
      <c r="J12" s="238" t="str">
        <f t="shared" si="2"/>
        <v>b</v>
      </c>
    </row>
    <row r="13" spans="1:23" ht="16.5" customHeight="1">
      <c r="A13" s="4">
        <v>10</v>
      </c>
      <c r="B13" s="184" t="s">
        <v>23</v>
      </c>
      <c r="C13" s="4">
        <v>26</v>
      </c>
      <c r="D13" s="4">
        <v>12</v>
      </c>
      <c r="E13" s="186">
        <v>10</v>
      </c>
      <c r="F13" s="185">
        <v>11</v>
      </c>
      <c r="G13" s="185">
        <v>27</v>
      </c>
      <c r="H13" s="471">
        <f t="shared" si="0"/>
        <v>86</v>
      </c>
      <c r="I13" s="471">
        <f t="shared" si="1"/>
        <v>17.2</v>
      </c>
      <c r="J13" s="238" t="str">
        <f t="shared" si="2"/>
        <v>a</v>
      </c>
      <c r="R13" s="206" t="s">
        <v>1184</v>
      </c>
      <c r="S13" s="206" t="s">
        <v>1185</v>
      </c>
    </row>
    <row r="14" spans="1:23" ht="39.9" customHeight="1">
      <c r="A14" s="533" t="s">
        <v>24</v>
      </c>
      <c r="B14" s="533"/>
      <c r="C14" s="533"/>
      <c r="D14" s="533"/>
      <c r="E14" s="533"/>
      <c r="F14" s="533"/>
      <c r="G14" s="533"/>
      <c r="H14" s="533"/>
      <c r="I14" s="533"/>
      <c r="J14" s="533"/>
      <c r="K14" s="533"/>
      <c r="L14" s="533"/>
      <c r="M14" s="533"/>
      <c r="N14" s="533"/>
      <c r="O14" s="533"/>
      <c r="P14" s="533"/>
    </row>
    <row r="15" spans="1:23" ht="20.100000000000001" customHeight="1">
      <c r="A15" s="534" t="s">
        <v>25</v>
      </c>
      <c r="B15" s="534"/>
      <c r="C15" s="534"/>
      <c r="D15" s="534"/>
      <c r="E15" s="534"/>
      <c r="F15" s="534"/>
      <c r="G15" s="534"/>
      <c r="H15" s="534"/>
      <c r="I15" s="534"/>
      <c r="J15" s="534"/>
      <c r="K15" s="534"/>
      <c r="L15" s="534"/>
      <c r="M15" s="534"/>
      <c r="N15" s="534"/>
      <c r="O15" s="534"/>
      <c r="P15" s="534"/>
    </row>
    <row r="16" spans="1:23" ht="20.100000000000001" customHeight="1">
      <c r="A16" s="535" t="s">
        <v>1181</v>
      </c>
      <c r="B16" s="534"/>
      <c r="C16" s="534"/>
      <c r="D16" s="534"/>
      <c r="E16" s="534"/>
      <c r="F16" s="8"/>
      <c r="G16" s="8"/>
      <c r="H16" s="8"/>
      <c r="I16" s="8"/>
      <c r="J16" s="8"/>
      <c r="K16" s="8"/>
      <c r="L16" s="8"/>
      <c r="M16" s="536" t="s">
        <v>26</v>
      </c>
      <c r="N16" s="536"/>
      <c r="O16" s="8"/>
      <c r="P16" s="8"/>
    </row>
    <row r="17" spans="1:16" ht="20.100000000000001" customHeight="1">
      <c r="A17" s="182"/>
      <c r="B17" s="182"/>
      <c r="C17" s="182"/>
      <c r="D17" s="182"/>
      <c r="E17" s="182"/>
      <c r="F17" s="8"/>
      <c r="G17" s="8"/>
      <c r="H17" s="8"/>
      <c r="I17" s="8"/>
      <c r="J17" s="8"/>
      <c r="K17" s="8"/>
      <c r="L17" s="8"/>
      <c r="M17" s="9"/>
      <c r="N17" s="9"/>
      <c r="O17" s="8" t="s">
        <v>1172</v>
      </c>
      <c r="P17" s="8"/>
    </row>
    <row r="18" spans="1:16" ht="20.25" customHeight="1">
      <c r="A18" s="534" t="s">
        <v>27</v>
      </c>
      <c r="B18" s="534"/>
      <c r="C18" s="534"/>
      <c r="D18" s="534"/>
      <c r="E18" s="534"/>
      <c r="F18" s="534"/>
      <c r="G18" s="8"/>
      <c r="H18" s="8"/>
      <c r="I18" s="8"/>
      <c r="J18" s="8"/>
      <c r="K18" s="8"/>
      <c r="L18" s="8"/>
      <c r="M18" s="536" t="s">
        <v>28</v>
      </c>
      <c r="N18" s="536"/>
      <c r="O18" s="8"/>
      <c r="P18" s="8"/>
    </row>
    <row r="19" spans="1:16" ht="20.25" customHeight="1">
      <c r="A19" s="182"/>
      <c r="B19" s="182"/>
      <c r="C19" s="182"/>
      <c r="D19" s="182"/>
      <c r="E19" s="182"/>
      <c r="F19" s="182"/>
      <c r="G19" s="8"/>
      <c r="H19" s="8"/>
      <c r="I19" s="8"/>
      <c r="J19" s="8"/>
      <c r="K19" s="8"/>
      <c r="L19" s="8"/>
      <c r="M19" s="9"/>
      <c r="N19" s="9"/>
      <c r="O19" s="8"/>
      <c r="P19" s="8"/>
    </row>
    <row r="20" spans="1:16" ht="20.25" customHeight="1">
      <c r="A20" s="534" t="s">
        <v>29</v>
      </c>
      <c r="B20" s="534"/>
      <c r="C20" s="534"/>
      <c r="D20" s="8"/>
      <c r="E20" s="8"/>
      <c r="F20" s="8"/>
      <c r="G20" s="8"/>
      <c r="H20" s="8"/>
      <c r="I20" s="8"/>
      <c r="J20" s="8"/>
      <c r="K20" s="8"/>
      <c r="L20" s="8"/>
      <c r="M20" s="536" t="s">
        <v>30</v>
      </c>
      <c r="N20" s="536"/>
      <c r="O20" s="8">
        <f>COUNTA(B3:B13)</f>
        <v>11</v>
      </c>
      <c r="P20" s="8"/>
    </row>
    <row r="21" spans="1:16" ht="17.850000000000001" customHeight="1">
      <c r="A21" s="534" t="s">
        <v>31</v>
      </c>
      <c r="B21" s="534"/>
      <c r="C21" s="534"/>
      <c r="D21" s="534"/>
      <c r="E21" s="534"/>
      <c r="F21" s="534"/>
      <c r="G21" s="534"/>
      <c r="H21" s="534"/>
      <c r="I21" s="534"/>
      <c r="J21" s="534"/>
      <c r="K21" s="534"/>
      <c r="L21" s="8"/>
      <c r="M21" s="536" t="s">
        <v>26</v>
      </c>
      <c r="N21" s="536"/>
      <c r="O21" s="8">
        <f>COUNTIF(C4:C13,"&gt;20")</f>
        <v>4</v>
      </c>
      <c r="P21" s="8">
        <f>COUNTIF(D4:D13,"&lt;15")</f>
        <v>6</v>
      </c>
    </row>
    <row r="22" spans="1:16" ht="21" customHeight="1">
      <c r="A22" s="537" t="s">
        <v>1188</v>
      </c>
      <c r="B22" s="531"/>
      <c r="C22" s="531"/>
      <c r="D22" s="531"/>
      <c r="E22" s="531"/>
      <c r="F22" s="531"/>
      <c r="G22" s="531"/>
      <c r="H22" s="531"/>
      <c r="I22" s="531"/>
      <c r="J22" s="531"/>
      <c r="K22" s="531"/>
      <c r="L22" s="531"/>
      <c r="M22" s="531"/>
      <c r="N22" s="531"/>
      <c r="O22" s="531"/>
      <c r="P22" s="531"/>
    </row>
    <row r="23" spans="1:16" ht="28.65" customHeight="1">
      <c r="A23" s="538" t="s">
        <v>32</v>
      </c>
      <c r="B23" s="538"/>
      <c r="C23" s="538"/>
      <c r="D23" s="538"/>
      <c r="E23" s="538"/>
      <c r="F23" s="538"/>
      <c r="G23" s="538"/>
      <c r="H23" s="538"/>
      <c r="I23" s="538"/>
      <c r="J23" s="538"/>
      <c r="K23" s="538"/>
      <c r="L23" s="538"/>
      <c r="M23" s="538"/>
      <c r="N23" s="538"/>
      <c r="O23" s="538"/>
      <c r="P23" s="538"/>
    </row>
    <row r="24" spans="1:16" ht="18" customHeight="1">
      <c r="A24" s="539"/>
      <c r="B24" s="10" t="s">
        <v>33</v>
      </c>
      <c r="C24" s="219" t="s">
        <v>34</v>
      </c>
      <c r="D24" s="220" t="s">
        <v>35</v>
      </c>
      <c r="E24" s="221" t="s">
        <v>36</v>
      </c>
      <c r="F24" s="221" t="s">
        <v>37</v>
      </c>
      <c r="G24" s="193" t="s">
        <v>38</v>
      </c>
      <c r="H24" s="540"/>
    </row>
    <row r="25" spans="1:16" ht="18" customHeight="1">
      <c r="A25" s="539"/>
      <c r="B25" s="11">
        <v>1</v>
      </c>
      <c r="C25" s="213" t="s">
        <v>39</v>
      </c>
      <c r="D25" s="217">
        <v>20</v>
      </c>
      <c r="E25" s="217">
        <v>40000</v>
      </c>
      <c r="F25" s="216">
        <f t="shared" ref="F25:F34" si="3">PRODUCT(D25*E25)</f>
        <v>800000</v>
      </c>
      <c r="G25" t="str">
        <f>IF(F25&gt;500000,"Expensive","lets buy it")</f>
        <v>Expensive</v>
      </c>
      <c r="H25" s="540"/>
    </row>
    <row r="26" spans="1:16" ht="18" customHeight="1">
      <c r="A26" s="539"/>
      <c r="B26" s="11">
        <v>2</v>
      </c>
      <c r="C26" s="213" t="s">
        <v>40</v>
      </c>
      <c r="D26" s="217">
        <v>30</v>
      </c>
      <c r="E26" s="217">
        <v>20000</v>
      </c>
      <c r="F26" s="216">
        <f t="shared" si="3"/>
        <v>600000</v>
      </c>
      <c r="G26" t="str">
        <f t="shared" ref="G26:G34" si="4">IF(F26&gt;500000,"Expensive","lets buy it")</f>
        <v>Expensive</v>
      </c>
      <c r="H26" s="540"/>
    </row>
    <row r="27" spans="1:16" ht="18" customHeight="1">
      <c r="A27" s="539"/>
      <c r="B27" s="11">
        <v>3</v>
      </c>
      <c r="C27" s="213" t="s">
        <v>41</v>
      </c>
      <c r="D27" s="217">
        <v>15</v>
      </c>
      <c r="E27" s="217">
        <v>10000</v>
      </c>
      <c r="F27" s="216">
        <f t="shared" si="3"/>
        <v>150000</v>
      </c>
      <c r="G27" t="str">
        <f t="shared" si="4"/>
        <v>lets buy it</v>
      </c>
      <c r="H27" s="540"/>
    </row>
    <row r="28" spans="1:16" ht="18" customHeight="1">
      <c r="A28" s="539"/>
      <c r="B28" s="11">
        <v>4</v>
      </c>
      <c r="C28" s="213" t="s">
        <v>42</v>
      </c>
      <c r="D28" s="217">
        <v>14</v>
      </c>
      <c r="E28" s="217">
        <v>15000</v>
      </c>
      <c r="F28" s="216">
        <f t="shared" si="3"/>
        <v>210000</v>
      </c>
      <c r="G28" t="str">
        <f t="shared" si="4"/>
        <v>lets buy it</v>
      </c>
      <c r="H28" s="540"/>
    </row>
    <row r="29" spans="1:16" ht="18" customHeight="1">
      <c r="A29" s="539"/>
      <c r="B29" s="11">
        <v>5</v>
      </c>
      <c r="C29" s="213" t="s">
        <v>43</v>
      </c>
      <c r="D29" s="217">
        <v>18</v>
      </c>
      <c r="E29" s="217">
        <v>20000</v>
      </c>
      <c r="F29" s="216">
        <f t="shared" si="3"/>
        <v>360000</v>
      </c>
      <c r="G29" t="str">
        <f t="shared" si="4"/>
        <v>lets buy it</v>
      </c>
      <c r="H29" s="540"/>
    </row>
    <row r="30" spans="1:16" ht="18" customHeight="1">
      <c r="A30" s="539"/>
      <c r="B30" s="11">
        <v>6</v>
      </c>
      <c r="C30" s="213" t="s">
        <v>44</v>
      </c>
      <c r="D30" s="217">
        <v>17</v>
      </c>
      <c r="E30" s="218">
        <v>2000</v>
      </c>
      <c r="F30" s="216">
        <f t="shared" si="3"/>
        <v>34000</v>
      </c>
      <c r="G30" t="str">
        <f t="shared" si="4"/>
        <v>lets buy it</v>
      </c>
      <c r="H30" s="540"/>
    </row>
    <row r="31" spans="1:16" ht="18" customHeight="1">
      <c r="A31" s="539"/>
      <c r="B31" s="11">
        <v>7</v>
      </c>
      <c r="C31" s="213" t="s">
        <v>45</v>
      </c>
      <c r="D31" s="217">
        <v>10</v>
      </c>
      <c r="E31" s="217">
        <v>25000</v>
      </c>
      <c r="F31" s="216">
        <f t="shared" si="3"/>
        <v>250000</v>
      </c>
      <c r="G31" t="str">
        <f t="shared" si="4"/>
        <v>lets buy it</v>
      </c>
      <c r="H31" s="540"/>
    </row>
    <row r="32" spans="1:16" ht="18" customHeight="1">
      <c r="A32" s="539"/>
      <c r="B32" s="11">
        <v>8</v>
      </c>
      <c r="C32" s="213" t="s">
        <v>46</v>
      </c>
      <c r="D32" s="214">
        <v>5</v>
      </c>
      <c r="E32" s="215">
        <v>250</v>
      </c>
      <c r="F32" s="216">
        <f t="shared" si="3"/>
        <v>1250</v>
      </c>
      <c r="G32" t="str">
        <f t="shared" si="4"/>
        <v>lets buy it</v>
      </c>
      <c r="H32" s="540"/>
    </row>
    <row r="33" spans="1:19" ht="18" customHeight="1">
      <c r="A33" s="539"/>
      <c r="B33" s="11">
        <v>9</v>
      </c>
      <c r="C33" s="213" t="s">
        <v>47</v>
      </c>
      <c r="D33" s="217">
        <v>25</v>
      </c>
      <c r="E33" s="215">
        <v>100</v>
      </c>
      <c r="F33" s="216">
        <f t="shared" si="3"/>
        <v>2500</v>
      </c>
      <c r="G33" t="str">
        <f t="shared" si="4"/>
        <v>lets buy it</v>
      </c>
      <c r="H33" s="540"/>
    </row>
    <row r="34" spans="1:19" ht="18" customHeight="1">
      <c r="A34" s="539"/>
      <c r="B34" s="11">
        <v>10</v>
      </c>
      <c r="C34" s="213" t="s">
        <v>48</v>
      </c>
      <c r="D34" s="217">
        <v>30</v>
      </c>
      <c r="E34" s="217">
        <v>12000</v>
      </c>
      <c r="F34" s="216">
        <f t="shared" si="3"/>
        <v>360000</v>
      </c>
      <c r="G34" t="str">
        <f t="shared" si="4"/>
        <v>lets buy it</v>
      </c>
      <c r="H34" s="540"/>
    </row>
    <row r="35" spans="1:19" ht="39.9" customHeight="1">
      <c r="A35" s="543" t="s">
        <v>49</v>
      </c>
      <c r="B35" s="543"/>
      <c r="C35" s="543"/>
      <c r="D35" s="543"/>
      <c r="E35" s="543"/>
      <c r="F35" s="543"/>
      <c r="G35" s="543"/>
      <c r="H35" s="543"/>
      <c r="I35" s="543"/>
      <c r="J35" s="543"/>
      <c r="K35" s="543"/>
      <c r="L35" s="543"/>
      <c r="M35" s="543"/>
      <c r="N35" s="543"/>
      <c r="O35" s="543"/>
      <c r="P35" s="543"/>
    </row>
    <row r="36" spans="1:19" ht="20.100000000000001" customHeight="1">
      <c r="A36" s="544" t="s">
        <v>50</v>
      </c>
      <c r="B36" s="544"/>
      <c r="C36" s="544"/>
      <c r="D36" s="544"/>
      <c r="E36" s="544"/>
      <c r="F36" s="544"/>
      <c r="G36" s="544"/>
      <c r="H36" s="544"/>
      <c r="I36" s="544"/>
      <c r="J36" s="544"/>
      <c r="K36" s="544"/>
      <c r="L36" s="544"/>
      <c r="M36" s="544"/>
      <c r="N36" s="544"/>
      <c r="O36" s="544"/>
      <c r="P36" s="544"/>
      <c r="Q36">
        <f>COUNTA(C24:C34)</f>
        <v>11</v>
      </c>
    </row>
    <row r="37" spans="1:19" ht="33" customHeight="1">
      <c r="A37" s="544" t="s">
        <v>51</v>
      </c>
      <c r="B37" s="544"/>
      <c r="C37" s="544"/>
      <c r="D37" s="544"/>
      <c r="E37" s="544"/>
      <c r="F37" s="544"/>
      <c r="G37" s="544"/>
      <c r="H37" s="544"/>
      <c r="I37" s="544"/>
      <c r="J37" s="544"/>
      <c r="K37" s="544"/>
      <c r="L37" s="544"/>
      <c r="M37" s="544"/>
      <c r="N37" s="544"/>
      <c r="O37" s="544"/>
      <c r="P37" s="544"/>
      <c r="Q37">
        <f>COUNTIF(D25:D34,"&gt;20")</f>
        <v>3</v>
      </c>
      <c r="R37">
        <f>COUNTIF(D25:D34,"&lt;20")</f>
        <v>6</v>
      </c>
    </row>
    <row r="38" spans="1:19" ht="15" customHeight="1">
      <c r="B38" s="545" t="s">
        <v>52</v>
      </c>
      <c r="C38" s="545"/>
      <c r="D38" s="545"/>
      <c r="E38" s="545"/>
      <c r="F38" s="545"/>
      <c r="G38" s="545"/>
      <c r="H38" s="545"/>
      <c r="I38" s="545"/>
      <c r="J38" s="545"/>
      <c r="K38" s="545"/>
      <c r="L38" s="545"/>
      <c r="M38" s="545"/>
      <c r="N38" s="545"/>
      <c r="O38" s="545"/>
      <c r="P38" s="182"/>
    </row>
    <row r="39" spans="1:19" ht="15" customHeight="1">
      <c r="B39" s="545"/>
      <c r="C39" s="545"/>
      <c r="D39" s="545"/>
      <c r="E39" s="545"/>
      <c r="F39" s="545"/>
      <c r="G39" s="545"/>
      <c r="H39" s="545"/>
      <c r="I39" s="545"/>
      <c r="J39" s="545"/>
      <c r="K39" s="545"/>
      <c r="L39" s="545"/>
      <c r="M39" s="545"/>
      <c r="N39" s="545"/>
      <c r="O39" s="545"/>
      <c r="P39" s="182"/>
    </row>
    <row r="41" spans="1:19" ht="18" customHeight="1"/>
    <row r="42" spans="1:19" ht="18.75" customHeight="1">
      <c r="I42" s="213" t="s">
        <v>45</v>
      </c>
      <c r="J42">
        <f>SUMIF(C24:C34,I42,D24:D34)</f>
        <v>10</v>
      </c>
      <c r="K42">
        <f t="shared" ref="K42:L42" si="5">SUMIF(D24:D34,J42,E24:E34)</f>
        <v>25000</v>
      </c>
      <c r="L42">
        <f t="shared" si="5"/>
        <v>250000</v>
      </c>
      <c r="O42" s="213"/>
    </row>
    <row r="43" spans="1:19" ht="24" customHeight="1"/>
    <row r="44" spans="1:19" ht="15.6">
      <c r="G44" s="541" t="s">
        <v>1190</v>
      </c>
      <c r="H44" s="542"/>
      <c r="I44" s="219" t="s">
        <v>34</v>
      </c>
      <c r="J44" s="220" t="s">
        <v>35</v>
      </c>
      <c r="K44" s="221" t="s">
        <v>36</v>
      </c>
      <c r="L44" s="221" t="s">
        <v>37</v>
      </c>
    </row>
    <row r="45" spans="1:19" ht="21" customHeight="1">
      <c r="I45" s="228" t="s">
        <v>1192</v>
      </c>
      <c r="J45">
        <f>INDEX(C25:F34,MATCH(I45,C25:C34,0),MATCH(J44,C24:F24,0))</f>
        <v>10</v>
      </c>
      <c r="K45">
        <f t="shared" ref="K45:L45" si="6">INDEX(D25:G34,MATCH(J45,D25:D34,0),MATCH(K44,D24:G24,0))</f>
        <v>25000</v>
      </c>
      <c r="L45">
        <f t="shared" si="6"/>
        <v>250000</v>
      </c>
    </row>
    <row r="46" spans="1:19" ht="14.4">
      <c r="C46" s="534" t="s">
        <v>53</v>
      </c>
      <c r="D46" s="534"/>
      <c r="E46" s="534"/>
      <c r="F46" s="534"/>
      <c r="G46" s="534"/>
      <c r="H46" s="534"/>
      <c r="I46" s="534"/>
      <c r="J46" s="534"/>
      <c r="K46" s="534"/>
      <c r="L46" s="534"/>
      <c r="M46" s="534"/>
      <c r="N46" s="534"/>
      <c r="O46" s="534"/>
      <c r="P46" s="534"/>
      <c r="Q46" s="534"/>
      <c r="R46" s="534"/>
      <c r="S46" s="534"/>
    </row>
    <row r="47" spans="1:19" ht="18" customHeight="1"/>
    <row r="49" spans="7:12" ht="15.6">
      <c r="G49" t="s">
        <v>1191</v>
      </c>
      <c r="I49" s="219" t="s">
        <v>34</v>
      </c>
      <c r="J49" s="220" t="s">
        <v>35</v>
      </c>
      <c r="K49" s="221" t="s">
        <v>36</v>
      </c>
      <c r="L49" s="221" t="s">
        <v>37</v>
      </c>
    </row>
    <row r="50" spans="7:12" ht="15.6">
      <c r="I50" s="228" t="s">
        <v>1192</v>
      </c>
    </row>
  </sheetData>
  <mergeCells count="22">
    <mergeCell ref="G44:H44"/>
    <mergeCell ref="C46:S46"/>
    <mergeCell ref="A35:P35"/>
    <mergeCell ref="A36:P36"/>
    <mergeCell ref="A37:P37"/>
    <mergeCell ref="B38:O39"/>
    <mergeCell ref="A18:F18"/>
    <mergeCell ref="M18:N18"/>
    <mergeCell ref="A22:P22"/>
    <mergeCell ref="A23:P23"/>
    <mergeCell ref="A24:A34"/>
    <mergeCell ref="H24:H34"/>
    <mergeCell ref="A20:C20"/>
    <mergeCell ref="M20:N20"/>
    <mergeCell ref="A21:K21"/>
    <mergeCell ref="M21:N21"/>
    <mergeCell ref="A1:P1"/>
    <mergeCell ref="A2:P2"/>
    <mergeCell ref="A14:P14"/>
    <mergeCell ref="A15:P15"/>
    <mergeCell ref="A16:E16"/>
    <mergeCell ref="M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7"/>
  <sheetViews>
    <sheetView topLeftCell="A24" workbookViewId="0">
      <selection activeCell="T6" sqref="T6"/>
    </sheetView>
  </sheetViews>
  <sheetFormatPr defaultRowHeight="13.2"/>
  <cols>
    <col min="1" max="1" width="14.44140625" bestFit="1" customWidth="1"/>
    <col min="2" max="2" width="15.44140625" bestFit="1" customWidth="1"/>
    <col min="3" max="3" width="13.77734375" customWidth="1"/>
    <col min="4" max="4" width="12.6640625" customWidth="1"/>
    <col min="5" max="5" width="15.77734375" bestFit="1" customWidth="1"/>
    <col min="6" max="6" width="13.6640625" bestFit="1" customWidth="1"/>
    <col min="7" max="7" width="12.77734375" customWidth="1"/>
    <col min="8" max="8" width="11.33203125" customWidth="1"/>
    <col min="9" max="9" width="9" customWidth="1"/>
    <col min="10" max="10" width="9.44140625" bestFit="1" customWidth="1"/>
    <col min="11" max="11" width="13.77734375" customWidth="1"/>
    <col min="12" max="12" width="14.44140625" bestFit="1" customWidth="1"/>
    <col min="13" max="13" width="13" customWidth="1"/>
    <col min="14" max="14" width="11" bestFit="1" customWidth="1"/>
    <col min="15" max="15" width="9.33203125" customWidth="1"/>
    <col min="16" max="16" width="14.44140625" bestFit="1" customWidth="1"/>
    <col min="17" max="17" width="10.44140625" customWidth="1"/>
    <col min="18" max="18" width="14.109375" customWidth="1"/>
    <col min="19" max="19" width="16.44140625" customWidth="1"/>
    <col min="20" max="20" width="18.33203125" customWidth="1"/>
    <col min="21" max="21" width="15.44140625" bestFit="1" customWidth="1"/>
    <col min="22" max="22" width="14.6640625" customWidth="1"/>
    <col min="23" max="23" width="11" customWidth="1"/>
    <col min="25" max="25" width="14.44140625" bestFit="1" customWidth="1"/>
    <col min="26" max="26" width="9.6640625" customWidth="1"/>
    <col min="27" max="27" width="11.33203125" customWidth="1"/>
  </cols>
  <sheetData>
    <row r="1" spans="1:25" ht="16.5" customHeight="1">
      <c r="A1" s="534"/>
      <c r="B1" s="534"/>
      <c r="C1" s="534"/>
      <c r="D1" s="534"/>
      <c r="E1" s="534"/>
      <c r="F1" s="534"/>
      <c r="G1" s="534"/>
      <c r="H1" s="534"/>
      <c r="I1" s="534"/>
      <c r="J1" s="534"/>
      <c r="K1" s="534"/>
      <c r="L1" s="534"/>
      <c r="M1" s="534"/>
      <c r="N1" s="534"/>
      <c r="O1" s="534"/>
      <c r="P1" s="534"/>
      <c r="Q1" s="534"/>
    </row>
    <row r="2" spans="1:25" ht="20.100000000000001" customHeight="1"/>
    <row r="3" spans="1:25" ht="20.100000000000001" customHeight="1">
      <c r="A3" s="545" t="s">
        <v>54</v>
      </c>
      <c r="B3" s="545"/>
      <c r="C3" s="545"/>
      <c r="D3" s="545"/>
      <c r="E3" s="545"/>
      <c r="F3" s="545"/>
      <c r="G3" s="545"/>
      <c r="H3" s="545"/>
      <c r="I3" s="545"/>
      <c r="J3" s="545"/>
      <c r="K3" s="545"/>
      <c r="L3" s="545"/>
      <c r="M3" s="545"/>
      <c r="N3" s="545"/>
      <c r="O3" s="545"/>
      <c r="P3" s="545"/>
      <c r="Q3" s="545"/>
    </row>
    <row r="4" spans="1:25" ht="30.9" customHeight="1">
      <c r="A4" s="547" t="s">
        <v>1193</v>
      </c>
      <c r="B4" s="545"/>
      <c r="C4" s="545"/>
      <c r="D4" s="545"/>
      <c r="E4" s="545"/>
      <c r="F4" s="545"/>
      <c r="G4" s="545"/>
      <c r="H4" s="545"/>
      <c r="I4" s="545"/>
      <c r="J4" s="545"/>
      <c r="K4" s="545"/>
      <c r="L4" s="545"/>
      <c r="M4" s="545"/>
      <c r="N4" s="545"/>
      <c r="O4" s="545"/>
      <c r="P4" s="545"/>
      <c r="Q4" s="545"/>
      <c r="R4" s="206"/>
      <c r="Y4" s="206" t="s">
        <v>1182</v>
      </c>
    </row>
    <row r="5" spans="1:25" ht="16.5" customHeight="1">
      <c r="A5" s="194" t="s">
        <v>1173</v>
      </c>
      <c r="B5" s="2" t="s">
        <v>56</v>
      </c>
      <c r="C5" s="209" t="s">
        <v>57</v>
      </c>
      <c r="D5" s="2" t="s">
        <v>58</v>
      </c>
      <c r="E5" s="195" t="s">
        <v>59</v>
      </c>
      <c r="F5" s="195" t="s">
        <v>60</v>
      </c>
      <c r="G5" s="195" t="s">
        <v>61</v>
      </c>
      <c r="H5" s="222"/>
      <c r="I5" s="14"/>
      <c r="J5" s="14"/>
      <c r="K5" s="229" t="s">
        <v>1194</v>
      </c>
      <c r="L5" s="188" t="s">
        <v>55</v>
      </c>
      <c r="M5" s="203" t="s">
        <v>59</v>
      </c>
      <c r="N5" s="195" t="s">
        <v>60</v>
      </c>
      <c r="O5" s="207"/>
      <c r="Q5" s="208"/>
      <c r="R5" s="229" t="s">
        <v>1195</v>
      </c>
      <c r="S5" s="194" t="s">
        <v>1173</v>
      </c>
      <c r="T5" s="195" t="s">
        <v>59</v>
      </c>
      <c r="U5" s="195" t="s">
        <v>61</v>
      </c>
      <c r="X5" s="183"/>
    </row>
    <row r="6" spans="1:25" ht="16.5" customHeight="1">
      <c r="A6" s="184" t="s">
        <v>62</v>
      </c>
      <c r="B6" s="4">
        <v>20</v>
      </c>
      <c r="C6" s="185">
        <v>15</v>
      </c>
      <c r="D6" s="4">
        <v>20</v>
      </c>
      <c r="E6" s="197">
        <f t="shared" ref="E6:E14" si="0">SUM(B6,C6,D6)</f>
        <v>55</v>
      </c>
      <c r="F6" s="210">
        <f t="shared" ref="F6:F14" si="1">AVERAGE(B6:D6)</f>
        <v>18.333333333333332</v>
      </c>
      <c r="G6" s="211" t="str">
        <f>IF(F6&gt;20,"a",IF(F6&gt;15,"b","c"))</f>
        <v>b</v>
      </c>
      <c r="H6" s="222"/>
      <c r="I6" s="14"/>
      <c r="J6" s="14"/>
      <c r="K6" s="14"/>
      <c r="L6" s="230" t="s">
        <v>1179</v>
      </c>
      <c r="M6" s="231">
        <f t="array" ref="M6:N6">VLOOKUP(L6,A5:G14,{5,6},0)</f>
        <v>46</v>
      </c>
      <c r="N6" s="231">
        <v>15.333333333333334</v>
      </c>
      <c r="O6" s="204"/>
      <c r="S6" s="230" t="s">
        <v>62</v>
      </c>
      <c r="T6" s="231">
        <f t="array" ref="T6:U6">VLOOKUP(S6,A5:G14,{5,7},0)</f>
        <v>55</v>
      </c>
      <c r="U6" s="231" t="str">
        <v>b</v>
      </c>
    </row>
    <row r="7" spans="1:25" ht="16.5" customHeight="1">
      <c r="A7" s="184" t="s">
        <v>64</v>
      </c>
      <c r="B7" s="4">
        <v>30</v>
      </c>
      <c r="C7" s="185">
        <v>12</v>
      </c>
      <c r="D7" s="4">
        <v>15</v>
      </c>
      <c r="E7" s="197">
        <f t="shared" si="0"/>
        <v>57</v>
      </c>
      <c r="F7" s="210">
        <f t="shared" si="1"/>
        <v>19</v>
      </c>
      <c r="G7" s="211" t="str">
        <f t="shared" ref="G7:G14" si="2">IF(F7&gt;20,"a",IF(F7&gt;15,"b","c"))</f>
        <v>b</v>
      </c>
      <c r="H7" s="222"/>
      <c r="I7" s="14"/>
      <c r="J7" s="14"/>
      <c r="K7" s="14"/>
      <c r="L7" s="230" t="s">
        <v>64</v>
      </c>
      <c r="M7" s="231">
        <f t="array" ref="M7:N7">VLOOKUP(L7,A6:G15,{5,6},0)</f>
        <v>57</v>
      </c>
      <c r="N7" s="231">
        <v>19</v>
      </c>
      <c r="O7" s="204"/>
      <c r="S7" s="232" t="s">
        <v>1186</v>
      </c>
      <c r="T7" s="231">
        <f t="array" ref="T7:U7">VLOOKUP(S7,A6:M15,{5,7},0)</f>
        <v>43</v>
      </c>
      <c r="U7" s="231" t="str">
        <v>c</v>
      </c>
    </row>
    <row r="8" spans="1:25" ht="16.5" customHeight="1">
      <c r="A8" s="212" t="s">
        <v>1186</v>
      </c>
      <c r="B8" s="4">
        <v>15</v>
      </c>
      <c r="C8" s="185">
        <v>14</v>
      </c>
      <c r="D8" s="4">
        <v>14</v>
      </c>
      <c r="E8" s="197">
        <f t="shared" si="0"/>
        <v>43</v>
      </c>
      <c r="F8" s="210">
        <f t="shared" si="1"/>
        <v>14.333333333333334</v>
      </c>
      <c r="G8" s="211" t="str">
        <f t="shared" si="2"/>
        <v>c</v>
      </c>
      <c r="H8" s="222"/>
      <c r="I8" s="14"/>
      <c r="J8" s="14"/>
      <c r="K8" s="14"/>
      <c r="L8" s="230" t="s">
        <v>65</v>
      </c>
      <c r="M8" s="231">
        <f t="array" ref="M8:N8">VLOOKUP(L8,A7:G16,{5,6},0)</f>
        <v>43</v>
      </c>
      <c r="N8" s="231">
        <v>14.333333333333334</v>
      </c>
      <c r="O8" s="205"/>
      <c r="S8" s="230" t="s">
        <v>64</v>
      </c>
      <c r="T8" s="231">
        <f t="array" ref="T8:U8">VLOOKUP(S8,A7:M16,{5,7},0)</f>
        <v>57</v>
      </c>
      <c r="U8" s="231" t="str">
        <v>b</v>
      </c>
    </row>
    <row r="9" spans="1:25" ht="16.5" customHeight="1">
      <c r="A9" s="184" t="s">
        <v>1179</v>
      </c>
      <c r="B9" s="4">
        <v>12</v>
      </c>
      <c r="C9" s="185">
        <v>17</v>
      </c>
      <c r="D9" s="4">
        <v>17</v>
      </c>
      <c r="E9" s="197">
        <f t="shared" si="0"/>
        <v>46</v>
      </c>
      <c r="F9" s="210">
        <f t="shared" si="1"/>
        <v>15.333333333333334</v>
      </c>
      <c r="G9" s="211" t="str">
        <f t="shared" si="2"/>
        <v>b</v>
      </c>
      <c r="H9" s="222"/>
      <c r="I9" s="14"/>
      <c r="J9" s="14"/>
      <c r="K9" s="14"/>
    </row>
    <row r="10" spans="1:25" ht="16.5" customHeight="1">
      <c r="A10" s="184" t="s">
        <v>66</v>
      </c>
      <c r="B10" s="4">
        <v>14</v>
      </c>
      <c r="C10" s="185">
        <v>18</v>
      </c>
      <c r="D10" s="4">
        <v>18</v>
      </c>
      <c r="E10" s="197">
        <f t="shared" si="0"/>
        <v>50</v>
      </c>
      <c r="F10" s="210">
        <f t="shared" si="1"/>
        <v>16.666666666666668</v>
      </c>
      <c r="G10" s="211" t="str">
        <f t="shared" si="2"/>
        <v>b</v>
      </c>
      <c r="H10" s="222"/>
      <c r="I10" s="14"/>
      <c r="J10" s="14"/>
      <c r="K10" s="14" t="s">
        <v>1189</v>
      </c>
      <c r="L10" s="188" t="s">
        <v>55</v>
      </c>
      <c r="M10" s="203" t="s">
        <v>59</v>
      </c>
      <c r="N10" s="195" t="s">
        <v>61</v>
      </c>
      <c r="O10" t="s">
        <v>1196</v>
      </c>
      <c r="P10" s="188" t="s">
        <v>55</v>
      </c>
      <c r="Q10" s="203" t="s">
        <v>59</v>
      </c>
      <c r="R10" s="195" t="s">
        <v>61</v>
      </c>
      <c r="T10">
        <f t="array" ref="T10">VLOOKUP(S6,A5:G14,{5,7},0)</f>
        <v>55</v>
      </c>
      <c r="U10" t="e">
        <f t="array" ref="U10">VLOOKUP(T6,B5:H14,{5,7},0)</f>
        <v>#N/A</v>
      </c>
    </row>
    <row r="11" spans="1:25" ht="16.5" customHeight="1">
      <c r="A11" s="184" t="s">
        <v>67</v>
      </c>
      <c r="B11" s="4">
        <v>16</v>
      </c>
      <c r="C11" s="185">
        <v>25</v>
      </c>
      <c r="D11" s="4">
        <v>20</v>
      </c>
      <c r="E11" s="197">
        <f t="shared" si="0"/>
        <v>61</v>
      </c>
      <c r="F11" s="210">
        <f t="shared" si="1"/>
        <v>20.333333333333332</v>
      </c>
      <c r="G11" s="211" t="str">
        <f t="shared" si="2"/>
        <v>a</v>
      </c>
      <c r="H11" s="222"/>
      <c r="I11" s="14"/>
      <c r="J11" s="14"/>
      <c r="K11" s="14"/>
      <c r="L11" s="230" t="s">
        <v>1179</v>
      </c>
      <c r="M11">
        <f>SUMIF($A$5:$A$14,$L11,E$5:E$14)</f>
        <v>46</v>
      </c>
      <c r="P11" s="230" t="s">
        <v>1179</v>
      </c>
      <c r="Q11">
        <f>INDEX(A5:$G$14,MATCH($P11,A6:A14,0),MATCH(Q$10,B$5:G$5,0))</f>
        <v>14</v>
      </c>
      <c r="T11">
        <f t="array" ref="T11">VLOOKUP(S6,A5:G14,{5,7},0)</f>
        <v>55</v>
      </c>
      <c r="U11" t="e">
        <f t="array" ref="U11">VLOOKUP(T6,B5:H14,{5,7},0)</f>
        <v>#N/A</v>
      </c>
    </row>
    <row r="12" spans="1:25" ht="16.5" customHeight="1">
      <c r="A12" s="184" t="s">
        <v>68</v>
      </c>
      <c r="B12" s="4">
        <v>18</v>
      </c>
      <c r="C12" s="185">
        <v>21</v>
      </c>
      <c r="D12" s="4">
        <v>22</v>
      </c>
      <c r="E12" s="197">
        <f t="shared" si="0"/>
        <v>61</v>
      </c>
      <c r="F12" s="210">
        <f t="shared" si="1"/>
        <v>20.333333333333332</v>
      </c>
      <c r="G12" s="211" t="str">
        <f t="shared" si="2"/>
        <v>a</v>
      </c>
      <c r="H12" s="222"/>
      <c r="I12" s="14"/>
      <c r="J12" s="14"/>
      <c r="K12" s="14"/>
      <c r="L12" s="230" t="s">
        <v>64</v>
      </c>
      <c r="M12">
        <f t="shared" ref="M12:M13" si="3">SUMIF($A$5:$A$14,$L12,E$5:E$14)</f>
        <v>57</v>
      </c>
      <c r="P12" s="230" t="s">
        <v>64</v>
      </c>
      <c r="Q12">
        <f>INDEX(A6:$G$14,MATCH($P12,A7:A15,0),MATCH(Q$10,B$5:G$5,0))</f>
        <v>20</v>
      </c>
    </row>
    <row r="13" spans="1:25" ht="16.5" customHeight="1">
      <c r="A13" s="184" t="s">
        <v>69</v>
      </c>
      <c r="B13" s="4">
        <v>17</v>
      </c>
      <c r="C13" s="185">
        <v>23</v>
      </c>
      <c r="D13" s="4">
        <v>13</v>
      </c>
      <c r="E13" s="197">
        <f t="shared" si="0"/>
        <v>53</v>
      </c>
      <c r="F13" s="210">
        <f t="shared" si="1"/>
        <v>17.666666666666668</v>
      </c>
      <c r="G13" s="211" t="str">
        <f t="shared" si="2"/>
        <v>b</v>
      </c>
      <c r="H13" s="222"/>
      <c r="I13" s="14"/>
      <c r="J13" s="14"/>
      <c r="K13" s="14"/>
      <c r="L13" s="230" t="s">
        <v>65</v>
      </c>
      <c r="M13">
        <f t="shared" si="3"/>
        <v>43</v>
      </c>
      <c r="P13" s="230" t="s">
        <v>65</v>
      </c>
      <c r="Q13">
        <f>INDEX(A7:$G$14,MATCH($P13,A8:A16,0),MATCH(Q$10,B$5:G$5,0))</f>
        <v>15</v>
      </c>
      <c r="T13">
        <f t="array" ref="T13:U13">VLOOKUP(S6,A5:G14,{5,7},0)</f>
        <v>55</v>
      </c>
      <c r="U13" t="str">
        <v>b</v>
      </c>
    </row>
    <row r="14" spans="1:25" ht="16.5" customHeight="1">
      <c r="A14" s="184" t="s">
        <v>70</v>
      </c>
      <c r="B14" s="4">
        <v>20</v>
      </c>
      <c r="C14" s="185">
        <v>25</v>
      </c>
      <c r="D14" s="4">
        <v>25</v>
      </c>
      <c r="E14" s="197">
        <f t="shared" si="0"/>
        <v>70</v>
      </c>
      <c r="F14" s="210">
        <f t="shared" si="1"/>
        <v>23.333333333333332</v>
      </c>
      <c r="G14" s="211" t="str">
        <f t="shared" si="2"/>
        <v>a</v>
      </c>
      <c r="H14" s="222"/>
      <c r="I14" s="14"/>
      <c r="J14" s="14"/>
      <c r="K14" s="14"/>
      <c r="T14">
        <f t="array" ref="T14:U14">VLOOKUP(S7,A6:G15,{5,7},0)</f>
        <v>43</v>
      </c>
      <c r="U14" t="str">
        <v>c</v>
      </c>
    </row>
    <row r="15" spans="1:25" ht="39.75" customHeight="1">
      <c r="A15" s="533" t="s">
        <v>71</v>
      </c>
      <c r="B15" s="533"/>
      <c r="C15" s="533"/>
      <c r="D15" s="533"/>
      <c r="E15" s="533"/>
      <c r="F15" s="16"/>
      <c r="G15" s="548"/>
      <c r="H15" s="548"/>
      <c r="I15" s="548"/>
      <c r="J15" s="548"/>
      <c r="K15" s="548"/>
      <c r="L15" s="549" t="s">
        <v>30</v>
      </c>
      <c r="M15" s="549"/>
      <c r="N15" s="549"/>
      <c r="O15" s="549"/>
      <c r="P15" s="549"/>
      <c r="Q15" s="549"/>
      <c r="R15" s="233">
        <f>COUNTA(A5:A14)</f>
        <v>10</v>
      </c>
      <c r="T15">
        <f t="array" ref="T15:U15">VLOOKUP(S8,A7:G16,{5,7},0)</f>
        <v>57</v>
      </c>
      <c r="U15" t="str">
        <v>b</v>
      </c>
    </row>
    <row r="16" spans="1:25" ht="16.649999999999999" customHeight="1">
      <c r="A16" s="534" t="s">
        <v>72</v>
      </c>
      <c r="B16" s="534"/>
      <c r="C16" s="534"/>
      <c r="D16" s="534"/>
      <c r="E16" s="534"/>
      <c r="F16" s="534"/>
      <c r="G16" s="534"/>
      <c r="H16" s="534"/>
      <c r="I16" s="534"/>
      <c r="J16" s="534"/>
      <c r="K16" s="534"/>
      <c r="L16" s="536" t="s">
        <v>26</v>
      </c>
      <c r="M16" s="536"/>
      <c r="N16" s="536"/>
      <c r="O16" s="536"/>
      <c r="P16" s="536"/>
      <c r="Q16" s="536"/>
      <c r="S16" s="238">
        <f>COUNTIF(B5:B14,"&gt;20")</f>
        <v>1</v>
      </c>
    </row>
    <row r="17" spans="1:21" ht="33" customHeight="1">
      <c r="A17" s="550" t="s">
        <v>73</v>
      </c>
      <c r="B17" s="550"/>
      <c r="C17" s="550"/>
      <c r="D17" s="550"/>
      <c r="E17" s="550"/>
      <c r="F17" s="550"/>
      <c r="G17" s="550"/>
      <c r="H17" s="550"/>
      <c r="I17" s="550"/>
      <c r="J17" s="550"/>
      <c r="K17" s="550"/>
      <c r="L17" s="551" t="s">
        <v>74</v>
      </c>
      <c r="M17" s="551"/>
      <c r="N17" s="552"/>
      <c r="O17" s="552"/>
      <c r="P17" s="552"/>
      <c r="Q17" s="552"/>
    </row>
    <row r="18" spans="1:21" ht="16.649999999999999" customHeight="1">
      <c r="A18" s="534" t="s">
        <v>75</v>
      </c>
      <c r="B18" s="534"/>
      <c r="C18" s="534"/>
      <c r="D18" s="534"/>
      <c r="E18" s="534"/>
      <c r="F18" s="534"/>
      <c r="G18" s="534"/>
      <c r="H18" s="534"/>
      <c r="I18" s="534"/>
      <c r="J18" s="534"/>
      <c r="K18" s="534"/>
      <c r="L18" s="534"/>
      <c r="M18" s="534"/>
      <c r="N18" s="534"/>
      <c r="O18" s="534"/>
      <c r="P18" s="534"/>
      <c r="Q18" s="534"/>
      <c r="T18">
        <f t="array" ref="T18">VLOOKUP($S6,$A$5:$G$14,{5,7},0)</f>
        <v>55</v>
      </c>
      <c r="U18">
        <f t="array" ref="U18">VLOOKUP($S6,$A$5:$G$14,{5,7},0)</f>
        <v>55</v>
      </c>
    </row>
    <row r="19" spans="1:21" ht="33" customHeight="1">
      <c r="A19" s="553" t="s">
        <v>1180</v>
      </c>
      <c r="B19" s="550"/>
      <c r="C19" s="550"/>
      <c r="D19" s="550"/>
      <c r="E19" s="550"/>
      <c r="F19" s="550"/>
      <c r="G19" s="550"/>
      <c r="H19" s="550"/>
      <c r="I19" s="550"/>
      <c r="J19" s="550"/>
      <c r="K19" s="550"/>
      <c r="L19" s="551" t="s">
        <v>74</v>
      </c>
      <c r="M19" s="551"/>
      <c r="N19" s="552"/>
      <c r="O19" s="552"/>
      <c r="P19" s="552"/>
      <c r="Q19" s="552"/>
      <c r="T19">
        <f t="array" ref="T19">VLOOKUP($S7,$A$5:$G$14,{5,7},0)</f>
        <v>43</v>
      </c>
      <c r="U19">
        <f t="array" ref="U19">VLOOKUP($S7,$A$5:$G$14,{5,7},0)</f>
        <v>43</v>
      </c>
    </row>
    <row r="20" spans="1:21" ht="21" customHeight="1">
      <c r="A20" s="554" t="s">
        <v>76</v>
      </c>
      <c r="B20" s="554"/>
      <c r="C20" s="554"/>
      <c r="D20" s="554"/>
      <c r="E20" s="554"/>
      <c r="F20" s="554"/>
      <c r="G20" s="554"/>
      <c r="H20" s="554"/>
      <c r="I20" s="554"/>
      <c r="J20" s="554"/>
      <c r="K20" s="554"/>
      <c r="L20" s="554"/>
      <c r="M20" s="554"/>
      <c r="N20" s="554"/>
      <c r="O20" s="554"/>
      <c r="P20" s="554"/>
      <c r="T20">
        <f t="array" ref="T20">VLOOKUP($S8,$A$5:$G$14,{5,7},0)</f>
        <v>57</v>
      </c>
      <c r="U20">
        <f t="array" ref="U20">VLOOKUP($S8,$A$5:$G$14,{5,7},0)</f>
        <v>57</v>
      </c>
    </row>
    <row r="21" spans="1:21" ht="28.5" customHeight="1">
      <c r="A21" s="555" t="s">
        <v>77</v>
      </c>
      <c r="B21" s="555"/>
      <c r="C21" s="555"/>
      <c r="D21" s="555"/>
      <c r="E21" s="555"/>
      <c r="F21" s="555"/>
      <c r="G21" s="555"/>
      <c r="H21" s="555"/>
      <c r="I21" s="555"/>
      <c r="J21" s="555"/>
      <c r="K21" s="555"/>
      <c r="L21" s="555"/>
      <c r="M21" s="555"/>
      <c r="N21" s="555"/>
      <c r="O21" s="555"/>
      <c r="P21" s="555"/>
    </row>
    <row r="22" spans="1:21" ht="16.5" customHeight="1">
      <c r="A22" s="1" t="s">
        <v>78</v>
      </c>
      <c r="B22" s="187" t="s">
        <v>79</v>
      </c>
      <c r="C22" s="199"/>
      <c r="D22" s="189"/>
      <c r="E22" s="187" t="s">
        <v>80</v>
      </c>
      <c r="F22" s="199"/>
      <c r="G22" s="189"/>
      <c r="H22" s="200" t="s">
        <v>81</v>
      </c>
      <c r="I22" s="201"/>
      <c r="J22" s="3" t="s">
        <v>82</v>
      </c>
      <c r="K22" s="195" t="s">
        <v>83</v>
      </c>
      <c r="L22" s="196"/>
      <c r="M22" s="195" t="s">
        <v>84</v>
      </c>
      <c r="N22" s="196"/>
      <c r="O22" s="1" t="s">
        <v>59</v>
      </c>
      <c r="P22" s="1" t="s">
        <v>61</v>
      </c>
    </row>
    <row r="23" spans="1:21" ht="16.5" customHeight="1">
      <c r="A23" s="5" t="s">
        <v>12</v>
      </c>
      <c r="B23" s="184" t="s">
        <v>85</v>
      </c>
      <c r="C23" s="202"/>
      <c r="D23" s="190"/>
      <c r="E23" s="184" t="s">
        <v>86</v>
      </c>
      <c r="F23" s="202"/>
      <c r="G23" s="190"/>
      <c r="H23" s="185">
        <v>5000</v>
      </c>
      <c r="I23" s="191"/>
      <c r="J23" s="6">
        <f>PRODUCT(H23*2.5%)</f>
        <v>125</v>
      </c>
      <c r="K23" s="197">
        <f>PRODUCT(H23*3.5%)</f>
        <v>175.00000000000003</v>
      </c>
      <c r="L23" s="198"/>
      <c r="M23" s="197">
        <f>PRODUCT(H23*1.5%)</f>
        <v>75</v>
      </c>
      <c r="N23" s="198"/>
      <c r="O23" s="254">
        <f>SUM(H23,J23,K23,M23)</f>
        <v>5375</v>
      </c>
      <c r="P23" s="5" t="str">
        <f>IF(O23&gt;20000,"a",IF(O23&gt;10000,"b","c"))</f>
        <v>c</v>
      </c>
    </row>
    <row r="24" spans="1:21" ht="16.5" customHeight="1">
      <c r="A24" s="5" t="s">
        <v>88</v>
      </c>
      <c r="B24" s="184" t="s">
        <v>85</v>
      </c>
      <c r="C24" s="202"/>
      <c r="D24" s="190"/>
      <c r="E24" s="184" t="s">
        <v>89</v>
      </c>
      <c r="F24" s="202"/>
      <c r="G24" s="190"/>
      <c r="H24" s="185">
        <v>8000</v>
      </c>
      <c r="I24" s="191"/>
      <c r="J24" s="6">
        <f t="shared" ref="J24:J30" si="4">PRODUCT(H24*2.5%)</f>
        <v>200</v>
      </c>
      <c r="K24" s="197">
        <f t="shared" ref="K24:K30" si="5">PRODUCT(H24*3.5%)</f>
        <v>280</v>
      </c>
      <c r="L24" s="192"/>
      <c r="M24" s="197">
        <f t="shared" ref="M24:M30" si="6">PRODUCT(H24*1.5%)</f>
        <v>120</v>
      </c>
      <c r="N24" s="192"/>
      <c r="O24" s="254">
        <f t="shared" ref="O24:O30" si="7">SUM(H24,J24,K24,M24)</f>
        <v>8600</v>
      </c>
      <c r="P24" s="5" t="str">
        <f t="shared" ref="P24:P30" si="8">IF(O24&gt;20000,"a",IF(O24&gt;10000,"b","c"))</f>
        <v>c</v>
      </c>
    </row>
    <row r="25" spans="1:21" ht="16.5" customHeight="1">
      <c r="A25" s="5" t="s">
        <v>16</v>
      </c>
      <c r="B25" s="184" t="s">
        <v>85</v>
      </c>
      <c r="C25" s="202"/>
      <c r="D25" s="190"/>
      <c r="E25" s="184" t="s">
        <v>90</v>
      </c>
      <c r="F25" s="202"/>
      <c r="G25" s="190"/>
      <c r="H25" s="185">
        <v>3000</v>
      </c>
      <c r="I25" s="191"/>
      <c r="J25" s="6">
        <f t="shared" si="4"/>
        <v>75</v>
      </c>
      <c r="K25" s="197">
        <f t="shared" si="5"/>
        <v>105.00000000000001</v>
      </c>
      <c r="L25" s="192"/>
      <c r="M25" s="197">
        <f t="shared" si="6"/>
        <v>45</v>
      </c>
      <c r="N25" s="192"/>
      <c r="O25" s="254">
        <f t="shared" si="7"/>
        <v>3225</v>
      </c>
      <c r="P25" s="5" t="str">
        <f t="shared" si="8"/>
        <v>c</v>
      </c>
    </row>
    <row r="26" spans="1:21" ht="16.5" customHeight="1">
      <c r="A26" s="5" t="s">
        <v>19</v>
      </c>
      <c r="B26" s="184" t="s">
        <v>91</v>
      </c>
      <c r="C26" s="202"/>
      <c r="D26" s="190"/>
      <c r="E26" s="184" t="s">
        <v>92</v>
      </c>
      <c r="F26" s="202"/>
      <c r="G26" s="190"/>
      <c r="H26" s="185">
        <v>6000</v>
      </c>
      <c r="I26" s="191"/>
      <c r="J26" s="6">
        <f t="shared" si="4"/>
        <v>150</v>
      </c>
      <c r="K26" s="197">
        <f t="shared" si="5"/>
        <v>210.00000000000003</v>
      </c>
      <c r="L26" s="192"/>
      <c r="M26" s="197">
        <f t="shared" si="6"/>
        <v>90</v>
      </c>
      <c r="N26" s="192"/>
      <c r="O26" s="254">
        <f t="shared" si="7"/>
        <v>6450</v>
      </c>
      <c r="P26" s="5" t="str">
        <f t="shared" si="8"/>
        <v>c</v>
      </c>
    </row>
    <row r="27" spans="1:21" ht="16.5" customHeight="1">
      <c r="A27" s="5" t="s">
        <v>93</v>
      </c>
      <c r="B27" s="184" t="s">
        <v>91</v>
      </c>
      <c r="C27" s="202"/>
      <c r="D27" s="190"/>
      <c r="E27" s="184" t="s">
        <v>94</v>
      </c>
      <c r="F27" s="202"/>
      <c r="G27" s="190"/>
      <c r="H27" s="185">
        <v>8000</v>
      </c>
      <c r="I27" s="191"/>
      <c r="J27" s="6">
        <f t="shared" si="4"/>
        <v>200</v>
      </c>
      <c r="K27" s="197">
        <f t="shared" si="5"/>
        <v>280</v>
      </c>
      <c r="L27" s="192"/>
      <c r="M27" s="197">
        <f t="shared" si="6"/>
        <v>120</v>
      </c>
      <c r="N27" s="192"/>
      <c r="O27" s="254">
        <f t="shared" si="7"/>
        <v>8600</v>
      </c>
      <c r="P27" s="5" t="str">
        <f t="shared" si="8"/>
        <v>c</v>
      </c>
    </row>
    <row r="28" spans="1:21" ht="16.5" customHeight="1">
      <c r="A28" s="5" t="s">
        <v>95</v>
      </c>
      <c r="B28" s="184" t="s">
        <v>91</v>
      </c>
      <c r="C28" s="202"/>
      <c r="D28" s="190"/>
      <c r="E28" s="184" t="s">
        <v>96</v>
      </c>
      <c r="F28" s="202"/>
      <c r="G28" s="190"/>
      <c r="H28" s="185">
        <v>9000</v>
      </c>
      <c r="I28" s="191"/>
      <c r="J28" s="6">
        <f t="shared" si="4"/>
        <v>225</v>
      </c>
      <c r="K28" s="197">
        <f t="shared" si="5"/>
        <v>315.00000000000006</v>
      </c>
      <c r="L28" s="192"/>
      <c r="M28" s="197">
        <f t="shared" si="6"/>
        <v>135</v>
      </c>
      <c r="N28" s="192"/>
      <c r="O28" s="254">
        <f t="shared" si="7"/>
        <v>9675</v>
      </c>
      <c r="P28" s="5" t="str">
        <f t="shared" si="8"/>
        <v>c</v>
      </c>
      <c r="S28">
        <f>COUNTIF(E22:$E$30,$R28)</f>
        <v>0</v>
      </c>
    </row>
    <row r="29" spans="1:21" ht="16.5" customHeight="1">
      <c r="A29" s="5" t="s">
        <v>97</v>
      </c>
      <c r="B29" s="184" t="s">
        <v>98</v>
      </c>
      <c r="C29" s="202"/>
      <c r="D29" s="190"/>
      <c r="E29" s="184" t="s">
        <v>86</v>
      </c>
      <c r="F29" s="202"/>
      <c r="G29" s="190"/>
      <c r="H29" s="185">
        <v>10000</v>
      </c>
      <c r="I29" s="191"/>
      <c r="J29" s="6">
        <f t="shared" si="4"/>
        <v>250</v>
      </c>
      <c r="K29" s="197">
        <f t="shared" si="5"/>
        <v>350.00000000000006</v>
      </c>
      <c r="L29" s="192"/>
      <c r="M29" s="197">
        <f t="shared" si="6"/>
        <v>150</v>
      </c>
      <c r="N29" s="192"/>
      <c r="O29" s="254">
        <f t="shared" si="7"/>
        <v>10750</v>
      </c>
      <c r="P29" s="5" t="str">
        <f t="shared" si="8"/>
        <v>b</v>
      </c>
      <c r="S29">
        <f>COUNTIF(E23:$E$30,$R29)</f>
        <v>0</v>
      </c>
    </row>
    <row r="30" spans="1:21" ht="16.5" customHeight="1">
      <c r="A30" s="5" t="s">
        <v>99</v>
      </c>
      <c r="B30" s="184" t="s">
        <v>98</v>
      </c>
      <c r="C30" s="202"/>
      <c r="D30" s="190"/>
      <c r="E30" s="184" t="s">
        <v>92</v>
      </c>
      <c r="F30" s="202"/>
      <c r="G30" s="190"/>
      <c r="H30" s="185">
        <v>5000</v>
      </c>
      <c r="I30" s="191"/>
      <c r="J30" s="6">
        <f t="shared" si="4"/>
        <v>125</v>
      </c>
      <c r="K30" s="197">
        <f t="shared" si="5"/>
        <v>175.00000000000003</v>
      </c>
      <c r="L30" s="192"/>
      <c r="M30" s="197">
        <f t="shared" si="6"/>
        <v>75</v>
      </c>
      <c r="N30" s="192"/>
      <c r="O30" s="254">
        <f t="shared" si="7"/>
        <v>5375</v>
      </c>
      <c r="P30" s="5" t="str">
        <f t="shared" si="8"/>
        <v>c</v>
      </c>
      <c r="S30">
        <f>COUNTIF(E24:$E$30,$R30)</f>
        <v>0</v>
      </c>
    </row>
    <row r="31" spans="1:21" ht="24" customHeight="1">
      <c r="A31" s="557" t="s">
        <v>100</v>
      </c>
      <c r="B31" s="557"/>
      <c r="C31" s="557"/>
      <c r="D31" s="557"/>
      <c r="E31" s="557"/>
      <c r="F31" s="557"/>
      <c r="G31" s="557"/>
      <c r="H31" s="557"/>
      <c r="I31" s="557"/>
      <c r="J31" s="557"/>
      <c r="K31" s="557"/>
      <c r="L31" s="557"/>
      <c r="M31" s="548"/>
      <c r="N31" s="548"/>
      <c r="O31" s="558" t="s">
        <v>26</v>
      </c>
      <c r="P31" s="558"/>
      <c r="S31">
        <f>COUNTIF(E25:$E$30,$R31)</f>
        <v>0</v>
      </c>
    </row>
    <row r="32" spans="1:21" ht="20.25" customHeight="1">
      <c r="A32" s="559" t="s">
        <v>101</v>
      </c>
      <c r="B32" s="559"/>
      <c r="C32" s="559"/>
      <c r="D32" s="559"/>
      <c r="E32" s="559"/>
      <c r="F32" s="559"/>
      <c r="G32" s="559"/>
      <c r="H32" s="559"/>
      <c r="I32" s="559"/>
      <c r="J32" s="559"/>
      <c r="K32" s="560"/>
      <c r="L32" s="560"/>
      <c r="M32" s="560"/>
      <c r="N32" s="560"/>
      <c r="O32" s="534" t="s">
        <v>102</v>
      </c>
      <c r="P32" s="534"/>
      <c r="S32">
        <f>COUNTIF(E26:$E$30,$R32)</f>
        <v>0</v>
      </c>
    </row>
    <row r="33" spans="1:19" ht="16.649999999999999" customHeight="1">
      <c r="A33" s="559" t="s">
        <v>103</v>
      </c>
      <c r="B33" s="559"/>
      <c r="C33" s="559"/>
      <c r="D33" s="559"/>
      <c r="E33" s="559"/>
      <c r="F33" s="559"/>
      <c r="G33" s="559"/>
      <c r="H33" s="560"/>
      <c r="I33" s="560"/>
      <c r="J33" s="8"/>
      <c r="K33" s="560"/>
      <c r="L33" s="560"/>
      <c r="M33" s="560"/>
      <c r="N33" s="560"/>
      <c r="O33" s="536" t="s">
        <v>104</v>
      </c>
      <c r="P33" s="536"/>
      <c r="S33">
        <f>COUNTIF(E27:$E$30,$R33)</f>
        <v>0</v>
      </c>
    </row>
    <row r="34" spans="1:19" ht="42.15" customHeight="1">
      <c r="A34" s="556" t="s">
        <v>105</v>
      </c>
      <c r="B34" s="556"/>
      <c r="C34" s="556"/>
      <c r="D34" s="556"/>
      <c r="E34" s="556"/>
      <c r="F34" s="556"/>
      <c r="G34" s="556"/>
      <c r="H34" s="556"/>
      <c r="I34" s="556"/>
      <c r="J34" s="556"/>
      <c r="K34" s="556"/>
      <c r="L34" s="556"/>
      <c r="M34" s="556"/>
      <c r="N34" s="556"/>
      <c r="O34" s="556"/>
      <c r="P34" s="556"/>
    </row>
    <row r="35" spans="1:19" ht="15" customHeight="1">
      <c r="A35" t="s">
        <v>1200</v>
      </c>
      <c r="B35" s="187" t="s">
        <v>79</v>
      </c>
      <c r="C35" s="255" t="s">
        <v>1197</v>
      </c>
      <c r="E35" t="s">
        <v>1203</v>
      </c>
      <c r="F35" s="1" t="s">
        <v>78</v>
      </c>
      <c r="G35" s="187" t="s">
        <v>80</v>
      </c>
      <c r="H35" s="1" t="s">
        <v>61</v>
      </c>
      <c r="K35" t="s">
        <v>1200</v>
      </c>
      <c r="L35" s="231">
        <f t="array" ref="L35:N35">COUNTIF(B22:B30,{"computer","electrical","finance"})</f>
        <v>3</v>
      </c>
      <c r="M35" s="231">
        <v>3</v>
      </c>
      <c r="N35" s="231">
        <v>2</v>
      </c>
    </row>
    <row r="36" spans="1:19" ht="15.75" customHeight="1">
      <c r="B36" s="258" t="s">
        <v>85</v>
      </c>
      <c r="C36" s="231">
        <f>COUNTIF(B22:B30,B36)</f>
        <v>3</v>
      </c>
      <c r="F36" s="259" t="s">
        <v>16</v>
      </c>
      <c r="G36" s="231" t="str">
        <f t="array" ref="G36:H36">VLOOKUP(F36,A22:P30,{5,16},0)</f>
        <v>PION</v>
      </c>
      <c r="H36" s="231" t="str">
        <v>c</v>
      </c>
    </row>
    <row r="37" spans="1:19" ht="18" customHeight="1">
      <c r="B37" s="258" t="s">
        <v>91</v>
      </c>
      <c r="C37" s="231">
        <f t="shared" ref="C37:C38" si="9">COUNTIF(B23:B31,B37)</f>
        <v>3</v>
      </c>
      <c r="F37" s="259" t="s">
        <v>97</v>
      </c>
      <c r="G37" s="231" t="str">
        <f t="array" ref="G37:H37">VLOOKUP(F37,A23:P31,{5,16},0)</f>
        <v>MANAGER</v>
      </c>
      <c r="H37" s="231" t="str">
        <v>b</v>
      </c>
      <c r="K37" t="str">
        <f t="array" ref="K37:L37">VLOOKUP(F36,A22:P30,{5,16},0)</f>
        <v>PION</v>
      </c>
      <c r="L37" t="str">
        <v>c</v>
      </c>
    </row>
    <row r="38" spans="1:19" ht="14.4">
      <c r="B38" s="258" t="s">
        <v>98</v>
      </c>
      <c r="C38" s="231">
        <f t="shared" si="9"/>
        <v>2</v>
      </c>
      <c r="K38" t="str">
        <f t="array" ref="K38:L38">VLOOKUP(F37,A23:P31,{5,16},0)</f>
        <v>MANAGER</v>
      </c>
      <c r="L38" t="str">
        <v>b</v>
      </c>
    </row>
    <row r="39" spans="1:19" ht="16.5" customHeight="1">
      <c r="K39" t="e">
        <f t="array" ref="K39:L39">VLOOKUP(F38,A24:P32,{5,16},0)</f>
        <v>#N/A</v>
      </c>
      <c r="L39" t="e">
        <v>#N/A</v>
      </c>
    </row>
    <row r="40" spans="1:19" ht="14.4">
      <c r="A40" t="s">
        <v>1201</v>
      </c>
      <c r="B40" s="187" t="s">
        <v>79</v>
      </c>
      <c r="C40" s="200" t="s">
        <v>1189</v>
      </c>
    </row>
    <row r="41" spans="1:19" ht="19.5" customHeight="1">
      <c r="B41" s="258" t="s">
        <v>85</v>
      </c>
      <c r="C41" s="231">
        <f>SUMIF(B22:B30,B23,H22:H30)</f>
        <v>16000</v>
      </c>
    </row>
    <row r="42" spans="1:19" ht="17.25" customHeight="1"/>
    <row r="43" spans="1:19" ht="14.4">
      <c r="A43" s="546" t="s">
        <v>106</v>
      </c>
      <c r="B43" s="546"/>
      <c r="C43" s="546"/>
      <c r="D43" s="546"/>
      <c r="E43" s="546"/>
      <c r="F43" s="546"/>
      <c r="G43" s="546"/>
      <c r="H43" s="546"/>
      <c r="I43" s="546"/>
    </row>
    <row r="45" spans="1:19" ht="14.4">
      <c r="B45" s="187" t="s">
        <v>80</v>
      </c>
      <c r="C45" s="255" t="s">
        <v>1197</v>
      </c>
    </row>
    <row r="46" spans="1:19" ht="14.4">
      <c r="B46" s="258" t="s">
        <v>86</v>
      </c>
      <c r="C46" s="231">
        <f>COUNTIF($E$22:$E$30,$B46)</f>
        <v>2</v>
      </c>
    </row>
    <row r="47" spans="1:19" ht="14.4">
      <c r="B47" s="258" t="s">
        <v>92</v>
      </c>
      <c r="C47" s="231">
        <f>COUNTIF($E$22:$E$30,$B47)</f>
        <v>2</v>
      </c>
    </row>
  </sheetData>
  <mergeCells count="32">
    <mergeCell ref="N19:Q19"/>
    <mergeCell ref="A20:P20"/>
    <mergeCell ref="A21:P21"/>
    <mergeCell ref="A34:P34"/>
    <mergeCell ref="A31:L31"/>
    <mergeCell ref="M31:N31"/>
    <mergeCell ref="O31:P31"/>
    <mergeCell ref="A32:J32"/>
    <mergeCell ref="K32:L32"/>
    <mergeCell ref="M32:N32"/>
    <mergeCell ref="O32:P32"/>
    <mergeCell ref="A33:G33"/>
    <mergeCell ref="H33:I33"/>
    <mergeCell ref="K33:L33"/>
    <mergeCell ref="M33:N33"/>
    <mergeCell ref="O33:P33"/>
    <mergeCell ref="A43:I43"/>
    <mergeCell ref="A1:Q1"/>
    <mergeCell ref="A3:Q3"/>
    <mergeCell ref="A4:Q4"/>
    <mergeCell ref="A15:E15"/>
    <mergeCell ref="G15:H15"/>
    <mergeCell ref="I15:K15"/>
    <mergeCell ref="L15:Q15"/>
    <mergeCell ref="A16:K16"/>
    <mergeCell ref="L16:Q16"/>
    <mergeCell ref="A17:K17"/>
    <mergeCell ref="L17:M17"/>
    <mergeCell ref="N17:Q17"/>
    <mergeCell ref="A18:Q18"/>
    <mergeCell ref="A19:K19"/>
    <mergeCell ref="L19:M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3"/>
  <sheetViews>
    <sheetView topLeftCell="A27" workbookViewId="0">
      <selection activeCell="R19" sqref="R19"/>
    </sheetView>
  </sheetViews>
  <sheetFormatPr defaultRowHeight="13.2"/>
  <cols>
    <col min="1" max="1" width="18.33203125" customWidth="1"/>
    <col min="2" max="2" width="15.77734375" customWidth="1"/>
    <col min="3" max="3" width="20" customWidth="1"/>
    <col min="4" max="4" width="10" customWidth="1"/>
    <col min="5" max="5" width="9.77734375" customWidth="1"/>
    <col min="6" max="6" width="15.33203125" customWidth="1"/>
    <col min="7" max="7" width="16" customWidth="1"/>
    <col min="8" max="8" width="13.44140625" customWidth="1"/>
    <col min="9" max="9" width="15.6640625" bestFit="1" customWidth="1"/>
    <col min="10" max="10" width="12.44140625" customWidth="1"/>
    <col min="11" max="11" width="11" bestFit="1" customWidth="1"/>
    <col min="12" max="12" width="15.6640625" bestFit="1" customWidth="1"/>
    <col min="13" max="13" width="12.44140625" customWidth="1"/>
    <col min="14" max="14" width="61.33203125" bestFit="1" customWidth="1"/>
    <col min="15" max="15" width="14.44140625" customWidth="1"/>
    <col min="16" max="16" width="10.109375" bestFit="1" customWidth="1"/>
    <col min="17" max="17" width="14.33203125" customWidth="1"/>
    <col min="18" max="18" width="20.6640625" bestFit="1" customWidth="1"/>
    <col min="21" max="21" width="15.6640625" bestFit="1" customWidth="1"/>
  </cols>
  <sheetData>
    <row r="1" spans="1:22" ht="16.5" customHeight="1">
      <c r="K1" s="21" t="s">
        <v>111</v>
      </c>
      <c r="L1" s="20" t="s">
        <v>109</v>
      </c>
      <c r="N1" s="491" t="s">
        <v>132</v>
      </c>
      <c r="O1" s="491"/>
      <c r="P1" s="491"/>
      <c r="Q1" s="491"/>
      <c r="R1" s="491"/>
      <c r="S1" s="491"/>
      <c r="T1" s="491"/>
      <c r="U1" s="491"/>
    </row>
    <row r="2" spans="1:22" ht="15" customHeight="1">
      <c r="E2" t="str">
        <f>LOOKUP(H2,B6:B16,A6:A16)</f>
        <v>AJEET</v>
      </c>
      <c r="H2" s="223">
        <v>2000</v>
      </c>
      <c r="I2" t="str">
        <f>LOOKUP(H2,B6:B16,A6:A16)</f>
        <v>AJEET</v>
      </c>
      <c r="K2" s="4">
        <v>2500</v>
      </c>
      <c r="L2" t="str">
        <f>LOOKUP(K2,C6:C16,A6:A16)</f>
        <v>AMRIT</v>
      </c>
    </row>
    <row r="3" spans="1:22" ht="21" customHeight="1">
      <c r="A3" s="240" t="s">
        <v>107</v>
      </c>
      <c r="B3" s="240"/>
      <c r="C3" s="240"/>
      <c r="D3" s="240"/>
      <c r="E3" s="240"/>
      <c r="F3" s="240"/>
      <c r="G3" s="240"/>
      <c r="H3" s="240"/>
      <c r="I3" s="240"/>
      <c r="J3" s="240"/>
      <c r="K3" s="240"/>
      <c r="L3" s="240"/>
      <c r="M3" s="240"/>
      <c r="N3" s="240"/>
    </row>
    <row r="4" spans="1:22" ht="28.65" customHeight="1">
      <c r="A4" s="564" t="s">
        <v>108</v>
      </c>
      <c r="B4" s="564"/>
      <c r="C4" s="564"/>
      <c r="D4" s="564"/>
      <c r="E4" s="564"/>
      <c r="F4" s="564"/>
      <c r="G4" s="564"/>
      <c r="H4" s="564"/>
      <c r="I4" s="564"/>
      <c r="J4" s="564"/>
      <c r="K4" s="564"/>
      <c r="L4" s="564"/>
      <c r="M4" s="564"/>
      <c r="N4" s="564"/>
    </row>
    <row r="5" spans="1:22" ht="16.5" customHeight="1">
      <c r="A5" s="492" t="s">
        <v>1267</v>
      </c>
      <c r="B5" s="225" t="s">
        <v>110</v>
      </c>
      <c r="C5" s="21" t="s">
        <v>111</v>
      </c>
      <c r="D5" s="21" t="s">
        <v>112</v>
      </c>
      <c r="E5" s="21" t="s">
        <v>113</v>
      </c>
      <c r="F5" s="225" t="s">
        <v>114</v>
      </c>
      <c r="G5" s="225" t="s">
        <v>115</v>
      </c>
      <c r="H5" s="226" t="s">
        <v>116</v>
      </c>
      <c r="I5" s="21" t="s">
        <v>117</v>
      </c>
      <c r="J5" s="22" t="s">
        <v>118</v>
      </c>
      <c r="L5" s="565" t="s">
        <v>126</v>
      </c>
      <c r="M5" s="565"/>
      <c r="N5" s="565"/>
      <c r="O5" s="565"/>
      <c r="P5" s="565"/>
      <c r="Q5" s="565"/>
      <c r="R5" s="565"/>
      <c r="S5" s="565"/>
    </row>
    <row r="6" spans="1:22" ht="24" customHeight="1" thickBot="1">
      <c r="A6" s="5" t="s">
        <v>124</v>
      </c>
      <c r="B6" s="227">
        <v>200</v>
      </c>
      <c r="C6" s="4">
        <v>3000</v>
      </c>
      <c r="D6" s="4">
        <v>1900</v>
      </c>
      <c r="E6" s="4">
        <v>1200</v>
      </c>
      <c r="F6" s="227">
        <v>1500</v>
      </c>
      <c r="G6" s="185">
        <v>3000</v>
      </c>
      <c r="H6" s="471">
        <f t="shared" ref="H6:H16" si="0">SUM(B6:G6)</f>
        <v>10800</v>
      </c>
      <c r="I6" s="489">
        <v>10000</v>
      </c>
      <c r="J6" s="238" t="str">
        <f t="shared" ref="J6:J16" si="1">IF(H6&gt;I6,"achived","not achived")</f>
        <v>achived</v>
      </c>
      <c r="L6" t="s">
        <v>1198</v>
      </c>
      <c r="M6" s="256">
        <f>COUNTA(A6:A16)</f>
        <v>11</v>
      </c>
    </row>
    <row r="7" spans="1:22" ht="16.5" customHeight="1" thickBot="1">
      <c r="A7" s="5" t="s">
        <v>125</v>
      </c>
      <c r="B7" s="227">
        <v>1600</v>
      </c>
      <c r="C7" s="4">
        <v>1200</v>
      </c>
      <c r="D7" s="4">
        <v>2000</v>
      </c>
      <c r="E7" s="4">
        <v>800</v>
      </c>
      <c r="F7" s="227">
        <v>1700</v>
      </c>
      <c r="G7" s="185">
        <v>800</v>
      </c>
      <c r="H7" s="471">
        <f t="shared" si="0"/>
        <v>8100</v>
      </c>
      <c r="I7" s="489">
        <v>10000</v>
      </c>
      <c r="J7" s="238" t="str">
        <f t="shared" si="1"/>
        <v>not achived</v>
      </c>
      <c r="L7" s="264" t="s">
        <v>109</v>
      </c>
      <c r="M7" s="265" t="s">
        <v>117</v>
      </c>
      <c r="N7" s="266" t="s">
        <v>118</v>
      </c>
      <c r="Q7" s="257"/>
      <c r="R7" s="20" t="s">
        <v>109</v>
      </c>
    </row>
    <row r="8" spans="1:22" ht="16.5" customHeight="1" thickBot="1">
      <c r="A8" s="23" t="s">
        <v>119</v>
      </c>
      <c r="B8" s="223">
        <v>2000</v>
      </c>
      <c r="C8" s="24">
        <v>1500</v>
      </c>
      <c r="D8" s="24">
        <v>300</v>
      </c>
      <c r="E8" s="24">
        <v>1400</v>
      </c>
      <c r="F8" s="223">
        <v>1000</v>
      </c>
      <c r="G8" s="224">
        <v>1400</v>
      </c>
      <c r="H8" s="471">
        <f t="shared" si="0"/>
        <v>7600</v>
      </c>
      <c r="I8" s="488">
        <v>10000</v>
      </c>
      <c r="J8" s="238" t="str">
        <f t="shared" si="1"/>
        <v>not achived</v>
      </c>
      <c r="L8" s="261" t="s">
        <v>121</v>
      </c>
      <c r="M8" s="262">
        <f t="array" ref="M8:N8">VLOOKUP(L8,A5:J16,{9,10},0)</f>
        <v>12000</v>
      </c>
      <c r="N8" s="263" t="str">
        <v>achived</v>
      </c>
      <c r="R8" t="e">
        <f t="array" ref="R8">VLOOKUP(H6,CHOOSE({1,2,3,4,5,6,7,8,9,10},A6:A16,B6:B16,C6:C16,D6:D16,E6:E16,F6:F16,G6:G16,H6:H16,I6:I16,J6:J16),{1},0)</f>
        <v>#N/A</v>
      </c>
      <c r="T8" s="268">
        <v>2500</v>
      </c>
    </row>
    <row r="9" spans="1:22" ht="16.5" customHeight="1">
      <c r="A9" s="5" t="s">
        <v>95</v>
      </c>
      <c r="B9" s="227">
        <v>5000</v>
      </c>
      <c r="C9" s="4">
        <v>1200</v>
      </c>
      <c r="D9" s="4">
        <v>500</v>
      </c>
      <c r="E9" s="4">
        <v>1200</v>
      </c>
      <c r="F9" s="227">
        <v>1200</v>
      </c>
      <c r="G9" s="185">
        <v>2800</v>
      </c>
      <c r="H9" s="471">
        <f t="shared" si="0"/>
        <v>11900</v>
      </c>
      <c r="I9" s="489">
        <v>12000</v>
      </c>
      <c r="J9" s="238" t="str">
        <f t="shared" si="1"/>
        <v>not achived</v>
      </c>
    </row>
    <row r="10" spans="1:22" ht="16.5" customHeight="1" thickBot="1">
      <c r="A10" s="5" t="s">
        <v>93</v>
      </c>
      <c r="B10" s="227">
        <v>3000</v>
      </c>
      <c r="C10" s="4">
        <v>800</v>
      </c>
      <c r="D10" s="4">
        <v>1200</v>
      </c>
      <c r="E10" s="4">
        <v>3000</v>
      </c>
      <c r="F10" s="227">
        <v>1500</v>
      </c>
      <c r="G10" s="185">
        <v>3500</v>
      </c>
      <c r="H10" s="471">
        <f t="shared" si="0"/>
        <v>13000</v>
      </c>
      <c r="I10" s="489">
        <v>18000</v>
      </c>
      <c r="J10" s="238" t="str">
        <f t="shared" si="1"/>
        <v>not achived</v>
      </c>
      <c r="L10" s="534" t="s">
        <v>130</v>
      </c>
      <c r="M10" s="534"/>
      <c r="N10" s="534"/>
      <c r="O10" s="534"/>
      <c r="P10" s="534"/>
      <c r="Q10" s="534" t="s">
        <v>131</v>
      </c>
      <c r="R10" s="534"/>
      <c r="S10" s="534"/>
      <c r="T10" s="534"/>
      <c r="U10" s="534"/>
    </row>
    <row r="11" spans="1:22" ht="16.5" customHeight="1" thickBot="1">
      <c r="A11" s="5" t="s">
        <v>19</v>
      </c>
      <c r="B11" s="227">
        <v>1000</v>
      </c>
      <c r="C11" s="4">
        <v>900</v>
      </c>
      <c r="D11" s="4">
        <v>1800</v>
      </c>
      <c r="E11" s="4">
        <v>5000</v>
      </c>
      <c r="F11" s="227">
        <v>1400</v>
      </c>
      <c r="G11" s="185">
        <v>1200</v>
      </c>
      <c r="H11" s="471">
        <f t="shared" si="0"/>
        <v>11300</v>
      </c>
      <c r="I11" s="489">
        <v>10000</v>
      </c>
      <c r="J11" s="238" t="str">
        <f t="shared" si="1"/>
        <v>achived</v>
      </c>
      <c r="L11" s="264" t="s">
        <v>109</v>
      </c>
      <c r="M11" s="265" t="s">
        <v>117</v>
      </c>
      <c r="N11" s="266" t="s">
        <v>118</v>
      </c>
      <c r="P11" s="231" t="s">
        <v>1197</v>
      </c>
      <c r="Q11" s="256">
        <f>COUNTIF(J5:J16,J9)</f>
        <v>6</v>
      </c>
      <c r="U11" s="225" t="s">
        <v>110</v>
      </c>
      <c r="V11" s="267">
        <v>2000</v>
      </c>
    </row>
    <row r="12" spans="1:22" ht="16.5" customHeight="1" thickBot="1">
      <c r="A12" s="5" t="s">
        <v>16</v>
      </c>
      <c r="B12" s="227">
        <v>500</v>
      </c>
      <c r="C12" s="4">
        <v>1000</v>
      </c>
      <c r="D12" s="4">
        <v>2300</v>
      </c>
      <c r="E12" s="4">
        <v>8000</v>
      </c>
      <c r="F12" s="227">
        <v>1700</v>
      </c>
      <c r="G12" s="185">
        <v>1400</v>
      </c>
      <c r="H12" s="471">
        <f t="shared" si="0"/>
        <v>14900</v>
      </c>
      <c r="I12" s="489">
        <v>12000</v>
      </c>
      <c r="J12" s="238" t="str">
        <f t="shared" si="1"/>
        <v>achived</v>
      </c>
      <c r="L12" s="260" t="s">
        <v>93</v>
      </c>
      <c r="M12" s="256">
        <f t="array" ref="M12:N12">VLOOKUP(L12,A5:J16,{9,10},0)</f>
        <v>18000</v>
      </c>
      <c r="N12" s="256" t="str">
        <v>not achived</v>
      </c>
      <c r="U12" s="21" t="s">
        <v>111</v>
      </c>
      <c r="V12" s="268">
        <v>2500</v>
      </c>
    </row>
    <row r="13" spans="1:22" ht="16.5" customHeight="1" thickBot="1">
      <c r="A13" s="5" t="s">
        <v>14</v>
      </c>
      <c r="B13" s="227">
        <v>800</v>
      </c>
      <c r="C13" s="4">
        <v>500</v>
      </c>
      <c r="D13" s="4">
        <v>2400</v>
      </c>
      <c r="E13" s="4">
        <v>1900</v>
      </c>
      <c r="F13" s="227">
        <v>1800</v>
      </c>
      <c r="G13" s="185">
        <v>1800</v>
      </c>
      <c r="H13" s="471">
        <f t="shared" si="0"/>
        <v>9200</v>
      </c>
      <c r="I13" s="489">
        <v>10000</v>
      </c>
      <c r="J13" s="238" t="str">
        <f t="shared" si="1"/>
        <v>not achived</v>
      </c>
      <c r="L13" s="260" t="s">
        <v>19</v>
      </c>
      <c r="M13" s="256">
        <f t="array" ref="M13:N13">VLOOKUP(L13,A6:J17,{9,10},0)</f>
        <v>10000</v>
      </c>
      <c r="N13" s="256" t="str">
        <v>achived</v>
      </c>
      <c r="P13" s="264" t="s">
        <v>109</v>
      </c>
      <c r="Q13" s="265" t="s">
        <v>117</v>
      </c>
      <c r="R13" s="266" t="s">
        <v>118</v>
      </c>
      <c r="S13" t="s">
        <v>1251</v>
      </c>
    </row>
    <row r="14" spans="1:22" ht="16.5" customHeight="1">
      <c r="A14" s="5" t="s">
        <v>123</v>
      </c>
      <c r="B14" s="227">
        <v>1800</v>
      </c>
      <c r="C14" s="4">
        <v>2500</v>
      </c>
      <c r="D14" s="4">
        <v>1700</v>
      </c>
      <c r="E14" s="4">
        <v>1500</v>
      </c>
      <c r="F14" s="227">
        <v>2800</v>
      </c>
      <c r="G14" s="185">
        <v>1800</v>
      </c>
      <c r="H14" s="471">
        <f t="shared" si="0"/>
        <v>12100</v>
      </c>
      <c r="I14" s="489">
        <v>12000</v>
      </c>
      <c r="J14" s="238" t="str">
        <f t="shared" si="1"/>
        <v>achived</v>
      </c>
      <c r="L14" s="260" t="s">
        <v>14</v>
      </c>
      <c r="M14" s="256">
        <f t="array" ref="M14:N14">VLOOKUP(L14,A7:J18,{9,10},0)</f>
        <v>10000</v>
      </c>
      <c r="N14" s="256" t="str">
        <v>not achived</v>
      </c>
      <c r="P14" s="261" t="s">
        <v>121</v>
      </c>
      <c r="Q14">
        <f>INDEX($B$6:$J$16,MATCH($P14,$A$6:$A$16,0),MATCH(Q$13,$B$5:$J$5,0))</f>
        <v>12000</v>
      </c>
      <c r="R14" t="str">
        <f>INDEX($B$6:$J$16,MATCH($P14,$A$6:$A$16,0),MATCH(R$13,$B$5:$J$5,0))</f>
        <v>achived</v>
      </c>
      <c r="S14" t="s">
        <v>1252</v>
      </c>
    </row>
    <row r="15" spans="1:22" ht="16.5" customHeight="1">
      <c r="A15" s="5" t="s">
        <v>122</v>
      </c>
      <c r="B15" s="227">
        <v>1500</v>
      </c>
      <c r="C15" s="4">
        <v>1800</v>
      </c>
      <c r="D15" s="4">
        <v>1800</v>
      </c>
      <c r="E15" s="4">
        <v>1800</v>
      </c>
      <c r="F15" s="227">
        <v>300</v>
      </c>
      <c r="G15" s="185">
        <v>1500</v>
      </c>
      <c r="H15" s="471">
        <f t="shared" si="0"/>
        <v>8700</v>
      </c>
      <c r="I15" s="489">
        <v>10000</v>
      </c>
      <c r="J15" s="238" t="str">
        <f t="shared" si="1"/>
        <v>not achived</v>
      </c>
      <c r="Q15">
        <f>INDEX($B$6:$J$16,MATCH($P$14,$A$6:$A$16,0),MATCH(Q$13,$B$5:$J$5,0))</f>
        <v>12000</v>
      </c>
      <c r="R15" t="str">
        <f>INDEX($B$6:$J$16,MATCH($P$14,$A$6:$A$16,0),MATCH(R$13,$B$5:$J$5,0))</f>
        <v>achived</v>
      </c>
    </row>
    <row r="16" spans="1:22" ht="16.5" customHeight="1">
      <c r="A16" s="5" t="s">
        <v>121</v>
      </c>
      <c r="B16" s="227">
        <v>1200</v>
      </c>
      <c r="C16" s="4">
        <v>1400</v>
      </c>
      <c r="D16" s="4">
        <v>1500</v>
      </c>
      <c r="E16" s="4">
        <v>700</v>
      </c>
      <c r="F16" s="227">
        <v>2500</v>
      </c>
      <c r="G16" s="185">
        <v>7000</v>
      </c>
      <c r="H16" s="471">
        <f t="shared" si="0"/>
        <v>14300</v>
      </c>
      <c r="I16" s="489">
        <v>12000</v>
      </c>
      <c r="J16" s="238" t="str">
        <f t="shared" si="1"/>
        <v>achived</v>
      </c>
    </row>
    <row r="17" spans="1:18" ht="24.75" customHeight="1">
      <c r="A17" s="533" t="s">
        <v>126</v>
      </c>
      <c r="B17" s="533"/>
      <c r="C17" s="533"/>
      <c r="D17" s="533"/>
      <c r="E17" s="533"/>
      <c r="F17" s="533"/>
      <c r="G17" s="533"/>
      <c r="H17" s="533"/>
      <c r="I17" s="548"/>
      <c r="J17" s="548"/>
      <c r="K17" s="558" t="s">
        <v>127</v>
      </c>
      <c r="L17" s="558"/>
      <c r="M17" s="558"/>
      <c r="N17" s="558"/>
    </row>
    <row r="18" spans="1:18" ht="18" customHeight="1">
      <c r="A18" s="551" t="s">
        <v>128</v>
      </c>
      <c r="B18" s="551"/>
      <c r="C18" s="551"/>
      <c r="D18" s="551"/>
      <c r="E18" s="551"/>
      <c r="F18" s="551"/>
      <c r="G18" s="551"/>
      <c r="H18" s="551"/>
      <c r="I18" s="551"/>
      <c r="J18" s="551"/>
      <c r="K18" s="549" t="s">
        <v>129</v>
      </c>
      <c r="L18" s="549"/>
      <c r="M18" s="549"/>
      <c r="N18" s="17"/>
    </row>
    <row r="19" spans="1:18" ht="20.25" customHeight="1">
      <c r="C19" s="534" t="s">
        <v>130</v>
      </c>
      <c r="D19" s="534"/>
      <c r="E19" s="534"/>
      <c r="F19" s="534"/>
      <c r="G19" s="534"/>
      <c r="H19" s="8"/>
      <c r="I19" s="560"/>
      <c r="J19" s="560"/>
      <c r="K19" s="536" t="s">
        <v>104</v>
      </c>
      <c r="L19" s="536"/>
      <c r="M19" s="536"/>
      <c r="N19" s="8"/>
    </row>
    <row r="20" spans="1:18" ht="20.100000000000001" customHeight="1">
      <c r="A20" s="534" t="s">
        <v>131</v>
      </c>
      <c r="B20" s="534"/>
      <c r="C20" s="534"/>
      <c r="D20" s="534"/>
      <c r="E20" s="534"/>
      <c r="F20" s="8"/>
      <c r="G20" s="8"/>
      <c r="H20" s="8"/>
      <c r="I20" s="560"/>
      <c r="J20" s="560"/>
      <c r="K20" s="536" t="s">
        <v>26</v>
      </c>
      <c r="L20" s="536"/>
      <c r="M20" s="536"/>
      <c r="N20" s="8"/>
    </row>
    <row r="21" spans="1:18" ht="30" customHeight="1">
      <c r="A21" s="534" t="s">
        <v>132</v>
      </c>
      <c r="B21" s="534"/>
      <c r="C21" s="534"/>
      <c r="D21" s="534"/>
      <c r="E21" s="534"/>
      <c r="F21" s="534"/>
      <c r="G21" s="534"/>
      <c r="H21" s="534"/>
      <c r="I21" s="552"/>
      <c r="J21" s="552"/>
      <c r="K21" s="536" t="s">
        <v>133</v>
      </c>
      <c r="L21" s="536"/>
      <c r="M21" s="536"/>
      <c r="N21" s="536"/>
    </row>
    <row r="22" spans="1:18" ht="31.5" customHeight="1">
      <c r="A22" s="561" t="s">
        <v>134</v>
      </c>
      <c r="B22" s="561"/>
      <c r="C22" s="561"/>
      <c r="D22" s="561"/>
      <c r="E22" s="561"/>
      <c r="F22" s="561"/>
      <c r="G22" s="561"/>
      <c r="H22" s="561"/>
      <c r="I22" s="561"/>
      <c r="J22" s="561"/>
      <c r="K22" s="561"/>
      <c r="L22" s="561"/>
      <c r="M22" s="561"/>
      <c r="N22" s="561"/>
    </row>
    <row r="23" spans="1:18" ht="31.5" customHeight="1">
      <c r="A23" s="562" t="s">
        <v>135</v>
      </c>
      <c r="B23" s="562"/>
      <c r="C23" s="562"/>
      <c r="D23" s="562"/>
      <c r="E23" s="562"/>
      <c r="F23" s="562"/>
      <c r="G23" s="562"/>
      <c r="H23" s="562"/>
      <c r="I23" s="562"/>
      <c r="J23" s="562"/>
      <c r="K23" s="562"/>
      <c r="L23" s="562"/>
      <c r="M23" s="562"/>
      <c r="N23" s="562"/>
    </row>
    <row r="24" spans="1:18" ht="16.5" customHeight="1">
      <c r="A24" s="169" t="s">
        <v>136</v>
      </c>
      <c r="B24" s="170" t="s">
        <v>137</v>
      </c>
      <c r="C24" s="170" t="s">
        <v>138</v>
      </c>
      <c r="E24" t="s">
        <v>1175</v>
      </c>
      <c r="H24" s="169" t="s">
        <v>136</v>
      </c>
      <c r="I24" s="238" t="s">
        <v>1197</v>
      </c>
      <c r="J24" s="238" t="s">
        <v>1189</v>
      </c>
      <c r="K24" t="s">
        <v>1199</v>
      </c>
      <c r="R24" s="206" t="s">
        <v>1266</v>
      </c>
    </row>
    <row r="25" spans="1:18" ht="16.5" customHeight="1">
      <c r="A25" s="167" t="s">
        <v>139</v>
      </c>
      <c r="B25" s="165">
        <v>42370</v>
      </c>
      <c r="C25" s="166">
        <v>800</v>
      </c>
      <c r="H25" s="239" t="s">
        <v>139</v>
      </c>
      <c r="I25" s="233">
        <f>COUNTIF($A$24:$A$51,$H25)</f>
        <v>6</v>
      </c>
      <c r="J25" s="233">
        <f>SUMIF($A$24:$A$51,$H25,$C$24:$D$51)</f>
        <v>5700</v>
      </c>
    </row>
    <row r="26" spans="1:18" ht="16.5" customHeight="1">
      <c r="A26" s="269" t="s">
        <v>1204</v>
      </c>
      <c r="B26" s="271">
        <v>42502</v>
      </c>
      <c r="C26" s="270">
        <v>2000</v>
      </c>
      <c r="H26" s="239" t="s">
        <v>140</v>
      </c>
      <c r="I26" s="233">
        <f>COUNTIF($A$24:$A$51,$H26)</f>
        <v>6</v>
      </c>
      <c r="J26" s="233">
        <f>SUMIF($A$24:$A$51,$H26,$C$24:$D$51)</f>
        <v>9700</v>
      </c>
      <c r="N26" s="169" t="s">
        <v>136</v>
      </c>
      <c r="R26" s="170" t="s">
        <v>138</v>
      </c>
    </row>
    <row r="27" spans="1:18" ht="16.5" customHeight="1">
      <c r="A27" s="167" t="s">
        <v>139</v>
      </c>
      <c r="B27" s="165">
        <v>42508</v>
      </c>
      <c r="C27" s="166">
        <v>500</v>
      </c>
      <c r="H27" s="239" t="s">
        <v>141</v>
      </c>
      <c r="I27" s="233">
        <f>COUNTIF($A$24:$A$51,$H27)</f>
        <v>2</v>
      </c>
      <c r="J27" s="233">
        <f>SUMIF($A$24:$A$51,$H27,$C$24:$D$51)</f>
        <v>1800</v>
      </c>
      <c r="N27" s="167" t="s">
        <v>139</v>
      </c>
      <c r="R27" s="166">
        <v>800</v>
      </c>
    </row>
    <row r="28" spans="1:18" ht="16.5" customHeight="1">
      <c r="A28" s="168" t="s">
        <v>141</v>
      </c>
      <c r="B28" s="152">
        <v>42510</v>
      </c>
      <c r="C28" s="164">
        <v>800</v>
      </c>
      <c r="H28" s="239" t="s">
        <v>142</v>
      </c>
      <c r="I28" s="233">
        <f>COUNTIF($A$24:$A$51,$H28)</f>
        <v>9</v>
      </c>
      <c r="J28" s="233">
        <f>SUMIF($A$24:$A$51,$H28,$C$24:$D$51)</f>
        <v>13600</v>
      </c>
      <c r="N28" s="168" t="s">
        <v>140</v>
      </c>
      <c r="R28" s="270">
        <v>2000</v>
      </c>
    </row>
    <row r="29" spans="1:18" ht="16.5" customHeight="1">
      <c r="A29" s="167" t="s">
        <v>141</v>
      </c>
      <c r="B29" s="165">
        <v>42410</v>
      </c>
      <c r="C29" s="166">
        <v>1000</v>
      </c>
      <c r="H29" s="239" t="s">
        <v>143</v>
      </c>
      <c r="I29" s="233">
        <f>COUNTIF($A$24:$A$51,$H29)</f>
        <v>4</v>
      </c>
      <c r="J29" s="233">
        <f>SUMIF($A$24:$A$51,$H29,$C$24:$D$51)</f>
        <v>5300</v>
      </c>
      <c r="N29" s="167" t="s">
        <v>139</v>
      </c>
      <c r="R29" s="166">
        <v>500</v>
      </c>
    </row>
    <row r="30" spans="1:18" ht="16.5" customHeight="1">
      <c r="A30" s="168" t="s">
        <v>142</v>
      </c>
      <c r="B30" s="152">
        <v>42498</v>
      </c>
      <c r="C30" s="164">
        <v>1000</v>
      </c>
      <c r="N30" s="168" t="s">
        <v>141</v>
      </c>
      <c r="R30" s="164">
        <v>800</v>
      </c>
    </row>
    <row r="31" spans="1:18" ht="16.5" customHeight="1">
      <c r="A31" s="272" t="s">
        <v>140</v>
      </c>
      <c r="B31" s="271">
        <v>42500</v>
      </c>
      <c r="C31" s="270">
        <v>1200</v>
      </c>
      <c r="N31" s="167" t="s">
        <v>141</v>
      </c>
      <c r="R31" s="166">
        <v>1000</v>
      </c>
    </row>
    <row r="32" spans="1:18" ht="14.4">
      <c r="A32" s="272" t="s">
        <v>140</v>
      </c>
      <c r="B32" s="271">
        <v>42515</v>
      </c>
      <c r="C32" s="270">
        <v>1500</v>
      </c>
      <c r="N32" s="168" t="s">
        <v>142</v>
      </c>
      <c r="R32" s="164">
        <v>1000</v>
      </c>
    </row>
    <row r="33" spans="1:18" ht="16.5" customHeight="1">
      <c r="A33" s="167" t="s">
        <v>143</v>
      </c>
      <c r="B33" s="165">
        <v>42561</v>
      </c>
      <c r="C33" s="166">
        <v>1800</v>
      </c>
      <c r="H33" s="548"/>
      <c r="I33" s="548"/>
      <c r="J33" s="548"/>
      <c r="K33" s="548"/>
      <c r="N33" s="167" t="s">
        <v>140</v>
      </c>
      <c r="Q33">
        <f>COUNTIF($N$26:$N$53,K$41)</f>
        <v>0</v>
      </c>
      <c r="R33" s="270">
        <v>1200</v>
      </c>
    </row>
    <row r="34" spans="1:18" ht="16.5" customHeight="1">
      <c r="A34" s="272" t="s">
        <v>140</v>
      </c>
      <c r="B34" s="271">
        <v>42379</v>
      </c>
      <c r="C34" s="270">
        <v>2000</v>
      </c>
      <c r="F34" s="534" t="s">
        <v>145</v>
      </c>
      <c r="G34" s="534"/>
      <c r="H34" s="534"/>
      <c r="I34" s="534"/>
      <c r="J34" s="534"/>
      <c r="K34" s="534"/>
      <c r="L34" s="536" t="s">
        <v>26</v>
      </c>
      <c r="M34" s="536"/>
      <c r="N34" s="168" t="s">
        <v>140</v>
      </c>
      <c r="O34">
        <f>COUNTA(A25:A51)</f>
        <v>27</v>
      </c>
      <c r="Q34">
        <f>COUNTIF($N$26:$N$53,K$41)</f>
        <v>0</v>
      </c>
      <c r="R34" s="270">
        <v>1500</v>
      </c>
    </row>
    <row r="35" spans="1:18" ht="16.5" customHeight="1">
      <c r="A35" s="167" t="s">
        <v>143</v>
      </c>
      <c r="B35" s="165">
        <v>42536</v>
      </c>
      <c r="C35" s="166">
        <v>1500</v>
      </c>
      <c r="F35" s="534" t="s">
        <v>146</v>
      </c>
      <c r="G35" s="534"/>
      <c r="H35" s="534"/>
      <c r="I35" s="534"/>
      <c r="J35" s="534"/>
      <c r="K35" s="534"/>
      <c r="L35" s="536" t="s">
        <v>26</v>
      </c>
      <c r="M35" s="536"/>
      <c r="N35" s="167" t="s">
        <v>143</v>
      </c>
      <c r="R35" s="166">
        <v>1800</v>
      </c>
    </row>
    <row r="36" spans="1:18" ht="15" customHeight="1">
      <c r="A36" s="168" t="s">
        <v>143</v>
      </c>
      <c r="B36" s="152">
        <v>42381</v>
      </c>
      <c r="C36" s="164">
        <v>1000</v>
      </c>
      <c r="F36" s="550" t="s">
        <v>147</v>
      </c>
      <c r="G36" s="550"/>
      <c r="H36" s="550"/>
      <c r="I36" s="550"/>
      <c r="J36" s="550"/>
      <c r="K36" s="550"/>
      <c r="L36" s="551" t="s">
        <v>148</v>
      </c>
      <c r="M36" s="551"/>
      <c r="N36" s="168" t="s">
        <v>140</v>
      </c>
      <c r="P36">
        <f>COUNTIF(N26:N53,K41)</f>
        <v>0</v>
      </c>
      <c r="R36" s="270">
        <v>2000</v>
      </c>
    </row>
    <row r="37" spans="1:18" ht="15" customHeight="1">
      <c r="A37" s="167" t="s">
        <v>142</v>
      </c>
      <c r="B37" s="165">
        <v>42370</v>
      </c>
      <c r="C37" s="166">
        <v>1200</v>
      </c>
      <c r="F37" s="534" t="s">
        <v>149</v>
      </c>
      <c r="G37" s="534"/>
      <c r="H37" s="534"/>
      <c r="I37" s="534"/>
      <c r="J37" s="560"/>
      <c r="K37" s="560"/>
      <c r="L37" s="536" t="s">
        <v>150</v>
      </c>
      <c r="M37" s="536"/>
      <c r="N37" s="167" t="s">
        <v>143</v>
      </c>
      <c r="R37" s="166">
        <v>1500</v>
      </c>
    </row>
    <row r="38" spans="1:18" ht="15" customHeight="1">
      <c r="A38" s="168" t="s">
        <v>142</v>
      </c>
      <c r="B38" s="152">
        <v>42500</v>
      </c>
      <c r="C38" s="164">
        <v>1500</v>
      </c>
      <c r="F38" s="534" t="s">
        <v>151</v>
      </c>
      <c r="G38" s="534"/>
      <c r="H38" s="534"/>
      <c r="I38" s="534"/>
      <c r="J38" s="560"/>
      <c r="K38" s="560"/>
      <c r="L38" s="536" t="s">
        <v>28</v>
      </c>
      <c r="M38" s="536"/>
      <c r="N38" s="168" t="s">
        <v>143</v>
      </c>
      <c r="R38" s="164">
        <v>1000</v>
      </c>
    </row>
    <row r="39" spans="1:18" ht="14.4">
      <c r="A39" s="167" t="s">
        <v>142</v>
      </c>
      <c r="B39" s="165">
        <v>42500</v>
      </c>
      <c r="C39" s="166">
        <v>1800</v>
      </c>
      <c r="F39" s="563" t="s">
        <v>144</v>
      </c>
      <c r="G39" s="563"/>
      <c r="I39" s="549" t="s">
        <v>30</v>
      </c>
      <c r="J39" s="549"/>
      <c r="K39" s="278">
        <f>COUNTA(A25:A51)</f>
        <v>27</v>
      </c>
      <c r="N39" s="167" t="s">
        <v>142</v>
      </c>
      <c r="R39" s="166">
        <v>1200</v>
      </c>
    </row>
    <row r="40" spans="1:18" ht="14.4">
      <c r="A40" s="168" t="s">
        <v>139</v>
      </c>
      <c r="B40" s="152">
        <v>42500</v>
      </c>
      <c r="C40" s="164">
        <v>1000</v>
      </c>
      <c r="N40" s="168" t="s">
        <v>142</v>
      </c>
      <c r="R40" s="164">
        <v>1500</v>
      </c>
    </row>
    <row r="41" spans="1:18" ht="14.4">
      <c r="A41" s="167" t="s">
        <v>139</v>
      </c>
      <c r="B41" s="165">
        <v>42596</v>
      </c>
      <c r="C41" s="166">
        <v>1200</v>
      </c>
      <c r="N41" s="167" t="s">
        <v>142</v>
      </c>
      <c r="R41" s="166">
        <v>1800</v>
      </c>
    </row>
    <row r="42" spans="1:18" ht="14.4">
      <c r="A42" s="272" t="s">
        <v>140</v>
      </c>
      <c r="B42" s="271">
        <v>42597</v>
      </c>
      <c r="C42" s="270">
        <v>1500</v>
      </c>
      <c r="F42" t="s">
        <v>1201</v>
      </c>
      <c r="G42" s="169" t="s">
        <v>136</v>
      </c>
      <c r="H42" s="238" t="s">
        <v>1197</v>
      </c>
      <c r="N42" s="168" t="s">
        <v>139</v>
      </c>
      <c r="R42" s="164">
        <v>1000</v>
      </c>
    </row>
    <row r="43" spans="1:18" ht="14.4">
      <c r="A43" s="171" t="s">
        <v>142</v>
      </c>
      <c r="B43" s="172">
        <v>42602</v>
      </c>
      <c r="C43" s="173">
        <v>1800</v>
      </c>
      <c r="G43" s="239" t="s">
        <v>139</v>
      </c>
      <c r="H43" s="231">
        <f>COUNTIF($N$26:$N$53,$G43)</f>
        <v>6</v>
      </c>
      <c r="L43" s="238" t="s">
        <v>1197</v>
      </c>
      <c r="N43" s="167" t="s">
        <v>139</v>
      </c>
      <c r="R43" s="166">
        <v>1200</v>
      </c>
    </row>
    <row r="44" spans="1:18" ht="14.4">
      <c r="A44" s="162" t="s">
        <v>143</v>
      </c>
      <c r="B44" s="152">
        <v>42381</v>
      </c>
      <c r="C44" s="164">
        <v>1000</v>
      </c>
      <c r="D44" s="235"/>
      <c r="G44" s="239" t="s">
        <v>140</v>
      </c>
      <c r="H44" s="231">
        <f t="shared" ref="H44:H45" si="2">COUNTIF($N$26:$N$53,$G44)</f>
        <v>6</v>
      </c>
      <c r="J44" s="257" t="s">
        <v>1201</v>
      </c>
      <c r="K44" s="231" t="s">
        <v>1262</v>
      </c>
      <c r="L44" s="231">
        <f>COUNTIF($R$26:$R$53,$K44)</f>
        <v>18</v>
      </c>
      <c r="N44" s="168" t="s">
        <v>140</v>
      </c>
      <c r="R44" s="270">
        <v>1500</v>
      </c>
    </row>
    <row r="45" spans="1:18" ht="14.4">
      <c r="A45" s="236" t="s">
        <v>142</v>
      </c>
      <c r="B45" s="165">
        <v>42370</v>
      </c>
      <c r="C45" s="166">
        <v>1200</v>
      </c>
      <c r="D45" s="237"/>
      <c r="G45" s="239" t="s">
        <v>142</v>
      </c>
      <c r="H45" s="231">
        <f t="shared" si="2"/>
        <v>9</v>
      </c>
      <c r="K45" s="231" t="s">
        <v>1263</v>
      </c>
      <c r="L45" s="231">
        <f>COUNTIF($R$26:$R$53,$K45)</f>
        <v>9</v>
      </c>
      <c r="N45" s="171" t="s">
        <v>142</v>
      </c>
      <c r="R45" s="173">
        <v>1800</v>
      </c>
    </row>
    <row r="46" spans="1:18" ht="14.4">
      <c r="A46" s="162" t="s">
        <v>142</v>
      </c>
      <c r="B46" s="152">
        <v>42500</v>
      </c>
      <c r="C46" s="164">
        <v>1500</v>
      </c>
      <c r="D46" s="235"/>
      <c r="N46" s="162" t="s">
        <v>143</v>
      </c>
      <c r="R46" s="164">
        <v>1000</v>
      </c>
    </row>
    <row r="47" spans="1:18" ht="17.25" customHeight="1">
      <c r="A47" s="236" t="s">
        <v>142</v>
      </c>
      <c r="B47" s="165">
        <v>42500</v>
      </c>
      <c r="C47" s="166">
        <v>1800</v>
      </c>
      <c r="D47" s="237"/>
      <c r="F47" s="206" t="s">
        <v>1207</v>
      </c>
      <c r="G47" s="276" t="s">
        <v>136</v>
      </c>
      <c r="H47" s="277" t="s">
        <v>1189</v>
      </c>
      <c r="N47" s="236" t="s">
        <v>142</v>
      </c>
      <c r="R47" s="166">
        <v>1200</v>
      </c>
    </row>
    <row r="48" spans="1:18" ht="14.4">
      <c r="A48" s="162" t="s">
        <v>139</v>
      </c>
      <c r="B48" s="152">
        <v>42500</v>
      </c>
      <c r="C48" s="164">
        <v>1000</v>
      </c>
      <c r="D48" s="235"/>
      <c r="G48" s="239" t="s">
        <v>139</v>
      </c>
      <c r="H48" s="231">
        <f>SUMIF($N$26:$N$53,$G48,C24:C51)</f>
        <v>5700</v>
      </c>
      <c r="N48" s="162" t="s">
        <v>142</v>
      </c>
      <c r="R48" s="164">
        <v>1500</v>
      </c>
    </row>
    <row r="49" spans="1:18" ht="14.4">
      <c r="A49" s="236" t="s">
        <v>139</v>
      </c>
      <c r="B49" s="165">
        <v>42596</v>
      </c>
      <c r="C49" s="166">
        <v>1200</v>
      </c>
      <c r="D49" s="237"/>
      <c r="G49" s="239" t="s">
        <v>142</v>
      </c>
      <c r="H49" s="231">
        <f>SUMIF($N$26:$N$53,$G49,C25:C52)</f>
        <v>10800</v>
      </c>
      <c r="N49" s="236" t="s">
        <v>142</v>
      </c>
      <c r="R49" s="166">
        <v>1800</v>
      </c>
    </row>
    <row r="50" spans="1:18" ht="14.4">
      <c r="A50" s="273" t="s">
        <v>140</v>
      </c>
      <c r="B50" s="271">
        <v>42597</v>
      </c>
      <c r="C50" s="270">
        <v>1500</v>
      </c>
      <c r="D50" s="235"/>
      <c r="N50" s="162" t="s">
        <v>139</v>
      </c>
      <c r="R50" s="164">
        <v>1000</v>
      </c>
    </row>
    <row r="51" spans="1:18" ht="14.4">
      <c r="A51" s="236" t="s">
        <v>142</v>
      </c>
      <c r="B51" s="165">
        <v>42602</v>
      </c>
      <c r="C51" s="166">
        <v>1800</v>
      </c>
      <c r="D51" s="237"/>
      <c r="N51" s="236" t="s">
        <v>139</v>
      </c>
      <c r="R51" s="166">
        <v>1200</v>
      </c>
    </row>
    <row r="52" spans="1:18" ht="14.4">
      <c r="N52" s="162" t="s">
        <v>140</v>
      </c>
      <c r="R52" s="270">
        <v>1500</v>
      </c>
    </row>
    <row r="53" spans="1:18" ht="14.4">
      <c r="N53" s="236" t="s">
        <v>142</v>
      </c>
      <c r="R53" s="166">
        <v>1800</v>
      </c>
    </row>
  </sheetData>
  <autoFilter ref="A5:J5" xr:uid="{00000000-0009-0000-0000-000002000000}"/>
  <sortState xmlns:xlrd2="http://schemas.microsoft.com/office/spreadsheetml/2017/richdata2" ref="A6:J16">
    <sortCondition descending="1" ref="A5"/>
  </sortState>
  <mergeCells count="36">
    <mergeCell ref="A21:H21"/>
    <mergeCell ref="I21:J21"/>
    <mergeCell ref="K21:N21"/>
    <mergeCell ref="C19:G19"/>
    <mergeCell ref="A4:N4"/>
    <mergeCell ref="A18:J18"/>
    <mergeCell ref="K18:M18"/>
    <mergeCell ref="L5:S5"/>
    <mergeCell ref="I17:J17"/>
    <mergeCell ref="K17:N17"/>
    <mergeCell ref="L10:P10"/>
    <mergeCell ref="A17:H17"/>
    <mergeCell ref="Q10:U10"/>
    <mergeCell ref="F39:G39"/>
    <mergeCell ref="H33:I33"/>
    <mergeCell ref="J33:K33"/>
    <mergeCell ref="I39:J39"/>
    <mergeCell ref="F34:K34"/>
    <mergeCell ref="F38:I38"/>
    <mergeCell ref="J38:K38"/>
    <mergeCell ref="L34:M34"/>
    <mergeCell ref="A22:N22"/>
    <mergeCell ref="A23:N23"/>
    <mergeCell ref="I19:J19"/>
    <mergeCell ref="L38:M38"/>
    <mergeCell ref="F35:K35"/>
    <mergeCell ref="L35:M35"/>
    <mergeCell ref="F36:K36"/>
    <mergeCell ref="L36:M36"/>
    <mergeCell ref="F37:I37"/>
    <mergeCell ref="J37:K37"/>
    <mergeCell ref="L37:M37"/>
    <mergeCell ref="K19:M19"/>
    <mergeCell ref="A20:E20"/>
    <mergeCell ref="I20:J20"/>
    <mergeCell ref="K20:M20"/>
  </mergeCells>
  <conditionalFormatting sqref="A24:A51">
    <cfRule type="cellIs" dxfId="6" priority="3" operator="between">
      <formula>500</formula>
      <formula>2000</formula>
    </cfRule>
  </conditionalFormatting>
  <conditionalFormatting sqref="N26:N53">
    <cfRule type="cellIs" dxfId="5" priority="4" operator="between">
      <formula>500</formula>
      <formula>2000</formula>
    </cfRule>
    <cfRule type="cellIs" dxfId="4" priority="5" operator="between">
      <formula>500</formula>
      <formula>2000</formula>
    </cfRule>
  </conditionalFormatting>
  <conditionalFormatting sqref="N27:N53">
    <cfRule type="cellIs" dxfId="3" priority="1" operator="between">
      <formula>"&gt;500"</formula>
      <formula>"&lt;2000"</formula>
    </cfRule>
  </conditionalFormatting>
  <conditionalFormatting sqref="R26:R53">
    <cfRule type="cellIs" dxfId="2" priority="2" operator="between">
      <formula>500</formula>
      <formula>2000</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topLeftCell="A17" workbookViewId="0">
      <selection activeCell="I27" sqref="I27"/>
    </sheetView>
  </sheetViews>
  <sheetFormatPr defaultRowHeight="13.2"/>
  <cols>
    <col min="1" max="1" width="21.44140625" customWidth="1"/>
    <col min="2" max="2" width="12.109375" bestFit="1" customWidth="1"/>
    <col min="3" max="3" width="24.44140625" customWidth="1"/>
    <col min="4" max="4" width="12" customWidth="1"/>
    <col min="5" max="5" width="18.6640625" customWidth="1"/>
    <col min="6" max="6" width="26.44140625" customWidth="1"/>
    <col min="7" max="7" width="30.77734375" customWidth="1"/>
    <col min="8" max="8" width="26.109375" bestFit="1" customWidth="1"/>
    <col min="9" max="9" width="16.109375" customWidth="1"/>
  </cols>
  <sheetData>
    <row r="1" spans="1:9" ht="15" customHeight="1">
      <c r="A1" s="569"/>
      <c r="B1" s="569"/>
      <c r="C1" s="569"/>
      <c r="D1" s="569"/>
      <c r="E1" s="569"/>
      <c r="F1" s="569"/>
      <c r="G1" s="570"/>
      <c r="H1" s="570"/>
    </row>
    <row r="2" spans="1:9" ht="16.5" customHeight="1">
      <c r="G2" s="540"/>
      <c r="H2" s="551"/>
    </row>
    <row r="3" spans="1:9" ht="16.5" customHeight="1">
      <c r="G3" s="540"/>
      <c r="H3" s="551"/>
    </row>
    <row r="4" spans="1:9" ht="16.5" customHeight="1">
      <c r="G4" s="540"/>
      <c r="H4" s="551"/>
    </row>
    <row r="5" spans="1:9" ht="16.5" customHeight="1">
      <c r="G5" s="540"/>
      <c r="H5" s="551"/>
    </row>
    <row r="6" spans="1:9" ht="16.5" customHeight="1">
      <c r="G6" s="540"/>
      <c r="H6" s="551"/>
    </row>
    <row r="7" spans="1:9" ht="16.5" customHeight="1">
      <c r="G7" s="540"/>
      <c r="H7" s="551"/>
    </row>
    <row r="8" spans="1:9" ht="16.5" customHeight="1">
      <c r="G8" s="540"/>
      <c r="H8" s="551"/>
    </row>
    <row r="9" spans="1:9" ht="16.5" customHeight="1">
      <c r="G9" s="540"/>
      <c r="H9" s="551"/>
    </row>
    <row r="10" spans="1:9" ht="36.75" customHeight="1">
      <c r="I10">
        <f>COUNTA(A2:B9)</f>
        <v>0</v>
      </c>
    </row>
    <row r="11" spans="1:9" ht="16.5" customHeight="1">
      <c r="I11">
        <f>COUNTIF(A2:B9,C2:D9)</f>
        <v>0</v>
      </c>
    </row>
    <row r="12" spans="1:9" ht="16.5" customHeight="1"/>
    <row r="13" spans="1:9" ht="33" customHeight="1"/>
    <row r="14" spans="1:9" ht="16.5" customHeight="1"/>
    <row r="15" spans="1:9" ht="16.5" customHeight="1">
      <c r="I15">
        <f>SUMIF(A2:B9,C2:D9,E2:F9)</f>
        <v>0</v>
      </c>
    </row>
    <row r="16" spans="1:9" ht="21" customHeight="1">
      <c r="A16" s="566" t="s">
        <v>152</v>
      </c>
      <c r="B16" s="566"/>
      <c r="C16" s="566"/>
      <c r="D16" s="566"/>
      <c r="E16" s="566"/>
      <c r="F16" s="566"/>
      <c r="G16" s="566"/>
      <c r="H16" s="566"/>
      <c r="I16" s="566"/>
    </row>
    <row r="17" spans="1:11" ht="28.5" customHeight="1">
      <c r="A17" s="534" t="s">
        <v>153</v>
      </c>
      <c r="B17" s="534"/>
      <c r="C17" s="534"/>
      <c r="D17" s="534"/>
      <c r="E17" s="534"/>
      <c r="F17" s="534"/>
      <c r="G17" s="534"/>
      <c r="H17" s="534"/>
      <c r="I17" s="534"/>
    </row>
    <row r="18" spans="1:11" ht="16.5" customHeight="1">
      <c r="A18" s="3" t="s">
        <v>78</v>
      </c>
      <c r="B18" s="234" t="s">
        <v>154</v>
      </c>
      <c r="C18" s="3" t="s">
        <v>155</v>
      </c>
      <c r="D18" s="3" t="s">
        <v>156</v>
      </c>
      <c r="E18" s="195" t="s">
        <v>157</v>
      </c>
      <c r="F18" s="247" t="s">
        <v>1202</v>
      </c>
      <c r="G18" s="246"/>
      <c r="H18" s="274" t="s">
        <v>1205</v>
      </c>
      <c r="I18" s="274"/>
      <c r="J18" s="274"/>
      <c r="K18" s="275" t="s">
        <v>1197</v>
      </c>
    </row>
    <row r="19" spans="1:11" ht="16.5" customHeight="1">
      <c r="A19" s="5" t="s">
        <v>119</v>
      </c>
      <c r="B19" s="152">
        <v>29356</v>
      </c>
      <c r="C19" s="6">
        <f>DAY(B19)</f>
        <v>15</v>
      </c>
      <c r="D19" s="6">
        <f>MONTH(B19)</f>
        <v>5</v>
      </c>
      <c r="E19" s="153">
        <f>YEAR(B19)</f>
        <v>1980</v>
      </c>
      <c r="F19" s="248">
        <f ca="1">TODAY()-B19</f>
        <v>16245</v>
      </c>
      <c r="G19" s="526">
        <f ca="1">TODAY()-B19</f>
        <v>16245</v>
      </c>
      <c r="H19" s="567" t="s">
        <v>158</v>
      </c>
      <c r="I19" s="567"/>
      <c r="J19" s="567"/>
      <c r="K19" s="238">
        <f>COUNTA(A19:A29)</f>
        <v>11</v>
      </c>
    </row>
    <row r="20" spans="1:11" ht="16.5" customHeight="1">
      <c r="A20" s="5" t="s">
        <v>95</v>
      </c>
      <c r="B20" s="152">
        <v>29818</v>
      </c>
      <c r="C20" s="6">
        <f t="shared" ref="C20:C29" si="0">DAY(B20)</f>
        <v>20</v>
      </c>
      <c r="D20" s="6">
        <f t="shared" ref="D20:D29" si="1">MONTH(B20)</f>
        <v>8</v>
      </c>
      <c r="E20" s="153">
        <f t="shared" ref="E20:E29" si="2">YEAR(B20)</f>
        <v>1981</v>
      </c>
      <c r="F20" s="248">
        <f t="shared" ref="F20:F29" ca="1" si="3">TODAY()-B20</f>
        <v>15783</v>
      </c>
      <c r="G20" s="526">
        <f t="shared" ref="G20:G29" ca="1" si="4">TODAY()-B20</f>
        <v>15783</v>
      </c>
      <c r="H20" s="550" t="s">
        <v>160</v>
      </c>
      <c r="I20" s="550"/>
      <c r="J20" s="550"/>
      <c r="K20" s="550"/>
    </row>
    <row r="21" spans="1:11" ht="16.5" customHeight="1">
      <c r="A21" s="5" t="s">
        <v>93</v>
      </c>
      <c r="B21" s="152">
        <v>37909</v>
      </c>
      <c r="C21" s="6">
        <f t="shared" si="0"/>
        <v>15</v>
      </c>
      <c r="D21" s="6">
        <f t="shared" si="1"/>
        <v>10</v>
      </c>
      <c r="E21" s="153">
        <f t="shared" si="2"/>
        <v>2003</v>
      </c>
      <c r="F21" s="248">
        <f t="shared" ca="1" si="3"/>
        <v>7692</v>
      </c>
      <c r="G21" s="526">
        <f t="shared" ca="1" si="4"/>
        <v>7692</v>
      </c>
      <c r="H21" s="405" t="s">
        <v>78</v>
      </c>
      <c r="I21" s="493" t="s">
        <v>1202</v>
      </c>
    </row>
    <row r="22" spans="1:11" ht="16.5" customHeight="1">
      <c r="A22" s="5" t="s">
        <v>19</v>
      </c>
      <c r="B22" s="152">
        <v>33018</v>
      </c>
      <c r="C22" s="6">
        <f t="shared" si="0"/>
        <v>25</v>
      </c>
      <c r="D22" s="6">
        <f t="shared" si="1"/>
        <v>5</v>
      </c>
      <c r="E22" s="153">
        <f t="shared" si="2"/>
        <v>1990</v>
      </c>
      <c r="F22" s="248">
        <f t="shared" ca="1" si="3"/>
        <v>12583</v>
      </c>
      <c r="G22" s="526">
        <f t="shared" ca="1" si="4"/>
        <v>12583</v>
      </c>
      <c r="H22" s="439" t="s">
        <v>124</v>
      </c>
      <c r="I22" s="494">
        <f ca="1">SUMIF(A19:A29,H22,F19:F29)</f>
        <v>5278</v>
      </c>
    </row>
    <row r="23" spans="1:11" ht="16.5" customHeight="1">
      <c r="A23" s="5" t="s">
        <v>16</v>
      </c>
      <c r="B23" s="152">
        <v>33840</v>
      </c>
      <c r="C23" s="6">
        <f t="shared" si="0"/>
        <v>24</v>
      </c>
      <c r="D23" s="6">
        <f t="shared" si="1"/>
        <v>8</v>
      </c>
      <c r="E23" s="153">
        <f t="shared" si="2"/>
        <v>1992</v>
      </c>
      <c r="F23" s="248">
        <f t="shared" ca="1" si="3"/>
        <v>11761</v>
      </c>
      <c r="G23" s="526">
        <f t="shared" ca="1" si="4"/>
        <v>11761</v>
      </c>
    </row>
    <row r="24" spans="1:11" ht="16.5" customHeight="1">
      <c r="A24" s="5" t="s">
        <v>14</v>
      </c>
      <c r="B24" s="152">
        <v>36030</v>
      </c>
      <c r="C24" s="6">
        <f t="shared" si="0"/>
        <v>23</v>
      </c>
      <c r="D24" s="6">
        <f t="shared" si="1"/>
        <v>8</v>
      </c>
      <c r="E24" s="153">
        <f t="shared" si="2"/>
        <v>1998</v>
      </c>
      <c r="F24" s="248">
        <f t="shared" ca="1" si="3"/>
        <v>9571</v>
      </c>
      <c r="G24" s="526">
        <f t="shared" ca="1" si="4"/>
        <v>9571</v>
      </c>
    </row>
    <row r="25" spans="1:11" ht="16.5" customHeight="1">
      <c r="A25" s="5" t="s">
        <v>121</v>
      </c>
      <c r="B25" s="152">
        <v>29353</v>
      </c>
      <c r="C25" s="6">
        <f t="shared" si="0"/>
        <v>12</v>
      </c>
      <c r="D25" s="6">
        <f t="shared" si="1"/>
        <v>5</v>
      </c>
      <c r="E25" s="153">
        <f t="shared" si="2"/>
        <v>1980</v>
      </c>
      <c r="F25" s="248">
        <f t="shared" ca="1" si="3"/>
        <v>16248</v>
      </c>
      <c r="G25" s="526">
        <f t="shared" ca="1" si="4"/>
        <v>16248</v>
      </c>
    </row>
    <row r="26" spans="1:11" ht="16.5" customHeight="1">
      <c r="A26" s="5" t="s">
        <v>122</v>
      </c>
      <c r="B26" s="152">
        <v>38429</v>
      </c>
      <c r="C26" s="6">
        <f t="shared" si="0"/>
        <v>18</v>
      </c>
      <c r="D26" s="6">
        <f t="shared" si="1"/>
        <v>3</v>
      </c>
      <c r="E26" s="153">
        <f t="shared" si="2"/>
        <v>2005</v>
      </c>
      <c r="F26" s="248">
        <f t="shared" ca="1" si="3"/>
        <v>7172</v>
      </c>
      <c r="G26" s="526">
        <f t="shared" ca="1" si="4"/>
        <v>7172</v>
      </c>
    </row>
    <row r="27" spans="1:11" ht="16.5" customHeight="1">
      <c r="A27" s="5" t="s">
        <v>123</v>
      </c>
      <c r="B27" s="152">
        <v>39309</v>
      </c>
      <c r="C27" s="6">
        <f t="shared" si="0"/>
        <v>15</v>
      </c>
      <c r="D27" s="6">
        <f t="shared" si="1"/>
        <v>8</v>
      </c>
      <c r="E27" s="153">
        <f t="shared" si="2"/>
        <v>2007</v>
      </c>
      <c r="F27" s="248">
        <f t="shared" ca="1" si="3"/>
        <v>6292</v>
      </c>
      <c r="G27" s="526">
        <f t="shared" ca="1" si="4"/>
        <v>6292</v>
      </c>
    </row>
    <row r="28" spans="1:11" ht="16.5" customHeight="1">
      <c r="A28" s="5" t="s">
        <v>124</v>
      </c>
      <c r="B28" s="152">
        <v>40323</v>
      </c>
      <c r="C28" s="6">
        <f t="shared" si="0"/>
        <v>25</v>
      </c>
      <c r="D28" s="6">
        <f t="shared" si="1"/>
        <v>5</v>
      </c>
      <c r="E28" s="153">
        <f t="shared" si="2"/>
        <v>2010</v>
      </c>
      <c r="F28" s="248">
        <f t="shared" ca="1" si="3"/>
        <v>5278</v>
      </c>
      <c r="G28" s="526">
        <f t="shared" ca="1" si="4"/>
        <v>5278</v>
      </c>
    </row>
    <row r="29" spans="1:11" ht="16.5" customHeight="1">
      <c r="A29" s="5" t="s">
        <v>125</v>
      </c>
      <c r="B29" s="152">
        <v>34206</v>
      </c>
      <c r="C29" s="6">
        <f t="shared" si="0"/>
        <v>25</v>
      </c>
      <c r="D29" s="6">
        <f t="shared" si="1"/>
        <v>8</v>
      </c>
      <c r="E29" s="153">
        <f t="shared" si="2"/>
        <v>1993</v>
      </c>
      <c r="F29" s="248">
        <f t="shared" ca="1" si="3"/>
        <v>11395</v>
      </c>
      <c r="G29" s="526">
        <f t="shared" ca="1" si="4"/>
        <v>11395</v>
      </c>
    </row>
    <row r="30" spans="1:11" ht="51" customHeight="1">
      <c r="A30" s="567" t="s">
        <v>158</v>
      </c>
      <c r="B30" s="567"/>
      <c r="C30" s="567"/>
      <c r="D30" s="30"/>
      <c r="E30" s="30"/>
      <c r="F30" s="568"/>
      <c r="G30" s="568"/>
      <c r="H30" s="549" t="s">
        <v>159</v>
      </c>
      <c r="I30" s="549"/>
    </row>
    <row r="31" spans="1:11" ht="33" customHeight="1">
      <c r="A31" s="550" t="s">
        <v>160</v>
      </c>
      <c r="B31" s="550"/>
      <c r="C31" s="550"/>
      <c r="D31" s="550"/>
      <c r="E31" s="17"/>
      <c r="F31" s="552"/>
      <c r="G31" s="552"/>
      <c r="H31" s="551" t="s">
        <v>161</v>
      </c>
      <c r="I31" s="551"/>
    </row>
    <row r="32" spans="1:11" ht="33" customHeight="1">
      <c r="A32" s="550" t="s">
        <v>162</v>
      </c>
      <c r="B32" s="550"/>
      <c r="C32" s="550"/>
      <c r="D32" s="550"/>
      <c r="E32" s="550"/>
      <c r="F32" s="552"/>
      <c r="G32" s="552"/>
      <c r="H32" s="571" t="s">
        <v>163</v>
      </c>
      <c r="I32" s="571"/>
      <c r="J32" s="238">
        <f ca="1">COUNTIF(F18:F29,"&gt;20")</f>
        <v>11</v>
      </c>
      <c r="K32" s="206" t="s">
        <v>1206</v>
      </c>
    </row>
    <row r="33" spans="1:11" ht="16.649999999999999" customHeight="1">
      <c r="A33" s="534" t="s">
        <v>164</v>
      </c>
      <c r="B33" s="534"/>
      <c r="C33" s="534"/>
      <c r="D33" s="534"/>
      <c r="E33" s="534"/>
      <c r="F33" s="534"/>
      <c r="G33" s="534"/>
      <c r="H33" s="534"/>
      <c r="I33" s="534"/>
      <c r="K33" s="238" t="str">
        <f ca="1">IF(F19&gt;20,"adult","child")</f>
        <v>adult</v>
      </c>
    </row>
    <row r="34" spans="1:11" ht="33" customHeight="1">
      <c r="A34" s="550" t="s">
        <v>165</v>
      </c>
      <c r="B34" s="550"/>
      <c r="C34" s="550"/>
      <c r="D34" s="17"/>
      <c r="E34" s="17"/>
      <c r="F34" s="552"/>
      <c r="G34" s="552"/>
      <c r="H34" s="571" t="s">
        <v>163</v>
      </c>
      <c r="I34" s="571"/>
    </row>
    <row r="35" spans="1:11">
      <c r="I35" s="238">
        <f ca="1">COUNTIF(F18:F29,"&gt;=25")</f>
        <v>11</v>
      </c>
    </row>
  </sheetData>
  <mergeCells count="22">
    <mergeCell ref="A33:I33"/>
    <mergeCell ref="A34:C34"/>
    <mergeCell ref="F34:G34"/>
    <mergeCell ref="H34:I34"/>
    <mergeCell ref="H30:I30"/>
    <mergeCell ref="A31:D31"/>
    <mergeCell ref="F31:G31"/>
    <mergeCell ref="H31:I31"/>
    <mergeCell ref="A32:E32"/>
    <mergeCell ref="F32:G32"/>
    <mergeCell ref="H32:I32"/>
    <mergeCell ref="A16:I16"/>
    <mergeCell ref="A17:I17"/>
    <mergeCell ref="A30:C30"/>
    <mergeCell ref="F30:G30"/>
    <mergeCell ref="A1:B1"/>
    <mergeCell ref="C1:D1"/>
    <mergeCell ref="E1:F1"/>
    <mergeCell ref="G1:H1"/>
    <mergeCell ref="G2:H9"/>
    <mergeCell ref="H19:J19"/>
    <mergeCell ref="H20:K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3"/>
  <sheetViews>
    <sheetView topLeftCell="A29" workbookViewId="0">
      <selection activeCell="G41" sqref="G41"/>
    </sheetView>
  </sheetViews>
  <sheetFormatPr defaultRowHeight="13.2"/>
  <cols>
    <col min="1" max="1" width="19.77734375" customWidth="1"/>
    <col min="2" max="3" width="13" customWidth="1"/>
    <col min="4" max="4" width="10.77734375" customWidth="1"/>
    <col min="5" max="5" width="21.33203125" customWidth="1"/>
    <col min="6" max="6" width="19" bestFit="1" customWidth="1"/>
    <col min="7" max="7" width="16" customWidth="1"/>
    <col min="8" max="8" width="15" customWidth="1"/>
    <col min="9" max="9" width="11.33203125" bestFit="1" customWidth="1"/>
    <col min="10" max="10" width="11.33203125" customWidth="1"/>
    <col min="11" max="11" width="17.109375" customWidth="1"/>
    <col min="12" max="12" width="10.6640625" customWidth="1"/>
    <col min="13" max="13" width="3.109375" customWidth="1"/>
    <col min="14" max="14" width="6" customWidth="1"/>
    <col min="15" max="15" width="14" customWidth="1"/>
    <col min="16" max="16" width="16.109375" bestFit="1" customWidth="1"/>
  </cols>
  <sheetData>
    <row r="1" spans="1:18" ht="21" customHeight="1">
      <c r="A1" s="531" t="s">
        <v>166</v>
      </c>
      <c r="B1" s="531"/>
      <c r="C1" s="531"/>
      <c r="D1" s="531"/>
      <c r="E1" s="531"/>
      <c r="F1" s="531"/>
      <c r="G1" s="531"/>
      <c r="H1" s="531"/>
      <c r="I1" s="531"/>
      <c r="J1" s="531"/>
      <c r="K1" s="531"/>
      <c r="L1" s="531"/>
      <c r="M1" s="531"/>
      <c r="N1" s="531"/>
      <c r="O1" s="531"/>
    </row>
    <row r="2" spans="1:18" ht="29.1" customHeight="1">
      <c r="A2" s="534" t="s">
        <v>167</v>
      </c>
      <c r="B2" s="534"/>
      <c r="C2" s="534"/>
      <c r="D2" s="534"/>
      <c r="E2" s="534"/>
      <c r="F2" s="534"/>
      <c r="G2" s="534"/>
      <c r="H2" s="534"/>
      <c r="I2" s="534"/>
      <c r="J2" s="534"/>
      <c r="K2" s="534"/>
      <c r="L2" s="534"/>
      <c r="M2" s="534"/>
      <c r="N2" s="534"/>
      <c r="O2" s="534"/>
    </row>
    <row r="3" spans="1:18" ht="16.5" customHeight="1">
      <c r="A3" s="241" t="s">
        <v>168</v>
      </c>
      <c r="B3" s="241" t="s">
        <v>169</v>
      </c>
      <c r="C3" s="241" t="s">
        <v>170</v>
      </c>
      <c r="D3" s="222"/>
      <c r="E3" s="14"/>
    </row>
    <row r="4" spans="1:18" ht="15.15" customHeight="1">
      <c r="A4" s="242" t="s">
        <v>171</v>
      </c>
      <c r="B4" s="242" t="s">
        <v>172</v>
      </c>
      <c r="C4" s="32" t="s">
        <v>173</v>
      </c>
      <c r="D4" s="242" t="s">
        <v>174</v>
      </c>
      <c r="E4" s="32" t="s">
        <v>175</v>
      </c>
      <c r="F4" s="243" t="s">
        <v>176</v>
      </c>
      <c r="G4" s="242" t="s">
        <v>177</v>
      </c>
      <c r="H4" s="222"/>
      <c r="I4" s="14"/>
    </row>
    <row r="5" spans="1:18" ht="16.5" customHeight="1">
      <c r="A5" s="244" t="s">
        <v>178</v>
      </c>
      <c r="B5" s="245">
        <v>80</v>
      </c>
      <c r="C5" s="34">
        <v>75</v>
      </c>
      <c r="D5" s="245">
        <v>85</v>
      </c>
      <c r="E5" s="35">
        <v>240</v>
      </c>
      <c r="F5" s="496">
        <f>SUM(B5:D5)/3</f>
        <v>80</v>
      </c>
      <c r="G5" s="222" t="str">
        <f>IF(F5&gt;70,"excellent",IF(F5&gt;50,"good","bad"))</f>
        <v>excellent</v>
      </c>
      <c r="I5" s="495"/>
    </row>
    <row r="6" spans="1:18" ht="16.5" customHeight="1">
      <c r="A6" s="244" t="s">
        <v>179</v>
      </c>
      <c r="B6" s="245">
        <v>50</v>
      </c>
      <c r="C6" s="34">
        <v>30</v>
      </c>
      <c r="D6" s="245">
        <v>40</v>
      </c>
      <c r="E6" s="35">
        <v>120</v>
      </c>
      <c r="F6" s="496">
        <f t="shared" ref="F6:F14" si="0">SUM(B6:D6)/3</f>
        <v>40</v>
      </c>
      <c r="G6" s="222" t="str">
        <f t="shared" ref="G6:G14" si="1">IF(F6&gt;70,"excellent",IF(F6&gt;50,"good","bad"))</f>
        <v>bad</v>
      </c>
      <c r="I6" s="206" t="s">
        <v>1268</v>
      </c>
      <c r="J6" s="206" t="s">
        <v>1269</v>
      </c>
    </row>
    <row r="7" spans="1:18" ht="16.5" customHeight="1" thickBot="1">
      <c r="A7" s="244" t="s">
        <v>180</v>
      </c>
      <c r="B7" s="245">
        <v>60</v>
      </c>
      <c r="C7" s="34">
        <v>70</v>
      </c>
      <c r="D7" s="244" t="s">
        <v>181</v>
      </c>
      <c r="E7" s="35">
        <v>130</v>
      </c>
      <c r="F7" s="496">
        <f t="shared" si="0"/>
        <v>43.333333333333336</v>
      </c>
      <c r="G7" s="222" t="str">
        <f t="shared" si="1"/>
        <v>bad</v>
      </c>
    </row>
    <row r="8" spans="1:18" ht="16.5" customHeight="1" thickBot="1">
      <c r="A8" s="244" t="s">
        <v>182</v>
      </c>
      <c r="B8" s="245">
        <v>90</v>
      </c>
      <c r="C8" s="34">
        <v>85</v>
      </c>
      <c r="D8" s="245">
        <v>95</v>
      </c>
      <c r="E8" s="35">
        <v>270</v>
      </c>
      <c r="F8" s="496">
        <f t="shared" si="0"/>
        <v>90</v>
      </c>
      <c r="G8" s="222" t="str">
        <f t="shared" si="1"/>
        <v>excellent</v>
      </c>
      <c r="M8" s="579" t="s">
        <v>1264</v>
      </c>
      <c r="N8" s="579"/>
      <c r="O8" s="579"/>
      <c r="P8" s="286" t="s">
        <v>168</v>
      </c>
      <c r="Q8" s="287" t="s">
        <v>175</v>
      </c>
      <c r="R8" s="288" t="s">
        <v>1189</v>
      </c>
    </row>
    <row r="9" spans="1:18" ht="16.5" customHeight="1" thickBot="1">
      <c r="A9" s="244" t="s">
        <v>183</v>
      </c>
      <c r="B9" s="245">
        <v>20</v>
      </c>
      <c r="C9" s="34">
        <v>30</v>
      </c>
      <c r="D9" s="244" t="s">
        <v>184</v>
      </c>
      <c r="E9" s="35">
        <v>50</v>
      </c>
      <c r="F9" s="496">
        <f t="shared" si="0"/>
        <v>16.666666666666668</v>
      </c>
      <c r="G9" s="222" t="str">
        <f t="shared" si="1"/>
        <v>bad</v>
      </c>
      <c r="P9" s="283" t="s">
        <v>179</v>
      </c>
      <c r="Q9" s="285">
        <f>SUMIF($A$4:$A$14,$P9,$E$4:$E$14)</f>
        <v>120</v>
      </c>
    </row>
    <row r="10" spans="1:18" ht="16.5" customHeight="1" thickBot="1">
      <c r="A10" s="244" t="s">
        <v>185</v>
      </c>
      <c r="B10" s="245">
        <v>40</v>
      </c>
      <c r="C10" s="34">
        <v>60</v>
      </c>
      <c r="D10" s="245">
        <v>80</v>
      </c>
      <c r="E10" s="35">
        <v>180</v>
      </c>
      <c r="F10" s="496">
        <f t="shared" si="0"/>
        <v>60</v>
      </c>
      <c r="G10" s="222" t="str">
        <f t="shared" si="1"/>
        <v>good</v>
      </c>
      <c r="P10" s="284" t="s">
        <v>183</v>
      </c>
      <c r="Q10" s="285">
        <f>SUMIF($A$4:$A$14,$P10,$E$4:$E$14)</f>
        <v>50</v>
      </c>
    </row>
    <row r="11" spans="1:18" ht="16.5" customHeight="1" thickBot="1">
      <c r="A11" s="244" t="s">
        <v>186</v>
      </c>
      <c r="B11" s="245">
        <v>10</v>
      </c>
      <c r="C11" s="34">
        <v>90</v>
      </c>
      <c r="D11" s="245">
        <v>80</v>
      </c>
      <c r="E11" s="35">
        <v>180</v>
      </c>
      <c r="F11" s="496">
        <f t="shared" si="0"/>
        <v>60</v>
      </c>
      <c r="G11" s="222" t="str">
        <f t="shared" si="1"/>
        <v>good</v>
      </c>
    </row>
    <row r="12" spans="1:18" ht="16.5" customHeight="1">
      <c r="A12" s="244" t="s">
        <v>187</v>
      </c>
      <c r="B12" s="245">
        <v>80</v>
      </c>
      <c r="C12" s="34">
        <v>70</v>
      </c>
      <c r="D12" s="245">
        <v>60</v>
      </c>
      <c r="E12" s="35">
        <v>210</v>
      </c>
      <c r="F12" s="496">
        <f t="shared" si="0"/>
        <v>70</v>
      </c>
      <c r="G12" s="222" t="str">
        <f t="shared" si="1"/>
        <v>good</v>
      </c>
      <c r="O12" s="206" t="s">
        <v>1208</v>
      </c>
      <c r="P12" s="290" t="s">
        <v>177</v>
      </c>
      <c r="Q12" s="291" t="s">
        <v>1197</v>
      </c>
    </row>
    <row r="13" spans="1:18" ht="16.5" customHeight="1">
      <c r="A13" s="244" t="s">
        <v>188</v>
      </c>
      <c r="B13" s="245">
        <v>30</v>
      </c>
      <c r="C13" s="34">
        <v>10</v>
      </c>
      <c r="D13" s="245">
        <v>20</v>
      </c>
      <c r="E13" s="35">
        <v>60</v>
      </c>
      <c r="F13" s="496">
        <f t="shared" si="0"/>
        <v>20</v>
      </c>
      <c r="G13" s="222" t="str">
        <f t="shared" si="1"/>
        <v>bad</v>
      </c>
      <c r="P13" s="292" t="s">
        <v>1209</v>
      </c>
      <c r="Q13" s="293">
        <f>COUNTIF($G$4:$G$14,$P13)</f>
        <v>5</v>
      </c>
    </row>
    <row r="14" spans="1:18" ht="16.5" customHeight="1" thickBot="1">
      <c r="A14" s="244" t="s">
        <v>189</v>
      </c>
      <c r="B14" s="245">
        <v>10</v>
      </c>
      <c r="C14" s="34">
        <v>20</v>
      </c>
      <c r="D14" s="245">
        <v>30</v>
      </c>
      <c r="E14" s="35">
        <v>60</v>
      </c>
      <c r="F14" s="496">
        <f t="shared" si="0"/>
        <v>20</v>
      </c>
      <c r="G14" s="222" t="str">
        <f t="shared" si="1"/>
        <v>bad</v>
      </c>
      <c r="P14" s="294" t="s">
        <v>1210</v>
      </c>
      <c r="Q14" s="293">
        <f>COUNTIF($G$4:$G$14,$P14)</f>
        <v>3</v>
      </c>
    </row>
    <row r="15" spans="1:18" ht="42.75" customHeight="1" thickBot="1">
      <c r="A15" s="575" t="s">
        <v>190</v>
      </c>
      <c r="B15" s="575"/>
      <c r="C15" s="548"/>
      <c r="D15" s="548"/>
      <c r="E15" s="16"/>
      <c r="F15" s="548"/>
      <c r="G15" s="548"/>
      <c r="H15" s="548"/>
      <c r="I15" s="16"/>
      <c r="J15" s="576" t="s">
        <v>191</v>
      </c>
      <c r="K15" s="576"/>
      <c r="L15" s="577">
        <f>COUNTA(A4:A14)</f>
        <v>11</v>
      </c>
      <c r="M15" s="578"/>
      <c r="N15" s="552"/>
      <c r="O15" s="552"/>
    </row>
    <row r="16" spans="1:18" ht="20.100000000000001" customHeight="1" thickBot="1">
      <c r="A16" s="572" t="s">
        <v>192</v>
      </c>
      <c r="B16" s="572"/>
      <c r="C16" s="572"/>
      <c r="D16" s="572"/>
      <c r="E16" s="572"/>
      <c r="F16" s="572"/>
      <c r="G16" s="572"/>
      <c r="H16" s="572"/>
      <c r="I16" s="8"/>
      <c r="J16" s="573" t="s">
        <v>193</v>
      </c>
      <c r="K16" s="573"/>
      <c r="L16" s="574">
        <f>COUNTIF(F5:F14,"&gt;50")</f>
        <v>5</v>
      </c>
      <c r="M16" s="574"/>
    </row>
    <row r="17" spans="1:15" ht="20.25" customHeight="1" thickTop="1">
      <c r="A17" s="572" t="s">
        <v>194</v>
      </c>
      <c r="B17" s="572"/>
      <c r="C17" s="572"/>
      <c r="D17" s="572"/>
      <c r="E17" s="572"/>
      <c r="F17" s="560"/>
      <c r="G17" s="560"/>
      <c r="H17" s="560"/>
      <c r="I17" s="8"/>
      <c r="J17" s="573" t="s">
        <v>195</v>
      </c>
      <c r="K17" s="573"/>
      <c r="L17" s="560"/>
      <c r="M17" s="560"/>
      <c r="N17" s="560"/>
      <c r="O17" s="560"/>
    </row>
    <row r="18" spans="1:15" ht="20.25" customHeight="1">
      <c r="A18" s="534" t="s">
        <v>196</v>
      </c>
      <c r="B18" s="534"/>
      <c r="C18" s="534"/>
      <c r="D18" s="534"/>
      <c r="E18" s="534"/>
      <c r="F18" s="534"/>
      <c r="G18" s="534"/>
      <c r="H18" s="534"/>
      <c r="I18" s="534"/>
      <c r="J18" s="534"/>
      <c r="K18" s="534"/>
      <c r="L18" s="534"/>
      <c r="M18" s="534"/>
      <c r="N18" s="534"/>
      <c r="O18" s="534"/>
    </row>
    <row r="19" spans="1:15" ht="16.5" customHeight="1">
      <c r="A19" s="534" t="s">
        <v>197</v>
      </c>
      <c r="B19" s="534"/>
      <c r="C19" s="534"/>
      <c r="D19" s="534"/>
      <c r="E19" s="534"/>
      <c r="F19" s="560"/>
      <c r="G19" s="560"/>
      <c r="H19" s="560"/>
      <c r="I19" s="8"/>
      <c r="J19" s="573" t="s">
        <v>193</v>
      </c>
      <c r="K19" s="573"/>
      <c r="L19" s="560"/>
      <c r="M19" s="560"/>
      <c r="N19" s="560"/>
      <c r="O19" s="560"/>
    </row>
    <row r="20" spans="1:15" ht="21" customHeight="1">
      <c r="A20" s="531" t="s">
        <v>198</v>
      </c>
      <c r="B20" s="531"/>
      <c r="C20" s="531"/>
      <c r="D20" s="531"/>
      <c r="E20" s="531"/>
      <c r="F20" s="531"/>
      <c r="G20" s="531"/>
      <c r="H20" s="531"/>
      <c r="I20" s="531"/>
      <c r="J20" s="531"/>
      <c r="K20" s="531"/>
      <c r="L20" s="531"/>
      <c r="M20" s="531"/>
      <c r="N20" s="531"/>
    </row>
    <row r="21" spans="1:15" ht="28.65" customHeight="1">
      <c r="A21" s="534" t="s">
        <v>199</v>
      </c>
      <c r="B21" s="534"/>
      <c r="C21" s="534"/>
      <c r="D21" s="534"/>
      <c r="E21" s="534"/>
      <c r="F21" s="534"/>
      <c r="G21" s="534"/>
      <c r="H21" s="534"/>
      <c r="I21" s="534"/>
      <c r="J21" s="534"/>
      <c r="K21" s="534"/>
      <c r="L21" s="534"/>
      <c r="M21" s="534"/>
      <c r="N21" s="534"/>
    </row>
    <row r="22" spans="1:15" ht="16.5" customHeight="1">
      <c r="A22" s="534" t="s">
        <v>200</v>
      </c>
      <c r="B22" s="534"/>
      <c r="C22" s="534"/>
      <c r="D22" s="581" t="s">
        <v>201</v>
      </c>
      <c r="E22" s="581"/>
      <c r="F22" s="581"/>
      <c r="G22" s="581"/>
      <c r="H22" s="581"/>
      <c r="I22" s="581"/>
      <c r="J22" s="581"/>
      <c r="K22" s="581"/>
      <c r="L22" s="560"/>
      <c r="M22" s="560"/>
      <c r="N22" s="560"/>
    </row>
    <row r="23" spans="1:15" ht="8.25" customHeight="1">
      <c r="A23" s="560"/>
      <c r="B23" s="560"/>
      <c r="C23" s="560"/>
      <c r="D23" s="560"/>
      <c r="E23" s="560"/>
      <c r="F23" s="560"/>
      <c r="G23" s="560"/>
      <c r="H23" s="560"/>
      <c r="I23" s="560"/>
      <c r="J23" s="560"/>
      <c r="K23" s="560"/>
      <c r="L23" s="560"/>
      <c r="M23" s="560"/>
      <c r="N23" s="560"/>
    </row>
    <row r="24" spans="1:15" ht="28.5" customHeight="1">
      <c r="A24" s="37" t="s">
        <v>202</v>
      </c>
      <c r="B24" s="174" t="s">
        <v>203</v>
      </c>
      <c r="C24" s="174" t="s">
        <v>1211</v>
      </c>
      <c r="D24" s="580"/>
      <c r="E24" s="178" t="s">
        <v>202</v>
      </c>
      <c r="F24" s="179" t="s">
        <v>205</v>
      </c>
      <c r="G24" s="180" t="s">
        <v>206</v>
      </c>
      <c r="H24" s="181" t="s">
        <v>207</v>
      </c>
    </row>
    <row r="25" spans="1:15" ht="16.5" customHeight="1">
      <c r="A25" s="39">
        <v>110608</v>
      </c>
      <c r="B25" s="175" t="s">
        <v>208</v>
      </c>
      <c r="C25" s="175" t="s">
        <v>209</v>
      </c>
      <c r="D25" s="580"/>
      <c r="E25" s="153">
        <v>602693</v>
      </c>
      <c r="F25" s="42">
        <v>84289</v>
      </c>
      <c r="G25" s="231" t="str">
        <f t="array" ref="G25:H25">VLOOKUP(E25,A25:C37,{3,2},0)</f>
        <v>Micheal</v>
      </c>
      <c r="H25" s="231" t="str">
        <v>Vick</v>
      </c>
      <c r="I25" t="s">
        <v>1253</v>
      </c>
      <c r="J25" t="str">
        <f t="array" ref="J25:K25">VLOOKUP(E25,A24:C37,{3,2},0)</f>
        <v>Micheal</v>
      </c>
      <c r="K25" t="str">
        <v>Vick</v>
      </c>
    </row>
    <row r="26" spans="1:15" ht="16.5" customHeight="1">
      <c r="A26" s="39">
        <v>253072</v>
      </c>
      <c r="B26" s="175" t="s">
        <v>212</v>
      </c>
      <c r="C26" s="175" t="s">
        <v>213</v>
      </c>
      <c r="D26" s="580"/>
      <c r="E26" s="153">
        <v>611810</v>
      </c>
      <c r="F26" s="44" t="s">
        <v>214</v>
      </c>
      <c r="G26" s="231" t="str">
        <f t="array" ref="G26:H26">VLOOKUP(E26,A26:C38,{3,2},0)</f>
        <v>Tiger</v>
      </c>
      <c r="H26" s="231" t="str">
        <v>Woods</v>
      </c>
      <c r="J26" t="str">
        <f t="array" ref="J26:K26">VLOOKUP(E26,A25:C38,{3,2},0)</f>
        <v>Tiger</v>
      </c>
      <c r="K26" t="str">
        <v>Woods</v>
      </c>
    </row>
    <row r="27" spans="1:15" ht="16.5" customHeight="1">
      <c r="A27" s="39">
        <v>352711</v>
      </c>
      <c r="B27" s="175" t="s">
        <v>215</v>
      </c>
      <c r="C27" s="175" t="s">
        <v>209</v>
      </c>
      <c r="D27" s="580"/>
      <c r="E27" s="153">
        <v>549457</v>
      </c>
      <c r="F27" s="44" t="s">
        <v>216</v>
      </c>
      <c r="G27" s="231" t="str">
        <f t="array" ref="G27:H27">VLOOKUP(E27,A27:C39,{3,2},0)</f>
        <v>John</v>
      </c>
      <c r="H27" s="231" t="str">
        <v>Elway</v>
      </c>
      <c r="J27" t="str">
        <f t="array" ref="J27:K27">VLOOKUP(E27,A26:C39,{3,2},0)</f>
        <v>John</v>
      </c>
      <c r="K27" t="str">
        <v>Elway</v>
      </c>
    </row>
    <row r="28" spans="1:15" ht="16.5" customHeight="1">
      <c r="A28" s="39">
        <v>391006</v>
      </c>
      <c r="B28" s="175" t="s">
        <v>217</v>
      </c>
      <c r="C28" s="175" t="s">
        <v>218</v>
      </c>
      <c r="D28" s="580"/>
      <c r="E28" s="153">
        <v>612235</v>
      </c>
      <c r="F28" s="44" t="s">
        <v>219</v>
      </c>
      <c r="G28" s="231" t="str">
        <f t="array" ref="G28:H28">VLOOKUP(E28,A28:C40,{3,2},0)</f>
        <v>Micheal</v>
      </c>
      <c r="H28" s="231" t="str">
        <v>Jordan</v>
      </c>
      <c r="J28" t="str">
        <f t="array" ref="J28:K28">VLOOKUP(E28,A27:C40,{3,2},0)</f>
        <v>Micheal</v>
      </c>
      <c r="K28" t="str">
        <v>Jordan</v>
      </c>
    </row>
    <row r="29" spans="1:15" ht="16.5" customHeight="1">
      <c r="A29" s="39">
        <v>392128</v>
      </c>
      <c r="B29" s="175" t="s">
        <v>220</v>
      </c>
      <c r="C29" s="175" t="s">
        <v>221</v>
      </c>
      <c r="D29" s="580"/>
      <c r="E29" s="153">
        <v>580622</v>
      </c>
      <c r="F29" s="44" t="s">
        <v>222</v>
      </c>
      <c r="G29" s="231" t="str">
        <f t="array" ref="G29:H29">VLOOKUP(E29,A29:C41,{3,2},0)</f>
        <v>Eli</v>
      </c>
      <c r="H29" s="231" t="str">
        <v>Manning</v>
      </c>
      <c r="J29" t="str">
        <f t="array" ref="J29:K29">VLOOKUP(E29,A28:C41,{3,2},0)</f>
        <v>Eli</v>
      </c>
      <c r="K29" t="str">
        <v>Manning</v>
      </c>
    </row>
    <row r="30" spans="1:15" ht="16.5" customHeight="1">
      <c r="A30" s="39">
        <v>549457</v>
      </c>
      <c r="B30" s="175" t="s">
        <v>223</v>
      </c>
      <c r="C30" s="175" t="s">
        <v>209</v>
      </c>
      <c r="D30" s="580"/>
      <c r="E30" s="153">
        <v>830385</v>
      </c>
      <c r="F30" s="42">
        <v>85931</v>
      </c>
      <c r="G30" s="231" t="str">
        <f t="array" ref="G30:H30">VLOOKUP(E30,A30:C42,{3,2},0)</f>
        <v>Prince</v>
      </c>
      <c r="H30" s="231" t="str">
        <v>Williams</v>
      </c>
      <c r="J30" t="str">
        <f t="array" ref="J30:K30">VLOOKUP(E30,A29:C42,{3,2},0)</f>
        <v>Prince</v>
      </c>
      <c r="K30" t="str">
        <v>Williams</v>
      </c>
    </row>
    <row r="31" spans="1:15" ht="16.5" customHeight="1">
      <c r="A31" s="39">
        <v>580622</v>
      </c>
      <c r="B31" s="175" t="s">
        <v>224</v>
      </c>
      <c r="C31" s="175" t="s">
        <v>225</v>
      </c>
      <c r="D31" s="580"/>
      <c r="E31" s="153">
        <v>253072</v>
      </c>
      <c r="F31" s="44" t="s">
        <v>226</v>
      </c>
      <c r="G31" s="231" t="str">
        <f t="array" ref="G31:H31">VLOOKUP(E31,A31:C43,{3,2},0)</f>
        <v>Andy</v>
      </c>
      <c r="H31" s="231" t="str">
        <v>Cline</v>
      </c>
      <c r="J31" t="str">
        <f t="array" ref="J31:K31">VLOOKUP(E31,A30:C43,{3,2},0)</f>
        <v>Andy</v>
      </c>
      <c r="K31" t="str">
        <v>Cline</v>
      </c>
    </row>
    <row r="32" spans="1:15" ht="16.5" customHeight="1">
      <c r="A32" s="39">
        <v>602693</v>
      </c>
      <c r="B32" s="175" t="s">
        <v>211</v>
      </c>
      <c r="C32" s="175" t="s">
        <v>210</v>
      </c>
      <c r="D32" s="580"/>
      <c r="E32" s="153">
        <v>391006</v>
      </c>
      <c r="F32" s="42">
        <v>89627</v>
      </c>
      <c r="G32" s="231" t="str">
        <f t="array" ref="G32:H32">VLOOKUP(E32,A32:C44,{3,2},0)</f>
        <v>Peter</v>
      </c>
      <c r="H32" s="231" t="str">
        <v>Pan</v>
      </c>
      <c r="J32" t="str">
        <f t="array" ref="J32:K32">VLOOKUP(E32,A31:C44,{3,2},0)</f>
        <v>Peter</v>
      </c>
      <c r="K32" t="str">
        <v>Pan</v>
      </c>
    </row>
    <row r="33" spans="1:11" ht="16.5" customHeight="1">
      <c r="A33" s="39">
        <v>611810</v>
      </c>
      <c r="B33" s="175" t="s">
        <v>227</v>
      </c>
      <c r="C33" s="175" t="s">
        <v>228</v>
      </c>
      <c r="D33" s="580"/>
      <c r="E33" s="153">
        <v>990678</v>
      </c>
      <c r="F33" s="44" t="s">
        <v>229</v>
      </c>
      <c r="G33" s="231" t="str">
        <f t="array" ref="G33:H33">VLOOKUP(E33,A33:C45,{3,2},0)</f>
        <v>Brad</v>
      </c>
      <c r="H33" s="231" t="str">
        <v>Pitt</v>
      </c>
      <c r="J33" t="str">
        <f t="array" ref="J33:K33">VLOOKUP(E33,A32:C45,{3,2},0)</f>
        <v>Brad</v>
      </c>
      <c r="K33" t="str">
        <v>Pitt</v>
      </c>
    </row>
    <row r="34" spans="1:11" ht="16.5" customHeight="1">
      <c r="A34" s="39">
        <v>612235</v>
      </c>
      <c r="B34" s="175" t="s">
        <v>230</v>
      </c>
      <c r="C34" s="175" t="s">
        <v>210</v>
      </c>
      <c r="D34" s="580"/>
      <c r="E34" s="153">
        <v>795574</v>
      </c>
      <c r="F34" s="44" t="s">
        <v>231</v>
      </c>
      <c r="G34" s="231" t="str">
        <f t="array" ref="G34:H34">VLOOKUP(E34,A34:C46,{3,2},0)</f>
        <v>Tony</v>
      </c>
      <c r="H34" s="231" t="str">
        <v>Stark</v>
      </c>
      <c r="J34" t="str">
        <f t="array" ref="J34:K34">VLOOKUP(E34,A33:C46,{3,2},0)</f>
        <v>Tony</v>
      </c>
      <c r="K34" t="str">
        <v>Stark</v>
      </c>
    </row>
    <row r="35" spans="1:11" ht="16.5" customHeight="1">
      <c r="A35" s="39">
        <v>795574</v>
      </c>
      <c r="B35" s="175" t="s">
        <v>232</v>
      </c>
      <c r="C35" s="175" t="s">
        <v>233</v>
      </c>
      <c r="D35" s="580"/>
      <c r="E35" s="153">
        <v>392128</v>
      </c>
      <c r="F35" s="42">
        <v>64757</v>
      </c>
      <c r="G35" s="231" t="str">
        <f t="array" ref="G35:H35">VLOOKUP(E35,A35:C47,{3,2},0)</f>
        <v>Bret</v>
      </c>
      <c r="H35" s="231" t="str">
        <v>Favre</v>
      </c>
      <c r="J35" t="str">
        <f t="array" ref="J35:K35">VLOOKUP(E35,A34:C47,{3,2},0)</f>
        <v>Bret</v>
      </c>
      <c r="K35" t="str">
        <v>Favre</v>
      </c>
    </row>
    <row r="36" spans="1:11" ht="16.5" customHeight="1">
      <c r="A36" s="39">
        <v>830385</v>
      </c>
      <c r="B36" s="175" t="s">
        <v>234</v>
      </c>
      <c r="C36" s="175" t="s">
        <v>235</v>
      </c>
      <c r="D36" s="580"/>
      <c r="E36" s="153">
        <v>352711</v>
      </c>
      <c r="F36" s="42">
        <v>71478</v>
      </c>
      <c r="G36" s="231" t="str">
        <f t="array" ref="G36:H36">VLOOKUP(E36,A36:C48,{3,2},0)</f>
        <v>John</v>
      </c>
      <c r="H36" s="231" t="str">
        <v>Smith</v>
      </c>
      <c r="J36" t="str">
        <f t="array" ref="J36:K36">VLOOKUP(E36,A35:C48,{3,2},0)</f>
        <v>John</v>
      </c>
      <c r="K36" t="str">
        <v>Smith</v>
      </c>
    </row>
    <row r="37" spans="1:11" ht="16.5" customHeight="1">
      <c r="A37" s="45">
        <v>990678</v>
      </c>
      <c r="B37" s="176" t="s">
        <v>236</v>
      </c>
      <c r="C37" s="176" t="s">
        <v>237</v>
      </c>
      <c r="D37" s="46"/>
      <c r="E37" s="177">
        <v>110608</v>
      </c>
      <c r="F37" s="47" t="s">
        <v>238</v>
      </c>
      <c r="G37" s="231" t="str">
        <f t="array" ref="G37:H37">VLOOKUP(E37,A37:C49,{3,2},0)</f>
        <v>John</v>
      </c>
      <c r="H37" s="231" t="str">
        <v>Doe</v>
      </c>
      <c r="J37" t="str">
        <f t="array" ref="J37:K37">VLOOKUP(E37,A36:C49,{3,2},0)</f>
        <v>John</v>
      </c>
      <c r="K37" t="str">
        <v>Doe</v>
      </c>
    </row>
    <row r="39" spans="1:11" ht="15.6">
      <c r="A39" s="37" t="s">
        <v>202</v>
      </c>
      <c r="B39" s="174" t="s">
        <v>204</v>
      </c>
      <c r="C39" s="174" t="s">
        <v>203</v>
      </c>
    </row>
    <row r="40" spans="1:11" ht="15.6">
      <c r="A40" s="39">
        <v>110608</v>
      </c>
      <c r="B40" t="str">
        <f t="array" ref="B40:C40">VLOOKUP(A40,CHOOSE({1,2,3},A25:A37,B25:B37,C25:C37),{2,3},0)</f>
        <v>Doe</v>
      </c>
      <c r="C40" t="str">
        <v>John</v>
      </c>
      <c r="E40" s="178" t="s">
        <v>202</v>
      </c>
      <c r="F40" s="179" t="s">
        <v>205</v>
      </c>
      <c r="G40" s="180" t="s">
        <v>206</v>
      </c>
      <c r="H40" s="181" t="s">
        <v>207</v>
      </c>
      <c r="I40" t="s">
        <v>1265</v>
      </c>
    </row>
    <row r="41" spans="1:11" ht="14.4">
      <c r="A41" s="39">
        <v>253072</v>
      </c>
      <c r="B41" t="str">
        <f t="array" ref="B41:C41">VLOOKUP(A41,CHOOSE({1,2,3},A26:A38,B26:B38,C26:C38),{2,3},0)</f>
        <v>Cline</v>
      </c>
      <c r="C41" t="str">
        <v>Andy</v>
      </c>
      <c r="E41" s="153">
        <v>602693</v>
      </c>
      <c r="F41" s="42">
        <v>84289</v>
      </c>
      <c r="G41" t="str">
        <f t="array" ref="G41:H41">VLOOKUP(E41,A24:C37,{2,3},0)</f>
        <v>Vick</v>
      </c>
      <c r="H41" t="str">
        <v>Micheal</v>
      </c>
    </row>
    <row r="42" spans="1:11" ht="14.4">
      <c r="A42" s="39">
        <v>352711</v>
      </c>
      <c r="B42" t="str">
        <f t="array" ref="B42:C42">VLOOKUP(A42,CHOOSE({1,2,3},A27:A39,B27:B39,C27:C39),{2,3},0)</f>
        <v>Smith</v>
      </c>
      <c r="C42" t="str">
        <v>John</v>
      </c>
      <c r="E42" s="153">
        <v>611810</v>
      </c>
      <c r="F42" s="44" t="s">
        <v>214</v>
      </c>
      <c r="G42" t="str">
        <f t="array" ref="G42:H42">VLOOKUP(E42,CHOOSE({1,2,3},A26:A38,B26:B38,C26:C38),{2,3},0)</f>
        <v>Woods</v>
      </c>
      <c r="H42" t="str">
        <v>Tiger</v>
      </c>
    </row>
    <row r="43" spans="1:11" ht="14.4">
      <c r="A43" s="39">
        <v>391006</v>
      </c>
      <c r="B43" t="str">
        <f t="array" ref="B43:C43">VLOOKUP(A43,CHOOSE({1,2,3},A28:A40,B28:B40,C28:C40),{2,3},0)</f>
        <v>Pan</v>
      </c>
      <c r="C43" t="str">
        <v>Peter</v>
      </c>
      <c r="E43" s="153">
        <v>549457</v>
      </c>
      <c r="F43" s="44" t="s">
        <v>216</v>
      </c>
      <c r="G43" t="str">
        <f t="array" ref="G43:H43">VLOOKUP(E43,CHOOSE({1,2,3},A27:A39,B27:B39,C27:C39),{2,3},0)</f>
        <v>Elway</v>
      </c>
      <c r="H43" t="str">
        <v>John</v>
      </c>
    </row>
    <row r="44" spans="1:11" ht="14.4">
      <c r="A44" s="39">
        <v>392128</v>
      </c>
      <c r="B44" t="str">
        <f t="array" ref="B44:C44">VLOOKUP(A44,CHOOSE({1,2,3},A29:A41,B29:B41,C29:C41),{2,3},0)</f>
        <v>Favre</v>
      </c>
      <c r="C44" t="str">
        <v>Bret</v>
      </c>
      <c r="E44" s="153">
        <v>612235</v>
      </c>
      <c r="F44" s="44" t="s">
        <v>219</v>
      </c>
      <c r="G44" t="str">
        <f t="array" ref="G44:H44">VLOOKUP(E44,CHOOSE({1,2,3},A28:A40,B28:B40,C28:C40),{2,3},0)</f>
        <v>Jordan</v>
      </c>
      <c r="H44" t="str">
        <v>Micheal</v>
      </c>
    </row>
    <row r="45" spans="1:11" ht="14.4">
      <c r="A45" s="39">
        <v>549457</v>
      </c>
      <c r="B45" t="str">
        <f t="array" ref="B45:C45">VLOOKUP(A45,CHOOSE({1,2,3},A30:A42,B30:B42,C30:C42),{2,3},0)</f>
        <v>Elway</v>
      </c>
      <c r="C45" t="str">
        <v>John</v>
      </c>
      <c r="E45" s="153">
        <v>580622</v>
      </c>
      <c r="F45" s="44" t="s">
        <v>222</v>
      </c>
      <c r="G45" t="str">
        <f t="array" ref="G45:H45">VLOOKUP(E45,CHOOSE({1,2,3},A29:A41,B29:B41,C29:C41),{2,3},0)</f>
        <v>Manning</v>
      </c>
      <c r="H45" t="str">
        <v>Eli</v>
      </c>
    </row>
    <row r="46" spans="1:11" ht="14.4">
      <c r="A46" s="39">
        <v>580622</v>
      </c>
      <c r="B46" t="str">
        <f t="array" ref="B46:C46">VLOOKUP(A46,CHOOSE({1,2,3},A31:A43,B31:B43,C31:C43),{2,3},0)</f>
        <v>Manning</v>
      </c>
      <c r="C46" t="str">
        <v>Eli</v>
      </c>
      <c r="E46" s="153">
        <v>830385</v>
      </c>
      <c r="F46" s="42">
        <v>85931</v>
      </c>
      <c r="G46" t="str">
        <f t="array" ref="G46:H46">VLOOKUP(E46,CHOOSE({1,2,3},A30:A42,B30:B42,C30:C42),{2,3},0)</f>
        <v>Williams</v>
      </c>
      <c r="H46" t="str">
        <v>Prince</v>
      </c>
    </row>
    <row r="47" spans="1:11" ht="14.4">
      <c r="A47" s="39">
        <v>602693</v>
      </c>
      <c r="B47" t="str">
        <f t="array" ref="B47:C47">VLOOKUP(A47,CHOOSE({1,2,3},A32:A44,B32:B44,C32:C44),{2,3},0)</f>
        <v>Vick</v>
      </c>
      <c r="C47" t="str">
        <v>Micheal</v>
      </c>
      <c r="E47" s="153">
        <v>253072</v>
      </c>
      <c r="F47" s="44" t="s">
        <v>226</v>
      </c>
      <c r="G47" t="str">
        <f t="array" ref="G47:H47">VLOOKUP(E47,CHOOSE({1,2,3},A31:A43,B31:B43,C31:C43),{2,3},0)</f>
        <v>Cline</v>
      </c>
      <c r="H47" t="str">
        <v>Andy</v>
      </c>
    </row>
    <row r="48" spans="1:11" ht="14.4">
      <c r="A48" s="39">
        <v>611810</v>
      </c>
      <c r="B48" t="str">
        <f t="array" ref="B48:C48">VLOOKUP(A48,CHOOSE({1,2,3},A33:A45,B33:B45,C33:C45),{2,3},0)</f>
        <v>Woods</v>
      </c>
      <c r="C48" t="str">
        <v>Tiger</v>
      </c>
      <c r="E48" s="153">
        <v>391006</v>
      </c>
      <c r="F48" s="42">
        <v>89627</v>
      </c>
      <c r="G48" t="str">
        <f t="array" ref="G48:H48">VLOOKUP(E48,CHOOSE({1,2,3},A32:A44,B32:B44,C32:C44),{2,3},0)</f>
        <v>Pan</v>
      </c>
      <c r="H48" t="str">
        <v>Peter</v>
      </c>
    </row>
    <row r="49" spans="1:8" ht="14.4">
      <c r="A49" s="39">
        <v>612235</v>
      </c>
      <c r="B49" t="str">
        <f t="array" ref="B49:C49">VLOOKUP(A49,CHOOSE({1,2,3},A34:A46,B34:B46,C34:C46),{2,3},0)</f>
        <v>Jordan</v>
      </c>
      <c r="C49" t="str">
        <v>Micheal</v>
      </c>
      <c r="E49" s="153">
        <v>990678</v>
      </c>
      <c r="F49" s="44" t="s">
        <v>229</v>
      </c>
      <c r="G49" t="str">
        <f t="array" ref="G49:H49">VLOOKUP(E49,CHOOSE({1,2,3},A33:A45,B33:B45,C33:C45),{2,3},0)</f>
        <v>Pitt</v>
      </c>
      <c r="H49" t="str">
        <v>Brad</v>
      </c>
    </row>
    <row r="50" spans="1:8" ht="14.4">
      <c r="A50" s="39">
        <v>795574</v>
      </c>
      <c r="B50" t="str">
        <f t="array" ref="B50:C50">VLOOKUP(A50,CHOOSE({1,2,3},A35:A47,B35:B47,C35:C47),{2,3},0)</f>
        <v>Stark</v>
      </c>
      <c r="C50" t="str">
        <v>Tony</v>
      </c>
      <c r="E50" s="153">
        <v>795574</v>
      </c>
      <c r="F50" s="44" t="s">
        <v>231</v>
      </c>
      <c r="G50" t="str">
        <f t="array" ref="G50:H50">VLOOKUP(E50,CHOOSE({1,2,3},A34:A46,B34:B46,C34:C46),{2,3},0)</f>
        <v>Stark</v>
      </c>
      <c r="H50" t="str">
        <v>Tony</v>
      </c>
    </row>
    <row r="51" spans="1:8" ht="14.4">
      <c r="A51" s="39">
        <v>830385</v>
      </c>
      <c r="B51" t="str">
        <f t="array" ref="B51:C51">VLOOKUP(A51,CHOOSE({1,2,3},A36:A48,B36:B48,C36:C48),{2,3},0)</f>
        <v>Williams</v>
      </c>
      <c r="C51" t="str">
        <v>Prince</v>
      </c>
      <c r="E51" s="153">
        <v>392128</v>
      </c>
      <c r="F51" s="42">
        <v>64757</v>
      </c>
      <c r="G51" t="str">
        <f t="array" ref="G51:H51">VLOOKUP(E51,CHOOSE({1,2,3},A35:A47,B35:B47,C35:C47),{2,3},0)</f>
        <v>Favre</v>
      </c>
      <c r="H51" t="str">
        <v>Bret</v>
      </c>
    </row>
    <row r="52" spans="1:8" ht="14.4">
      <c r="A52" s="45">
        <v>990678</v>
      </c>
      <c r="B52" t="str">
        <f t="array" ref="B52:C52">VLOOKUP(A52,CHOOSE({1,2,3},A37:A49,B37:B49,C37:C49),{2,3},0)</f>
        <v>Pitt</v>
      </c>
      <c r="C52" t="str">
        <v>Brad</v>
      </c>
      <c r="E52" s="153">
        <v>352711</v>
      </c>
      <c r="F52" s="42">
        <v>71478</v>
      </c>
      <c r="G52" t="str">
        <f t="array" ref="G52:H52">VLOOKUP(E52,CHOOSE({1,2,3},A36:A48,B36:B48,C36:C48),{2,3},0)</f>
        <v>Smith</v>
      </c>
      <c r="H52" t="str">
        <v>John</v>
      </c>
    </row>
    <row r="53" spans="1:8" ht="14.4">
      <c r="E53" s="177">
        <v>110608</v>
      </c>
      <c r="F53" s="47" t="s">
        <v>238</v>
      </c>
      <c r="G53" t="str">
        <f t="array" ref="G53:H53">VLOOKUP(E53,CHOOSE({1,2,3},A37:A49,B37:B49,C37:C49),{2,3},0)</f>
        <v>Doe</v>
      </c>
      <c r="H53" t="str">
        <v>John</v>
      </c>
    </row>
  </sheetData>
  <mergeCells count="30">
    <mergeCell ref="A23:N23"/>
    <mergeCell ref="D24:D36"/>
    <mergeCell ref="A20:N20"/>
    <mergeCell ref="A21:N21"/>
    <mergeCell ref="A22:C22"/>
    <mergeCell ref="D22:K22"/>
    <mergeCell ref="L22:N22"/>
    <mergeCell ref="A18:O18"/>
    <mergeCell ref="A19:E19"/>
    <mergeCell ref="F19:H19"/>
    <mergeCell ref="J19:K19"/>
    <mergeCell ref="L19:M19"/>
    <mergeCell ref="N19:O19"/>
    <mergeCell ref="A17:E17"/>
    <mergeCell ref="F17:H17"/>
    <mergeCell ref="J17:K17"/>
    <mergeCell ref="L17:M17"/>
    <mergeCell ref="N17:O17"/>
    <mergeCell ref="A1:O1"/>
    <mergeCell ref="A2:O2"/>
    <mergeCell ref="N15:O15"/>
    <mergeCell ref="A16:H16"/>
    <mergeCell ref="J16:K16"/>
    <mergeCell ref="L16:M16"/>
    <mergeCell ref="A15:B15"/>
    <mergeCell ref="C15:D15"/>
    <mergeCell ref="F15:H15"/>
    <mergeCell ref="J15:K15"/>
    <mergeCell ref="L15:M15"/>
    <mergeCell ref="M8:O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7"/>
  <sheetViews>
    <sheetView topLeftCell="A13" workbookViewId="0">
      <selection activeCell="Q37" sqref="Q37"/>
    </sheetView>
  </sheetViews>
  <sheetFormatPr defaultRowHeight="13.2"/>
  <cols>
    <col min="1" max="1" width="14.6640625" customWidth="1"/>
    <col min="2" max="2" width="16.109375" customWidth="1"/>
    <col min="3" max="3" width="15.6640625" bestFit="1" customWidth="1"/>
    <col min="4" max="4" width="15.44140625" customWidth="1"/>
    <col min="5" max="6" width="13.44140625" bestFit="1" customWidth="1"/>
    <col min="7" max="7" width="13.33203125" bestFit="1" customWidth="1"/>
    <col min="8" max="8" width="20.109375" customWidth="1"/>
    <col min="9" max="9" width="16" customWidth="1"/>
    <col min="10" max="10" width="15.77734375" bestFit="1" customWidth="1"/>
    <col min="11" max="11" width="26.33203125" bestFit="1" customWidth="1"/>
    <col min="12" max="12" width="13.77734375" bestFit="1" customWidth="1"/>
    <col min="16" max="16" width="21.6640625" bestFit="1" customWidth="1"/>
    <col min="17" max="17" width="13.33203125" bestFit="1" customWidth="1"/>
  </cols>
  <sheetData>
    <row r="1" spans="1:17" ht="21" customHeight="1">
      <c r="A1" s="531" t="s">
        <v>239</v>
      </c>
      <c r="B1" s="531"/>
      <c r="C1" s="531"/>
      <c r="D1" s="531"/>
      <c r="E1" s="531"/>
      <c r="F1" s="531"/>
      <c r="G1" s="531"/>
      <c r="H1" s="531"/>
    </row>
    <row r="2" spans="1:17" ht="28.65" customHeight="1">
      <c r="A2" s="534" t="s">
        <v>240</v>
      </c>
      <c r="B2" s="534"/>
      <c r="C2" s="534"/>
      <c r="D2" s="534"/>
      <c r="E2" s="534"/>
      <c r="F2" s="534"/>
      <c r="G2" s="534"/>
      <c r="H2" s="534"/>
    </row>
    <row r="3" spans="1:17" ht="30" customHeight="1">
      <c r="A3" s="582" t="s">
        <v>241</v>
      </c>
      <c r="B3" s="582"/>
      <c r="C3" s="582"/>
      <c r="D3" s="582"/>
      <c r="E3" s="582"/>
      <c r="F3" s="582"/>
      <c r="G3" s="582"/>
      <c r="H3" s="582"/>
    </row>
    <row r="4" spans="1:17" ht="15.15" customHeight="1">
      <c r="A4" s="583"/>
      <c r="B4" s="583"/>
      <c r="C4" s="583"/>
      <c r="D4" s="583"/>
      <c r="E4" s="583"/>
      <c r="F4" s="583"/>
      <c r="G4" s="583"/>
      <c r="H4" s="583"/>
    </row>
    <row r="5" spans="1:17" ht="16.5" customHeight="1">
      <c r="A5" s="49" t="s">
        <v>242</v>
      </c>
      <c r="B5" s="50" t="s">
        <v>243</v>
      </c>
      <c r="C5" s="51" t="s">
        <v>244</v>
      </c>
      <c r="D5" s="163" t="s">
        <v>245</v>
      </c>
      <c r="E5" s="52" t="s">
        <v>246</v>
      </c>
      <c r="F5" s="163" t="s">
        <v>247</v>
      </c>
    </row>
    <row r="6" spans="1:17" ht="16.5" customHeight="1">
      <c r="A6" s="53" t="s">
        <v>248</v>
      </c>
      <c r="B6" s="455" t="str">
        <f t="array" ref="B6:F6">VLOOKUP(A6,A10:F24,{2,3,4,5,6},0)</f>
        <v>Faith K. Macias</v>
      </c>
      <c r="C6" s="456" t="str">
        <v>845-04-3962</v>
      </c>
      <c r="D6" s="457" t="str">
        <v>Marketing</v>
      </c>
      <c r="E6" s="456">
        <v>39474</v>
      </c>
      <c r="F6" s="458">
        <v>73500</v>
      </c>
    </row>
    <row r="7" spans="1:17" ht="16.5" customHeight="1">
      <c r="A7" s="53" t="s">
        <v>249</v>
      </c>
      <c r="B7" s="455" t="str">
        <f t="array" ref="B7:F7">VLOOKUP(A7,A11:F25,{2,3,4,5,6},0)</f>
        <v>Lucian Q. Franklin</v>
      </c>
      <c r="C7" s="456" t="str">
        <v>345-28-4935</v>
      </c>
      <c r="D7" s="457" t="str">
        <v>IT/IS</v>
      </c>
      <c r="E7" s="456">
        <v>39508</v>
      </c>
      <c r="F7" s="458">
        <v>80000</v>
      </c>
    </row>
    <row r="8" spans="1:17" ht="16.5" customHeight="1">
      <c r="A8" s="53" t="s">
        <v>250</v>
      </c>
      <c r="B8" s="455" t="str">
        <f t="array" ref="B8:F8">VLOOKUP(A6,A10:F24,{2,3,4,5,6},0)</f>
        <v>Faith K. Macias</v>
      </c>
      <c r="C8" s="456" t="str">
        <v>845-04-3962</v>
      </c>
      <c r="D8" s="457" t="str">
        <v>Marketing</v>
      </c>
      <c r="E8" s="456">
        <v>39474</v>
      </c>
      <c r="F8" s="458">
        <v>73500</v>
      </c>
    </row>
    <row r="9" spans="1:17" ht="15.15" customHeight="1">
      <c r="A9" s="588"/>
      <c r="B9" s="588"/>
      <c r="C9" s="588"/>
      <c r="D9" s="588"/>
      <c r="E9" s="588"/>
      <c r="F9" s="588"/>
      <c r="G9" s="588"/>
      <c r="H9" s="588"/>
    </row>
    <row r="10" spans="1:17" ht="16.5" customHeight="1" thickBot="1">
      <c r="A10" s="55" t="s">
        <v>242</v>
      </c>
      <c r="B10" s="56" t="s">
        <v>243</v>
      </c>
      <c r="C10" s="57" t="s">
        <v>244</v>
      </c>
      <c r="D10" s="161" t="s">
        <v>245</v>
      </c>
      <c r="E10" s="58" t="s">
        <v>246</v>
      </c>
      <c r="F10" s="305" t="s">
        <v>1213</v>
      </c>
      <c r="P10" s="161" t="s">
        <v>245</v>
      </c>
      <c r="Q10" s="305" t="s">
        <v>1213</v>
      </c>
    </row>
    <row r="11" spans="1:17" ht="15.15" customHeight="1">
      <c r="A11" s="59" t="s">
        <v>251</v>
      </c>
      <c r="B11" s="60" t="s">
        <v>252</v>
      </c>
      <c r="C11" s="54" t="s">
        <v>253</v>
      </c>
      <c r="D11" s="159" t="s">
        <v>254</v>
      </c>
      <c r="E11" s="61">
        <v>39474</v>
      </c>
      <c r="F11" s="160">
        <v>73500</v>
      </c>
      <c r="I11" s="585" t="s">
        <v>1201</v>
      </c>
      <c r="J11" s="586"/>
      <c r="K11" s="295" t="s">
        <v>245</v>
      </c>
      <c r="L11" s="291" t="s">
        <v>1197</v>
      </c>
      <c r="P11" s="159" t="s">
        <v>254</v>
      </c>
      <c r="Q11" s="160">
        <v>73500</v>
      </c>
    </row>
    <row r="12" spans="1:17" ht="15.6" customHeight="1">
      <c r="A12" s="59" t="s">
        <v>255</v>
      </c>
      <c r="B12" s="60" t="s">
        <v>256</v>
      </c>
      <c r="C12" s="54" t="s">
        <v>257</v>
      </c>
      <c r="D12" s="159" t="s">
        <v>258</v>
      </c>
      <c r="E12" s="61">
        <v>39508</v>
      </c>
      <c r="F12" s="160">
        <v>80000</v>
      </c>
      <c r="K12" s="296" t="s">
        <v>254</v>
      </c>
      <c r="L12" s="293">
        <f>COUNTIF($D$10:$D$24,$K12)</f>
        <v>7</v>
      </c>
      <c r="P12" s="159" t="s">
        <v>258</v>
      </c>
      <c r="Q12" s="160">
        <v>80000</v>
      </c>
    </row>
    <row r="13" spans="1:17" ht="15.6" customHeight="1">
      <c r="A13" s="59" t="s">
        <v>259</v>
      </c>
      <c r="B13" s="60" t="s">
        <v>260</v>
      </c>
      <c r="C13" s="54" t="s">
        <v>261</v>
      </c>
      <c r="D13" s="159" t="s">
        <v>254</v>
      </c>
      <c r="E13" s="61">
        <v>39554</v>
      </c>
      <c r="F13" s="160">
        <v>95000</v>
      </c>
      <c r="K13" s="296" t="s">
        <v>273</v>
      </c>
      <c r="L13" s="293">
        <f>COUNTIF($D$10:$D$24,$K13)</f>
        <v>2</v>
      </c>
      <c r="P13" s="159" t="s">
        <v>254</v>
      </c>
      <c r="Q13" s="160">
        <v>95000</v>
      </c>
    </row>
    <row r="14" spans="1:17" ht="15.15" customHeight="1">
      <c r="A14" s="59" t="s">
        <v>262</v>
      </c>
      <c r="B14" s="60" t="s">
        <v>263</v>
      </c>
      <c r="C14" s="54" t="s">
        <v>264</v>
      </c>
      <c r="D14" s="159" t="s">
        <v>254</v>
      </c>
      <c r="E14" s="61">
        <v>39571</v>
      </c>
      <c r="F14" s="159" t="s">
        <v>265</v>
      </c>
      <c r="P14" s="159" t="s">
        <v>254</v>
      </c>
      <c r="Q14" s="159" t="s">
        <v>265</v>
      </c>
    </row>
    <row r="15" spans="1:17" ht="15.6" customHeight="1">
      <c r="A15" s="59" t="s">
        <v>266</v>
      </c>
      <c r="B15" s="60" t="s">
        <v>267</v>
      </c>
      <c r="C15" s="54" t="s">
        <v>268</v>
      </c>
      <c r="D15" s="159" t="s">
        <v>269</v>
      </c>
      <c r="E15" s="61">
        <v>39640</v>
      </c>
      <c r="F15" s="160">
        <v>90000</v>
      </c>
      <c r="I15" s="297" t="s">
        <v>1203</v>
      </c>
      <c r="J15" s="299" t="s">
        <v>242</v>
      </c>
      <c r="K15" s="300" t="s">
        <v>243</v>
      </c>
      <c r="L15" s="301" t="s">
        <v>245</v>
      </c>
      <c r="M15" s="301" t="s">
        <v>247</v>
      </c>
      <c r="P15" s="159" t="s">
        <v>269</v>
      </c>
      <c r="Q15" s="160">
        <v>90000</v>
      </c>
    </row>
    <row r="16" spans="1:17" ht="15.15" customHeight="1">
      <c r="A16" s="59" t="s">
        <v>270</v>
      </c>
      <c r="B16" s="60" t="s">
        <v>271</v>
      </c>
      <c r="C16" s="54" t="s">
        <v>272</v>
      </c>
      <c r="D16" s="159" t="s">
        <v>273</v>
      </c>
      <c r="E16" s="61">
        <v>39646</v>
      </c>
      <c r="F16" s="160">
        <v>60000</v>
      </c>
      <c r="J16" s="298" t="s">
        <v>266</v>
      </c>
      <c r="K16" s="302" t="s">
        <v>267</v>
      </c>
      <c r="L16" s="293" t="str">
        <f t="array" ref="L16:M16">VLOOKUP(J16,A10:F24,{4,6},0)</f>
        <v>Engineering</v>
      </c>
      <c r="M16" s="293">
        <v>90000</v>
      </c>
      <c r="P16" s="159" t="s">
        <v>273</v>
      </c>
      <c r="Q16" s="160">
        <v>60000</v>
      </c>
    </row>
    <row r="17" spans="1:17" ht="15.6" customHeight="1">
      <c r="A17" s="59" t="s">
        <v>274</v>
      </c>
      <c r="B17" s="60" t="s">
        <v>275</v>
      </c>
      <c r="C17" s="54" t="s">
        <v>276</v>
      </c>
      <c r="D17" s="159" t="s">
        <v>273</v>
      </c>
      <c r="E17" s="61">
        <v>39726</v>
      </c>
      <c r="F17" s="160">
        <v>87000</v>
      </c>
      <c r="P17" s="159" t="s">
        <v>273</v>
      </c>
      <c r="Q17" s="160">
        <v>87000</v>
      </c>
    </row>
    <row r="18" spans="1:17" ht="15.6" customHeight="1">
      <c r="A18" s="59" t="s">
        <v>277</v>
      </c>
      <c r="B18" s="60" t="s">
        <v>278</v>
      </c>
      <c r="C18" s="54" t="s">
        <v>279</v>
      </c>
      <c r="D18" s="159" t="s">
        <v>269</v>
      </c>
      <c r="E18" s="61">
        <v>39749</v>
      </c>
      <c r="F18" s="159" t="s">
        <v>280</v>
      </c>
      <c r="I18" s="297" t="s">
        <v>1212</v>
      </c>
      <c r="J18" s="299" t="s">
        <v>242</v>
      </c>
      <c r="K18" s="300" t="s">
        <v>243</v>
      </c>
      <c r="L18" s="304" t="s">
        <v>244</v>
      </c>
      <c r="P18" s="159" t="s">
        <v>269</v>
      </c>
      <c r="Q18" s="159" t="s">
        <v>280</v>
      </c>
    </row>
    <row r="19" spans="1:17" ht="15.15" customHeight="1">
      <c r="A19" s="59" t="s">
        <v>281</v>
      </c>
      <c r="B19" s="60" t="s">
        <v>282</v>
      </c>
      <c r="C19" s="54" t="s">
        <v>283</v>
      </c>
      <c r="D19" s="159" t="s">
        <v>254</v>
      </c>
      <c r="E19" s="61">
        <v>39757</v>
      </c>
      <c r="F19" s="159" t="s">
        <v>284</v>
      </c>
      <c r="J19" s="298" t="s">
        <v>266</v>
      </c>
      <c r="K19" s="303" t="s">
        <v>267</v>
      </c>
      <c r="L19" s="293" t="str">
        <f t="array" ref="L19">VLOOKUP(J19,A10:F24,{3},0)</f>
        <v>245-18-5890</v>
      </c>
      <c r="P19" s="159" t="s">
        <v>254</v>
      </c>
      <c r="Q19" s="159" t="s">
        <v>284</v>
      </c>
    </row>
    <row r="20" spans="1:17" ht="15.6" customHeight="1">
      <c r="A20" s="59" t="s">
        <v>285</v>
      </c>
      <c r="B20" s="60" t="s">
        <v>286</v>
      </c>
      <c r="C20" s="54" t="s">
        <v>287</v>
      </c>
      <c r="D20" s="159" t="s">
        <v>254</v>
      </c>
      <c r="E20" s="61">
        <v>39791</v>
      </c>
      <c r="F20" s="160">
        <v>93000</v>
      </c>
      <c r="P20" s="159" t="s">
        <v>254</v>
      </c>
      <c r="Q20" s="160">
        <v>93000</v>
      </c>
    </row>
    <row r="21" spans="1:17" ht="15.6" customHeight="1">
      <c r="A21" s="59" t="s">
        <v>288</v>
      </c>
      <c r="B21" s="60" t="s">
        <v>289</v>
      </c>
      <c r="C21" s="54" t="s">
        <v>290</v>
      </c>
      <c r="D21" s="159" t="s">
        <v>258</v>
      </c>
      <c r="E21" s="61">
        <v>39856</v>
      </c>
      <c r="F21" s="159" t="s">
        <v>291</v>
      </c>
      <c r="I21" s="297" t="s">
        <v>1208</v>
      </c>
      <c r="J21" s="301" t="s">
        <v>245</v>
      </c>
      <c r="K21" s="301" t="s">
        <v>247</v>
      </c>
      <c r="P21" s="159" t="s">
        <v>258</v>
      </c>
      <c r="Q21" s="159" t="s">
        <v>291</v>
      </c>
    </row>
    <row r="22" spans="1:17" ht="15.6" customHeight="1">
      <c r="A22" s="59" t="s">
        <v>292</v>
      </c>
      <c r="B22" s="60" t="s">
        <v>293</v>
      </c>
      <c r="C22" s="54" t="s">
        <v>294</v>
      </c>
      <c r="D22" s="159" t="s">
        <v>254</v>
      </c>
      <c r="E22" s="61">
        <v>39891</v>
      </c>
      <c r="F22" s="159" t="s">
        <v>295</v>
      </c>
      <c r="J22" s="296" t="s">
        <v>254</v>
      </c>
      <c r="K22" s="293">
        <f>SUMIF(D10:D24,J22,F10:F24)</f>
        <v>329500</v>
      </c>
      <c r="P22" s="159" t="s">
        <v>254</v>
      </c>
      <c r="Q22" s="159" t="s">
        <v>295</v>
      </c>
    </row>
    <row r="23" spans="1:17" ht="15.15" customHeight="1">
      <c r="A23" s="59" t="s">
        <v>296</v>
      </c>
      <c r="B23" s="60" t="s">
        <v>297</v>
      </c>
      <c r="C23" s="54" t="s">
        <v>298</v>
      </c>
      <c r="D23" s="159" t="s">
        <v>299</v>
      </c>
      <c r="E23" s="61">
        <v>39916</v>
      </c>
      <c r="F23" s="159" t="s">
        <v>300</v>
      </c>
      <c r="P23" s="159" t="s">
        <v>299</v>
      </c>
      <c r="Q23" s="159" t="s">
        <v>300</v>
      </c>
    </row>
    <row r="24" spans="1:17" ht="15.6" customHeight="1">
      <c r="A24" s="59" t="s">
        <v>301</v>
      </c>
      <c r="B24" s="60" t="s">
        <v>302</v>
      </c>
      <c r="C24" s="54" t="s">
        <v>303</v>
      </c>
      <c r="D24" s="159" t="s">
        <v>254</v>
      </c>
      <c r="E24" s="61">
        <v>39931</v>
      </c>
      <c r="F24" s="160">
        <v>68000</v>
      </c>
      <c r="P24" s="159" t="s">
        <v>254</v>
      </c>
      <c r="Q24" s="160">
        <v>68000</v>
      </c>
    </row>
    <row r="25" spans="1:17" ht="42.75" customHeight="1">
      <c r="A25" s="584" t="s">
        <v>304</v>
      </c>
      <c r="B25" s="584"/>
      <c r="C25" s="16"/>
      <c r="D25" s="16"/>
      <c r="E25" s="16"/>
      <c r="F25" s="558" t="s">
        <v>305</v>
      </c>
      <c r="G25" s="558"/>
      <c r="H25" s="558"/>
      <c r="I25" s="238">
        <f>COUNTA(B10:B24)</f>
        <v>15</v>
      </c>
    </row>
    <row r="26" spans="1:17" ht="20.25" customHeight="1">
      <c r="A26" s="587" t="s">
        <v>306</v>
      </c>
      <c r="B26" s="587"/>
      <c r="C26" s="587"/>
      <c r="D26" s="587"/>
      <c r="E26" s="587"/>
      <c r="F26" s="536" t="s">
        <v>307</v>
      </c>
      <c r="G26" s="536"/>
      <c r="H26" s="536"/>
    </row>
    <row r="27" spans="1:17" ht="20.25" customHeight="1">
      <c r="A27" s="534" t="s">
        <v>308</v>
      </c>
      <c r="B27" s="534"/>
      <c r="C27" s="534"/>
      <c r="D27" s="534"/>
      <c r="E27" s="8"/>
      <c r="F27" s="536" t="s">
        <v>309</v>
      </c>
      <c r="G27" s="536"/>
      <c r="H27" s="536"/>
    </row>
    <row r="28" spans="1:17" ht="20.100000000000001" customHeight="1">
      <c r="A28" s="534" t="s">
        <v>310</v>
      </c>
      <c r="B28" s="534"/>
      <c r="C28" s="8"/>
      <c r="D28" s="8"/>
      <c r="E28" s="8"/>
      <c r="F28" s="536" t="s">
        <v>309</v>
      </c>
      <c r="G28" s="536"/>
      <c r="H28" s="536"/>
    </row>
    <row r="29" spans="1:17" ht="33.9" customHeight="1">
      <c r="A29" s="534" t="s">
        <v>311</v>
      </c>
      <c r="B29" s="534"/>
      <c r="C29" s="534"/>
      <c r="D29" s="534"/>
      <c r="E29" s="17"/>
      <c r="F29" s="62" t="s">
        <v>312</v>
      </c>
      <c r="G29" s="17"/>
      <c r="H29" s="17"/>
    </row>
    <row r="30" spans="1:17" ht="39.75" customHeight="1">
      <c r="A30" s="589" t="s">
        <v>313</v>
      </c>
      <c r="B30" s="589"/>
      <c r="C30" s="589"/>
      <c r="D30" s="589"/>
      <c r="E30" s="589"/>
      <c r="F30" s="589"/>
      <c r="G30" s="589"/>
      <c r="H30" s="589"/>
    </row>
    <row r="31" spans="1:17" ht="28.65" customHeight="1">
      <c r="A31" s="534" t="s">
        <v>314</v>
      </c>
      <c r="B31" s="534"/>
      <c r="C31" s="534"/>
      <c r="D31" s="534"/>
      <c r="E31" s="534"/>
      <c r="F31" s="534"/>
      <c r="G31" s="534"/>
      <c r="H31" s="534"/>
    </row>
    <row r="32" spans="1:17" ht="16.5" customHeight="1">
      <c r="A32" s="157" t="s">
        <v>315</v>
      </c>
      <c r="B32" s="157" t="s">
        <v>316</v>
      </c>
      <c r="C32" s="63" t="s">
        <v>317</v>
      </c>
      <c r="D32" s="64" t="s">
        <v>318</v>
      </c>
      <c r="E32" s="158"/>
      <c r="K32" s="157" t="s">
        <v>315</v>
      </c>
      <c r="L32" s="157" t="s">
        <v>316</v>
      </c>
      <c r="M32" s="63" t="s">
        <v>317</v>
      </c>
      <c r="N32" s="64" t="s">
        <v>318</v>
      </c>
    </row>
    <row r="33" spans="1:21" ht="16.5" customHeight="1">
      <c r="A33" s="459" t="s">
        <v>1254</v>
      </c>
      <c r="B33" s="461">
        <v>2.95</v>
      </c>
      <c r="C33" s="461">
        <v>3.75</v>
      </c>
      <c r="D33" s="461">
        <v>4.1500000000000004</v>
      </c>
      <c r="E33" s="158"/>
      <c r="K33" s="65" t="s">
        <v>319</v>
      </c>
      <c r="L33">
        <f t="array" ref="L33:N33">VLOOKUP(K33,A32:D41,{2,3,4},0)</f>
        <v>2.95</v>
      </c>
      <c r="M33">
        <v>3.75</v>
      </c>
      <c r="N33">
        <v>4.1500000000000004</v>
      </c>
      <c r="P33" s="157" t="s">
        <v>315</v>
      </c>
      <c r="Q33" s="157" t="s">
        <v>316</v>
      </c>
      <c r="R33" s="64" t="s">
        <v>318</v>
      </c>
    </row>
    <row r="34" spans="1:21" ht="16.5" customHeight="1">
      <c r="A34" s="460" t="s">
        <v>320</v>
      </c>
      <c r="B34" s="462">
        <v>2.95</v>
      </c>
      <c r="C34" s="462">
        <v>3.65</v>
      </c>
      <c r="D34" s="462">
        <v>4.1500000000000004</v>
      </c>
      <c r="E34" s="158"/>
      <c r="K34" s="66" t="s">
        <v>320</v>
      </c>
      <c r="L34">
        <f t="array" ref="L34:N34">VLOOKUP(K34,A33:D41,{2,3,4},0)</f>
        <v>2.95</v>
      </c>
      <c r="M34">
        <v>3.65</v>
      </c>
      <c r="N34">
        <v>4.1500000000000004</v>
      </c>
      <c r="P34" s="154" t="s">
        <v>322</v>
      </c>
    </row>
    <row r="35" spans="1:21" ht="15" customHeight="1">
      <c r="A35" s="154" t="s">
        <v>321</v>
      </c>
      <c r="B35" s="463">
        <v>3.75</v>
      </c>
      <c r="C35" s="463">
        <v>3.95</v>
      </c>
      <c r="D35" s="463">
        <v>4.25</v>
      </c>
      <c r="E35" s="155"/>
      <c r="F35" s="155"/>
      <c r="H35" s="155"/>
      <c r="I35" s="156"/>
      <c r="K35" s="154" t="s">
        <v>321</v>
      </c>
      <c r="L35">
        <f t="array" ref="L35:N35">VLOOKUP(K35,A34:D41,{2,3,4},0)</f>
        <v>3.75</v>
      </c>
      <c r="M35">
        <v>3.95</v>
      </c>
      <c r="N35">
        <v>4.25</v>
      </c>
    </row>
    <row r="36" spans="1:21" ht="15.75" customHeight="1">
      <c r="A36" s="154" t="s">
        <v>322</v>
      </c>
      <c r="B36" s="463">
        <v>3.25</v>
      </c>
      <c r="C36" s="463">
        <v>3.95</v>
      </c>
      <c r="D36" s="463">
        <v>4.4000000000000004</v>
      </c>
      <c r="E36" s="155"/>
      <c r="F36" s="155"/>
      <c r="H36" s="155"/>
      <c r="I36" s="156"/>
      <c r="K36" s="154" t="s">
        <v>322</v>
      </c>
      <c r="L36">
        <f t="array" ref="L36:N36">VLOOKUP(K36,A35:D41,{2,3,4},0)</f>
        <v>3.25</v>
      </c>
      <c r="M36">
        <v>3.95</v>
      </c>
      <c r="N36">
        <v>4.4000000000000004</v>
      </c>
      <c r="O36" t="s">
        <v>1255</v>
      </c>
      <c r="P36" s="465" t="s">
        <v>330</v>
      </c>
      <c r="Q36" s="465">
        <f>MATCH(P36,A32:D32,0)</f>
        <v>3</v>
      </c>
      <c r="R36" s="465" t="s">
        <v>330</v>
      </c>
      <c r="S36" s="466" t="s">
        <v>332</v>
      </c>
      <c r="T36" s="466" t="s">
        <v>333</v>
      </c>
      <c r="U36" t="e">
        <f t="array" ref="U36">VLOOKUP(P36,A32:D32,{2,3,4},0)</f>
        <v>#N/A</v>
      </c>
    </row>
    <row r="37" spans="1:21" ht="15" customHeight="1">
      <c r="A37" s="154" t="s">
        <v>323</v>
      </c>
      <c r="B37" s="463">
        <v>3.45</v>
      </c>
      <c r="C37" s="463">
        <v>4.1500000000000004</v>
      </c>
      <c r="D37" s="463">
        <v>4.55</v>
      </c>
      <c r="E37" s="155"/>
      <c r="F37" s="155"/>
      <c r="H37" s="155"/>
      <c r="I37" s="156"/>
      <c r="K37" s="154" t="s">
        <v>323</v>
      </c>
      <c r="L37">
        <f t="array" ref="L37:N37">VLOOKUP(K37,A36:D41,{2,3,4},0)</f>
        <v>3.45</v>
      </c>
      <c r="M37">
        <v>4.1500000000000004</v>
      </c>
      <c r="N37">
        <v>4.55</v>
      </c>
      <c r="P37" s="466" t="s">
        <v>332</v>
      </c>
      <c r="Q37" s="465">
        <f>MATCH(P37,A32:D32,0)</f>
        <v>4</v>
      </c>
      <c r="R37" s="464"/>
    </row>
    <row r="38" spans="1:21" ht="15" customHeight="1">
      <c r="A38" s="154" t="s">
        <v>324</v>
      </c>
      <c r="B38" s="463">
        <v>2</v>
      </c>
      <c r="C38" s="463">
        <v>2.4</v>
      </c>
      <c r="D38" s="463">
        <v>2.75</v>
      </c>
      <c r="E38" s="155"/>
      <c r="F38" s="155"/>
      <c r="H38" s="155"/>
      <c r="I38" s="156"/>
      <c r="K38" s="154" t="s">
        <v>324</v>
      </c>
      <c r="L38">
        <f t="array" ref="L38:N38">VLOOKUP(K38,A37:D41,{2,3,4},0)</f>
        <v>2</v>
      </c>
      <c r="M38">
        <v>2.4</v>
      </c>
      <c r="N38">
        <v>2.75</v>
      </c>
      <c r="P38" s="466" t="s">
        <v>333</v>
      </c>
      <c r="Q38" s="465">
        <f>MATCH(P38,A32:D32,0)</f>
        <v>2</v>
      </c>
      <c r="R38" s="464"/>
      <c r="S38" s="182"/>
    </row>
    <row r="39" spans="1:21" ht="15" customHeight="1">
      <c r="A39" s="154" t="s">
        <v>325</v>
      </c>
      <c r="B39" s="463">
        <v>3.95</v>
      </c>
      <c r="C39" s="463">
        <v>4.75</v>
      </c>
      <c r="D39" s="463">
        <v>5.15</v>
      </c>
      <c r="E39" s="155"/>
      <c r="F39" s="155"/>
      <c r="H39" s="155"/>
      <c r="I39" s="156"/>
      <c r="K39" s="154" t="s">
        <v>325</v>
      </c>
      <c r="L39">
        <f t="array" ref="L39:N39">VLOOKUP(K39,A38:D41,{2,3,4},0)</f>
        <v>3.95</v>
      </c>
      <c r="M39">
        <v>4.75</v>
      </c>
      <c r="N39">
        <v>5.15</v>
      </c>
      <c r="P39" s="238"/>
      <c r="Q39" s="238"/>
      <c r="R39" s="464"/>
    </row>
    <row r="40" spans="1:21" ht="14.4">
      <c r="A40" s="154" t="s">
        <v>326</v>
      </c>
      <c r="B40" s="463">
        <v>2.25</v>
      </c>
      <c r="C40" s="463">
        <v>2.5</v>
      </c>
      <c r="D40" s="463">
        <v>2.75</v>
      </c>
      <c r="E40" s="155"/>
      <c r="F40" s="155"/>
      <c r="H40" s="155"/>
      <c r="I40" s="156"/>
      <c r="K40" s="154" t="s">
        <v>326</v>
      </c>
      <c r="L40">
        <f t="array" ref="L40:N40">VLOOKUP(K40,A39:D48,{2,3,4},0)</f>
        <v>2.25</v>
      </c>
      <c r="M40">
        <v>2.5</v>
      </c>
      <c r="N40">
        <v>2.75</v>
      </c>
      <c r="Q40">
        <f>MATCH($P36,A$32:D$32,0)</f>
        <v>3</v>
      </c>
    </row>
    <row r="41" spans="1:21" ht="14.4">
      <c r="A41" s="154" t="s">
        <v>327</v>
      </c>
      <c r="B41" s="463">
        <v>1.75</v>
      </c>
      <c r="C41" s="463">
        <v>1.95</v>
      </c>
      <c r="D41" s="463">
        <v>2.0499999999999998</v>
      </c>
      <c r="E41" s="155"/>
      <c r="F41" s="155"/>
      <c r="H41" s="155"/>
      <c r="I41" s="156"/>
      <c r="K41" s="154" t="s">
        <v>327</v>
      </c>
      <c r="L41">
        <f t="array" ref="L41:N41">VLOOKUP(K41,A40:D49,{2,3,4},0)</f>
        <v>1.75</v>
      </c>
      <c r="M41">
        <v>1.95</v>
      </c>
      <c r="N41">
        <v>2.0499999999999998</v>
      </c>
      <c r="Q41">
        <f t="shared" ref="Q41:Q42" si="0">MATCH($P37,A$32:D$32,0)</f>
        <v>4</v>
      </c>
    </row>
    <row r="42" spans="1:21" ht="15" customHeight="1">
      <c r="A42" s="154" t="s">
        <v>321</v>
      </c>
      <c r="B42" s="463">
        <v>3.75</v>
      </c>
      <c r="C42" s="463">
        <v>3.95</v>
      </c>
      <c r="D42" s="463">
        <v>4.25</v>
      </c>
      <c r="Q42">
        <f t="shared" si="0"/>
        <v>2</v>
      </c>
    </row>
    <row r="43" spans="1:21" ht="14.4">
      <c r="A43" s="154" t="s">
        <v>322</v>
      </c>
      <c r="B43" s="463">
        <v>3.25</v>
      </c>
      <c r="C43" s="463">
        <v>3.95</v>
      </c>
      <c r="D43" s="463">
        <v>4.4000000000000004</v>
      </c>
      <c r="F43" s="593" t="s">
        <v>328</v>
      </c>
      <c r="G43" s="593"/>
      <c r="H43" s="593"/>
      <c r="I43" s="593"/>
      <c r="J43" s="593"/>
      <c r="K43" s="593"/>
      <c r="L43" s="593"/>
      <c r="M43" s="593"/>
      <c r="N43" s="593"/>
      <c r="O43" s="596"/>
      <c r="P43" s="596"/>
      <c r="Q43" s="596"/>
      <c r="R43" s="552"/>
    </row>
    <row r="44" spans="1:21" ht="15" customHeight="1">
      <c r="A44" s="154" t="s">
        <v>323</v>
      </c>
      <c r="B44" s="463">
        <v>3.45</v>
      </c>
      <c r="C44" s="463">
        <v>4.1500000000000004</v>
      </c>
      <c r="D44" s="463">
        <v>4.55</v>
      </c>
      <c r="F44" s="593" t="s">
        <v>329</v>
      </c>
      <c r="G44" s="593"/>
      <c r="H44" s="593"/>
      <c r="I44" s="593"/>
      <c r="J44" s="596"/>
      <c r="K44" s="596"/>
      <c r="L44" s="596"/>
      <c r="M44" s="596"/>
      <c r="N44" s="596"/>
      <c r="O44" s="596"/>
      <c r="P44" s="596"/>
      <c r="Q44" s="596"/>
      <c r="R44" s="552"/>
    </row>
    <row r="45" spans="1:21" ht="15" customHeight="1">
      <c r="A45" s="154" t="s">
        <v>324</v>
      </c>
      <c r="B45" s="463">
        <v>2</v>
      </c>
      <c r="C45" s="463">
        <v>2.4</v>
      </c>
      <c r="D45" s="463">
        <v>2.75</v>
      </c>
      <c r="F45" s="549" t="s">
        <v>330</v>
      </c>
      <c r="G45" s="549"/>
      <c r="H45" s="549"/>
      <c r="I45" s="549"/>
      <c r="J45" s="597"/>
      <c r="K45" s="597"/>
      <c r="L45" s="598" t="s">
        <v>331</v>
      </c>
      <c r="M45" s="598"/>
      <c r="N45" s="598"/>
      <c r="O45" s="598"/>
      <c r="P45" s="598"/>
      <c r="Q45" s="598"/>
      <c r="R45" s="17"/>
    </row>
    <row r="46" spans="1:21" ht="15" customHeight="1">
      <c r="A46" s="154" t="s">
        <v>325</v>
      </c>
      <c r="B46" s="463">
        <v>3.95</v>
      </c>
      <c r="C46" s="463">
        <v>4.75</v>
      </c>
      <c r="D46" s="463">
        <v>5.15</v>
      </c>
      <c r="F46" s="534" t="s">
        <v>332</v>
      </c>
      <c r="G46" s="534"/>
      <c r="H46" s="534"/>
      <c r="I46" s="534"/>
      <c r="J46" s="573" t="s">
        <v>15</v>
      </c>
      <c r="K46" s="573"/>
      <c r="L46" s="592" t="s">
        <v>331</v>
      </c>
      <c r="M46" s="592"/>
      <c r="N46" s="592"/>
      <c r="O46" s="592"/>
      <c r="P46" s="592"/>
      <c r="Q46" s="592"/>
      <c r="R46" s="8"/>
    </row>
    <row r="47" spans="1:21" ht="14.4">
      <c r="A47" s="154" t="s">
        <v>326</v>
      </c>
      <c r="B47" s="463">
        <v>2.25</v>
      </c>
      <c r="C47" s="463">
        <v>2.5</v>
      </c>
      <c r="D47" s="463">
        <v>2.75</v>
      </c>
      <c r="F47" s="534" t="s">
        <v>333</v>
      </c>
      <c r="G47" s="534"/>
      <c r="H47" s="534"/>
      <c r="I47" s="534"/>
      <c r="J47" s="573" t="s">
        <v>15</v>
      </c>
      <c r="K47" s="573"/>
      <c r="L47" s="592" t="s">
        <v>331</v>
      </c>
      <c r="M47" s="592"/>
      <c r="N47" s="592"/>
      <c r="O47" s="592"/>
      <c r="P47" s="592"/>
      <c r="Q47" s="592"/>
      <c r="R47" s="17"/>
    </row>
    <row r="48" spans="1:21" ht="14.4">
      <c r="A48" s="154" t="s">
        <v>327</v>
      </c>
      <c r="B48" s="463">
        <v>1.75</v>
      </c>
      <c r="C48" s="463">
        <v>1.95</v>
      </c>
      <c r="D48" s="463">
        <v>2.0499999999999998</v>
      </c>
      <c r="F48" s="593" t="s">
        <v>334</v>
      </c>
      <c r="G48" s="593"/>
      <c r="H48" s="593"/>
      <c r="I48" s="593"/>
      <c r="J48" s="593"/>
      <c r="K48" s="593"/>
      <c r="L48" s="593"/>
      <c r="M48" s="593"/>
      <c r="N48" s="593"/>
      <c r="O48" s="593"/>
      <c r="P48" s="593"/>
      <c r="Q48" s="593"/>
      <c r="R48" s="593"/>
    </row>
    <row r="49" spans="2:18" ht="14.4">
      <c r="F49" s="593" t="s">
        <v>335</v>
      </c>
      <c r="G49" s="593"/>
      <c r="H49" s="593"/>
      <c r="I49" s="593"/>
      <c r="J49" s="593"/>
      <c r="K49" s="593"/>
      <c r="L49" s="593"/>
      <c r="M49" s="593"/>
      <c r="N49" s="593"/>
      <c r="O49" s="593"/>
      <c r="P49" s="593"/>
      <c r="Q49" s="593"/>
      <c r="R49" s="593"/>
    </row>
    <row r="50" spans="2:18" ht="14.4">
      <c r="B50" s="157" t="s">
        <v>316</v>
      </c>
      <c r="C50" s="63" t="s">
        <v>317</v>
      </c>
      <c r="D50" s="64" t="s">
        <v>318</v>
      </c>
      <c r="F50" s="549" t="s">
        <v>322</v>
      </c>
      <c r="G50" s="549"/>
      <c r="H50" s="549"/>
      <c r="I50" s="549"/>
      <c r="J50" s="594" t="s">
        <v>330</v>
      </c>
      <c r="K50" s="594"/>
      <c r="L50" s="595">
        <v>3.95</v>
      </c>
      <c r="M50" s="595"/>
      <c r="N50" s="595"/>
      <c r="O50" s="552"/>
      <c r="P50" s="552"/>
      <c r="Q50" s="552"/>
      <c r="R50" s="17"/>
    </row>
    <row r="51" spans="2:18" ht="14.4">
      <c r="F51" s="536" t="s">
        <v>322</v>
      </c>
      <c r="G51" s="536"/>
      <c r="H51" s="536"/>
      <c r="I51" s="536"/>
      <c r="J51" s="590" t="s">
        <v>336</v>
      </c>
      <c r="K51" s="590"/>
      <c r="L51" s="591" t="s">
        <v>15</v>
      </c>
      <c r="M51" s="591"/>
      <c r="N51" s="591"/>
      <c r="O51" s="560"/>
      <c r="P51" s="560"/>
      <c r="Q51" s="560"/>
      <c r="R51" s="8"/>
    </row>
    <row r="52" spans="2:18" ht="14.4">
      <c r="F52" s="536" t="s">
        <v>322</v>
      </c>
      <c r="G52" s="536"/>
      <c r="H52" s="536"/>
      <c r="I52" s="536"/>
      <c r="J52" s="590" t="s">
        <v>337</v>
      </c>
      <c r="K52" s="590"/>
      <c r="L52" s="591" t="s">
        <v>15</v>
      </c>
      <c r="M52" s="591"/>
      <c r="N52" s="591"/>
      <c r="O52" s="560"/>
      <c r="P52" s="560"/>
      <c r="Q52" s="560"/>
      <c r="R52" s="8"/>
    </row>
    <row r="54" spans="2:18" ht="24" customHeight="1"/>
    <row r="55" spans="2:18" ht="14.4">
      <c r="G55" t="s">
        <v>1257</v>
      </c>
      <c r="H55" s="469" t="s">
        <v>330</v>
      </c>
      <c r="I55" s="469">
        <f>INDEX($A$32:$D$48,MATCH($A36,$A$33:$A$48,0),MATCH(H$55,$A$32:$D$32,0))</f>
        <v>3.95</v>
      </c>
      <c r="J55">
        <f>VLOOKUP($H55,$A$32:$D$48,MATCH($H55,$A$32:$D$32,0))</f>
        <v>3.95</v>
      </c>
      <c r="K55" t="s">
        <v>1258</v>
      </c>
      <c r="L55">
        <f>VLOOKUP($H55,$A$32:$D$48,MATCH($H55,$A$32:$D$32,0))</f>
        <v>3.95</v>
      </c>
    </row>
    <row r="56" spans="2:18" ht="14.4">
      <c r="H56" s="470" t="s">
        <v>336</v>
      </c>
      <c r="I56" s="469">
        <f t="shared" ref="I56:I57" si="1">INDEX($A$32:$D$48,MATCH($A37,$A$33:$A$48,0),MATCH(H$55,$A$32:$D$32,0))</f>
        <v>3.95</v>
      </c>
      <c r="J56">
        <f t="shared" ref="J56:J57" si="2">VLOOKUP($H56,$A$32:$D$48,MATCH($H56,$A$32:$D$32,0))</f>
        <v>3.25</v>
      </c>
      <c r="L56">
        <f t="shared" ref="L56:L57" si="3">VLOOKUP($H56,$A$32:$D$48,MATCH($H56,$A$32:$D$32,0))</f>
        <v>3.25</v>
      </c>
    </row>
    <row r="57" spans="2:18" ht="14.4">
      <c r="H57" s="470" t="s">
        <v>337</v>
      </c>
      <c r="I57" s="469">
        <f t="shared" si="1"/>
        <v>4.1500000000000004</v>
      </c>
      <c r="J57">
        <f t="shared" si="2"/>
        <v>4.4000000000000004</v>
      </c>
      <c r="L57">
        <f t="shared" si="3"/>
        <v>4.4000000000000004</v>
      </c>
    </row>
  </sheetData>
  <mergeCells count="47">
    <mergeCell ref="F45:I45"/>
    <mergeCell ref="J45:K45"/>
    <mergeCell ref="L45:Q45"/>
    <mergeCell ref="F43:N43"/>
    <mergeCell ref="O43:Q43"/>
    <mergeCell ref="R43:R44"/>
    <mergeCell ref="F44:I44"/>
    <mergeCell ref="J44:K44"/>
    <mergeCell ref="L44:N44"/>
    <mergeCell ref="O44:Q44"/>
    <mergeCell ref="F48:R48"/>
    <mergeCell ref="F49:R49"/>
    <mergeCell ref="F50:I50"/>
    <mergeCell ref="J50:K50"/>
    <mergeCell ref="L50:N50"/>
    <mergeCell ref="O50:Q50"/>
    <mergeCell ref="F46:I46"/>
    <mergeCell ref="J46:K46"/>
    <mergeCell ref="L46:Q46"/>
    <mergeCell ref="F47:I47"/>
    <mergeCell ref="J47:K47"/>
    <mergeCell ref="L47:Q47"/>
    <mergeCell ref="F51:I51"/>
    <mergeCell ref="J51:K51"/>
    <mergeCell ref="L51:N51"/>
    <mergeCell ref="O51:Q51"/>
    <mergeCell ref="F52:I52"/>
    <mergeCell ref="J52:K52"/>
    <mergeCell ref="L52:N52"/>
    <mergeCell ref="O52:Q52"/>
    <mergeCell ref="I11:J11"/>
    <mergeCell ref="A26:E26"/>
    <mergeCell ref="F26:H26"/>
    <mergeCell ref="A9:H9"/>
    <mergeCell ref="A30:H30"/>
    <mergeCell ref="A31:H31"/>
    <mergeCell ref="A27:D27"/>
    <mergeCell ref="F27:H27"/>
    <mergeCell ref="A28:B28"/>
    <mergeCell ref="F28:H28"/>
    <mergeCell ref="A29:D29"/>
    <mergeCell ref="A1:H1"/>
    <mergeCell ref="A2:H2"/>
    <mergeCell ref="A3:H3"/>
    <mergeCell ref="A4:H4"/>
    <mergeCell ref="A25:B25"/>
    <mergeCell ref="F25:H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4"/>
  <sheetViews>
    <sheetView topLeftCell="B15" workbookViewId="0">
      <selection activeCell="S33" sqref="S33"/>
    </sheetView>
  </sheetViews>
  <sheetFormatPr defaultRowHeight="13.2"/>
  <cols>
    <col min="1" max="1" width="17.44140625" customWidth="1"/>
    <col min="2" max="3" width="10.77734375" customWidth="1"/>
    <col min="4" max="4" width="8.6640625" customWidth="1"/>
    <col min="5" max="5" width="9.77734375" customWidth="1"/>
    <col min="6" max="6" width="14.44140625" customWidth="1"/>
    <col min="7" max="7" width="0.77734375" customWidth="1"/>
    <col min="8" max="8" width="10.77734375" customWidth="1"/>
    <col min="9" max="9" width="10.109375" customWidth="1"/>
    <col min="10" max="10" width="0.6640625" customWidth="1"/>
    <col min="11" max="11" width="10.77734375" customWidth="1"/>
    <col min="12" max="12" width="0.77734375" customWidth="1"/>
    <col min="13" max="13" width="3.109375" customWidth="1"/>
    <col min="14" max="14" width="6.6640625" customWidth="1"/>
    <col min="15" max="15" width="12.77734375" customWidth="1"/>
    <col min="17" max="17" width="13" bestFit="1" customWidth="1"/>
    <col min="18" max="18" width="16" bestFit="1" customWidth="1"/>
    <col min="19" max="19" width="13" customWidth="1"/>
    <col min="20" max="20" width="11" customWidth="1"/>
  </cols>
  <sheetData>
    <row r="1" spans="1:13" ht="15.75" customHeight="1">
      <c r="A1" s="599"/>
      <c r="B1" s="599"/>
      <c r="C1" s="599"/>
      <c r="D1" s="599"/>
      <c r="E1" s="599"/>
      <c r="F1" s="599"/>
      <c r="G1" s="599"/>
      <c r="H1" s="599"/>
      <c r="I1" s="599"/>
      <c r="J1" s="599"/>
      <c r="K1" s="599"/>
      <c r="L1" s="599"/>
      <c r="M1" s="8"/>
    </row>
    <row r="2" spans="1:13" ht="16.5" customHeight="1">
      <c r="M2" s="600"/>
    </row>
    <row r="3" spans="1:13" ht="16.5" customHeight="1">
      <c r="M3" s="600"/>
    </row>
    <row r="4" spans="1:13" ht="16.5" customHeight="1">
      <c r="M4" s="600"/>
    </row>
    <row r="5" spans="1:13" ht="16.5" customHeight="1">
      <c r="M5" s="600"/>
    </row>
    <row r="6" spans="1:13" ht="16.5" customHeight="1">
      <c r="M6" s="600"/>
    </row>
    <row r="7" spans="1:13" ht="16.5" customHeight="1">
      <c r="M7" s="600"/>
    </row>
    <row r="8" spans="1:13" ht="16.5" customHeight="1">
      <c r="M8" s="600"/>
    </row>
    <row r="9" spans="1:13" ht="15.75" customHeight="1">
      <c r="A9" s="560"/>
      <c r="B9" s="560"/>
      <c r="C9" s="560"/>
      <c r="D9" s="560"/>
      <c r="E9" s="560"/>
      <c r="F9" s="560"/>
      <c r="G9" s="560"/>
      <c r="H9" s="560"/>
      <c r="I9" s="560"/>
      <c r="J9" s="560"/>
      <c r="K9" s="560"/>
      <c r="L9" s="560"/>
      <c r="M9" s="560"/>
    </row>
    <row r="10" spans="1:13" ht="16.649999999999999" customHeight="1"/>
    <row r="11" spans="1:13" ht="16.5" customHeight="1"/>
    <row r="12" spans="1:13" ht="36" customHeight="1"/>
    <row r="13" spans="1:13" ht="16.5" customHeight="1"/>
    <row r="14" spans="1:13" ht="27.9" customHeight="1"/>
    <row r="15" spans="1:13" ht="17.100000000000001" customHeight="1"/>
    <row r="16" spans="1:13" ht="16.5" customHeight="1"/>
    <row r="17" spans="1:22" ht="36" customHeight="1"/>
    <row r="18" spans="1:22" ht="16.5" customHeight="1"/>
    <row r="19" spans="1:22" ht="16.5" customHeight="1"/>
    <row r="20" spans="1:22" ht="21" customHeight="1">
      <c r="A20" s="531" t="s">
        <v>338</v>
      </c>
      <c r="B20" s="531"/>
      <c r="C20" s="531"/>
      <c r="D20" s="531"/>
      <c r="E20" s="531"/>
      <c r="F20" s="531"/>
      <c r="G20" s="531"/>
      <c r="H20" s="531"/>
      <c r="I20" s="531"/>
      <c r="J20" s="531"/>
      <c r="K20" s="531"/>
      <c r="L20" s="531"/>
      <c r="M20" s="531"/>
      <c r="N20" s="531"/>
      <c r="O20" s="531"/>
    </row>
    <row r="21" spans="1:22" ht="28.65" customHeight="1">
      <c r="A21" s="545" t="s">
        <v>339</v>
      </c>
      <c r="B21" s="545"/>
      <c r="C21" s="545"/>
      <c r="D21" s="545"/>
      <c r="E21" s="545"/>
      <c r="F21" s="545"/>
      <c r="G21" s="545"/>
      <c r="H21" s="545"/>
      <c r="I21" s="545"/>
      <c r="J21" s="545"/>
      <c r="K21" s="545"/>
      <c r="L21" s="545"/>
      <c r="M21" s="545"/>
      <c r="N21" s="545"/>
      <c r="O21" s="545"/>
    </row>
    <row r="22" spans="1:22" ht="33" customHeight="1">
      <c r="A22" s="67" t="s">
        <v>340</v>
      </c>
      <c r="B22" s="68" t="s">
        <v>341</v>
      </c>
      <c r="C22" s="68" t="s">
        <v>342</v>
      </c>
      <c r="D22" s="606" t="s">
        <v>343</v>
      </c>
      <c r="E22" s="607"/>
      <c r="F22" s="608" t="s">
        <v>344</v>
      </c>
      <c r="G22" s="609"/>
      <c r="H22" s="69" t="s">
        <v>345</v>
      </c>
      <c r="I22" s="608" t="s">
        <v>346</v>
      </c>
      <c r="J22" s="609"/>
      <c r="K22" s="68" t="s">
        <v>347</v>
      </c>
      <c r="L22" s="606" t="s">
        <v>348</v>
      </c>
      <c r="M22" s="610"/>
      <c r="N22" s="607"/>
      <c r="O22" s="70" t="s">
        <v>349</v>
      </c>
    </row>
    <row r="23" spans="1:22" ht="20.399999999999999" customHeight="1">
      <c r="A23" s="40" t="s">
        <v>350</v>
      </c>
      <c r="B23" s="71">
        <v>2773</v>
      </c>
      <c r="C23" s="72">
        <v>17462</v>
      </c>
      <c r="D23" s="601">
        <v>5954</v>
      </c>
      <c r="E23" s="602"/>
      <c r="F23" s="603">
        <v>1348</v>
      </c>
      <c r="G23" s="604"/>
      <c r="H23" s="71">
        <v>28158</v>
      </c>
      <c r="I23" s="603">
        <v>28799</v>
      </c>
      <c r="J23" s="604"/>
      <c r="K23" s="71">
        <v>25415</v>
      </c>
      <c r="L23" s="601">
        <v>17227</v>
      </c>
      <c r="M23" s="605"/>
      <c r="N23" s="602"/>
      <c r="O23" s="306">
        <f>SUM(B23:N23)</f>
        <v>127136</v>
      </c>
    </row>
    <row r="24" spans="1:22" ht="20.85" customHeight="1">
      <c r="A24" s="40" t="s">
        <v>351</v>
      </c>
      <c r="B24" s="71">
        <v>12908</v>
      </c>
      <c r="C24" s="72">
        <v>3083</v>
      </c>
      <c r="D24" s="601">
        <v>24492</v>
      </c>
      <c r="E24" s="602"/>
      <c r="F24" s="603">
        <v>5825</v>
      </c>
      <c r="G24" s="604"/>
      <c r="H24" s="71">
        <v>1080</v>
      </c>
      <c r="I24" s="603">
        <v>2188</v>
      </c>
      <c r="J24" s="604"/>
      <c r="K24" s="71">
        <v>11087</v>
      </c>
      <c r="L24" s="601">
        <v>15544</v>
      </c>
      <c r="M24" s="605"/>
      <c r="N24" s="602"/>
      <c r="O24" s="306">
        <f t="shared" ref="O24:O30" si="0">SUM(B24:N24)</f>
        <v>76207</v>
      </c>
    </row>
    <row r="25" spans="1:22" ht="20.85" customHeight="1">
      <c r="A25" s="40" t="s">
        <v>352</v>
      </c>
      <c r="B25" s="71">
        <v>6554</v>
      </c>
      <c r="C25" s="72">
        <v>14262</v>
      </c>
      <c r="D25" s="601">
        <v>8377</v>
      </c>
      <c r="E25" s="602"/>
      <c r="F25" s="603">
        <v>24982</v>
      </c>
      <c r="G25" s="604"/>
      <c r="H25" s="71">
        <v>12184</v>
      </c>
      <c r="I25" s="603">
        <v>6430</v>
      </c>
      <c r="J25" s="604"/>
      <c r="K25" s="71">
        <v>21159</v>
      </c>
      <c r="L25" s="601">
        <v>18597</v>
      </c>
      <c r="M25" s="605"/>
      <c r="N25" s="602"/>
      <c r="O25" s="306">
        <f t="shared" si="0"/>
        <v>112545</v>
      </c>
    </row>
    <row r="26" spans="1:22" ht="20.85" customHeight="1">
      <c r="A26" s="40" t="s">
        <v>353</v>
      </c>
      <c r="B26" s="71">
        <v>28913</v>
      </c>
      <c r="C26" s="72">
        <v>1437</v>
      </c>
      <c r="D26" s="601">
        <v>20019</v>
      </c>
      <c r="E26" s="602"/>
      <c r="F26" s="603">
        <v>13026</v>
      </c>
      <c r="G26" s="604"/>
      <c r="H26" s="71">
        <v>26952</v>
      </c>
      <c r="I26" s="603">
        <v>27076</v>
      </c>
      <c r="J26" s="604"/>
      <c r="K26" s="71">
        <v>7040</v>
      </c>
      <c r="L26" s="601">
        <v>10884</v>
      </c>
      <c r="M26" s="605"/>
      <c r="N26" s="602"/>
      <c r="O26" s="306">
        <f t="shared" si="0"/>
        <v>135347</v>
      </c>
    </row>
    <row r="27" spans="1:22" ht="20.85" customHeight="1">
      <c r="A27" s="40" t="s">
        <v>354</v>
      </c>
      <c r="B27" s="71">
        <v>4768</v>
      </c>
      <c r="C27" s="72">
        <v>7622</v>
      </c>
      <c r="D27" s="601">
        <v>28918</v>
      </c>
      <c r="E27" s="602"/>
      <c r="F27" s="603">
        <v>27141</v>
      </c>
      <c r="G27" s="604"/>
      <c r="H27" s="71">
        <v>3578</v>
      </c>
      <c r="I27" s="603">
        <v>10092</v>
      </c>
      <c r="J27" s="604"/>
      <c r="K27" s="71">
        <v>15207</v>
      </c>
      <c r="L27" s="601">
        <v>12771</v>
      </c>
      <c r="M27" s="605"/>
      <c r="N27" s="602"/>
      <c r="O27" s="306">
        <f t="shared" si="0"/>
        <v>110097</v>
      </c>
    </row>
    <row r="28" spans="1:22" ht="20.85" customHeight="1">
      <c r="A28" s="40" t="s">
        <v>355</v>
      </c>
      <c r="B28" s="71">
        <v>13390</v>
      </c>
      <c r="C28" s="72">
        <v>3611</v>
      </c>
      <c r="D28" s="601">
        <v>6226</v>
      </c>
      <c r="E28" s="602"/>
      <c r="F28" s="603">
        <v>27567</v>
      </c>
      <c r="G28" s="604"/>
      <c r="H28" s="71">
        <v>29962</v>
      </c>
      <c r="I28" s="603">
        <v>2967</v>
      </c>
      <c r="J28" s="604"/>
      <c r="K28" s="71">
        <v>5740</v>
      </c>
      <c r="L28" s="601">
        <v>2137</v>
      </c>
      <c r="M28" s="605"/>
      <c r="N28" s="602"/>
      <c r="O28" s="306">
        <f t="shared" si="0"/>
        <v>91600</v>
      </c>
    </row>
    <row r="29" spans="1:22" ht="20.399999999999999" customHeight="1">
      <c r="A29" s="40" t="s">
        <v>356</v>
      </c>
      <c r="B29" s="71">
        <v>17585</v>
      </c>
      <c r="C29" s="72">
        <v>28508</v>
      </c>
      <c r="D29" s="601">
        <v>9614</v>
      </c>
      <c r="E29" s="602"/>
      <c r="F29" s="603">
        <v>17110</v>
      </c>
      <c r="G29" s="604"/>
      <c r="H29" s="71">
        <v>12143</v>
      </c>
      <c r="I29" s="603">
        <v>7365</v>
      </c>
      <c r="J29" s="604"/>
      <c r="K29" s="71">
        <v>24185</v>
      </c>
      <c r="L29" s="601">
        <v>1643</v>
      </c>
      <c r="M29" s="605"/>
      <c r="N29" s="602"/>
      <c r="O29" s="306">
        <f t="shared" si="0"/>
        <v>118153</v>
      </c>
    </row>
    <row r="30" spans="1:22" ht="16.5" customHeight="1">
      <c r="A30" s="40" t="s">
        <v>357</v>
      </c>
      <c r="B30" s="71">
        <v>22579</v>
      </c>
      <c r="C30" s="72">
        <v>16301</v>
      </c>
      <c r="D30" s="601">
        <v>6469</v>
      </c>
      <c r="E30" s="602"/>
      <c r="F30" s="603">
        <v>22050</v>
      </c>
      <c r="G30" s="604"/>
      <c r="H30" s="71">
        <v>8740</v>
      </c>
      <c r="I30" s="603">
        <v>18806</v>
      </c>
      <c r="J30" s="604"/>
      <c r="K30" s="71">
        <v>3334</v>
      </c>
      <c r="L30" s="601">
        <v>3597</v>
      </c>
      <c r="M30" s="605"/>
      <c r="N30" s="602"/>
      <c r="O30" s="306">
        <f t="shared" si="0"/>
        <v>101876</v>
      </c>
    </row>
    <row r="31" spans="1:22" ht="15.75" customHeight="1">
      <c r="A31" s="611"/>
      <c r="B31" s="611"/>
      <c r="C31" s="611"/>
      <c r="D31" s="611"/>
      <c r="E31" s="611"/>
      <c r="F31" s="611"/>
      <c r="G31" s="611"/>
      <c r="H31" s="611"/>
      <c r="I31" s="611"/>
      <c r="J31" s="611"/>
      <c r="K31" s="611"/>
      <c r="L31" s="611"/>
      <c r="M31" s="611"/>
      <c r="N31" s="611"/>
      <c r="O31" s="611"/>
      <c r="V31">
        <f>VLOOKUP(R33,A22:O30,{4,8},0)</f>
        <v>8377</v>
      </c>
    </row>
    <row r="32" spans="1:22" ht="16.649999999999999" customHeight="1">
      <c r="A32" s="249" t="s">
        <v>358</v>
      </c>
      <c r="B32" s="249"/>
      <c r="C32" s="249"/>
      <c r="D32" s="249"/>
      <c r="E32" s="249"/>
      <c r="F32" s="249"/>
      <c r="G32" s="249"/>
      <c r="H32" s="249"/>
      <c r="I32" s="249"/>
      <c r="J32" s="249"/>
      <c r="K32" s="249"/>
      <c r="L32" s="249"/>
      <c r="M32" s="249"/>
      <c r="N32" s="249"/>
      <c r="O32" s="311" t="s">
        <v>1198</v>
      </c>
      <c r="P32" s="238">
        <f>COUNTA(A22:A30)</f>
        <v>9</v>
      </c>
      <c r="Q32" s="297" t="s">
        <v>1201</v>
      </c>
      <c r="R32" s="307" t="s">
        <v>340</v>
      </c>
      <c r="S32" s="309" t="s">
        <v>343</v>
      </c>
      <c r="T32" s="310" t="s">
        <v>347</v>
      </c>
    </row>
    <row r="33" spans="1:23" ht="16.5" customHeight="1">
      <c r="A33" s="612" t="s">
        <v>359</v>
      </c>
      <c r="B33" s="612"/>
      <c r="C33" s="612"/>
      <c r="D33" s="612"/>
      <c r="E33" s="612"/>
      <c r="F33" s="612"/>
      <c r="G33" s="612"/>
      <c r="H33" s="612"/>
      <c r="I33" s="612"/>
      <c r="J33" s="612"/>
      <c r="K33" s="612"/>
      <c r="L33" s="612"/>
      <c r="M33" s="612"/>
      <c r="N33" s="612"/>
      <c r="O33" s="612"/>
      <c r="R33" s="308" t="s">
        <v>352</v>
      </c>
      <c r="S33" s="293">
        <f t="array" ref="S33:T33">VLOOKUP(R33,A22:O30,{4,8},0)</f>
        <v>8377</v>
      </c>
      <c r="T33" s="293">
        <v>12184</v>
      </c>
      <c r="V33">
        <f t="array" ref="V33:W33">VLOOKUP(R33,A22:O30,{4,8},0)</f>
        <v>8377</v>
      </c>
      <c r="W33">
        <v>12184</v>
      </c>
    </row>
    <row r="34" spans="1:23" ht="14.4">
      <c r="R34" s="308" t="s">
        <v>357</v>
      </c>
      <c r="S34" s="293">
        <f t="array" ref="S34:T34">VLOOKUP(R34,A23:O31,{4,8},0)</f>
        <v>6469</v>
      </c>
      <c r="T34" s="293">
        <v>8740</v>
      </c>
      <c r="V34">
        <f t="array" ref="V34:W34">VLOOKUP(R34,A23:O31,{4,8},0)</f>
        <v>6469</v>
      </c>
      <c r="W34">
        <v>8740</v>
      </c>
    </row>
  </sheetData>
  <autoFilter ref="A20:O30" xr:uid="{00000000-0009-0000-0000-000006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autoFilter>
  <mergeCells count="46">
    <mergeCell ref="A31:O31"/>
    <mergeCell ref="A33:O33"/>
    <mergeCell ref="D27:E27"/>
    <mergeCell ref="F27:G27"/>
    <mergeCell ref="I27:J27"/>
    <mergeCell ref="L27:N27"/>
    <mergeCell ref="D28:E28"/>
    <mergeCell ref="F28:G28"/>
    <mergeCell ref="I28:J28"/>
    <mergeCell ref="L28:N28"/>
    <mergeCell ref="D29:E29"/>
    <mergeCell ref="F29:G29"/>
    <mergeCell ref="I29:J29"/>
    <mergeCell ref="L29:N29"/>
    <mergeCell ref="D30:E30"/>
    <mergeCell ref="F30:G30"/>
    <mergeCell ref="I30:J30"/>
    <mergeCell ref="L24:N24"/>
    <mergeCell ref="D25:E25"/>
    <mergeCell ref="F25:G25"/>
    <mergeCell ref="I25:J25"/>
    <mergeCell ref="L25:N25"/>
    <mergeCell ref="D26:E26"/>
    <mergeCell ref="F26:G26"/>
    <mergeCell ref="I26:J26"/>
    <mergeCell ref="L26:N26"/>
    <mergeCell ref="L30:N30"/>
    <mergeCell ref="A21:O21"/>
    <mergeCell ref="D22:E22"/>
    <mergeCell ref="F22:G22"/>
    <mergeCell ref="I22:J22"/>
    <mergeCell ref="L22:N22"/>
    <mergeCell ref="D23:E23"/>
    <mergeCell ref="F23:G23"/>
    <mergeCell ref="I23:J23"/>
    <mergeCell ref="L23:N23"/>
    <mergeCell ref="D24:E24"/>
    <mergeCell ref="F24:G24"/>
    <mergeCell ref="I24:J24"/>
    <mergeCell ref="A20:O20"/>
    <mergeCell ref="A9:M9"/>
    <mergeCell ref="A1:D1"/>
    <mergeCell ref="E1:F1"/>
    <mergeCell ref="G1:I1"/>
    <mergeCell ref="J1:L1"/>
    <mergeCell ref="M2:M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72"/>
  <sheetViews>
    <sheetView topLeftCell="A31" zoomScale="115" zoomScaleNormal="115" workbookViewId="0">
      <selection activeCell="H32" sqref="H32"/>
    </sheetView>
  </sheetViews>
  <sheetFormatPr defaultRowHeight="13.2"/>
  <cols>
    <col min="1" max="1" width="13.109375" customWidth="1"/>
    <col min="2" max="2" width="14.6640625" bestFit="1" customWidth="1"/>
    <col min="3" max="3" width="13.6640625" bestFit="1" customWidth="1"/>
    <col min="4" max="4" width="12.6640625" customWidth="1"/>
    <col min="5" max="5" width="13.77734375" bestFit="1" customWidth="1"/>
    <col min="6" max="6" width="10.6640625" customWidth="1"/>
    <col min="7" max="7" width="13.109375" customWidth="1"/>
    <col min="8" max="8" width="16" customWidth="1"/>
    <col min="9" max="9" width="17.77734375" customWidth="1"/>
    <col min="10" max="10" width="18" customWidth="1"/>
    <col min="11" max="11" width="12.33203125" customWidth="1"/>
    <col min="12" max="12" width="14" customWidth="1"/>
    <col min="13" max="13" width="14.44140625" customWidth="1"/>
    <col min="14" max="14" width="18" customWidth="1"/>
    <col min="15" max="15" width="12.33203125" customWidth="1"/>
    <col min="16" max="16" width="18.33203125" customWidth="1"/>
    <col min="17" max="17" width="12.77734375" customWidth="1"/>
    <col min="18" max="18" width="14.6640625" customWidth="1"/>
    <col min="19" max="19" width="10" bestFit="1" customWidth="1"/>
    <col min="20" max="20" width="9.77734375" bestFit="1" customWidth="1"/>
  </cols>
  <sheetData>
    <row r="1" spans="1:16" ht="21" customHeight="1">
      <c r="A1" s="613" t="s">
        <v>360</v>
      </c>
      <c r="B1" s="613"/>
      <c r="C1" s="613"/>
      <c r="D1" s="613"/>
      <c r="E1" s="613"/>
      <c r="F1" s="613"/>
      <c r="G1" s="613"/>
    </row>
    <row r="2" spans="1:16" ht="28.5" customHeight="1">
      <c r="A2" s="614" t="s">
        <v>361</v>
      </c>
      <c r="B2" s="614"/>
      <c r="C2" s="614"/>
      <c r="D2" s="614"/>
      <c r="E2" s="614"/>
      <c r="F2" s="614"/>
      <c r="G2" s="614"/>
    </row>
    <row r="3" spans="1:16" ht="16.5" customHeight="1">
      <c r="A3" s="445" t="s">
        <v>362</v>
      </c>
      <c r="B3" s="445" t="s">
        <v>363</v>
      </c>
      <c r="C3" s="445" t="s">
        <v>364</v>
      </c>
      <c r="D3" s="26" t="s">
        <v>365</v>
      </c>
      <c r="I3" s="445" t="s">
        <v>362</v>
      </c>
      <c r="J3" s="445" t="s">
        <v>363</v>
      </c>
      <c r="K3" s="445" t="s">
        <v>364</v>
      </c>
      <c r="L3" s="26" t="s">
        <v>365</v>
      </c>
      <c r="M3" s="447" t="s">
        <v>1239</v>
      </c>
      <c r="N3" t="s">
        <v>1245</v>
      </c>
      <c r="O3" s="447" t="s">
        <v>1239</v>
      </c>
      <c r="P3" t="s">
        <v>1246</v>
      </c>
    </row>
    <row r="4" spans="1:16" ht="16.5" customHeight="1">
      <c r="A4" s="314" t="s">
        <v>215</v>
      </c>
      <c r="B4" s="444">
        <v>16753</v>
      </c>
      <c r="C4" s="314" t="s">
        <v>366</v>
      </c>
      <c r="D4" s="7" t="s">
        <v>367</v>
      </c>
      <c r="I4" s="314" t="s">
        <v>215</v>
      </c>
      <c r="J4" s="444">
        <v>16753</v>
      </c>
      <c r="K4" s="314" t="s">
        <v>366</v>
      </c>
      <c r="L4" s="7" t="s">
        <v>367</v>
      </c>
      <c r="M4" t="s">
        <v>1310</v>
      </c>
      <c r="N4">
        <v>2</v>
      </c>
      <c r="O4" s="451">
        <v>3255</v>
      </c>
      <c r="P4">
        <v>3255</v>
      </c>
    </row>
    <row r="5" spans="1:16" ht="16.5" customHeight="1">
      <c r="A5" s="314" t="s">
        <v>368</v>
      </c>
      <c r="B5" s="444">
        <v>14808</v>
      </c>
      <c r="C5" s="314" t="s">
        <v>369</v>
      </c>
      <c r="D5" s="7" t="s">
        <v>370</v>
      </c>
      <c r="I5" s="314" t="s">
        <v>368</v>
      </c>
      <c r="J5" s="444">
        <v>14808</v>
      </c>
      <c r="K5" s="314" t="s">
        <v>369</v>
      </c>
      <c r="L5" s="7" t="s">
        <v>370</v>
      </c>
      <c r="M5" t="s">
        <v>1240</v>
      </c>
      <c r="N5">
        <v>2</v>
      </c>
      <c r="O5" s="451" t="s">
        <v>1240</v>
      </c>
      <c r="P5">
        <v>3255</v>
      </c>
    </row>
    <row r="6" spans="1:16" ht="16.5" customHeight="1">
      <c r="A6" s="314" t="s">
        <v>234</v>
      </c>
      <c r="B6" s="444">
        <v>10644</v>
      </c>
      <c r="C6" s="314" t="s">
        <v>366</v>
      </c>
      <c r="D6" s="7" t="s">
        <v>371</v>
      </c>
      <c r="I6" s="314" t="s">
        <v>234</v>
      </c>
      <c r="J6" s="444">
        <v>10644</v>
      </c>
      <c r="K6" s="314" t="s">
        <v>366</v>
      </c>
      <c r="L6" s="7" t="s">
        <v>371</v>
      </c>
    </row>
    <row r="7" spans="1:16" ht="16.5" customHeight="1">
      <c r="A7" s="314" t="s">
        <v>372</v>
      </c>
      <c r="B7" s="446">
        <v>1390</v>
      </c>
      <c r="C7" s="314" t="s">
        <v>369</v>
      </c>
      <c r="D7" s="7" t="s">
        <v>367</v>
      </c>
      <c r="I7" s="314" t="s">
        <v>372</v>
      </c>
      <c r="J7" s="446">
        <v>1390</v>
      </c>
      <c r="K7" s="314" t="s">
        <v>369</v>
      </c>
      <c r="L7" s="7" t="s">
        <v>367</v>
      </c>
      <c r="M7" s="447" t="s">
        <v>1239</v>
      </c>
      <c r="N7" t="s">
        <v>1248</v>
      </c>
      <c r="O7" s="447" t="s">
        <v>1239</v>
      </c>
      <c r="P7" t="s">
        <v>1250</v>
      </c>
    </row>
    <row r="8" spans="1:16" ht="16.5" customHeight="1">
      <c r="A8" s="314" t="s">
        <v>373</v>
      </c>
      <c r="B8" s="446">
        <v>4865</v>
      </c>
      <c r="C8" s="314" t="s">
        <v>369</v>
      </c>
      <c r="D8" s="7" t="s">
        <v>370</v>
      </c>
      <c r="I8" s="314" t="s">
        <v>373</v>
      </c>
      <c r="J8" s="446">
        <v>4865</v>
      </c>
      <c r="K8" s="314" t="s">
        <v>369</v>
      </c>
      <c r="L8" s="7" t="s">
        <v>370</v>
      </c>
      <c r="M8" t="s">
        <v>1247</v>
      </c>
      <c r="N8">
        <v>2</v>
      </c>
      <c r="O8" t="s">
        <v>1309</v>
      </c>
      <c r="P8">
        <v>1</v>
      </c>
    </row>
    <row r="9" spans="1:16" ht="16.5" customHeight="1">
      <c r="A9" s="314" t="s">
        <v>234</v>
      </c>
      <c r="B9" s="444">
        <v>12438</v>
      </c>
      <c r="C9" s="314" t="s">
        <v>366</v>
      </c>
      <c r="D9" s="7" t="s">
        <v>374</v>
      </c>
      <c r="I9" s="314" t="s">
        <v>234</v>
      </c>
      <c r="J9" s="444">
        <v>12438</v>
      </c>
      <c r="K9" s="314" t="s">
        <v>366</v>
      </c>
      <c r="L9" s="7" t="s">
        <v>374</v>
      </c>
      <c r="M9" t="s">
        <v>1240</v>
      </c>
      <c r="N9">
        <v>2</v>
      </c>
      <c r="O9" t="s">
        <v>1249</v>
      </c>
      <c r="P9">
        <v>1</v>
      </c>
    </row>
    <row r="10" spans="1:16" ht="16.5" customHeight="1">
      <c r="A10" s="314" t="s">
        <v>368</v>
      </c>
      <c r="B10" s="446">
        <v>9339</v>
      </c>
      <c r="C10" s="314" t="s">
        <v>366</v>
      </c>
      <c r="D10" s="7" t="s">
        <v>371</v>
      </c>
      <c r="I10" s="314" t="s">
        <v>368</v>
      </c>
      <c r="J10" s="446">
        <v>9339</v>
      </c>
      <c r="K10" s="314" t="s">
        <v>366</v>
      </c>
      <c r="L10" s="7" t="s">
        <v>371</v>
      </c>
      <c r="O10" t="s">
        <v>1240</v>
      </c>
      <c r="P10">
        <v>2</v>
      </c>
    </row>
    <row r="11" spans="1:16" ht="16.5" customHeight="1">
      <c r="A11" s="314" t="s">
        <v>215</v>
      </c>
      <c r="B11" s="444">
        <v>18919</v>
      </c>
      <c r="C11" s="314" t="s">
        <v>369</v>
      </c>
      <c r="D11" s="7" t="s">
        <v>367</v>
      </c>
      <c r="I11" s="314" t="s">
        <v>215</v>
      </c>
      <c r="J11" s="444">
        <v>18919</v>
      </c>
      <c r="K11" s="314" t="s">
        <v>369</v>
      </c>
      <c r="L11" s="7" t="s">
        <v>367</v>
      </c>
    </row>
    <row r="12" spans="1:16" ht="16.5" customHeight="1">
      <c r="A12" s="314" t="s">
        <v>372</v>
      </c>
      <c r="B12" s="446">
        <v>9213</v>
      </c>
      <c r="C12" s="314" t="s">
        <v>369</v>
      </c>
      <c r="D12" s="7" t="s">
        <v>370</v>
      </c>
      <c r="I12" s="314" t="s">
        <v>372</v>
      </c>
      <c r="J12" s="446">
        <v>9213</v>
      </c>
      <c r="K12" s="314" t="s">
        <v>369</v>
      </c>
      <c r="L12" s="7" t="s">
        <v>370</v>
      </c>
    </row>
    <row r="13" spans="1:16" ht="16.5" customHeight="1">
      <c r="A13" s="314" t="s">
        <v>372</v>
      </c>
      <c r="B13" s="446">
        <v>7433</v>
      </c>
      <c r="C13" s="314" t="s">
        <v>366</v>
      </c>
      <c r="D13" s="7" t="s">
        <v>374</v>
      </c>
      <c r="I13" s="314" t="s">
        <v>372</v>
      </c>
      <c r="J13" s="446">
        <v>7433</v>
      </c>
      <c r="K13" s="314" t="s">
        <v>366</v>
      </c>
      <c r="L13" s="7" t="s">
        <v>374</v>
      </c>
    </row>
    <row r="14" spans="1:16" ht="16.5" customHeight="1">
      <c r="A14" s="314" t="s">
        <v>373</v>
      </c>
      <c r="B14" s="446">
        <v>3255</v>
      </c>
      <c r="C14" s="314" t="s">
        <v>369</v>
      </c>
      <c r="D14" s="7" t="s">
        <v>371</v>
      </c>
      <c r="I14" s="314" t="s">
        <v>373</v>
      </c>
      <c r="J14" s="446">
        <v>3255</v>
      </c>
      <c r="K14" s="314" t="s">
        <v>369</v>
      </c>
      <c r="L14" s="7" t="s">
        <v>371</v>
      </c>
    </row>
    <row r="15" spans="1:16" ht="16.5" customHeight="1">
      <c r="A15" s="314" t="s">
        <v>234</v>
      </c>
      <c r="B15" s="444">
        <v>14867</v>
      </c>
      <c r="C15" s="314" t="s">
        <v>369</v>
      </c>
      <c r="D15" s="7" t="s">
        <v>367</v>
      </c>
      <c r="I15" s="314" t="s">
        <v>234</v>
      </c>
      <c r="J15" s="444">
        <v>14867</v>
      </c>
      <c r="K15" s="314" t="s">
        <v>369</v>
      </c>
      <c r="L15" s="7" t="s">
        <v>367</v>
      </c>
    </row>
    <row r="16" spans="1:16" ht="16.5" customHeight="1">
      <c r="A16" s="314" t="s">
        <v>234</v>
      </c>
      <c r="B16" s="444">
        <v>19302</v>
      </c>
      <c r="C16" s="314" t="s">
        <v>366</v>
      </c>
      <c r="D16" s="7" t="s">
        <v>370</v>
      </c>
      <c r="I16" s="314" t="s">
        <v>234</v>
      </c>
      <c r="J16" s="444">
        <v>19302</v>
      </c>
      <c r="K16" s="314" t="s">
        <v>366</v>
      </c>
      <c r="L16" s="7" t="s">
        <v>370</v>
      </c>
    </row>
    <row r="17" spans="1:12" ht="16.5" customHeight="1">
      <c r="A17" s="314" t="s">
        <v>215</v>
      </c>
      <c r="B17" s="446">
        <v>9698</v>
      </c>
      <c r="C17" s="314" t="s">
        <v>369</v>
      </c>
      <c r="D17" s="7" t="s">
        <v>374</v>
      </c>
      <c r="I17" s="314" t="s">
        <v>215</v>
      </c>
      <c r="J17" s="446">
        <v>9698</v>
      </c>
      <c r="K17" s="314" t="s">
        <v>369</v>
      </c>
      <c r="L17" s="7" t="s">
        <v>374</v>
      </c>
    </row>
    <row r="18" spans="1:12" ht="20.25" customHeight="1">
      <c r="A18" s="531" t="s">
        <v>375</v>
      </c>
      <c r="B18" s="531"/>
      <c r="C18" s="531"/>
      <c r="D18" s="531"/>
      <c r="E18" s="531"/>
      <c r="F18" s="531"/>
      <c r="G18" s="531"/>
      <c r="H18" s="531"/>
    </row>
    <row r="19" spans="1:12" ht="29.25" customHeight="1">
      <c r="A19" s="618" t="s">
        <v>376</v>
      </c>
      <c r="B19" s="618"/>
      <c r="C19" s="618"/>
      <c r="D19" s="618"/>
      <c r="E19" s="618"/>
      <c r="F19" s="618"/>
      <c r="G19" s="618"/>
      <c r="H19" s="618"/>
    </row>
    <row r="20" spans="1:12" ht="15.6" customHeight="1">
      <c r="A20" s="74" t="s">
        <v>377</v>
      </c>
      <c r="B20" s="253" t="s">
        <v>378</v>
      </c>
      <c r="C20" s="253" t="s">
        <v>379</v>
      </c>
      <c r="D20" s="349" t="s">
        <v>1216</v>
      </c>
      <c r="E20" s="74" t="s">
        <v>1270</v>
      </c>
    </row>
    <row r="21" spans="1:12" ht="15.6" customHeight="1">
      <c r="A21" s="33" t="s">
        <v>381</v>
      </c>
      <c r="B21" s="250">
        <v>1998</v>
      </c>
      <c r="C21" s="244" t="s">
        <v>382</v>
      </c>
      <c r="D21" s="244" t="s">
        <v>383</v>
      </c>
      <c r="E21" s="497" t="s">
        <v>1271</v>
      </c>
      <c r="F21" t="b">
        <f>ISTEXT(E21)</f>
        <v>1</v>
      </c>
    </row>
    <row r="22" spans="1:12" ht="15.15" customHeight="1">
      <c r="A22" s="33" t="s">
        <v>381</v>
      </c>
      <c r="B22" s="250">
        <v>1998</v>
      </c>
      <c r="C22" s="244" t="s">
        <v>384</v>
      </c>
      <c r="D22" s="244" t="s">
        <v>383</v>
      </c>
      <c r="E22" s="497" t="s">
        <v>1272</v>
      </c>
      <c r="G22" t="b">
        <f>ISNUMBER(E21)</f>
        <v>0</v>
      </c>
      <c r="H22" t="b">
        <f>ISNUMBER(E21)</f>
        <v>0</v>
      </c>
    </row>
    <row r="23" spans="1:12" ht="15.6" customHeight="1">
      <c r="A23" s="33" t="s">
        <v>381</v>
      </c>
      <c r="B23" s="250">
        <v>1998</v>
      </c>
      <c r="C23" s="244" t="s">
        <v>385</v>
      </c>
      <c r="D23" s="244" t="s">
        <v>383</v>
      </c>
      <c r="E23" s="497" t="s">
        <v>1273</v>
      </c>
    </row>
    <row r="24" spans="1:12" ht="15" customHeight="1">
      <c r="A24" s="33" t="s">
        <v>381</v>
      </c>
      <c r="B24" s="250">
        <v>1998</v>
      </c>
      <c r="C24" s="244" t="s">
        <v>386</v>
      </c>
      <c r="D24" s="244" t="s">
        <v>383</v>
      </c>
      <c r="E24" s="497" t="s">
        <v>1274</v>
      </c>
    </row>
    <row r="25" spans="1:12" ht="15.6" customHeight="1">
      <c r="A25" s="33" t="s">
        <v>381</v>
      </c>
      <c r="B25" s="250">
        <v>1998</v>
      </c>
      <c r="C25" s="244" t="s">
        <v>387</v>
      </c>
      <c r="D25" s="244" t="s">
        <v>383</v>
      </c>
      <c r="E25" s="497" t="s">
        <v>1275</v>
      </c>
      <c r="G25" t="b">
        <f>ISTEXT(E21)</f>
        <v>1</v>
      </c>
    </row>
    <row r="26" spans="1:12" ht="15.75" customHeight="1">
      <c r="A26" s="33" t="s">
        <v>381</v>
      </c>
      <c r="B26" s="250">
        <v>1998</v>
      </c>
      <c r="C26" s="244" t="s">
        <v>388</v>
      </c>
      <c r="D26" s="244" t="s">
        <v>383</v>
      </c>
      <c r="E26" s="497" t="s">
        <v>1276</v>
      </c>
      <c r="G26" t="b">
        <f>ISTEXT(E21)</f>
        <v>1</v>
      </c>
      <c r="J26" s="74" t="s">
        <v>377</v>
      </c>
      <c r="K26" s="244" t="s">
        <v>383</v>
      </c>
      <c r="L26" s="244" t="s">
        <v>390</v>
      </c>
    </row>
    <row r="27" spans="1:12" ht="15.15" customHeight="1">
      <c r="A27" s="33" t="s">
        <v>381</v>
      </c>
      <c r="B27" s="250">
        <v>1998</v>
      </c>
      <c r="C27" s="244" t="s">
        <v>382</v>
      </c>
      <c r="D27" s="244" t="s">
        <v>389</v>
      </c>
      <c r="E27" s="497" t="s">
        <v>1277</v>
      </c>
      <c r="J27" s="33" t="s">
        <v>391</v>
      </c>
      <c r="K27">
        <f>SUMIFS(E21:E56,D21:D56,K26,A21:A56,J27)</f>
        <v>0</v>
      </c>
      <c r="L27">
        <f>SUMIFS(F21:F56,E21:E56,L26,B21:B56,K27)</f>
        <v>0</v>
      </c>
    </row>
    <row r="28" spans="1:12" ht="15.6" customHeight="1">
      <c r="A28" s="33" t="s">
        <v>381</v>
      </c>
      <c r="B28" s="250">
        <v>1998</v>
      </c>
      <c r="C28" s="244" t="s">
        <v>384</v>
      </c>
      <c r="D28" s="244" t="s">
        <v>389</v>
      </c>
      <c r="E28" s="497" t="s">
        <v>1278</v>
      </c>
    </row>
    <row r="29" spans="1:12" ht="15.15" customHeight="1">
      <c r="A29" s="33" t="s">
        <v>381</v>
      </c>
      <c r="B29" s="250">
        <v>1998</v>
      </c>
      <c r="C29" s="244" t="s">
        <v>385</v>
      </c>
      <c r="D29" s="244" t="s">
        <v>389</v>
      </c>
      <c r="E29" s="497" t="s">
        <v>1279</v>
      </c>
      <c r="H29" t="b">
        <f>ISTEXT(F23)</f>
        <v>0</v>
      </c>
    </row>
    <row r="30" spans="1:12" ht="15.6" customHeight="1">
      <c r="A30" s="33" t="s">
        <v>381</v>
      </c>
      <c r="B30" s="250">
        <v>1998</v>
      </c>
      <c r="C30" s="244" t="s">
        <v>386</v>
      </c>
      <c r="D30" s="244" t="s">
        <v>389</v>
      </c>
      <c r="E30" s="497" t="s">
        <v>1280</v>
      </c>
      <c r="H30" s="447" t="s">
        <v>1319</v>
      </c>
      <c r="I30" s="447" t="s">
        <v>1318</v>
      </c>
    </row>
    <row r="31" spans="1:12" ht="15.6" customHeight="1">
      <c r="A31" s="33" t="s">
        <v>381</v>
      </c>
      <c r="B31" s="250">
        <v>1998</v>
      </c>
      <c r="C31" s="244" t="s">
        <v>387</v>
      </c>
      <c r="D31" s="244" t="s">
        <v>389</v>
      </c>
      <c r="E31" s="497" t="s">
        <v>1281</v>
      </c>
      <c r="I31" t="s">
        <v>1217</v>
      </c>
      <c r="J31" t="s">
        <v>1320</v>
      </c>
      <c r="K31" t="s">
        <v>1240</v>
      </c>
    </row>
    <row r="32" spans="1:12">
      <c r="A32" s="33" t="s">
        <v>381</v>
      </c>
      <c r="B32" s="250">
        <v>1998</v>
      </c>
      <c r="C32" s="244" t="s">
        <v>388</v>
      </c>
      <c r="D32" s="244" t="s">
        <v>389</v>
      </c>
      <c r="E32" s="497" t="s">
        <v>1282</v>
      </c>
      <c r="H32" s="447" t="s">
        <v>1239</v>
      </c>
      <c r="I32" s="495">
        <v>1998</v>
      </c>
    </row>
    <row r="33" spans="1:11">
      <c r="A33" s="33" t="s">
        <v>381</v>
      </c>
      <c r="B33" s="250">
        <v>1998</v>
      </c>
      <c r="C33" s="244" t="s">
        <v>382</v>
      </c>
      <c r="D33" s="244" t="s">
        <v>390</v>
      </c>
      <c r="E33" s="497" t="s">
        <v>1283</v>
      </c>
      <c r="H33" t="s">
        <v>1312</v>
      </c>
      <c r="I33">
        <v>5</v>
      </c>
      <c r="J33">
        <v>5</v>
      </c>
      <c r="K33">
        <v>5</v>
      </c>
    </row>
    <row r="34" spans="1:11" ht="15.15" customHeight="1">
      <c r="A34" s="33" t="s">
        <v>381</v>
      </c>
      <c r="B34" s="250">
        <v>1998</v>
      </c>
      <c r="C34" s="244" t="s">
        <v>384</v>
      </c>
      <c r="D34" s="244" t="s">
        <v>390</v>
      </c>
      <c r="E34" s="497" t="s">
        <v>1284</v>
      </c>
      <c r="H34" s="515" t="s">
        <v>1313</v>
      </c>
      <c r="I34">
        <v>1</v>
      </c>
      <c r="J34">
        <v>1</v>
      </c>
      <c r="K34">
        <v>1</v>
      </c>
    </row>
    <row r="35" spans="1:11" ht="15.6" customHeight="1">
      <c r="A35" s="33" t="s">
        <v>381</v>
      </c>
      <c r="B35" s="250">
        <v>1998</v>
      </c>
      <c r="C35" s="244" t="s">
        <v>385</v>
      </c>
      <c r="D35" s="244" t="s">
        <v>390</v>
      </c>
      <c r="E35" s="497" t="s">
        <v>1285</v>
      </c>
      <c r="H35" s="515" t="s">
        <v>1314</v>
      </c>
      <c r="I35">
        <v>1</v>
      </c>
      <c r="J35">
        <v>1</v>
      </c>
      <c r="K35">
        <v>1</v>
      </c>
    </row>
    <row r="36" spans="1:11" ht="15.15" customHeight="1">
      <c r="A36" s="33" t="s">
        <v>381</v>
      </c>
      <c r="B36" s="250">
        <v>1998</v>
      </c>
      <c r="C36" s="244" t="s">
        <v>386</v>
      </c>
      <c r="D36" s="244" t="s">
        <v>390</v>
      </c>
      <c r="E36" s="497" t="s">
        <v>1286</v>
      </c>
      <c r="H36" s="515" t="s">
        <v>1315</v>
      </c>
      <c r="I36">
        <v>1</v>
      </c>
      <c r="J36">
        <v>1</v>
      </c>
      <c r="K36">
        <v>1</v>
      </c>
    </row>
    <row r="37" spans="1:11" ht="15.75" customHeight="1">
      <c r="A37" s="33" t="s">
        <v>381</v>
      </c>
      <c r="B37" s="250">
        <v>1998</v>
      </c>
      <c r="C37" s="244" t="s">
        <v>387</v>
      </c>
      <c r="D37" s="244" t="s">
        <v>390</v>
      </c>
      <c r="E37" s="497" t="s">
        <v>1287</v>
      </c>
      <c r="H37" s="515" t="s">
        <v>1316</v>
      </c>
      <c r="I37">
        <v>1</v>
      </c>
      <c r="J37">
        <v>1</v>
      </c>
      <c r="K37">
        <v>1</v>
      </c>
    </row>
    <row r="38" spans="1:11" ht="15.6" customHeight="1">
      <c r="A38" s="350" t="s">
        <v>1218</v>
      </c>
      <c r="B38" s="250">
        <v>1998</v>
      </c>
      <c r="C38" s="244" t="s">
        <v>388</v>
      </c>
      <c r="D38" s="244" t="s">
        <v>390</v>
      </c>
      <c r="E38" s="497" t="s">
        <v>1288</v>
      </c>
      <c r="H38" s="515" t="s">
        <v>1317</v>
      </c>
      <c r="I38">
        <v>1</v>
      </c>
      <c r="J38">
        <v>1</v>
      </c>
      <c r="K38">
        <v>1</v>
      </c>
    </row>
    <row r="39" spans="1:11" ht="15.15" customHeight="1">
      <c r="A39" s="33" t="s">
        <v>391</v>
      </c>
      <c r="B39" s="250">
        <v>1998</v>
      </c>
      <c r="C39" s="244" t="s">
        <v>382</v>
      </c>
      <c r="D39" s="244" t="s">
        <v>383</v>
      </c>
      <c r="E39" s="497" t="s">
        <v>1289</v>
      </c>
      <c r="H39" t="s">
        <v>1240</v>
      </c>
      <c r="I39">
        <v>5</v>
      </c>
      <c r="J39">
        <v>5</v>
      </c>
      <c r="K39">
        <v>5</v>
      </c>
    </row>
    <row r="40" spans="1:11" ht="15.15" customHeight="1">
      <c r="A40" s="75" t="s">
        <v>391</v>
      </c>
      <c r="B40" s="251">
        <v>1998</v>
      </c>
      <c r="C40" s="252" t="s">
        <v>384</v>
      </c>
      <c r="D40" s="252" t="s">
        <v>383</v>
      </c>
      <c r="E40" s="498" t="s">
        <v>1290</v>
      </c>
    </row>
    <row r="41" spans="1:11" ht="15.15" customHeight="1">
      <c r="A41" s="76" t="s">
        <v>391</v>
      </c>
      <c r="B41" s="250">
        <v>1998</v>
      </c>
      <c r="C41" s="244" t="s">
        <v>385</v>
      </c>
      <c r="D41" s="244" t="s">
        <v>383</v>
      </c>
      <c r="E41" s="499" t="s">
        <v>1291</v>
      </c>
    </row>
    <row r="42" spans="1:11" ht="15.6" customHeight="1">
      <c r="A42" s="76" t="s">
        <v>391</v>
      </c>
      <c r="B42" s="250">
        <v>1998</v>
      </c>
      <c r="C42" s="244" t="s">
        <v>386</v>
      </c>
      <c r="D42" s="244" t="s">
        <v>383</v>
      </c>
      <c r="E42" s="499" t="s">
        <v>1292</v>
      </c>
    </row>
    <row r="43" spans="1:11" ht="15.6" customHeight="1">
      <c r="A43" s="76" t="s">
        <v>391</v>
      </c>
      <c r="B43" s="250">
        <v>1998</v>
      </c>
      <c r="C43" s="244" t="s">
        <v>387</v>
      </c>
      <c r="D43" s="244" t="s">
        <v>383</v>
      </c>
      <c r="E43" s="499" t="s">
        <v>1293</v>
      </c>
    </row>
    <row r="44" spans="1:11" ht="15.6" customHeight="1">
      <c r="A44" s="76" t="s">
        <v>391</v>
      </c>
      <c r="B44" s="250">
        <v>1998</v>
      </c>
      <c r="C44" s="244" t="s">
        <v>388</v>
      </c>
      <c r="D44" s="244" t="s">
        <v>383</v>
      </c>
      <c r="E44" s="499" t="s">
        <v>1294</v>
      </c>
    </row>
    <row r="45" spans="1:11" ht="15.15" customHeight="1">
      <c r="A45" s="76" t="s">
        <v>391</v>
      </c>
      <c r="B45" s="250">
        <v>1998</v>
      </c>
      <c r="C45" s="244" t="s">
        <v>382</v>
      </c>
      <c r="D45" s="244" t="s">
        <v>389</v>
      </c>
      <c r="E45" s="499" t="s">
        <v>1295</v>
      </c>
    </row>
    <row r="46" spans="1:11" ht="15.6" customHeight="1">
      <c r="A46" s="76" t="s">
        <v>391</v>
      </c>
      <c r="B46" s="250">
        <v>1998</v>
      </c>
      <c r="C46" s="244" t="s">
        <v>384</v>
      </c>
      <c r="D46" s="244" t="s">
        <v>389</v>
      </c>
      <c r="E46" s="499" t="s">
        <v>1296</v>
      </c>
    </row>
    <row r="47" spans="1:11" ht="15.6" customHeight="1">
      <c r="A47" s="76" t="s">
        <v>391</v>
      </c>
      <c r="B47" s="250">
        <v>1998</v>
      </c>
      <c r="C47" s="244" t="s">
        <v>385</v>
      </c>
      <c r="D47" s="244" t="s">
        <v>389</v>
      </c>
      <c r="E47" s="499" t="s">
        <v>1297</v>
      </c>
    </row>
    <row r="48" spans="1:11" ht="15.6" customHeight="1">
      <c r="A48" s="76" t="s">
        <v>391</v>
      </c>
      <c r="B48" s="250">
        <v>1998</v>
      </c>
      <c r="C48" s="244" t="s">
        <v>386</v>
      </c>
      <c r="D48" s="244" t="s">
        <v>389</v>
      </c>
      <c r="E48" s="499" t="s">
        <v>1298</v>
      </c>
    </row>
    <row r="49" spans="1:11" ht="15.6" customHeight="1">
      <c r="A49" s="76" t="s">
        <v>391</v>
      </c>
      <c r="B49" s="250">
        <v>1998</v>
      </c>
      <c r="C49" s="244" t="s">
        <v>387</v>
      </c>
      <c r="D49" s="244" t="s">
        <v>389</v>
      </c>
      <c r="E49" s="499" t="s">
        <v>1299</v>
      </c>
      <c r="K49" s="313" t="s">
        <v>391</v>
      </c>
    </row>
    <row r="50" spans="1:11" ht="15.15" customHeight="1">
      <c r="A50" s="76" t="s">
        <v>391</v>
      </c>
      <c r="B50" s="250">
        <v>1998</v>
      </c>
      <c r="C50" s="244" t="s">
        <v>388</v>
      </c>
      <c r="D50" s="244" t="s">
        <v>389</v>
      </c>
      <c r="E50" s="499" t="s">
        <v>1300</v>
      </c>
      <c r="J50" s="282" t="s">
        <v>390</v>
      </c>
      <c r="K50">
        <f t="array" ref="K50">SUMIFS(E20:E56,D20:D56,J50,A20:A56,K49)</f>
        <v>0</v>
      </c>
    </row>
    <row r="51" spans="1:11" ht="15.6" customHeight="1">
      <c r="A51" s="76" t="s">
        <v>391</v>
      </c>
      <c r="B51" s="250">
        <v>1998</v>
      </c>
      <c r="C51" s="244" t="s">
        <v>382</v>
      </c>
      <c r="D51" s="244" t="s">
        <v>390</v>
      </c>
      <c r="E51" s="499" t="s">
        <v>1301</v>
      </c>
      <c r="J51" s="312" t="s">
        <v>1214</v>
      </c>
      <c r="K51">
        <f t="array" ref="K51">SUMIFS(E20:E56,D20:D56,J51,A20:A56,K49)</f>
        <v>0</v>
      </c>
    </row>
    <row r="52" spans="1:11" ht="15.6" customHeight="1">
      <c r="A52" s="76" t="s">
        <v>391</v>
      </c>
      <c r="B52" s="250">
        <v>1998</v>
      </c>
      <c r="C52" s="244" t="s">
        <v>384</v>
      </c>
      <c r="D52" s="244" t="s">
        <v>390</v>
      </c>
      <c r="E52" s="499" t="s">
        <v>1302</v>
      </c>
    </row>
    <row r="53" spans="1:11" ht="15.15" customHeight="1">
      <c r="A53" s="76" t="s">
        <v>391</v>
      </c>
      <c r="B53" s="250">
        <v>1998</v>
      </c>
      <c r="C53" s="244" t="s">
        <v>385</v>
      </c>
      <c r="D53" s="312" t="s">
        <v>1214</v>
      </c>
      <c r="E53" s="499" t="s">
        <v>1303</v>
      </c>
      <c r="I53" s="617" t="s">
        <v>1215</v>
      </c>
      <c r="J53" s="617"/>
    </row>
    <row r="54" spans="1:11" ht="15.75" customHeight="1">
      <c r="A54" s="76" t="s">
        <v>391</v>
      </c>
      <c r="B54" s="250">
        <v>1998</v>
      </c>
      <c r="C54" s="244" t="s">
        <v>386</v>
      </c>
      <c r="D54" s="312" t="s">
        <v>1217</v>
      </c>
      <c r="E54" s="499" t="s">
        <v>1304</v>
      </c>
    </row>
    <row r="55" spans="1:11" ht="15.15" customHeight="1">
      <c r="A55" s="76" t="s">
        <v>391</v>
      </c>
      <c r="B55" s="250">
        <v>1998</v>
      </c>
      <c r="C55" s="244" t="s">
        <v>387</v>
      </c>
      <c r="D55" s="244" t="s">
        <v>390</v>
      </c>
      <c r="E55" s="499" t="s">
        <v>1305</v>
      </c>
    </row>
    <row r="56" spans="1:11" ht="15.6" customHeight="1">
      <c r="A56" s="76" t="s">
        <v>391</v>
      </c>
      <c r="B56" s="250">
        <v>1998</v>
      </c>
      <c r="C56" s="244" t="s">
        <v>388</v>
      </c>
      <c r="D56" s="244" t="s">
        <v>390</v>
      </c>
      <c r="E56" s="499" t="s">
        <v>1306</v>
      </c>
    </row>
    <row r="60" spans="1:11" ht="47.25" customHeight="1">
      <c r="A60" s="257"/>
      <c r="B60" s="615" t="s">
        <v>394</v>
      </c>
      <c r="C60" s="615"/>
      <c r="D60" s="615"/>
      <c r="E60" s="615"/>
      <c r="F60" s="615"/>
      <c r="G60" s="615"/>
      <c r="H60" s="615"/>
      <c r="I60" s="615"/>
    </row>
    <row r="61" spans="1:11" ht="42" customHeight="1">
      <c r="B61" s="615" t="s">
        <v>395</v>
      </c>
      <c r="C61" s="615"/>
      <c r="D61" s="615"/>
      <c r="E61" s="615"/>
      <c r="F61" s="615"/>
      <c r="G61" s="615"/>
      <c r="H61" s="616" t="s">
        <v>396</v>
      </c>
      <c r="I61" s="616"/>
    </row>
    <row r="63" spans="1:11" ht="48.75" customHeight="1">
      <c r="C63" s="615" t="s">
        <v>392</v>
      </c>
      <c r="D63" s="615"/>
      <c r="E63" s="615"/>
      <c r="F63" s="615"/>
      <c r="G63" s="615"/>
      <c r="H63" s="615"/>
      <c r="I63" s="615"/>
      <c r="J63" s="77" t="s">
        <v>393</v>
      </c>
    </row>
    <row r="64" spans="1:11" ht="48" customHeight="1">
      <c r="C64" s="615" t="s">
        <v>394</v>
      </c>
      <c r="D64" s="615"/>
      <c r="E64" s="615"/>
      <c r="F64" s="615"/>
      <c r="G64" s="615"/>
      <c r="H64" s="615"/>
      <c r="I64" s="615"/>
      <c r="J64" s="615"/>
    </row>
    <row r="65" spans="3:12" ht="41.25" customHeight="1">
      <c r="C65" s="615" t="s">
        <v>395</v>
      </c>
      <c r="D65" s="615"/>
      <c r="E65" s="615"/>
      <c r="F65" s="615"/>
      <c r="G65" s="615"/>
      <c r="H65" s="615"/>
      <c r="I65" s="616" t="s">
        <v>396</v>
      </c>
      <c r="J65" s="616"/>
    </row>
    <row r="66" spans="3:12" ht="15" customHeight="1">
      <c r="D66" s="238"/>
      <c r="G66" t="s">
        <v>1203</v>
      </c>
      <c r="H66" s="351" t="s">
        <v>1216</v>
      </c>
      <c r="I66" s="76" t="s">
        <v>391</v>
      </c>
      <c r="J66" t="s">
        <v>1200</v>
      </c>
      <c r="K66" s="352" t="s">
        <v>1218</v>
      </c>
      <c r="L66">
        <f>COUNTIF($A$20:$A$56,$K66)</f>
        <v>18</v>
      </c>
    </row>
    <row r="67" spans="3:12">
      <c r="C67" t="s">
        <v>1201</v>
      </c>
      <c r="D67" s="351" t="s">
        <v>1216</v>
      </c>
      <c r="E67" s="352" t="s">
        <v>1218</v>
      </c>
      <c r="H67" s="353" t="s">
        <v>1217</v>
      </c>
      <c r="K67" s="76" t="s">
        <v>391</v>
      </c>
      <c r="L67">
        <f t="shared" ref="L67" si="0">COUNTIF($A$20:$A$56,$K67)</f>
        <v>18</v>
      </c>
    </row>
    <row r="68" spans="3:12">
      <c r="D68" s="353" t="s">
        <v>1217</v>
      </c>
      <c r="E68" s="293">
        <f>COUNTIFS($D$20:$D$56,$D68,$A$20:$A$56,$E$67)</f>
        <v>6</v>
      </c>
      <c r="H68" s="354" t="s">
        <v>383</v>
      </c>
    </row>
    <row r="69" spans="3:12">
      <c r="D69" s="354" t="s">
        <v>383</v>
      </c>
      <c r="E69" s="293">
        <f>COUNTIFS($D$20:$D$56,$D69,$A$20:$A$56,$E$67)</f>
        <v>6</v>
      </c>
    </row>
    <row r="70" spans="3:12">
      <c r="H70">
        <f t="array" ref="H70:I70">SUMIFS(E20:E56,D20:D56,H67,A20:A56,I66)</f>
        <v>0</v>
      </c>
      <c r="I70">
        <v>0</v>
      </c>
    </row>
    <row r="71" spans="3:12">
      <c r="E71">
        <f>COUNTIFS(D20:D56,D68,A20:A56,A21)</f>
        <v>6</v>
      </c>
      <c r="G71" s="206" t="s">
        <v>1212</v>
      </c>
      <c r="H71" s="289" t="s">
        <v>380</v>
      </c>
      <c r="I71" s="313" t="s">
        <v>391</v>
      </c>
    </row>
    <row r="72" spans="3:12">
      <c r="E72">
        <f>COUNTIFS(D21:D57,D69,A21:A57,A22)</f>
        <v>6</v>
      </c>
      <c r="H72" s="282" t="s">
        <v>390</v>
      </c>
      <c r="I72" s="238">
        <f>COUNTIFS(A20:A56,A45,D20:D56,D51)</f>
        <v>5</v>
      </c>
    </row>
  </sheetData>
  <mergeCells count="12">
    <mergeCell ref="A1:G1"/>
    <mergeCell ref="A2:G2"/>
    <mergeCell ref="C65:H65"/>
    <mergeCell ref="I65:J65"/>
    <mergeCell ref="I53:J53"/>
    <mergeCell ref="A18:H18"/>
    <mergeCell ref="A19:H19"/>
    <mergeCell ref="B60:I60"/>
    <mergeCell ref="B61:G61"/>
    <mergeCell ref="H61:I61"/>
    <mergeCell ref="C63:I63"/>
    <mergeCell ref="C64:J64"/>
  </mergeCells>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6"/>
  <sheetViews>
    <sheetView topLeftCell="A12" workbookViewId="0">
      <selection activeCell="J29" sqref="J29"/>
    </sheetView>
  </sheetViews>
  <sheetFormatPr defaultRowHeight="13.2"/>
  <cols>
    <col min="1" max="1" width="11.44140625" customWidth="1"/>
    <col min="2" max="2" width="14.6640625" customWidth="1"/>
    <col min="3" max="3" width="17.77734375" customWidth="1"/>
    <col min="4" max="4" width="15.33203125" customWidth="1"/>
    <col min="5" max="5" width="14.77734375" customWidth="1"/>
    <col min="6" max="6" width="17.109375" customWidth="1"/>
    <col min="7" max="7" width="12" customWidth="1"/>
    <col min="8" max="8" width="14.77734375" customWidth="1"/>
    <col min="9" max="9" width="18.33203125" customWidth="1"/>
    <col min="10" max="10" width="15.109375" bestFit="1" customWidth="1"/>
    <col min="17" max="17" width="14.109375" bestFit="1" customWidth="1"/>
    <col min="18" max="18" width="18" customWidth="1"/>
    <col min="19" max="19" width="16.6640625" bestFit="1" customWidth="1"/>
  </cols>
  <sheetData>
    <row r="1" spans="1:19" ht="63" customHeight="1"/>
    <row r="2" spans="1:19" ht="33" customHeight="1"/>
    <row r="3" spans="1:19" ht="33" customHeight="1"/>
    <row r="4" spans="1:19" ht="21" customHeight="1">
      <c r="A4" s="531" t="s">
        <v>397</v>
      </c>
      <c r="B4" s="531"/>
      <c r="C4" s="531"/>
      <c r="D4" s="531"/>
      <c r="E4" s="531"/>
      <c r="F4" s="531"/>
      <c r="G4" s="531"/>
    </row>
    <row r="5" spans="1:19" ht="28.65" customHeight="1">
      <c r="A5" s="619" t="s">
        <v>398</v>
      </c>
      <c r="B5" s="619"/>
      <c r="C5" s="619"/>
      <c r="D5" s="619"/>
      <c r="E5" s="619"/>
      <c r="F5" s="619"/>
      <c r="G5" s="619"/>
    </row>
    <row r="6" spans="1:19" ht="16.5" customHeight="1">
      <c r="A6" s="2" t="s">
        <v>399</v>
      </c>
      <c r="B6" s="1" t="s">
        <v>400</v>
      </c>
      <c r="C6" s="1" t="s">
        <v>401</v>
      </c>
      <c r="D6" s="18" t="s">
        <v>402</v>
      </c>
      <c r="E6" s="1" t="s">
        <v>403</v>
      </c>
      <c r="F6" s="187" t="s">
        <v>404</v>
      </c>
      <c r="H6" s="533" t="s">
        <v>421</v>
      </c>
      <c r="I6" s="533"/>
      <c r="J6" s="533"/>
      <c r="K6" s="533"/>
      <c r="L6" s="533"/>
      <c r="M6" s="533"/>
      <c r="N6" s="549" t="s">
        <v>307</v>
      </c>
      <c r="O6" s="549"/>
      <c r="P6" s="549"/>
      <c r="R6" s="447" t="s">
        <v>1239</v>
      </c>
      <c r="S6" t="s">
        <v>1242</v>
      </c>
    </row>
    <row r="7" spans="1:19" ht="26.25" customHeight="1">
      <c r="A7" s="4">
        <v>1</v>
      </c>
      <c r="B7" s="5" t="s">
        <v>405</v>
      </c>
      <c r="C7" s="5" t="s">
        <v>406</v>
      </c>
      <c r="D7" s="71">
        <v>4270</v>
      </c>
      <c r="E7" s="29">
        <v>42375</v>
      </c>
      <c r="F7" s="184" t="s">
        <v>407</v>
      </c>
      <c r="H7" s="357" t="s">
        <v>401</v>
      </c>
      <c r="I7" s="358" t="s">
        <v>1197</v>
      </c>
      <c r="R7" t="s">
        <v>1241</v>
      </c>
      <c r="S7">
        <v>5</v>
      </c>
    </row>
    <row r="8" spans="1:19" ht="16.5" customHeight="1">
      <c r="A8" s="4">
        <v>2</v>
      </c>
      <c r="B8" s="5" t="s">
        <v>408</v>
      </c>
      <c r="C8" s="5" t="s">
        <v>406</v>
      </c>
      <c r="D8" s="71">
        <v>8239</v>
      </c>
      <c r="E8" s="29">
        <v>42376</v>
      </c>
      <c r="F8" s="184" t="s">
        <v>409</v>
      </c>
      <c r="H8" s="356" t="s">
        <v>411</v>
      </c>
      <c r="I8" s="293">
        <f>COUNTIF($C$6:$C$36,$H8)</f>
        <v>18</v>
      </c>
      <c r="R8" t="s">
        <v>1240</v>
      </c>
      <c r="S8">
        <v>5</v>
      </c>
    </row>
    <row r="9" spans="1:19" ht="16.5" customHeight="1">
      <c r="A9" s="4">
        <v>3</v>
      </c>
      <c r="B9" s="5" t="s">
        <v>410</v>
      </c>
      <c r="C9" s="5" t="s">
        <v>411</v>
      </c>
      <c r="D9" s="78">
        <v>617</v>
      </c>
      <c r="E9" s="29">
        <v>42377</v>
      </c>
      <c r="F9" s="184" t="s">
        <v>407</v>
      </c>
      <c r="H9" s="356" t="s">
        <v>406</v>
      </c>
      <c r="I9" s="293">
        <f>COUNTIF($C$6:$C$36,$H9)</f>
        <v>12</v>
      </c>
    </row>
    <row r="10" spans="1:19" ht="16.5" customHeight="1">
      <c r="A10" s="4">
        <v>4</v>
      </c>
      <c r="B10" s="5" t="s">
        <v>410</v>
      </c>
      <c r="C10" s="5" t="s">
        <v>411</v>
      </c>
      <c r="D10" s="71">
        <v>8384</v>
      </c>
      <c r="E10" s="29">
        <v>42379</v>
      </c>
      <c r="F10" s="184" t="s">
        <v>412</v>
      </c>
    </row>
    <row r="11" spans="1:19" ht="16.5" customHeight="1">
      <c r="A11" s="4">
        <v>5</v>
      </c>
      <c r="B11" s="5" t="s">
        <v>413</v>
      </c>
      <c r="C11" s="5" t="s">
        <v>406</v>
      </c>
      <c r="D11" s="71">
        <v>2626</v>
      </c>
      <c r="E11" s="29">
        <v>42379</v>
      </c>
      <c r="F11" s="184" t="s">
        <v>414</v>
      </c>
      <c r="H11" s="534" t="s">
        <v>422</v>
      </c>
      <c r="I11" s="534"/>
      <c r="J11" s="534"/>
      <c r="K11" s="534"/>
      <c r="L11" s="534"/>
      <c r="M11" s="8"/>
      <c r="N11" s="536" t="s">
        <v>423</v>
      </c>
      <c r="O11" s="536"/>
      <c r="P11" s="536"/>
      <c r="Q11" s="447" t="s">
        <v>1239</v>
      </c>
      <c r="R11" t="s">
        <v>1244</v>
      </c>
    </row>
    <row r="12" spans="1:19" ht="16.5" customHeight="1">
      <c r="A12" s="4">
        <v>6</v>
      </c>
      <c r="B12" s="5" t="s">
        <v>415</v>
      </c>
      <c r="C12" s="5" t="s">
        <v>411</v>
      </c>
      <c r="D12" s="71">
        <v>3610</v>
      </c>
      <c r="E12" s="29">
        <v>42380</v>
      </c>
      <c r="F12" s="184" t="s">
        <v>407</v>
      </c>
      <c r="H12" s="359" t="s">
        <v>400</v>
      </c>
      <c r="I12" s="358" t="s">
        <v>1189</v>
      </c>
      <c r="Q12" t="s">
        <v>1243</v>
      </c>
      <c r="R12">
        <v>12</v>
      </c>
    </row>
    <row r="13" spans="1:19" ht="16.5" customHeight="1">
      <c r="A13" s="4">
        <v>7</v>
      </c>
      <c r="B13" s="5" t="s">
        <v>408</v>
      </c>
      <c r="C13" s="5" t="s">
        <v>406</v>
      </c>
      <c r="D13" s="71">
        <v>9062</v>
      </c>
      <c r="E13" s="29">
        <v>42380</v>
      </c>
      <c r="F13" s="184" t="s">
        <v>416</v>
      </c>
      <c r="H13" s="356" t="s">
        <v>418</v>
      </c>
      <c r="I13" s="293">
        <f>SUMIF($B$6:$B$36,$H13,$D$6:$D$36)</f>
        <v>25557</v>
      </c>
      <c r="Q13" t="s">
        <v>1240</v>
      </c>
      <c r="R13">
        <v>12</v>
      </c>
    </row>
    <row r="14" spans="1:19" ht="16.5" customHeight="1">
      <c r="A14" s="4">
        <v>8</v>
      </c>
      <c r="B14" s="5" t="s">
        <v>410</v>
      </c>
      <c r="C14" s="5" t="s">
        <v>411</v>
      </c>
      <c r="D14" s="71">
        <v>6906</v>
      </c>
      <c r="E14" s="29">
        <v>42385</v>
      </c>
      <c r="F14" s="184" t="s">
        <v>417</v>
      </c>
      <c r="H14" s="356" t="s">
        <v>410</v>
      </c>
      <c r="I14" s="293">
        <f>SUMIF($B$6:$B$36,$H14,$D$6:$D$36)</f>
        <v>38956</v>
      </c>
    </row>
    <row r="15" spans="1:19" ht="16.5" customHeight="1">
      <c r="A15" s="4">
        <v>9</v>
      </c>
      <c r="B15" s="5" t="s">
        <v>418</v>
      </c>
      <c r="C15" s="5" t="s">
        <v>411</v>
      </c>
      <c r="D15" s="71">
        <v>2417</v>
      </c>
      <c r="E15" s="29">
        <v>42385</v>
      </c>
      <c r="F15" s="184" t="s">
        <v>419</v>
      </c>
    </row>
    <row r="16" spans="1:19" ht="16.5" customHeight="1">
      <c r="A16" s="4">
        <v>10</v>
      </c>
      <c r="B16" s="5" t="s">
        <v>418</v>
      </c>
      <c r="C16" s="5" t="s">
        <v>411</v>
      </c>
      <c r="D16" s="71">
        <v>7431</v>
      </c>
      <c r="E16" s="29">
        <v>42385</v>
      </c>
      <c r="F16" s="184" t="s">
        <v>412</v>
      </c>
      <c r="H16" s="534" t="s">
        <v>424</v>
      </c>
      <c r="I16" s="534"/>
      <c r="J16" s="534"/>
      <c r="K16" s="560"/>
      <c r="L16" s="560"/>
      <c r="M16" s="8"/>
      <c r="N16" s="8"/>
      <c r="O16" s="536" t="s">
        <v>159</v>
      </c>
      <c r="P16" s="536"/>
    </row>
    <row r="17" spans="1:16" ht="16.5" customHeight="1">
      <c r="A17" s="4">
        <v>11</v>
      </c>
      <c r="B17" s="5" t="s">
        <v>410</v>
      </c>
      <c r="C17" s="5" t="s">
        <v>411</v>
      </c>
      <c r="D17" s="71">
        <v>8250</v>
      </c>
      <c r="E17" s="29">
        <v>42385</v>
      </c>
      <c r="F17" s="184" t="s">
        <v>414</v>
      </c>
      <c r="H17" t="s">
        <v>1198</v>
      </c>
      <c r="I17" s="293">
        <f>COUNTA(B6:B36)</f>
        <v>31</v>
      </c>
    </row>
    <row r="18" spans="1:16" ht="16.5" customHeight="1">
      <c r="A18" s="4">
        <v>12</v>
      </c>
      <c r="B18" s="5" t="s">
        <v>408</v>
      </c>
      <c r="C18" s="5" t="s">
        <v>406</v>
      </c>
      <c r="D18" s="71">
        <v>7012</v>
      </c>
      <c r="E18" s="29">
        <v>42387</v>
      </c>
      <c r="F18" s="184" t="s">
        <v>407</v>
      </c>
    </row>
    <row r="19" spans="1:16" ht="16.5" customHeight="1">
      <c r="A19" s="4">
        <v>13</v>
      </c>
      <c r="B19" s="5" t="s">
        <v>405</v>
      </c>
      <c r="C19" s="5" t="s">
        <v>406</v>
      </c>
      <c r="D19" s="71">
        <v>1903</v>
      </c>
      <c r="E19" s="29">
        <v>42389</v>
      </c>
      <c r="F19" s="184" t="s">
        <v>414</v>
      </c>
      <c r="H19" s="534" t="s">
        <v>425</v>
      </c>
      <c r="I19" s="534"/>
      <c r="J19" s="534"/>
      <c r="K19" s="534"/>
      <c r="L19" s="534"/>
      <c r="M19" s="534"/>
      <c r="N19" s="534"/>
      <c r="O19" s="536" t="s">
        <v>426</v>
      </c>
      <c r="P19" s="536"/>
    </row>
    <row r="20" spans="1:16" ht="30.75" customHeight="1">
      <c r="A20" s="4">
        <v>14</v>
      </c>
      <c r="B20" s="5" t="s">
        <v>408</v>
      </c>
      <c r="C20" s="5" t="s">
        <v>406</v>
      </c>
      <c r="D20" s="71">
        <v>2824</v>
      </c>
      <c r="E20" s="29">
        <v>42391</v>
      </c>
      <c r="F20" s="184" t="s">
        <v>412</v>
      </c>
      <c r="H20" s="355" t="s">
        <v>400</v>
      </c>
      <c r="I20" s="361" t="s">
        <v>412</v>
      </c>
      <c r="J20" s="362" t="s">
        <v>409</v>
      </c>
    </row>
    <row r="21" spans="1:16" ht="14.4">
      <c r="A21" s="4">
        <v>15</v>
      </c>
      <c r="B21" s="5" t="s">
        <v>418</v>
      </c>
      <c r="C21" s="5" t="s">
        <v>411</v>
      </c>
      <c r="D21" s="279">
        <v>6946</v>
      </c>
      <c r="E21" s="79">
        <v>42393</v>
      </c>
      <c r="F21" s="5" t="s">
        <v>419</v>
      </c>
      <c r="H21" s="356" t="s">
        <v>418</v>
      </c>
      <c r="I21" s="293">
        <f>COUNTIFS($B$6:$B$36,$H21,$F$6:$F$36,I$20)</f>
        <v>1</v>
      </c>
      <c r="J21" s="293">
        <f>COUNTIFS($B$6:$B$36,$H21,$F$6:$F$36,J$20)</f>
        <v>0</v>
      </c>
    </row>
    <row r="22" spans="1:16" ht="19.5" customHeight="1">
      <c r="A22" s="4">
        <v>16</v>
      </c>
      <c r="B22" s="5" t="s">
        <v>410</v>
      </c>
      <c r="C22" s="5" t="s">
        <v>411</v>
      </c>
      <c r="D22" s="279">
        <v>2320</v>
      </c>
      <c r="E22" s="79">
        <v>42396</v>
      </c>
      <c r="F22" s="5" t="s">
        <v>409</v>
      </c>
      <c r="H22" s="356" t="s">
        <v>410</v>
      </c>
      <c r="I22" s="293">
        <f>COUNTIFS($B$6:$B$36,$H22,$F$6:$F$36,I$20)</f>
        <v>2</v>
      </c>
      <c r="J22" s="293">
        <f>COUNTIFS($B$6:$B$36,$H22,$F$6:$F$36,J$20)</f>
        <v>2</v>
      </c>
    </row>
    <row r="23" spans="1:16" ht="14.4">
      <c r="A23" s="4">
        <v>17</v>
      </c>
      <c r="B23" s="5" t="s">
        <v>410</v>
      </c>
      <c r="C23" s="5" t="s">
        <v>411</v>
      </c>
      <c r="D23" s="279">
        <v>2116</v>
      </c>
      <c r="E23" s="79">
        <v>42397</v>
      </c>
      <c r="F23" s="360" t="s">
        <v>1220</v>
      </c>
    </row>
    <row r="24" spans="1:16" ht="14.4">
      <c r="A24" s="4">
        <v>18</v>
      </c>
      <c r="B24" s="5" t="s">
        <v>410</v>
      </c>
      <c r="C24" s="5" t="s">
        <v>411</v>
      </c>
      <c r="D24" s="279">
        <v>1135</v>
      </c>
      <c r="E24" s="79">
        <v>42399</v>
      </c>
      <c r="F24" s="360" t="s">
        <v>1219</v>
      </c>
      <c r="H24" s="551" t="s">
        <v>427</v>
      </c>
      <c r="I24" s="551"/>
      <c r="J24" s="551"/>
      <c r="K24" s="551"/>
      <c r="L24" s="551"/>
      <c r="M24" s="17"/>
      <c r="N24" s="17"/>
      <c r="O24" s="549" t="s">
        <v>428</v>
      </c>
      <c r="P24" s="549"/>
    </row>
    <row r="25" spans="1:16" ht="14.4">
      <c r="A25" s="4">
        <v>19</v>
      </c>
      <c r="B25" s="5" t="s">
        <v>408</v>
      </c>
      <c r="C25" s="5" t="s">
        <v>406</v>
      </c>
      <c r="D25" s="279">
        <v>3595</v>
      </c>
      <c r="E25" s="79">
        <v>42399</v>
      </c>
      <c r="F25" s="5" t="s">
        <v>409</v>
      </c>
      <c r="H25" s="355" t="s">
        <v>400</v>
      </c>
      <c r="I25" s="361" t="s">
        <v>407</v>
      </c>
    </row>
    <row r="26" spans="1:16" ht="14.4">
      <c r="A26" s="4">
        <v>20</v>
      </c>
      <c r="B26" s="5" t="s">
        <v>418</v>
      </c>
      <c r="C26" s="5" t="s">
        <v>411</v>
      </c>
      <c r="D26" s="279">
        <v>1161</v>
      </c>
      <c r="E26" s="79">
        <v>42402</v>
      </c>
      <c r="F26" s="5" t="s">
        <v>407</v>
      </c>
      <c r="H26" s="356" t="s">
        <v>418</v>
      </c>
      <c r="I26" s="293">
        <f t="array" ref="I26">SUMIFS($D$6:$D$36,$B$6:$B$36,$H26,$F$6:$F$36,$I$25)</f>
        <v>1161</v>
      </c>
    </row>
    <row r="27" spans="1:16" ht="21.75" customHeight="1">
      <c r="A27" s="4">
        <v>21</v>
      </c>
      <c r="B27" s="5" t="s">
        <v>415</v>
      </c>
      <c r="C27" s="5" t="s">
        <v>411</v>
      </c>
      <c r="D27" s="279">
        <v>2256</v>
      </c>
      <c r="E27" s="79">
        <v>42404</v>
      </c>
      <c r="F27" s="5" t="s">
        <v>419</v>
      </c>
      <c r="H27" s="356" t="s">
        <v>410</v>
      </c>
      <c r="I27" s="293">
        <f t="array" ref="I27">SUMIFS($D$6:$D$36,$B$6:$B$36,$H27,$F$6:$F$36,$I$25)</f>
        <v>7315</v>
      </c>
    </row>
    <row r="28" spans="1:16" ht="14.4">
      <c r="A28" s="4">
        <v>22</v>
      </c>
      <c r="B28" s="5" t="s">
        <v>410</v>
      </c>
      <c r="C28" s="5" t="s">
        <v>411</v>
      </c>
      <c r="D28" s="279">
        <v>1004</v>
      </c>
      <c r="E28" s="79">
        <v>42411</v>
      </c>
      <c r="F28" s="5" t="s">
        <v>417</v>
      </c>
    </row>
    <row r="29" spans="1:16" ht="14.4">
      <c r="A29" s="4">
        <v>23</v>
      </c>
      <c r="B29" s="5" t="s">
        <v>410</v>
      </c>
      <c r="C29" s="5" t="s">
        <v>411</v>
      </c>
      <c r="D29" s="279">
        <v>3642</v>
      </c>
      <c r="E29" s="79">
        <v>42414</v>
      </c>
      <c r="F29" s="5" t="s">
        <v>412</v>
      </c>
    </row>
    <row r="30" spans="1:16" ht="14.4">
      <c r="A30" s="4">
        <v>24</v>
      </c>
      <c r="B30" s="5" t="s">
        <v>410</v>
      </c>
      <c r="C30" s="5" t="s">
        <v>411</v>
      </c>
      <c r="D30" s="279">
        <v>4582</v>
      </c>
      <c r="E30" s="79">
        <v>42417</v>
      </c>
      <c r="F30" s="5" t="s">
        <v>407</v>
      </c>
    </row>
    <row r="31" spans="1:16" ht="14.4">
      <c r="A31" s="4">
        <v>25</v>
      </c>
      <c r="B31" s="5" t="s">
        <v>413</v>
      </c>
      <c r="C31" s="5" t="s">
        <v>406</v>
      </c>
      <c r="D31" s="279">
        <v>3559</v>
      </c>
      <c r="E31" s="79">
        <v>42417</v>
      </c>
      <c r="F31" s="5" t="s">
        <v>409</v>
      </c>
    </row>
    <row r="32" spans="1:16" ht="14.4">
      <c r="A32" s="4">
        <v>26</v>
      </c>
      <c r="B32" s="5" t="s">
        <v>405</v>
      </c>
      <c r="C32" s="5" t="s">
        <v>406</v>
      </c>
      <c r="D32" s="279">
        <v>5154</v>
      </c>
      <c r="E32" s="79">
        <v>42417</v>
      </c>
      <c r="F32" s="5" t="s">
        <v>416</v>
      </c>
    </row>
    <row r="33" spans="1:6" ht="14.4">
      <c r="A33" s="4">
        <v>27</v>
      </c>
      <c r="B33" s="5" t="s">
        <v>420</v>
      </c>
      <c r="C33" s="5" t="s">
        <v>411</v>
      </c>
      <c r="D33" s="279">
        <v>7388</v>
      </c>
      <c r="E33" s="79">
        <v>42418</v>
      </c>
      <c r="F33" s="5" t="s">
        <v>419</v>
      </c>
    </row>
    <row r="34" spans="1:6" ht="14.4">
      <c r="A34" s="4">
        <v>28</v>
      </c>
      <c r="B34" s="5" t="s">
        <v>413</v>
      </c>
      <c r="C34" s="5" t="s">
        <v>406</v>
      </c>
      <c r="D34" s="279">
        <v>7163</v>
      </c>
      <c r="E34" s="79">
        <v>42418</v>
      </c>
      <c r="F34" s="5" t="s">
        <v>407</v>
      </c>
    </row>
    <row r="35" spans="1:6" ht="14.4">
      <c r="A35" s="4">
        <v>29</v>
      </c>
      <c r="B35" s="5" t="s">
        <v>413</v>
      </c>
      <c r="C35" s="5" t="s">
        <v>406</v>
      </c>
      <c r="D35" s="279">
        <v>5101</v>
      </c>
      <c r="E35" s="79">
        <v>42420</v>
      </c>
      <c r="F35" s="5" t="s">
        <v>414</v>
      </c>
    </row>
    <row r="36" spans="1:6" ht="14.4">
      <c r="A36" s="4">
        <v>30</v>
      </c>
      <c r="B36" s="5" t="s">
        <v>418</v>
      </c>
      <c r="C36" s="5" t="s">
        <v>411</v>
      </c>
      <c r="D36" s="279">
        <v>7602</v>
      </c>
      <c r="E36" s="79">
        <v>42421</v>
      </c>
      <c r="F36" s="5" t="s">
        <v>419</v>
      </c>
    </row>
  </sheetData>
  <mergeCells count="13">
    <mergeCell ref="H19:N19"/>
    <mergeCell ref="O19:P19"/>
    <mergeCell ref="H24:L24"/>
    <mergeCell ref="O24:P24"/>
    <mergeCell ref="A4:G4"/>
    <mergeCell ref="A5:G5"/>
    <mergeCell ref="H6:M6"/>
    <mergeCell ref="N6:P6"/>
    <mergeCell ref="H11:L11"/>
    <mergeCell ref="N11:P11"/>
    <mergeCell ref="H16:J16"/>
    <mergeCell ref="K16:L16"/>
    <mergeCell ref="O16:P16"/>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41"/>
  <sheetViews>
    <sheetView topLeftCell="A24" workbookViewId="0">
      <selection activeCell="Q37" sqref="Q37"/>
    </sheetView>
  </sheetViews>
  <sheetFormatPr defaultRowHeight="13.2"/>
  <cols>
    <col min="1" max="1" width="11.44140625" customWidth="1"/>
    <col min="2" max="2" width="11.33203125" customWidth="1"/>
    <col min="3" max="3" width="14.6640625" customWidth="1"/>
    <col min="4" max="4" width="10.109375" customWidth="1"/>
    <col min="5" max="5" width="6" customWidth="1"/>
    <col min="6" max="6" width="14.77734375" customWidth="1"/>
    <col min="7" max="7" width="20.6640625" customWidth="1"/>
    <col min="8" max="8" width="14.44140625" customWidth="1"/>
    <col min="9" max="9" width="6.109375" customWidth="1"/>
    <col min="10" max="10" width="16.44140625" customWidth="1"/>
    <col min="11" max="11" width="9" bestFit="1" customWidth="1"/>
    <col min="14" max="14" width="13" bestFit="1" customWidth="1"/>
    <col min="15" max="16" width="15.109375" bestFit="1" customWidth="1"/>
    <col min="17" max="17" width="13" bestFit="1" customWidth="1"/>
    <col min="19" max="19" width="15.109375" bestFit="1" customWidth="1"/>
  </cols>
  <sheetData>
    <row r="1" spans="1:9" ht="15" customHeight="1">
      <c r="A1" s="28"/>
      <c r="B1" s="28"/>
      <c r="C1" s="28"/>
      <c r="D1" s="569"/>
      <c r="E1" s="569"/>
      <c r="F1" s="28"/>
      <c r="G1" s="28"/>
      <c r="H1" s="570"/>
      <c r="I1" s="570"/>
    </row>
    <row r="2" spans="1:9" ht="16.5" customHeight="1">
      <c r="H2" s="540"/>
      <c r="I2" s="551"/>
    </row>
    <row r="3" spans="1:9" ht="16.5" customHeight="1">
      <c r="H3" s="540"/>
      <c r="I3" s="551"/>
    </row>
    <row r="4" spans="1:9" ht="16.5" customHeight="1">
      <c r="H4" s="540"/>
      <c r="I4" s="551"/>
    </row>
    <row r="5" spans="1:9" ht="16.5" customHeight="1">
      <c r="H5" s="540"/>
      <c r="I5" s="551"/>
    </row>
    <row r="6" spans="1:9" ht="16.5" customHeight="1">
      <c r="H6" s="540"/>
      <c r="I6" s="551"/>
    </row>
    <row r="7" spans="1:9" ht="16.5" customHeight="1">
      <c r="H7" s="540"/>
      <c r="I7" s="551"/>
    </row>
    <row r="8" spans="1:9" ht="16.5" customHeight="1">
      <c r="H8" s="540"/>
      <c r="I8" s="551"/>
    </row>
    <row r="9" spans="1:9" ht="16.5" customHeight="1">
      <c r="H9" s="540"/>
      <c r="I9" s="551"/>
    </row>
    <row r="10" spans="1:9" ht="16.5" customHeight="1">
      <c r="H10" s="540"/>
      <c r="I10" s="551"/>
    </row>
    <row r="11" spans="1:9" ht="16.5" customHeight="1">
      <c r="H11" s="540"/>
      <c r="I11" s="551"/>
    </row>
    <row r="12" spans="1:9" ht="16.5" customHeight="1">
      <c r="H12" s="540"/>
      <c r="I12" s="551"/>
    </row>
    <row r="13" spans="1:9" ht="16.5" customHeight="1">
      <c r="H13" s="540"/>
      <c r="I13" s="551"/>
    </row>
    <row r="14" spans="1:9" ht="16.5" customHeight="1">
      <c r="H14" s="540"/>
      <c r="I14" s="551"/>
    </row>
    <row r="15" spans="1:9" ht="16.5" customHeight="1">
      <c r="H15" s="540"/>
      <c r="I15" s="551"/>
    </row>
    <row r="16" spans="1:9" ht="16.5" customHeight="1">
      <c r="H16" s="540"/>
      <c r="I16" s="551"/>
    </row>
    <row r="17" spans="1:19" ht="16.5" customHeight="1">
      <c r="H17" s="540"/>
      <c r="I17" s="551"/>
    </row>
    <row r="18" spans="1:19" ht="36" customHeight="1"/>
    <row r="19" spans="1:19" ht="16.5" customHeight="1"/>
    <row r="20" spans="1:19" ht="16.5" customHeight="1"/>
    <row r="21" spans="1:19" ht="16.5" customHeight="1"/>
    <row r="22" spans="1:19" ht="33" customHeight="1"/>
    <row r="23" spans="1:19" ht="21" customHeight="1">
      <c r="A23" s="560"/>
      <c r="B23" s="560"/>
      <c r="C23" s="560"/>
      <c r="D23" s="560"/>
      <c r="E23" s="620" t="s">
        <v>429</v>
      </c>
      <c r="F23" s="620"/>
      <c r="G23" s="620"/>
      <c r="H23" s="8"/>
      <c r="I23" s="560"/>
      <c r="J23" s="560"/>
    </row>
    <row r="24" spans="1:19" ht="29.1" customHeight="1">
      <c r="A24" s="534" t="s">
        <v>430</v>
      </c>
      <c r="B24" s="534"/>
      <c r="C24" s="534"/>
      <c r="D24" s="534"/>
      <c r="E24" s="534"/>
      <c r="F24" s="534"/>
      <c r="G24" s="534"/>
      <c r="H24" s="534"/>
      <c r="I24" s="534"/>
      <c r="J24" s="534"/>
    </row>
    <row r="25" spans="1:19" ht="16.5" customHeight="1">
      <c r="A25" s="151" t="s">
        <v>1221</v>
      </c>
      <c r="B25" s="151" t="s">
        <v>1171</v>
      </c>
      <c r="C25" s="281" t="s">
        <v>364</v>
      </c>
      <c r="D25" s="80" t="s">
        <v>432</v>
      </c>
      <c r="J25" s="233" t="s">
        <v>1200</v>
      </c>
      <c r="K25" s="364" t="s">
        <v>1171</v>
      </c>
      <c r="L25" s="358" t="s">
        <v>1197</v>
      </c>
      <c r="N25" s="233" t="s">
        <v>1201</v>
      </c>
      <c r="O25" s="364" t="s">
        <v>1171</v>
      </c>
      <c r="P25" s="230" t="s">
        <v>407</v>
      </c>
      <c r="Q25" s="233" t="s">
        <v>1208</v>
      </c>
      <c r="R25" s="364" t="s">
        <v>1171</v>
      </c>
      <c r="S25" s="450" t="s">
        <v>407</v>
      </c>
    </row>
    <row r="26" spans="1:19" ht="16.5" customHeight="1">
      <c r="A26" s="184" t="s">
        <v>433</v>
      </c>
      <c r="B26" s="184" t="s">
        <v>434</v>
      </c>
      <c r="C26" s="184" t="s">
        <v>407</v>
      </c>
      <c r="D26" s="4">
        <v>74</v>
      </c>
      <c r="K26" s="356" t="s">
        <v>434</v>
      </c>
      <c r="L26" s="293">
        <f>COUNTIF($B$25:$B$36,$K26)</f>
        <v>5</v>
      </c>
      <c r="O26" s="356" t="s">
        <v>434</v>
      </c>
      <c r="P26" s="238">
        <f>COUNTIFS(B25:B36,O26,C25:C36,P25)</f>
        <v>4</v>
      </c>
      <c r="R26" s="356" t="s">
        <v>434</v>
      </c>
      <c r="S26" s="293">
        <f>COUNTIFS(B25:B36,R26,C25:C36,C26)</f>
        <v>4</v>
      </c>
    </row>
    <row r="27" spans="1:19" ht="16.5" customHeight="1">
      <c r="A27" s="184" t="s">
        <v>435</v>
      </c>
      <c r="B27" s="184" t="s">
        <v>436</v>
      </c>
      <c r="C27" s="184" t="s">
        <v>409</v>
      </c>
      <c r="D27" s="4">
        <v>92</v>
      </c>
      <c r="K27" s="356" t="s">
        <v>436</v>
      </c>
      <c r="L27" s="293">
        <f t="shared" ref="L27" si="0">COUNTIF($B$25:$B$36,$K27)</f>
        <v>6</v>
      </c>
    </row>
    <row r="28" spans="1:19" ht="16.5" customHeight="1">
      <c r="A28" s="184" t="s">
        <v>437</v>
      </c>
      <c r="B28" s="184" t="s">
        <v>434</v>
      </c>
      <c r="C28" s="184" t="s">
        <v>407</v>
      </c>
      <c r="D28" s="4">
        <v>65</v>
      </c>
      <c r="Q28" s="233" t="s">
        <v>1212</v>
      </c>
      <c r="R28" s="363" t="s">
        <v>1171</v>
      </c>
      <c r="S28" s="437" t="s">
        <v>432</v>
      </c>
    </row>
    <row r="29" spans="1:19" ht="16.5" customHeight="1">
      <c r="A29" s="184" t="s">
        <v>438</v>
      </c>
      <c r="B29" s="184" t="s">
        <v>436</v>
      </c>
      <c r="C29" s="184" t="s">
        <v>412</v>
      </c>
      <c r="D29" s="4">
        <v>82</v>
      </c>
      <c r="J29" s="233" t="s">
        <v>1203</v>
      </c>
      <c r="R29" s="308" t="s">
        <v>434</v>
      </c>
      <c r="S29" s="238">
        <f>SUMIFS($D$25:$D$36,$C$25:$C$36,$C$26,$B$25:$B$36,$R29)</f>
        <v>280</v>
      </c>
    </row>
    <row r="30" spans="1:19" ht="16.5" customHeight="1">
      <c r="A30" s="184" t="s">
        <v>439</v>
      </c>
      <c r="B30" s="184" t="s">
        <v>436</v>
      </c>
      <c r="C30" s="184" t="s">
        <v>416</v>
      </c>
      <c r="D30" s="4">
        <v>50</v>
      </c>
      <c r="K30" s="363" t="s">
        <v>1221</v>
      </c>
      <c r="L30" s="230" t="s">
        <v>438</v>
      </c>
      <c r="M30" s="230" t="s">
        <v>209</v>
      </c>
      <c r="Q30">
        <f>SUMIFS(E25:E36,D25:D36,P30,C25:C36,Q29)</f>
        <v>0</v>
      </c>
      <c r="R30" s="308" t="s">
        <v>436</v>
      </c>
      <c r="S30" s="238">
        <f t="shared" ref="S30" si="1">SUMIFS($D$25:$D$36,$C$25:$C$36,$C$26,$B$25:$B$36,$R30)</f>
        <v>96</v>
      </c>
    </row>
    <row r="31" spans="1:19" ht="16.5" customHeight="1">
      <c r="A31" s="184" t="s">
        <v>440</v>
      </c>
      <c r="B31" s="184" t="s">
        <v>436</v>
      </c>
      <c r="C31" s="184" t="s">
        <v>412</v>
      </c>
      <c r="D31" s="4">
        <v>91</v>
      </c>
      <c r="K31" s="363" t="s">
        <v>1222</v>
      </c>
      <c r="L31" s="238" t="str">
        <f t="array" ref="L31:M31">VLOOKUP(L30,A25:D36,{3},0)</f>
        <v>Canada</v>
      </c>
      <c r="M31" s="238" t="str">
        <v>Canada</v>
      </c>
    </row>
    <row r="32" spans="1:19" ht="16.5" customHeight="1">
      <c r="A32" s="184" t="s">
        <v>441</v>
      </c>
      <c r="B32" s="184" t="s">
        <v>436</v>
      </c>
      <c r="C32" s="184" t="s">
        <v>407</v>
      </c>
      <c r="D32" s="4">
        <v>96</v>
      </c>
    </row>
    <row r="33" spans="1:14" ht="16.5" customHeight="1">
      <c r="A33" s="184" t="s">
        <v>442</v>
      </c>
      <c r="B33" s="184" t="s">
        <v>434</v>
      </c>
      <c r="C33" s="184" t="s">
        <v>407</v>
      </c>
      <c r="D33" s="4">
        <v>58</v>
      </c>
      <c r="M33">
        <f>COUNTIFS(B25:B36,B26,C25:C36,C26)</f>
        <v>4</v>
      </c>
      <c r="N33">
        <f>SUMIFS(D25:D36,B25:B36,B26,C25:C36,C26)</f>
        <v>280</v>
      </c>
    </row>
    <row r="34" spans="1:14" ht="16.5" customHeight="1">
      <c r="A34" s="184" t="s">
        <v>209</v>
      </c>
      <c r="B34" s="184" t="s">
        <v>434</v>
      </c>
      <c r="C34" s="184" t="s">
        <v>412</v>
      </c>
      <c r="D34" s="4">
        <v>67</v>
      </c>
    </row>
    <row r="35" spans="1:14" ht="16.5" customHeight="1">
      <c r="A35" s="184" t="s">
        <v>443</v>
      </c>
      <c r="B35" s="184" t="s">
        <v>436</v>
      </c>
      <c r="C35" s="184" t="s">
        <v>409</v>
      </c>
      <c r="D35" s="4">
        <v>54</v>
      </c>
    </row>
    <row r="36" spans="1:14" ht="16.5" customHeight="1">
      <c r="A36" s="184" t="s">
        <v>444</v>
      </c>
      <c r="B36" s="184" t="s">
        <v>434</v>
      </c>
      <c r="C36" s="184" t="s">
        <v>407</v>
      </c>
      <c r="D36" s="4">
        <v>83</v>
      </c>
    </row>
    <row r="37" spans="1:14" ht="51" customHeight="1">
      <c r="A37" s="567" t="s">
        <v>445</v>
      </c>
      <c r="B37" s="567"/>
      <c r="C37" s="567"/>
      <c r="D37" s="567"/>
      <c r="E37" s="567"/>
      <c r="F37" s="567"/>
      <c r="G37" s="567"/>
      <c r="H37" s="30"/>
      <c r="I37" s="549" t="s">
        <v>307</v>
      </c>
      <c r="J37" s="549"/>
    </row>
    <row r="38" spans="1:14" ht="33" customHeight="1">
      <c r="A38" s="550" t="s">
        <v>446</v>
      </c>
      <c r="B38" s="550"/>
      <c r="C38" s="550"/>
      <c r="D38" s="550"/>
      <c r="E38" s="550"/>
      <c r="F38" s="550"/>
      <c r="G38" s="550"/>
      <c r="H38" s="17"/>
      <c r="I38" s="551" t="s">
        <v>447</v>
      </c>
      <c r="J38" s="551"/>
      <c r="L38" s="448" t="s">
        <v>450</v>
      </c>
    </row>
    <row r="39" spans="1:14" ht="12" customHeight="1">
      <c r="A39" s="534" t="s">
        <v>448</v>
      </c>
      <c r="B39" s="534"/>
      <c r="C39" s="534"/>
      <c r="D39" s="534"/>
      <c r="E39" s="534"/>
      <c r="F39" s="534"/>
      <c r="G39" s="534"/>
      <c r="H39" s="8"/>
      <c r="I39" s="536" t="s">
        <v>309</v>
      </c>
      <c r="J39" s="536"/>
    </row>
    <row r="40" spans="1:14" ht="9" hidden="1" customHeight="1"/>
    <row r="41" spans="1:14" ht="80.25" customHeight="1">
      <c r="A41" s="449" t="s">
        <v>449</v>
      </c>
      <c r="B41" s="449" t="s">
        <v>449</v>
      </c>
      <c r="C41" s="449" t="s">
        <v>449</v>
      </c>
      <c r="D41" s="449" t="s">
        <v>449</v>
      </c>
      <c r="E41" s="449" t="s">
        <v>449</v>
      </c>
      <c r="F41" s="449" t="s">
        <v>449</v>
      </c>
    </row>
  </sheetData>
  <mergeCells count="14">
    <mergeCell ref="A24:J24"/>
    <mergeCell ref="A38:G38"/>
    <mergeCell ref="I38:J38"/>
    <mergeCell ref="A39:G39"/>
    <mergeCell ref="I39:J39"/>
    <mergeCell ref="A37:G37"/>
    <mergeCell ref="I37:J37"/>
    <mergeCell ref="D1:E1"/>
    <mergeCell ref="H1:I1"/>
    <mergeCell ref="H2:I17"/>
    <mergeCell ref="A23:B23"/>
    <mergeCell ref="C23:D23"/>
    <mergeCell ref="E23:G23"/>
    <mergeCell ref="I23:J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2"/>
  <sheetViews>
    <sheetView zoomScale="83" workbookViewId="0">
      <selection activeCell="A2" sqref="A2"/>
    </sheetView>
  </sheetViews>
  <sheetFormatPr defaultRowHeight="13.2"/>
  <cols>
    <col min="1" max="1" width="82.6640625" customWidth="1"/>
    <col min="2" max="2" width="39.33203125" customWidth="1"/>
  </cols>
  <sheetData>
    <row r="1" spans="2:2" ht="49.5" customHeight="1"/>
    <row r="2" spans="2:2" ht="16.5" customHeight="1">
      <c r="B2"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30"/>
  <sheetViews>
    <sheetView workbookViewId="0">
      <selection activeCell="E21" sqref="E21:F21"/>
    </sheetView>
  </sheetViews>
  <sheetFormatPr defaultRowHeight="13.2"/>
  <cols>
    <col min="1" max="1" width="7.6640625" customWidth="1"/>
    <col min="2" max="2" width="9.77734375" bestFit="1" customWidth="1"/>
    <col min="3" max="3" width="11.6640625" bestFit="1" customWidth="1"/>
    <col min="4" max="4" width="10" customWidth="1"/>
    <col min="5" max="5" width="11.44140625" customWidth="1"/>
    <col min="6" max="6" width="8.5546875" bestFit="1" customWidth="1"/>
    <col min="7" max="7" width="8.6640625" customWidth="1"/>
    <col min="8" max="8" width="11.6640625" bestFit="1" customWidth="1"/>
    <col min="9" max="9" width="13.109375" customWidth="1"/>
    <col min="10" max="10" width="14.109375" customWidth="1"/>
    <col min="11" max="11" width="14.44140625" customWidth="1"/>
    <col min="12" max="12" width="12.6640625" customWidth="1"/>
    <col min="13" max="13" width="11.44140625" bestFit="1" customWidth="1"/>
    <col min="16" max="16" width="11.6640625" bestFit="1" customWidth="1"/>
    <col min="17" max="17" width="12" customWidth="1"/>
  </cols>
  <sheetData>
    <row r="1" spans="1:17" ht="21" customHeight="1">
      <c r="A1" s="531" t="s">
        <v>451</v>
      </c>
      <c r="B1" s="531"/>
      <c r="C1" s="531"/>
      <c r="D1" s="531"/>
      <c r="E1" s="531"/>
      <c r="F1" s="531"/>
      <c r="G1" s="531"/>
      <c r="H1" s="531"/>
      <c r="I1" s="531"/>
      <c r="J1" s="531"/>
      <c r="K1" s="531"/>
    </row>
    <row r="2" spans="1:17" ht="29.1" customHeight="1">
      <c r="A2" s="534" t="s">
        <v>452</v>
      </c>
      <c r="B2" s="534"/>
      <c r="C2" s="534"/>
      <c r="D2" s="534"/>
      <c r="E2" s="534"/>
      <c r="F2" s="534"/>
      <c r="G2" s="534"/>
      <c r="H2" s="534"/>
      <c r="I2" s="534"/>
      <c r="J2" s="534"/>
      <c r="K2" s="534"/>
    </row>
    <row r="3" spans="1:17" ht="16.5" customHeight="1">
      <c r="A3" s="1" t="s">
        <v>453</v>
      </c>
      <c r="B3" s="187" t="s">
        <v>454</v>
      </c>
      <c r="C3" s="187" t="s">
        <v>400</v>
      </c>
      <c r="D3" s="580"/>
      <c r="J3" t="str">
        <f t="array" ref="J3:K3">VLOOKUP(O4,A3:C7,{2,3},0)</f>
        <v>HP</v>
      </c>
      <c r="K3" t="str">
        <v>Printer</v>
      </c>
      <c r="M3" s="233" t="s">
        <v>1256</v>
      </c>
      <c r="O3" s="467" t="s">
        <v>455</v>
      </c>
      <c r="P3" s="468" t="s">
        <v>456</v>
      </c>
      <c r="Q3" s="467" t="s">
        <v>457</v>
      </c>
    </row>
    <row r="4" spans="1:17" ht="16.5" customHeight="1">
      <c r="A4" s="4">
        <v>101</v>
      </c>
      <c r="B4" s="184" t="s">
        <v>458</v>
      </c>
      <c r="C4" s="184" t="s">
        <v>459</v>
      </c>
      <c r="D4" s="580"/>
      <c r="O4" s="280">
        <v>104</v>
      </c>
      <c r="P4" s="238" t="str">
        <f t="array" ref="P4:Q4">VLOOKUP($O4,$A$3:$C$7,{2,3},0)</f>
        <v>HP</v>
      </c>
      <c r="Q4" s="238" t="str">
        <v>Printer</v>
      </c>
    </row>
    <row r="5" spans="1:17" ht="16.5" customHeight="1">
      <c r="A5" s="4">
        <v>102</v>
      </c>
      <c r="B5" s="184" t="s">
        <v>462</v>
      </c>
      <c r="C5" s="184" t="s">
        <v>463</v>
      </c>
      <c r="D5" s="580"/>
      <c r="O5" s="280">
        <v>103</v>
      </c>
      <c r="P5" s="238" t="str">
        <f t="array" ref="P5:Q5">VLOOKUP($O5,$A$3:$C$7,{2,3},0)</f>
        <v>Logitech</v>
      </c>
      <c r="Q5" s="238" t="str">
        <v>Mouse</v>
      </c>
    </row>
    <row r="6" spans="1:17" ht="16.5" customHeight="1">
      <c r="A6" s="4">
        <v>103</v>
      </c>
      <c r="B6" s="184" t="s">
        <v>462</v>
      </c>
      <c r="C6" s="184" t="s">
        <v>464</v>
      </c>
      <c r="D6" s="580"/>
      <c r="O6" s="280">
        <v>104</v>
      </c>
      <c r="P6" s="238" t="str">
        <f t="array" ref="P6:Q6">VLOOKUP($O6,$A$3:$C$7,{2,3},0)</f>
        <v>HP</v>
      </c>
      <c r="Q6" s="238" t="str">
        <v>Printer</v>
      </c>
    </row>
    <row r="7" spans="1:17" ht="16.5" customHeight="1">
      <c r="A7" s="4">
        <v>104</v>
      </c>
      <c r="B7" s="184" t="s">
        <v>460</v>
      </c>
      <c r="C7" s="184" t="s">
        <v>461</v>
      </c>
      <c r="D7" s="580"/>
      <c r="O7" s="280">
        <v>101</v>
      </c>
      <c r="P7" s="238" t="str">
        <f t="array" ref="P7:Q7">VLOOKUP($O7,$A$3:$C$7,{2,3},0)</f>
        <v>Dell</v>
      </c>
      <c r="Q7" s="238" t="str">
        <v>Computer</v>
      </c>
    </row>
    <row r="8" spans="1:17" ht="16.5" customHeight="1">
      <c r="A8" s="534" t="s">
        <v>465</v>
      </c>
      <c r="B8" s="534"/>
      <c r="C8" s="534"/>
      <c r="D8" s="534"/>
      <c r="E8" s="534"/>
      <c r="F8" s="621"/>
      <c r="O8" s="280">
        <v>102</v>
      </c>
      <c r="P8" s="238" t="str">
        <f t="array" ref="P8:Q8">VLOOKUP($O8,$A$3:$C$7,{2,3},0)</f>
        <v>Logitech</v>
      </c>
      <c r="Q8" s="238" t="str">
        <v>Keyboard</v>
      </c>
    </row>
    <row r="9" spans="1:17" ht="16.5" customHeight="1">
      <c r="A9" s="534"/>
      <c r="B9" s="534"/>
      <c r="C9" s="534"/>
      <c r="D9" s="534"/>
      <c r="E9" s="534"/>
      <c r="F9" s="621"/>
      <c r="O9" s="280">
        <v>103</v>
      </c>
      <c r="P9" s="238" t="str">
        <f t="array" ref="P9:Q9">VLOOKUP($O9,$A$3:$C$7,{2,3},0)</f>
        <v>Logitech</v>
      </c>
      <c r="Q9" s="238" t="str">
        <v>Mouse</v>
      </c>
    </row>
    <row r="10" spans="1:17" ht="16.5" customHeight="1">
      <c r="A10" s="534"/>
      <c r="B10" s="534"/>
      <c r="C10" s="534"/>
      <c r="D10" s="534"/>
      <c r="E10" s="534"/>
      <c r="F10" s="621"/>
      <c r="O10" s="280">
        <v>101</v>
      </c>
      <c r="P10" s="238" t="str">
        <f t="array" ref="P10:Q10">VLOOKUP($O10,$A$3:$C$7,{2,3},0)</f>
        <v>Dell</v>
      </c>
      <c r="Q10" s="238" t="str">
        <v>Computer</v>
      </c>
    </row>
    <row r="11" spans="1:17" ht="16.5" customHeight="1">
      <c r="A11" s="534"/>
      <c r="B11" s="534"/>
      <c r="C11" s="534"/>
      <c r="D11" s="534"/>
      <c r="E11" s="534"/>
      <c r="F11" s="621"/>
      <c r="O11" s="280">
        <v>104</v>
      </c>
      <c r="P11" s="238" t="str">
        <f t="array" ref="P11:Q11">VLOOKUP($O11,$A$3:$C$7,{2,3},0)</f>
        <v>HP</v>
      </c>
      <c r="Q11" s="238" t="str">
        <v>Printer</v>
      </c>
    </row>
    <row r="12" spans="1:17" ht="16.5" customHeight="1">
      <c r="A12" s="534"/>
      <c r="B12" s="534"/>
      <c r="C12" s="534"/>
      <c r="D12" s="534"/>
      <c r="E12" s="534"/>
      <c r="F12" s="621"/>
      <c r="O12" s="280">
        <v>101</v>
      </c>
      <c r="P12" s="238" t="str">
        <f t="array" ref="P12:Q12">VLOOKUP($O12,$A$3:$C$7,{2,3},0)</f>
        <v>Dell</v>
      </c>
      <c r="Q12" s="238" t="str">
        <v>Computer</v>
      </c>
    </row>
    <row r="13" spans="1:17" ht="16.5" customHeight="1">
      <c r="A13" s="534"/>
      <c r="B13" s="534"/>
      <c r="C13" s="534"/>
      <c r="D13" s="534"/>
      <c r="E13" s="534"/>
      <c r="F13" s="621"/>
      <c r="O13" s="280">
        <v>102</v>
      </c>
      <c r="P13" s="238" t="str">
        <f t="array" ref="P13:Q13">VLOOKUP($O13,$A$3:$C$7,{2,3},0)</f>
        <v>Logitech</v>
      </c>
      <c r="Q13" s="238" t="str">
        <v>Keyboard</v>
      </c>
    </row>
    <row r="14" spans="1:17" ht="41.25" customHeight="1">
      <c r="A14" s="589" t="s">
        <v>466</v>
      </c>
      <c r="B14" s="589"/>
      <c r="C14" s="589"/>
      <c r="D14" s="589"/>
      <c r="E14" s="589"/>
      <c r="F14" s="589"/>
      <c r="G14" s="589"/>
      <c r="H14" s="589"/>
      <c r="I14" s="589"/>
      <c r="J14" s="589"/>
      <c r="K14" s="589"/>
    </row>
    <row r="15" spans="1:17" ht="44.1" customHeight="1">
      <c r="A15" s="534" t="s">
        <v>467</v>
      </c>
      <c r="B15" s="534"/>
      <c r="C15" s="534"/>
      <c r="D15" s="534"/>
      <c r="E15" s="534"/>
      <c r="F15" s="534"/>
      <c r="G15" s="534"/>
      <c r="H15" s="534"/>
      <c r="I15" s="534"/>
      <c r="J15" s="534"/>
      <c r="K15" s="534"/>
    </row>
    <row r="16" spans="1:17" ht="16.5" customHeight="1">
      <c r="A16" s="445" t="s">
        <v>468</v>
      </c>
      <c r="B16" s="472">
        <v>101</v>
      </c>
      <c r="C16" s="472">
        <v>102</v>
      </c>
      <c r="D16" s="472">
        <v>103</v>
      </c>
      <c r="E16" s="83">
        <v>104</v>
      </c>
      <c r="F16" s="540"/>
      <c r="J16" s="454" t="s">
        <v>455</v>
      </c>
      <c r="K16" s="81" t="s">
        <v>456</v>
      </c>
      <c r="L16" s="454" t="s">
        <v>457</v>
      </c>
    </row>
    <row r="17" spans="1:15" ht="16.5" customHeight="1">
      <c r="A17" s="473" t="s">
        <v>456</v>
      </c>
      <c r="B17" s="314" t="s">
        <v>458</v>
      </c>
      <c r="C17" s="315" t="s">
        <v>462</v>
      </c>
      <c r="D17" s="316" t="s">
        <v>462</v>
      </c>
      <c r="E17" s="7" t="s">
        <v>460</v>
      </c>
      <c r="F17" s="540"/>
      <c r="J17" s="280">
        <v>104</v>
      </c>
      <c r="L17" t="str">
        <f t="array" ref="L17">VLOOKUP($J17,$A$3:$C$7,{2,3},0)</f>
        <v>HP</v>
      </c>
    </row>
    <row r="18" spans="1:15" ht="16.5" customHeight="1">
      <c r="A18" s="473" t="s">
        <v>457</v>
      </c>
      <c r="B18" s="316" t="s">
        <v>459</v>
      </c>
      <c r="C18" s="316" t="s">
        <v>463</v>
      </c>
      <c r="D18" s="316" t="s">
        <v>464</v>
      </c>
      <c r="E18" s="7" t="s">
        <v>461</v>
      </c>
      <c r="F18" s="540"/>
      <c r="J18" s="280">
        <v>103</v>
      </c>
    </row>
    <row r="19" spans="1:15" ht="15.75" customHeight="1">
      <c r="A19" s="560"/>
      <c r="B19" s="560"/>
      <c r="C19" s="560"/>
      <c r="D19" s="560"/>
      <c r="E19" s="560"/>
      <c r="F19" s="560"/>
      <c r="G19" s="560"/>
      <c r="H19" s="560"/>
      <c r="I19" s="560"/>
      <c r="J19" s="560"/>
      <c r="K19" s="560"/>
      <c r="O19" s="280">
        <v>104</v>
      </c>
    </row>
    <row r="20" spans="1:15" ht="16.5" customHeight="1">
      <c r="A20" s="474" t="s">
        <v>453</v>
      </c>
      <c r="B20" s="474" t="s">
        <v>400</v>
      </c>
      <c r="C20" s="475" t="s">
        <v>454</v>
      </c>
      <c r="D20" s="222"/>
      <c r="E20" s="14"/>
      <c r="F20" s="14"/>
      <c r="G20" s="14"/>
      <c r="K20" s="280">
        <v>101</v>
      </c>
    </row>
    <row r="21" spans="1:15" ht="16.5" customHeight="1">
      <c r="A21" s="185">
        <v>104</v>
      </c>
      <c r="B21" s="483" t="str">
        <f t="array" ref="B21:C21">HLOOKUP($A21,$A$16:$E$18,{3,2},0)</f>
        <v>Printer</v>
      </c>
      <c r="C21" s="483" t="str">
        <v>HP</v>
      </c>
      <c r="D21" s="14" t="str">
        <f t="array" ref="D21">HLOOKUP($A21,$A$16:$E$18,{2},0)</f>
        <v>HP</v>
      </c>
      <c r="E21" s="14" t="str">
        <f t="array" ref="E21:F21">HLOOKUP(A21,A16:E18,{3,2},0)</f>
        <v>Printer</v>
      </c>
      <c r="F21" s="14" t="str">
        <v>HP</v>
      </c>
      <c r="J21" s="280">
        <v>102</v>
      </c>
      <c r="M21" t="s">
        <v>1259</v>
      </c>
      <c r="N21" t="s">
        <v>1260</v>
      </c>
    </row>
    <row r="22" spans="1:15" ht="16.5" customHeight="1">
      <c r="A22" s="185">
        <v>103</v>
      </c>
      <c r="B22" s="483" t="str">
        <f t="array" ref="B22:C22">HLOOKUP($A22,$A$16:$E$18,{3,2},0)</f>
        <v>Mouse</v>
      </c>
      <c r="C22" s="483" t="str">
        <v>Logitech</v>
      </c>
      <c r="D22" s="14" t="str">
        <f t="array" ref="D22">HLOOKUP($A22,$A$16:$E$18,{2},0)</f>
        <v>Logitech</v>
      </c>
      <c r="E22" s="14"/>
      <c r="F22" s="14"/>
      <c r="G22" s="14"/>
      <c r="K22" s="280">
        <v>103</v>
      </c>
    </row>
    <row r="23" spans="1:15" ht="16.5" customHeight="1">
      <c r="A23" s="185">
        <v>104</v>
      </c>
      <c r="B23" s="483" t="str">
        <f t="array" ref="B23:C23">HLOOKUP($A23,$A$16:$E$18,{3,2},0)</f>
        <v>Printer</v>
      </c>
      <c r="C23" s="483" t="str">
        <v>HP</v>
      </c>
      <c r="D23" s="14" t="str">
        <f t="array" ref="D23">HLOOKUP($A23,$A$16:$E$18,{2},0)</f>
        <v>HP</v>
      </c>
      <c r="E23" s="14"/>
      <c r="F23" s="14"/>
      <c r="G23" s="14"/>
      <c r="K23" s="280">
        <v>101</v>
      </c>
    </row>
    <row r="24" spans="1:15" ht="16.5" customHeight="1">
      <c r="A24" s="185">
        <v>101</v>
      </c>
      <c r="B24" s="483" t="str">
        <f t="array" ref="B24:C24">HLOOKUP($A24,$A$16:$E$18,{3,2},0)</f>
        <v>Computer</v>
      </c>
      <c r="C24" s="483" t="str">
        <v>Dell</v>
      </c>
      <c r="D24" s="14" t="str">
        <f t="array" ref="D24">HLOOKUP($A24,$A$16:$E$18,{2},0)</f>
        <v>Dell</v>
      </c>
      <c r="E24" s="14"/>
      <c r="F24" s="14"/>
      <c r="G24" s="14"/>
      <c r="K24" s="280">
        <v>104</v>
      </c>
    </row>
    <row r="25" spans="1:15" ht="16.5" customHeight="1">
      <c r="A25" s="185">
        <v>102</v>
      </c>
      <c r="B25" s="483" t="str">
        <f t="array" ref="B25:C25">HLOOKUP($A25,$A$16:$E$18,{3,2},0)</f>
        <v>Keyboard</v>
      </c>
      <c r="C25" s="483" t="str">
        <v>Logitech</v>
      </c>
      <c r="D25" s="14" t="str">
        <f t="array" ref="D25">HLOOKUP($A25,$A$16:$E$18,{2},0)</f>
        <v>Logitech</v>
      </c>
      <c r="E25" s="14"/>
      <c r="F25" s="14"/>
      <c r="G25" s="14"/>
      <c r="K25" s="280">
        <v>101</v>
      </c>
    </row>
    <row r="26" spans="1:15" ht="16.5" customHeight="1">
      <c r="A26" s="185">
        <v>103</v>
      </c>
      <c r="B26" s="483" t="str">
        <f t="array" ref="B26:C26">HLOOKUP($A26,$A$16:$E$18,{3,2},0)</f>
        <v>Mouse</v>
      </c>
      <c r="C26" s="483" t="str">
        <v>Logitech</v>
      </c>
      <c r="D26" s="14" t="str">
        <f t="array" ref="D26">HLOOKUP($A26,$A$16:$E$18,{2},0)</f>
        <v>Logitech</v>
      </c>
      <c r="E26" s="14"/>
      <c r="F26" s="14"/>
      <c r="G26" s="14"/>
      <c r="K26" s="280">
        <v>102</v>
      </c>
    </row>
    <row r="27" spans="1:15" ht="16.5" customHeight="1">
      <c r="A27" s="185">
        <v>101</v>
      </c>
      <c r="B27" s="483" t="str">
        <f t="array" ref="B27:C27">HLOOKUP($A27,$A$16:$E$18,{3,2},0)</f>
        <v>Computer</v>
      </c>
      <c r="C27" s="483" t="str">
        <v>Dell</v>
      </c>
      <c r="D27" s="14" t="str">
        <f t="array" ref="D27">HLOOKUP($A27,$A$16:$E$18,{2},0)</f>
        <v>Dell</v>
      </c>
      <c r="E27" s="14"/>
      <c r="F27" s="14"/>
      <c r="G27" s="14"/>
    </row>
    <row r="28" spans="1:15" ht="16.5" customHeight="1">
      <c r="A28" s="185">
        <v>104</v>
      </c>
      <c r="B28" s="483" t="str">
        <f t="array" ref="B28:C28">HLOOKUP($A28,$A$16:$E$18,{3,2},0)</f>
        <v>Printer</v>
      </c>
      <c r="C28" s="483" t="str">
        <v>HP</v>
      </c>
      <c r="D28" s="14" t="str">
        <f t="array" ref="D28">HLOOKUP($A28,$A$16:$E$18,{2},0)</f>
        <v>HP</v>
      </c>
      <c r="E28" s="14"/>
      <c r="F28" s="14"/>
      <c r="G28" s="14"/>
    </row>
    <row r="29" spans="1:15" ht="16.5" customHeight="1">
      <c r="A29" s="185">
        <v>101</v>
      </c>
      <c r="B29" s="483" t="str">
        <f t="array" ref="B29:C29">HLOOKUP($A29,$A$16:$E$18,{3,2},0)</f>
        <v>Computer</v>
      </c>
      <c r="C29" s="483" t="str">
        <v>Dell</v>
      </c>
      <c r="D29" s="14" t="str">
        <f t="array" ref="D29">HLOOKUP($A29,$A$16:$E$18,{2},0)</f>
        <v>Dell</v>
      </c>
      <c r="E29" s="14"/>
      <c r="F29" s="14"/>
      <c r="G29" s="14"/>
    </row>
    <row r="30" spans="1:15" ht="16.5" customHeight="1">
      <c r="A30" s="185">
        <v>102</v>
      </c>
      <c r="B30" s="483" t="str">
        <f t="array" ref="B30:C30">HLOOKUP($A30,$A$16:$E$18,{3,2},0)</f>
        <v>Keyboard</v>
      </c>
      <c r="C30" s="483" t="str">
        <v>Logitech</v>
      </c>
      <c r="D30" s="14" t="str">
        <f t="array" ref="D30">HLOOKUP($A30,$A$16:$E$18,{2},0)</f>
        <v>Logitech</v>
      </c>
      <c r="E30" s="14"/>
      <c r="F30" s="14"/>
      <c r="G30" s="14"/>
    </row>
  </sheetData>
  <mergeCells count="8">
    <mergeCell ref="A15:K15"/>
    <mergeCell ref="F16:F18"/>
    <mergeCell ref="A19:K19"/>
    <mergeCell ref="A1:K1"/>
    <mergeCell ref="A2:K2"/>
    <mergeCell ref="D3:D7"/>
    <mergeCell ref="A8:F13"/>
    <mergeCell ref="A14:K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38"/>
  <sheetViews>
    <sheetView workbookViewId="0">
      <selection activeCell="E9" sqref="E9"/>
    </sheetView>
  </sheetViews>
  <sheetFormatPr defaultRowHeight="13.2"/>
  <cols>
    <col min="1" max="1" width="13.44140625" customWidth="1"/>
    <col min="2" max="2" width="10" bestFit="1" customWidth="1"/>
    <col min="3" max="3" width="12.44140625" customWidth="1"/>
    <col min="4" max="4" width="9.109375" bestFit="1" customWidth="1"/>
    <col min="5" max="5" width="19.33203125" customWidth="1"/>
    <col min="6" max="6" width="16.109375" bestFit="1" customWidth="1"/>
    <col min="7" max="7" width="13" bestFit="1" customWidth="1"/>
    <col min="8" max="8" width="9.33203125" customWidth="1"/>
    <col min="9" max="9" width="9.44140625" customWidth="1"/>
    <col min="10" max="10" width="20" customWidth="1"/>
    <col min="11" max="11" width="19.109375" customWidth="1"/>
    <col min="13" max="13" width="9.6640625" bestFit="1" customWidth="1"/>
  </cols>
  <sheetData>
    <row r="1" spans="1:11" ht="21" customHeight="1">
      <c r="A1" s="554" t="s">
        <v>469</v>
      </c>
      <c r="B1" s="554"/>
      <c r="C1" s="554"/>
      <c r="D1" s="554"/>
      <c r="E1" s="554"/>
      <c r="F1" s="554"/>
      <c r="G1" s="554"/>
      <c r="H1" s="554"/>
      <c r="I1" s="554"/>
      <c r="J1" s="554"/>
      <c r="K1" s="554"/>
    </row>
    <row r="2" spans="1:11" ht="29.1" customHeight="1">
      <c r="A2" s="534" t="s">
        <v>470</v>
      </c>
      <c r="B2" s="534"/>
      <c r="C2" s="534"/>
      <c r="D2" s="534"/>
      <c r="E2" s="534"/>
      <c r="F2" s="534"/>
      <c r="G2" s="534"/>
      <c r="H2" s="534"/>
      <c r="I2" s="534"/>
      <c r="J2" s="534"/>
      <c r="K2" s="534"/>
    </row>
    <row r="3" spans="1:11" ht="16.5" customHeight="1">
      <c r="A3" s="84" t="s">
        <v>471</v>
      </c>
      <c r="B3" s="622" t="s">
        <v>472</v>
      </c>
      <c r="C3" s="623"/>
      <c r="D3" s="624"/>
      <c r="E3" s="85" t="s">
        <v>473</v>
      </c>
      <c r="F3" s="625" t="s">
        <v>474</v>
      </c>
      <c r="G3" s="626"/>
      <c r="H3" s="627"/>
      <c r="I3" s="540"/>
      <c r="J3" s="551"/>
      <c r="K3" s="551"/>
    </row>
    <row r="4" spans="1:11" ht="16.5" customHeight="1">
      <c r="A4" s="5" t="s">
        <v>475</v>
      </c>
      <c r="B4" s="628">
        <v>5535</v>
      </c>
      <c r="C4" s="629"/>
      <c r="D4" s="630"/>
      <c r="E4" s="86">
        <v>5414</v>
      </c>
      <c r="F4" s="631">
        <v>9027</v>
      </c>
      <c r="G4" s="632"/>
      <c r="H4" s="633"/>
      <c r="I4" s="540"/>
      <c r="J4" s="551"/>
      <c r="K4" s="551"/>
    </row>
    <row r="5" spans="1:11" ht="16.5" customHeight="1">
      <c r="A5" s="5" t="s">
        <v>476</v>
      </c>
      <c r="B5" s="628">
        <v>5013</v>
      </c>
      <c r="C5" s="629"/>
      <c r="D5" s="630"/>
      <c r="E5" s="86">
        <v>5107</v>
      </c>
      <c r="F5" s="634">
        <v>11667</v>
      </c>
      <c r="G5" s="635"/>
      <c r="H5" s="636"/>
      <c r="I5" s="540"/>
      <c r="J5" s="551"/>
      <c r="K5" s="551"/>
    </row>
    <row r="6" spans="1:11" ht="16.5" customHeight="1">
      <c r="A6" s="5" t="s">
        <v>477</v>
      </c>
      <c r="B6" s="628">
        <v>6597</v>
      </c>
      <c r="C6" s="629"/>
      <c r="D6" s="630"/>
      <c r="E6" s="86">
        <v>3858</v>
      </c>
      <c r="F6" s="631">
        <v>1507</v>
      </c>
      <c r="G6" s="632"/>
      <c r="H6" s="633"/>
      <c r="I6" s="540"/>
      <c r="J6" s="551"/>
      <c r="K6" s="551"/>
    </row>
    <row r="7" spans="1:11" ht="16.5" customHeight="1">
      <c r="A7" s="5" t="s">
        <v>478</v>
      </c>
      <c r="B7" s="628">
        <v>3195</v>
      </c>
      <c r="C7" s="629"/>
      <c r="D7" s="630"/>
      <c r="E7" s="86">
        <v>3654</v>
      </c>
      <c r="F7" s="631">
        <v>7225</v>
      </c>
      <c r="G7" s="632"/>
      <c r="H7" s="633"/>
      <c r="I7" s="540"/>
      <c r="J7" s="551"/>
      <c r="K7" s="551"/>
    </row>
    <row r="8" spans="1:11" ht="15.75" customHeight="1">
      <c r="A8" s="560"/>
      <c r="B8" s="560"/>
      <c r="C8" s="560"/>
      <c r="D8" s="560"/>
      <c r="E8" s="560"/>
      <c r="F8" s="560"/>
      <c r="G8" s="560"/>
      <c r="H8" s="560"/>
      <c r="I8" s="560"/>
      <c r="J8" s="560"/>
      <c r="K8" s="560"/>
    </row>
    <row r="9" spans="1:11" ht="16.5" customHeight="1">
      <c r="A9" s="87" t="s">
        <v>479</v>
      </c>
      <c r="B9" s="622" t="s">
        <v>474</v>
      </c>
      <c r="C9" s="623"/>
      <c r="D9" s="623"/>
      <c r="E9" s="452">
        <f>INDEX($B$4:$H$7,MATCH($A9,$A$4:$A$7,0),MATCH(B$9,$B$3:$H$3,0))</f>
        <v>1507</v>
      </c>
      <c r="F9" s="536" t="s">
        <v>480</v>
      </c>
      <c r="G9" s="536"/>
      <c r="H9" s="536"/>
      <c r="I9" s="536"/>
      <c r="J9" s="536"/>
      <c r="K9" s="536"/>
    </row>
    <row r="10" spans="1:11" ht="16.5" customHeight="1">
      <c r="A10" s="5" t="s">
        <v>478</v>
      </c>
      <c r="B10" s="637" t="s">
        <v>481</v>
      </c>
      <c r="C10" s="638"/>
      <c r="D10" s="638"/>
      <c r="E10" s="452">
        <f t="shared" ref="E10:E12" si="0">INDEX($B$4:$H$7,MATCH($A10,$A$4:$A$7,0),MATCH(B$9,$B$3:$H$3,0))</f>
        <v>7225</v>
      </c>
      <c r="F10" s="536"/>
      <c r="G10" s="536"/>
      <c r="H10" s="536"/>
      <c r="I10" s="536"/>
      <c r="J10" s="536"/>
      <c r="K10" s="536"/>
    </row>
    <row r="11" spans="1:11" ht="16.5" customHeight="1">
      <c r="A11" s="5" t="s">
        <v>476</v>
      </c>
      <c r="B11" s="637" t="s">
        <v>482</v>
      </c>
      <c r="C11" s="638"/>
      <c r="D11" s="638"/>
      <c r="E11" s="452">
        <f t="shared" si="0"/>
        <v>11667</v>
      </c>
      <c r="F11" s="536"/>
      <c r="G11" s="536"/>
      <c r="H11" s="536"/>
      <c r="I11" s="536"/>
      <c r="J11" s="536"/>
      <c r="K11" s="536"/>
    </row>
    <row r="12" spans="1:11" ht="16.5" customHeight="1">
      <c r="A12" s="5" t="s">
        <v>475</v>
      </c>
      <c r="B12" s="637" t="s">
        <v>483</v>
      </c>
      <c r="C12" s="638"/>
      <c r="D12" s="638"/>
      <c r="E12" s="452">
        <f t="shared" si="0"/>
        <v>9027</v>
      </c>
      <c r="F12" s="536"/>
      <c r="G12" s="536"/>
      <c r="H12" s="536"/>
      <c r="I12" s="536"/>
      <c r="J12" s="536"/>
      <c r="K12" s="536"/>
    </row>
    <row r="13" spans="1:11" ht="21" customHeight="1">
      <c r="A13" s="531" t="s">
        <v>484</v>
      </c>
      <c r="B13" s="531"/>
      <c r="C13" s="531"/>
      <c r="D13" s="531"/>
      <c r="E13" s="531"/>
      <c r="F13" s="531"/>
      <c r="G13" s="531"/>
      <c r="H13" s="531"/>
      <c r="I13" s="531"/>
      <c r="J13" s="531"/>
    </row>
    <row r="14" spans="1:11" ht="29.1" customHeight="1">
      <c r="A14" s="534" t="s">
        <v>485</v>
      </c>
      <c r="B14" s="534"/>
      <c r="C14" s="534"/>
      <c r="D14" s="534"/>
      <c r="E14" s="534"/>
      <c r="F14" s="534"/>
      <c r="G14" s="534"/>
      <c r="H14" s="534"/>
      <c r="I14" s="534"/>
      <c r="J14" s="534"/>
    </row>
    <row r="15" spans="1:11" ht="18" customHeight="1">
      <c r="A15" s="318" t="s">
        <v>486</v>
      </c>
      <c r="B15" s="89" t="s">
        <v>487</v>
      </c>
      <c r="C15" s="318" t="s">
        <v>488</v>
      </c>
      <c r="D15" s="88" t="s">
        <v>489</v>
      </c>
      <c r="E15" s="318" t="s">
        <v>489</v>
      </c>
      <c r="F15" s="90" t="s">
        <v>487</v>
      </c>
    </row>
    <row r="16" spans="1:11" ht="15.75" customHeight="1">
      <c r="A16" s="317" t="s">
        <v>490</v>
      </c>
      <c r="B16" s="91">
        <v>92671</v>
      </c>
      <c r="C16" s="317" t="s">
        <v>491</v>
      </c>
      <c r="D16" s="12" t="s">
        <v>492</v>
      </c>
      <c r="E16" s="317" t="s">
        <v>492</v>
      </c>
      <c r="F16" s="388">
        <f t="shared" ref="F16:F35" si="1">INDEX($B$16:$D$35,MATCH($E16,$D$16:$D$35,0),MATCH($F$15,$B$15:$D$15,0))</f>
        <v>92671</v>
      </c>
      <c r="H16">
        <f>INDEX($B$16:$B$35,MATCH($E16,$D$16:$D$35,0))</f>
        <v>92671</v>
      </c>
    </row>
    <row r="17" spans="1:16" ht="18" customHeight="1">
      <c r="A17" s="317" t="s">
        <v>493</v>
      </c>
      <c r="B17" s="91">
        <v>84120</v>
      </c>
      <c r="C17" s="317" t="s">
        <v>494</v>
      </c>
      <c r="D17" s="12" t="s">
        <v>495</v>
      </c>
      <c r="E17" s="317" t="s">
        <v>495</v>
      </c>
      <c r="F17" s="388">
        <f t="shared" si="1"/>
        <v>84120</v>
      </c>
      <c r="H17">
        <f t="shared" ref="H17:H19" si="2">INDEX($B$16:$B$35,MATCH($E17,$D$16:$D$35,0))</f>
        <v>84120</v>
      </c>
    </row>
    <row r="18" spans="1:16" ht="18" customHeight="1">
      <c r="A18" s="317" t="s">
        <v>496</v>
      </c>
      <c r="B18" s="91">
        <v>50793</v>
      </c>
      <c r="C18" s="317" t="s">
        <v>497</v>
      </c>
      <c r="D18" s="12" t="s">
        <v>498</v>
      </c>
      <c r="E18" s="317" t="s">
        <v>498</v>
      </c>
      <c r="F18" s="388">
        <f t="shared" si="1"/>
        <v>50793</v>
      </c>
      <c r="H18">
        <f t="shared" si="2"/>
        <v>50793</v>
      </c>
      <c r="O18" s="639" t="s">
        <v>488</v>
      </c>
      <c r="P18" s="640"/>
    </row>
    <row r="19" spans="1:16" ht="18" customHeight="1">
      <c r="A19" s="317" t="s">
        <v>499</v>
      </c>
      <c r="B19" s="91">
        <v>77833</v>
      </c>
      <c r="C19" s="317" t="s">
        <v>500</v>
      </c>
      <c r="D19" s="12" t="s">
        <v>501</v>
      </c>
      <c r="E19" s="317" t="s">
        <v>501</v>
      </c>
      <c r="F19" s="388">
        <f t="shared" si="1"/>
        <v>77833</v>
      </c>
      <c r="G19" t="s">
        <v>1200</v>
      </c>
      <c r="H19">
        <f t="shared" si="2"/>
        <v>77833</v>
      </c>
      <c r="O19" s="641" t="s">
        <v>491</v>
      </c>
      <c r="P19" s="642"/>
    </row>
    <row r="20" spans="1:16" ht="18" customHeight="1">
      <c r="A20" s="317" t="s">
        <v>502</v>
      </c>
      <c r="B20" s="91">
        <v>58914</v>
      </c>
      <c r="C20" s="317" t="s">
        <v>503</v>
      </c>
      <c r="D20" s="12" t="s">
        <v>504</v>
      </c>
      <c r="E20" s="317" t="s">
        <v>504</v>
      </c>
      <c r="F20" s="388">
        <f t="shared" si="1"/>
        <v>58914</v>
      </c>
      <c r="O20" s="641" t="s">
        <v>494</v>
      </c>
      <c r="P20" s="642"/>
    </row>
    <row r="21" spans="1:16" ht="18" customHeight="1">
      <c r="A21" s="317" t="s">
        <v>505</v>
      </c>
      <c r="B21" s="91">
        <v>51096</v>
      </c>
      <c r="C21" s="317" t="s">
        <v>506</v>
      </c>
      <c r="D21" s="12" t="s">
        <v>507</v>
      </c>
      <c r="E21" s="317" t="s">
        <v>507</v>
      </c>
      <c r="F21" s="388">
        <f t="shared" si="1"/>
        <v>51096</v>
      </c>
      <c r="O21" s="641" t="s">
        <v>497</v>
      </c>
      <c r="P21" s="642"/>
    </row>
    <row r="22" spans="1:16" ht="18" customHeight="1">
      <c r="A22" s="317" t="s">
        <v>508</v>
      </c>
      <c r="B22" s="91">
        <v>83735</v>
      </c>
      <c r="C22" s="317" t="s">
        <v>497</v>
      </c>
      <c r="D22" s="12" t="s">
        <v>509</v>
      </c>
      <c r="E22" s="317" t="s">
        <v>509</v>
      </c>
      <c r="F22" s="388">
        <f t="shared" si="1"/>
        <v>83735</v>
      </c>
      <c r="O22" s="641" t="s">
        <v>500</v>
      </c>
      <c r="P22" s="642"/>
    </row>
    <row r="23" spans="1:16" ht="18" customHeight="1">
      <c r="A23" s="317" t="s">
        <v>510</v>
      </c>
      <c r="B23" s="91">
        <v>74418</v>
      </c>
      <c r="C23" s="317" t="s">
        <v>506</v>
      </c>
      <c r="D23" s="12" t="s">
        <v>511</v>
      </c>
      <c r="E23" s="317" t="s">
        <v>511</v>
      </c>
      <c r="F23" s="388">
        <f t="shared" si="1"/>
        <v>74418</v>
      </c>
      <c r="O23" s="641" t="s">
        <v>503</v>
      </c>
      <c r="P23" s="642"/>
    </row>
    <row r="24" spans="1:16" ht="18" customHeight="1">
      <c r="A24" s="317" t="s">
        <v>512</v>
      </c>
      <c r="B24" s="91">
        <v>51366</v>
      </c>
      <c r="C24" s="317" t="s">
        <v>491</v>
      </c>
      <c r="D24" s="12" t="s">
        <v>513</v>
      </c>
      <c r="E24" s="317" t="s">
        <v>513</v>
      </c>
      <c r="F24" s="388">
        <f t="shared" si="1"/>
        <v>51366</v>
      </c>
      <c r="O24" s="641" t="s">
        <v>506</v>
      </c>
      <c r="P24" s="642"/>
    </row>
    <row r="25" spans="1:16" ht="18" customHeight="1">
      <c r="A25" s="317" t="s">
        <v>514</v>
      </c>
      <c r="B25" s="91">
        <v>54600</v>
      </c>
      <c r="C25" s="317" t="s">
        <v>503</v>
      </c>
      <c r="D25" s="12" t="s">
        <v>515</v>
      </c>
      <c r="E25" s="317" t="s">
        <v>515</v>
      </c>
      <c r="F25" s="388">
        <f t="shared" si="1"/>
        <v>54600</v>
      </c>
      <c r="O25" s="641" t="s">
        <v>497</v>
      </c>
      <c r="P25" s="642"/>
    </row>
    <row r="26" spans="1:16" ht="18" customHeight="1">
      <c r="A26" s="317" t="s">
        <v>516</v>
      </c>
      <c r="B26" s="91">
        <v>93509</v>
      </c>
      <c r="C26" s="317" t="s">
        <v>494</v>
      </c>
      <c r="D26" s="12" t="s">
        <v>517</v>
      </c>
      <c r="E26" s="317" t="s">
        <v>517</v>
      </c>
      <c r="F26" s="388">
        <f t="shared" si="1"/>
        <v>93509</v>
      </c>
      <c r="O26" s="641" t="s">
        <v>506</v>
      </c>
      <c r="P26" s="642"/>
    </row>
    <row r="27" spans="1:16" ht="18" customHeight="1">
      <c r="A27" s="317" t="s">
        <v>518</v>
      </c>
      <c r="B27" s="91">
        <v>80105</v>
      </c>
      <c r="C27" s="317" t="s">
        <v>503</v>
      </c>
      <c r="D27" s="12" t="s">
        <v>519</v>
      </c>
      <c r="E27" s="317" t="s">
        <v>519</v>
      </c>
      <c r="F27" s="388">
        <f t="shared" si="1"/>
        <v>80105</v>
      </c>
      <c r="O27" s="641" t="s">
        <v>491</v>
      </c>
      <c r="P27" s="642"/>
    </row>
    <row r="28" spans="1:16" ht="18" customHeight="1">
      <c r="A28" s="317" t="s">
        <v>520</v>
      </c>
      <c r="B28" s="91">
        <v>60802</v>
      </c>
      <c r="C28" s="317" t="s">
        <v>497</v>
      </c>
      <c r="D28" s="12" t="s">
        <v>521</v>
      </c>
      <c r="E28" s="317" t="s">
        <v>521</v>
      </c>
      <c r="F28" s="388">
        <f t="shared" si="1"/>
        <v>60802</v>
      </c>
      <c r="O28" s="641" t="s">
        <v>503</v>
      </c>
      <c r="P28" s="642"/>
    </row>
    <row r="29" spans="1:16" ht="18" customHeight="1">
      <c r="A29" s="317" t="s">
        <v>522</v>
      </c>
      <c r="B29" s="91">
        <v>76260</v>
      </c>
      <c r="C29" s="317" t="s">
        <v>491</v>
      </c>
      <c r="D29" s="12" t="s">
        <v>523</v>
      </c>
      <c r="E29" s="317" t="s">
        <v>523</v>
      </c>
      <c r="F29" s="388">
        <f t="shared" si="1"/>
        <v>76260</v>
      </c>
      <c r="O29" s="641" t="s">
        <v>494</v>
      </c>
      <c r="P29" s="642"/>
    </row>
    <row r="30" spans="1:16" ht="18" customHeight="1">
      <c r="A30" s="317" t="s">
        <v>524</v>
      </c>
      <c r="B30" s="91">
        <v>88965</v>
      </c>
      <c r="C30" s="317" t="s">
        <v>506</v>
      </c>
      <c r="D30" s="12" t="s">
        <v>525</v>
      </c>
      <c r="E30" s="317" t="s">
        <v>525</v>
      </c>
      <c r="F30" s="388">
        <f t="shared" si="1"/>
        <v>88965</v>
      </c>
      <c r="O30" s="641" t="s">
        <v>503</v>
      </c>
      <c r="P30" s="642"/>
    </row>
    <row r="31" spans="1:16" ht="18" customHeight="1">
      <c r="A31" s="317" t="s">
        <v>526</v>
      </c>
      <c r="B31" s="91">
        <v>63288</v>
      </c>
      <c r="C31" s="317" t="s">
        <v>494</v>
      </c>
      <c r="D31" s="12" t="s">
        <v>527</v>
      </c>
      <c r="E31" s="317" t="s">
        <v>527</v>
      </c>
      <c r="F31" s="388">
        <f t="shared" si="1"/>
        <v>63288</v>
      </c>
      <c r="O31" s="641" t="s">
        <v>497</v>
      </c>
      <c r="P31" s="642"/>
    </row>
    <row r="32" spans="1:16" ht="18" customHeight="1">
      <c r="A32" s="317" t="s">
        <v>528</v>
      </c>
      <c r="B32" s="91">
        <v>45742</v>
      </c>
      <c r="C32" s="317" t="s">
        <v>491</v>
      </c>
      <c r="D32" s="12" t="s">
        <v>529</v>
      </c>
      <c r="E32" s="317" t="s">
        <v>529</v>
      </c>
      <c r="F32" s="388">
        <f t="shared" si="1"/>
        <v>45742</v>
      </c>
      <c r="O32" s="641" t="s">
        <v>491</v>
      </c>
      <c r="P32" s="642"/>
    </row>
    <row r="33" spans="1:20" ht="18" customHeight="1">
      <c r="A33" s="317" t="s">
        <v>530</v>
      </c>
      <c r="B33" s="91">
        <v>88354</v>
      </c>
      <c r="C33" s="317" t="s">
        <v>497</v>
      </c>
      <c r="D33" s="12" t="s">
        <v>531</v>
      </c>
      <c r="E33" s="317" t="s">
        <v>531</v>
      </c>
      <c r="F33" s="388">
        <f t="shared" si="1"/>
        <v>88354</v>
      </c>
      <c r="O33" s="641" t="s">
        <v>506</v>
      </c>
      <c r="P33" s="642"/>
    </row>
    <row r="34" spans="1:20" ht="18" customHeight="1">
      <c r="A34" s="317" t="s">
        <v>532</v>
      </c>
      <c r="B34" s="91">
        <v>76641</v>
      </c>
      <c r="C34" s="317" t="s">
        <v>497</v>
      </c>
      <c r="D34" s="12" t="s">
        <v>533</v>
      </c>
      <c r="E34" s="317" t="s">
        <v>533</v>
      </c>
      <c r="F34" s="388">
        <f t="shared" si="1"/>
        <v>76641</v>
      </c>
      <c r="O34" s="641" t="s">
        <v>494</v>
      </c>
      <c r="P34" s="642"/>
    </row>
    <row r="35" spans="1:20" ht="18" customHeight="1">
      <c r="A35" s="317" t="s">
        <v>534</v>
      </c>
      <c r="B35" s="91">
        <v>61678</v>
      </c>
      <c r="C35" s="317" t="s">
        <v>491</v>
      </c>
      <c r="D35" s="12" t="s">
        <v>535</v>
      </c>
      <c r="E35" s="317" t="s">
        <v>535</v>
      </c>
      <c r="F35" s="388">
        <f t="shared" si="1"/>
        <v>61678</v>
      </c>
      <c r="O35" s="641" t="s">
        <v>491</v>
      </c>
      <c r="P35" s="642"/>
    </row>
    <row r="36" spans="1:20" ht="15.6">
      <c r="S36" s="641" t="s">
        <v>497</v>
      </c>
      <c r="T36" s="642"/>
    </row>
    <row r="37" spans="1:20" ht="15.6">
      <c r="S37" s="641" t="s">
        <v>497</v>
      </c>
      <c r="T37" s="642"/>
    </row>
    <row r="38" spans="1:20" ht="15.6">
      <c r="S38" s="641" t="s">
        <v>491</v>
      </c>
      <c r="T38" s="642"/>
    </row>
  </sheetData>
  <mergeCells count="42">
    <mergeCell ref="S38:T38"/>
    <mergeCell ref="O33:P33"/>
    <mergeCell ref="O34:P34"/>
    <mergeCell ref="O35:P35"/>
    <mergeCell ref="S36:T36"/>
    <mergeCell ref="S37:T37"/>
    <mergeCell ref="O28:P28"/>
    <mergeCell ref="O29:P29"/>
    <mergeCell ref="O30:P30"/>
    <mergeCell ref="O31:P31"/>
    <mergeCell ref="O32:P32"/>
    <mergeCell ref="O23:P23"/>
    <mergeCell ref="O24:P24"/>
    <mergeCell ref="O25:P25"/>
    <mergeCell ref="O26:P26"/>
    <mergeCell ref="O27:P27"/>
    <mergeCell ref="O18:P18"/>
    <mergeCell ref="O19:P19"/>
    <mergeCell ref="O20:P20"/>
    <mergeCell ref="O21:P21"/>
    <mergeCell ref="O22:P22"/>
    <mergeCell ref="A13:J13"/>
    <mergeCell ref="A14:J14"/>
    <mergeCell ref="A8:K8"/>
    <mergeCell ref="B9:D9"/>
    <mergeCell ref="F9:K12"/>
    <mergeCell ref="B10:D10"/>
    <mergeCell ref="B11:D11"/>
    <mergeCell ref="B12:D12"/>
    <mergeCell ref="A1:K1"/>
    <mergeCell ref="A2:K2"/>
    <mergeCell ref="B3:D3"/>
    <mergeCell ref="F3:H3"/>
    <mergeCell ref="I3:K7"/>
    <mergeCell ref="B4:D4"/>
    <mergeCell ref="F4:H4"/>
    <mergeCell ref="B5:D5"/>
    <mergeCell ref="F5:H5"/>
    <mergeCell ref="B6:D6"/>
    <mergeCell ref="F6:H6"/>
    <mergeCell ref="B7:D7"/>
    <mergeCell ref="F7:H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42"/>
  <sheetViews>
    <sheetView workbookViewId="0">
      <selection activeCell="G31" sqref="G31"/>
    </sheetView>
  </sheetViews>
  <sheetFormatPr defaultColWidth="9.33203125" defaultRowHeight="13.2"/>
  <cols>
    <col min="1" max="1" width="14.109375" customWidth="1"/>
    <col min="2" max="2" width="11.44140625" bestFit="1" customWidth="1"/>
    <col min="3" max="3" width="15.109375" bestFit="1" customWidth="1"/>
    <col min="4" max="4" width="10.6640625" customWidth="1"/>
    <col min="5" max="5" width="14.109375" customWidth="1"/>
    <col min="6" max="6" width="15.77734375" customWidth="1"/>
    <col min="7" max="8" width="9.77734375" customWidth="1"/>
    <col min="9" max="9" width="7" customWidth="1"/>
    <col min="10" max="10" width="10" customWidth="1"/>
    <col min="11" max="11" width="12.109375" customWidth="1"/>
    <col min="12" max="12" width="22.44140625" customWidth="1"/>
    <col min="13" max="13" width="15.109375" bestFit="1" customWidth="1"/>
    <col min="17" max="17" width="23.6640625" customWidth="1"/>
    <col min="21" max="21" width="15.109375" bestFit="1" customWidth="1"/>
  </cols>
  <sheetData>
    <row r="1" spans="1:22" ht="21" customHeight="1">
      <c r="A1" s="479" t="s">
        <v>536</v>
      </c>
      <c r="B1" s="479"/>
      <c r="C1" s="479"/>
      <c r="D1" s="479"/>
      <c r="E1" s="479"/>
      <c r="F1" s="479"/>
      <c r="G1" s="479"/>
      <c r="H1" s="479"/>
      <c r="I1" s="479"/>
      <c r="J1" s="479"/>
      <c r="K1" s="479"/>
      <c r="L1" s="479"/>
      <c r="M1" s="479"/>
    </row>
    <row r="2" spans="1:22" ht="52.5" customHeight="1">
      <c r="A2" s="476" t="s">
        <v>537</v>
      </c>
      <c r="B2" s="476"/>
      <c r="C2" s="476"/>
      <c r="D2" s="476"/>
      <c r="E2" s="476"/>
      <c r="F2" s="476"/>
      <c r="G2" s="476"/>
      <c r="H2" s="476"/>
      <c r="I2" s="476"/>
      <c r="J2" s="476"/>
      <c r="K2" s="476"/>
      <c r="L2" s="476"/>
      <c r="M2" s="476"/>
    </row>
    <row r="3" spans="1:22" ht="18" customHeight="1">
      <c r="A3" s="486" t="s">
        <v>1261</v>
      </c>
      <c r="B3" s="320" t="s">
        <v>487</v>
      </c>
      <c r="C3" s="318" t="s">
        <v>488</v>
      </c>
      <c r="D3" s="318" t="s">
        <v>489</v>
      </c>
      <c r="E3" s="88" t="s">
        <v>489</v>
      </c>
      <c r="F3" s="318" t="s">
        <v>487</v>
      </c>
      <c r="Q3" s="318" t="s">
        <v>487</v>
      </c>
      <c r="R3" s="318" t="s">
        <v>489</v>
      </c>
    </row>
    <row r="4" spans="1:22" ht="18" customHeight="1">
      <c r="A4" s="317" t="s">
        <v>490</v>
      </c>
      <c r="B4" s="319">
        <v>92671</v>
      </c>
      <c r="C4" s="317" t="s">
        <v>491</v>
      </c>
      <c r="D4" s="317" t="s">
        <v>492</v>
      </c>
      <c r="E4" s="12" t="s">
        <v>492</v>
      </c>
      <c r="R4" s="317" t="s">
        <v>492</v>
      </c>
      <c r="T4" s="233" t="s">
        <v>1200</v>
      </c>
      <c r="U4" s="389" t="s">
        <v>488</v>
      </c>
      <c r="V4" s="231" t="s">
        <v>1197</v>
      </c>
    </row>
    <row r="5" spans="1:22" ht="18" customHeight="1">
      <c r="A5" s="317" t="s">
        <v>493</v>
      </c>
      <c r="B5" s="319">
        <v>84120</v>
      </c>
      <c r="C5" s="317" t="s">
        <v>494</v>
      </c>
      <c r="D5" s="317" t="s">
        <v>495</v>
      </c>
      <c r="E5" s="12" t="s">
        <v>495</v>
      </c>
      <c r="R5" s="317" t="s">
        <v>495</v>
      </c>
      <c r="U5" s="390" t="s">
        <v>500</v>
      </c>
      <c r="V5" s="293">
        <f>COUNTIF($C$3:$C$23,$U5)</f>
        <v>1</v>
      </c>
    </row>
    <row r="6" spans="1:22" ht="18" customHeight="1">
      <c r="A6" s="317" t="s">
        <v>496</v>
      </c>
      <c r="B6" s="319">
        <v>50793</v>
      </c>
      <c r="C6" s="317" t="s">
        <v>497</v>
      </c>
      <c r="D6" s="317" t="s">
        <v>498</v>
      </c>
      <c r="E6" s="12" t="s">
        <v>498</v>
      </c>
      <c r="R6" s="317" t="s">
        <v>498</v>
      </c>
      <c r="U6" s="390" t="s">
        <v>506</v>
      </c>
      <c r="V6" s="293">
        <f>COUNTIF($C$3:$C$23,$U6)</f>
        <v>3</v>
      </c>
    </row>
    <row r="7" spans="1:22" ht="18" customHeight="1">
      <c r="A7" s="317" t="s">
        <v>499</v>
      </c>
      <c r="B7" s="319">
        <v>77833</v>
      </c>
      <c r="C7" s="317" t="s">
        <v>500</v>
      </c>
      <c r="D7" s="317" t="s">
        <v>501</v>
      </c>
      <c r="E7" s="12" t="s">
        <v>501</v>
      </c>
      <c r="F7" s="317"/>
      <c r="R7" s="317" t="s">
        <v>501</v>
      </c>
      <c r="U7" s="390" t="s">
        <v>497</v>
      </c>
      <c r="V7" s="293">
        <f>COUNTIF($C$3:$C$23,$U7)</f>
        <v>5</v>
      </c>
    </row>
    <row r="8" spans="1:22" ht="18" customHeight="1">
      <c r="A8" s="317" t="s">
        <v>502</v>
      </c>
      <c r="B8" s="319">
        <v>58914</v>
      </c>
      <c r="C8" s="317" t="s">
        <v>503</v>
      </c>
      <c r="D8" s="317" t="s">
        <v>504</v>
      </c>
      <c r="E8" s="12" t="s">
        <v>504</v>
      </c>
      <c r="F8" s="317"/>
      <c r="R8" s="317" t="s">
        <v>504</v>
      </c>
    </row>
    <row r="9" spans="1:22" ht="18" customHeight="1">
      <c r="A9" s="317" t="s">
        <v>505</v>
      </c>
      <c r="B9" s="319">
        <v>51096</v>
      </c>
      <c r="C9" s="317" t="s">
        <v>506</v>
      </c>
      <c r="D9" s="317" t="s">
        <v>507</v>
      </c>
      <c r="E9" s="12" t="s">
        <v>507</v>
      </c>
      <c r="F9" s="317"/>
      <c r="R9" s="317" t="s">
        <v>507</v>
      </c>
      <c r="T9" s="233" t="s">
        <v>1203</v>
      </c>
      <c r="U9" s="390" t="s">
        <v>506</v>
      </c>
      <c r="V9" s="293">
        <f>SUMIF($C$3:$C$23,$U9,$B$3:$B$23)</f>
        <v>214479</v>
      </c>
    </row>
    <row r="10" spans="1:22" ht="18" customHeight="1">
      <c r="A10" s="317" t="s">
        <v>508</v>
      </c>
      <c r="B10" s="319">
        <v>83735</v>
      </c>
      <c r="C10" s="317" t="s">
        <v>497</v>
      </c>
      <c r="D10" s="317" t="s">
        <v>509</v>
      </c>
      <c r="E10" s="12" t="s">
        <v>509</v>
      </c>
      <c r="F10" s="317"/>
      <c r="R10" s="317" t="s">
        <v>509</v>
      </c>
      <c r="U10" s="390" t="s">
        <v>497</v>
      </c>
      <c r="V10" s="293">
        <f>SUMIF($C$3:$C$23,$U10,$B$3:$B$23)</f>
        <v>360325</v>
      </c>
    </row>
    <row r="11" spans="1:22" ht="18" customHeight="1">
      <c r="A11" s="317" t="s">
        <v>510</v>
      </c>
      <c r="B11" s="319">
        <v>74418</v>
      </c>
      <c r="C11" s="317" t="s">
        <v>506</v>
      </c>
      <c r="D11" s="317" t="s">
        <v>511</v>
      </c>
      <c r="E11" s="12" t="s">
        <v>511</v>
      </c>
      <c r="F11" s="317"/>
      <c r="R11" s="317" t="s">
        <v>511</v>
      </c>
    </row>
    <row r="12" spans="1:22" ht="18" customHeight="1">
      <c r="A12" s="317" t="s">
        <v>512</v>
      </c>
      <c r="B12" s="319">
        <v>51366</v>
      </c>
      <c r="C12" s="317" t="s">
        <v>491</v>
      </c>
      <c r="D12" s="317" t="s">
        <v>513</v>
      </c>
      <c r="E12" s="12" t="s">
        <v>513</v>
      </c>
      <c r="F12" s="317"/>
      <c r="R12" s="317" t="s">
        <v>513</v>
      </c>
    </row>
    <row r="13" spans="1:22" ht="18" customHeight="1">
      <c r="A13" s="317" t="s">
        <v>514</v>
      </c>
      <c r="B13" s="319">
        <v>54600</v>
      </c>
      <c r="C13" s="317" t="s">
        <v>503</v>
      </c>
      <c r="D13" s="317" t="s">
        <v>515</v>
      </c>
      <c r="E13" s="12" t="s">
        <v>515</v>
      </c>
      <c r="F13" s="317"/>
      <c r="R13" s="317" t="s">
        <v>515</v>
      </c>
    </row>
    <row r="14" spans="1:22" ht="18" customHeight="1">
      <c r="A14" s="317" t="s">
        <v>516</v>
      </c>
      <c r="B14" s="319">
        <v>93509</v>
      </c>
      <c r="C14" s="317" t="s">
        <v>494</v>
      </c>
      <c r="D14" s="317" t="s">
        <v>517</v>
      </c>
      <c r="E14" s="12" t="s">
        <v>517</v>
      </c>
      <c r="F14" s="317"/>
      <c r="R14" s="317" t="s">
        <v>517</v>
      </c>
    </row>
    <row r="15" spans="1:22" ht="18" customHeight="1">
      <c r="A15" s="317" t="s">
        <v>518</v>
      </c>
      <c r="B15" s="319">
        <v>80105</v>
      </c>
      <c r="C15" s="317" t="s">
        <v>503</v>
      </c>
      <c r="D15" s="317" t="s">
        <v>519</v>
      </c>
      <c r="E15" s="12" t="s">
        <v>519</v>
      </c>
      <c r="F15" s="317"/>
      <c r="R15" s="317" t="s">
        <v>519</v>
      </c>
    </row>
    <row r="16" spans="1:22" ht="18" customHeight="1">
      <c r="A16" s="317" t="s">
        <v>520</v>
      </c>
      <c r="B16" s="319">
        <v>60802</v>
      </c>
      <c r="C16" s="317" t="s">
        <v>497</v>
      </c>
      <c r="D16" s="317" t="s">
        <v>521</v>
      </c>
      <c r="E16" s="12" t="s">
        <v>521</v>
      </c>
      <c r="F16" s="317"/>
      <c r="R16" s="317" t="s">
        <v>521</v>
      </c>
    </row>
    <row r="17" spans="1:18" ht="18" customHeight="1">
      <c r="A17" s="317" t="s">
        <v>522</v>
      </c>
      <c r="B17" s="319">
        <v>76260</v>
      </c>
      <c r="C17" s="317" t="s">
        <v>491</v>
      </c>
      <c r="D17" s="317" t="s">
        <v>523</v>
      </c>
      <c r="E17" s="12" t="s">
        <v>523</v>
      </c>
      <c r="F17" s="317"/>
      <c r="R17" s="317" t="s">
        <v>523</v>
      </c>
    </row>
    <row r="18" spans="1:18" ht="18" customHeight="1">
      <c r="A18" s="317" t="s">
        <v>524</v>
      </c>
      <c r="B18" s="319">
        <v>88965</v>
      </c>
      <c r="C18" s="317" t="s">
        <v>506</v>
      </c>
      <c r="D18" s="317" t="s">
        <v>525</v>
      </c>
      <c r="E18" s="12" t="s">
        <v>525</v>
      </c>
      <c r="F18" s="317"/>
      <c r="R18" s="317" t="s">
        <v>525</v>
      </c>
    </row>
    <row r="19" spans="1:18" ht="18" customHeight="1">
      <c r="A19" s="317" t="s">
        <v>526</v>
      </c>
      <c r="B19" s="319">
        <v>63288</v>
      </c>
      <c r="C19" s="317" t="s">
        <v>494</v>
      </c>
      <c r="D19" s="317" t="s">
        <v>527</v>
      </c>
      <c r="E19" s="12" t="s">
        <v>527</v>
      </c>
      <c r="F19" s="317"/>
      <c r="R19" s="317" t="s">
        <v>527</v>
      </c>
    </row>
    <row r="20" spans="1:18" ht="18" customHeight="1">
      <c r="A20" s="317" t="s">
        <v>528</v>
      </c>
      <c r="B20" s="319">
        <v>45742</v>
      </c>
      <c r="C20" s="317" t="s">
        <v>491</v>
      </c>
      <c r="D20" s="317" t="s">
        <v>529</v>
      </c>
      <c r="E20" s="12" t="s">
        <v>529</v>
      </c>
      <c r="F20" s="317"/>
      <c r="R20" s="317" t="s">
        <v>529</v>
      </c>
    </row>
    <row r="21" spans="1:18" ht="18" customHeight="1">
      <c r="A21" s="317" t="s">
        <v>530</v>
      </c>
      <c r="B21" s="319">
        <v>88354</v>
      </c>
      <c r="C21" s="317" t="s">
        <v>497</v>
      </c>
      <c r="D21" s="317" t="s">
        <v>531</v>
      </c>
      <c r="E21" s="12" t="s">
        <v>531</v>
      </c>
      <c r="F21" s="317"/>
      <c r="R21" s="317" t="s">
        <v>531</v>
      </c>
    </row>
    <row r="22" spans="1:18" ht="18" customHeight="1">
      <c r="A22" s="317" t="s">
        <v>532</v>
      </c>
      <c r="B22" s="319">
        <v>76641</v>
      </c>
      <c r="C22" s="317" t="s">
        <v>497</v>
      </c>
      <c r="D22" s="317" t="s">
        <v>533</v>
      </c>
      <c r="E22" s="12" t="s">
        <v>533</v>
      </c>
      <c r="F22" s="317"/>
      <c r="R22" s="317" t="s">
        <v>533</v>
      </c>
    </row>
    <row r="23" spans="1:18" ht="18" customHeight="1">
      <c r="A23" s="317" t="s">
        <v>534</v>
      </c>
      <c r="B23" s="319">
        <v>61678</v>
      </c>
      <c r="C23" s="317" t="s">
        <v>491</v>
      </c>
      <c r="D23" s="317" t="s">
        <v>535</v>
      </c>
      <c r="E23" s="12" t="s">
        <v>535</v>
      </c>
      <c r="F23" s="317"/>
      <c r="R23" s="317" t="s">
        <v>535</v>
      </c>
    </row>
    <row r="24" spans="1:18" ht="37.5" customHeight="1">
      <c r="A24" s="480" t="s">
        <v>538</v>
      </c>
      <c r="B24" s="480"/>
      <c r="C24" s="480"/>
      <c r="D24" s="480"/>
      <c r="E24" s="480"/>
      <c r="F24" s="480"/>
      <c r="G24" s="480"/>
      <c r="H24" s="480"/>
      <c r="I24" s="480"/>
      <c r="J24" s="480"/>
      <c r="K24" s="16"/>
      <c r="L24" s="481" t="s">
        <v>539</v>
      </c>
      <c r="M24" s="481"/>
    </row>
    <row r="25" spans="1:18" ht="18" customHeight="1">
      <c r="A25" s="487" t="s">
        <v>540</v>
      </c>
      <c r="B25" s="487"/>
      <c r="C25" s="487"/>
      <c r="D25" s="487"/>
      <c r="E25" s="8"/>
      <c r="F25" s="8"/>
      <c r="G25" s="8"/>
      <c r="H25" s="8"/>
      <c r="I25" s="8"/>
      <c r="J25" s="8"/>
      <c r="K25" s="8"/>
      <c r="L25" s="482" t="s">
        <v>541</v>
      </c>
      <c r="M25" s="482"/>
      <c r="N25" s="238">
        <f>SUMIF(A3:A23,A14,B3:B23)</f>
        <v>93509</v>
      </c>
    </row>
    <row r="26" spans="1:18" ht="16.5" customHeight="1">
      <c r="A26" s="9" t="s">
        <v>542</v>
      </c>
      <c r="B26" s="9"/>
      <c r="C26" s="9"/>
      <c r="D26" s="9"/>
      <c r="E26" s="9"/>
      <c r="F26" s="9"/>
      <c r="G26" s="8"/>
      <c r="H26" s="8"/>
      <c r="I26" s="8"/>
      <c r="J26" s="8"/>
      <c r="K26" s="8"/>
      <c r="L26" s="9" t="s">
        <v>312</v>
      </c>
      <c r="M26" s="9"/>
    </row>
    <row r="27" spans="1:18" ht="43.5" customHeight="1">
      <c r="A27" s="485" t="s">
        <v>543</v>
      </c>
      <c r="B27" s="485"/>
      <c r="C27" s="485"/>
      <c r="D27" s="485"/>
      <c r="E27" s="485"/>
      <c r="F27" s="485"/>
      <c r="G27" s="485"/>
      <c r="H27" s="485"/>
      <c r="I27" s="485"/>
      <c r="J27" s="485"/>
      <c r="K27" s="485"/>
      <c r="L27" s="485"/>
    </row>
    <row r="28" spans="1:18" ht="28.5" customHeight="1">
      <c r="A28" s="478" t="s">
        <v>544</v>
      </c>
      <c r="B28" s="478"/>
      <c r="C28" s="478"/>
      <c r="D28" s="478"/>
      <c r="E28" s="478"/>
      <c r="F28" s="478"/>
      <c r="G28" s="478"/>
      <c r="H28" s="478"/>
      <c r="I28" s="478"/>
      <c r="J28" s="478"/>
      <c r="K28" s="478"/>
      <c r="L28" s="478"/>
    </row>
    <row r="29" spans="1:18" ht="16.5" customHeight="1">
      <c r="A29" s="92" t="s">
        <v>545</v>
      </c>
      <c r="B29" s="427" t="s">
        <v>546</v>
      </c>
      <c r="C29" s="427" t="s">
        <v>547</v>
      </c>
      <c r="D29" s="427" t="s">
        <v>548</v>
      </c>
      <c r="E29" s="427" t="s">
        <v>549</v>
      </c>
      <c r="F29" s="427" t="s">
        <v>550</v>
      </c>
    </row>
    <row r="30" spans="1:18" ht="16.5" customHeight="1">
      <c r="A30" s="80" t="s">
        <v>551</v>
      </c>
      <c r="B30" s="184" t="s">
        <v>552</v>
      </c>
      <c r="C30" s="184" t="s">
        <v>552</v>
      </c>
      <c r="D30" s="184" t="s">
        <v>553</v>
      </c>
      <c r="E30" s="184" t="s">
        <v>552</v>
      </c>
      <c r="F30" s="484" t="str">
        <f t="shared" ref="F30:F40" si="0">IF(AND(B30="pass",C30="pass",D30="pass",E30="pass"),"pass","fail")</f>
        <v>fail</v>
      </c>
      <c r="G30" t="str">
        <f>IF(AND(B30="pass",C30="pass",D30="pass",E30="pass"),"pass","fail")</f>
        <v>fail</v>
      </c>
    </row>
    <row r="31" spans="1:18" ht="16.5" customHeight="1">
      <c r="A31" s="80" t="s">
        <v>554</v>
      </c>
      <c r="B31" s="184" t="s">
        <v>552</v>
      </c>
      <c r="C31" s="184" t="s">
        <v>552</v>
      </c>
      <c r="D31" s="184" t="s">
        <v>552</v>
      </c>
      <c r="E31" s="184" t="s">
        <v>552</v>
      </c>
      <c r="F31" s="484" t="str">
        <f t="shared" si="0"/>
        <v>pass</v>
      </c>
      <c r="G31" t="str">
        <f t="shared" ref="G31:G40" si="1">IF(AND(B31="pass",C31="pass",D31="pass",E31="pass"),"pass","fail")</f>
        <v>pass</v>
      </c>
    </row>
    <row r="32" spans="1:18" ht="16.5" customHeight="1">
      <c r="A32" s="80" t="s">
        <v>555</v>
      </c>
      <c r="B32" s="184" t="s">
        <v>552</v>
      </c>
      <c r="C32" s="184" t="s">
        <v>553</v>
      </c>
      <c r="D32" s="184" t="s">
        <v>552</v>
      </c>
      <c r="E32" s="184" t="s">
        <v>552</v>
      </c>
      <c r="F32" s="484" t="str">
        <f t="shared" si="0"/>
        <v>fail</v>
      </c>
      <c r="G32" t="str">
        <f t="shared" si="1"/>
        <v>fail</v>
      </c>
    </row>
    <row r="33" spans="1:13" ht="16.5" customHeight="1">
      <c r="A33" s="80" t="s">
        <v>556</v>
      </c>
      <c r="B33" s="184" t="s">
        <v>552</v>
      </c>
      <c r="C33" s="184" t="s">
        <v>552</v>
      </c>
      <c r="D33" s="184" t="s">
        <v>552</v>
      </c>
      <c r="E33" s="184" t="s">
        <v>552</v>
      </c>
      <c r="F33" s="484" t="str">
        <f t="shared" si="0"/>
        <v>pass</v>
      </c>
      <c r="G33" t="str">
        <f t="shared" si="1"/>
        <v>pass</v>
      </c>
    </row>
    <row r="34" spans="1:13" ht="16.5" customHeight="1">
      <c r="A34" s="80" t="s">
        <v>557</v>
      </c>
      <c r="B34" s="184" t="s">
        <v>552</v>
      </c>
      <c r="C34" s="184" t="s">
        <v>553</v>
      </c>
      <c r="D34" s="184" t="s">
        <v>552</v>
      </c>
      <c r="E34" s="184" t="s">
        <v>552</v>
      </c>
      <c r="F34" s="484" t="str">
        <f t="shared" si="0"/>
        <v>fail</v>
      </c>
      <c r="G34" t="str">
        <f t="shared" si="1"/>
        <v>fail</v>
      </c>
    </row>
    <row r="35" spans="1:13" ht="16.5" customHeight="1">
      <c r="A35" s="80" t="s">
        <v>558</v>
      </c>
      <c r="B35" s="184" t="s">
        <v>553</v>
      </c>
      <c r="C35" s="184" t="s">
        <v>552</v>
      </c>
      <c r="D35" s="184" t="s">
        <v>552</v>
      </c>
      <c r="E35" s="184" t="s">
        <v>552</v>
      </c>
      <c r="F35" s="484" t="str">
        <f t="shared" si="0"/>
        <v>fail</v>
      </c>
      <c r="G35" t="str">
        <f t="shared" si="1"/>
        <v>fail</v>
      </c>
    </row>
    <row r="36" spans="1:13" ht="16.5" customHeight="1">
      <c r="A36" s="80" t="s">
        <v>559</v>
      </c>
      <c r="B36" s="184" t="s">
        <v>552</v>
      </c>
      <c r="C36" s="184" t="s">
        <v>552</v>
      </c>
      <c r="D36" s="184" t="s">
        <v>552</v>
      </c>
      <c r="E36" s="184" t="s">
        <v>553</v>
      </c>
      <c r="F36" s="484" t="str">
        <f t="shared" si="0"/>
        <v>fail</v>
      </c>
      <c r="G36" t="str">
        <f t="shared" si="1"/>
        <v>fail</v>
      </c>
    </row>
    <row r="37" spans="1:13" ht="14.4">
      <c r="A37" s="93" t="s">
        <v>560</v>
      </c>
      <c r="B37" s="365" t="s">
        <v>552</v>
      </c>
      <c r="C37" s="365" t="s">
        <v>552</v>
      </c>
      <c r="D37" s="365" t="s">
        <v>553</v>
      </c>
      <c r="E37" s="365" t="s">
        <v>552</v>
      </c>
      <c r="F37" s="484" t="str">
        <f t="shared" si="0"/>
        <v>fail</v>
      </c>
      <c r="G37" t="str">
        <f t="shared" si="1"/>
        <v>fail</v>
      </c>
    </row>
    <row r="38" spans="1:13" ht="14.4">
      <c r="A38" s="80" t="s">
        <v>561</v>
      </c>
      <c r="B38" s="184" t="s">
        <v>552</v>
      </c>
      <c r="C38" s="184" t="s">
        <v>552</v>
      </c>
      <c r="D38" s="184" t="s">
        <v>552</v>
      </c>
      <c r="E38" s="184" t="s">
        <v>552</v>
      </c>
      <c r="F38" s="484" t="str">
        <f t="shared" si="0"/>
        <v>pass</v>
      </c>
      <c r="G38" t="str">
        <f t="shared" si="1"/>
        <v>pass</v>
      </c>
    </row>
    <row r="39" spans="1:13" ht="14.4">
      <c r="A39" s="93" t="s">
        <v>560</v>
      </c>
      <c r="B39" s="365" t="s">
        <v>552</v>
      </c>
      <c r="C39" s="365" t="s">
        <v>552</v>
      </c>
      <c r="D39" s="365" t="s">
        <v>553</v>
      </c>
      <c r="E39" s="365" t="s">
        <v>552</v>
      </c>
      <c r="F39" s="484" t="str">
        <f t="shared" si="0"/>
        <v>fail</v>
      </c>
      <c r="G39" t="str">
        <f t="shared" si="1"/>
        <v>fail</v>
      </c>
    </row>
    <row r="40" spans="1:13" ht="14.4">
      <c r="A40" s="80" t="s">
        <v>561</v>
      </c>
      <c r="B40" s="184" t="s">
        <v>552</v>
      </c>
      <c r="C40" s="184" t="s">
        <v>552</v>
      </c>
      <c r="D40" s="184" t="s">
        <v>552</v>
      </c>
      <c r="E40" s="184" t="s">
        <v>552</v>
      </c>
      <c r="F40" s="484" t="str">
        <f t="shared" si="0"/>
        <v>pass</v>
      </c>
      <c r="G40" t="str">
        <f t="shared" si="1"/>
        <v>pass</v>
      </c>
    </row>
    <row r="42" spans="1:13" ht="25.5" customHeight="1">
      <c r="A42" s="477" t="s">
        <v>562</v>
      </c>
      <c r="B42" s="477"/>
      <c r="C42" s="477"/>
      <c r="D42" s="477"/>
      <c r="E42" s="477"/>
      <c r="F42" s="477"/>
      <c r="G42" s="477"/>
      <c r="H42" s="477"/>
      <c r="I42" s="477"/>
      <c r="J42" s="477"/>
      <c r="K42" s="477"/>
      <c r="L42" s="477"/>
      <c r="M42" s="47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0"/>
  <sheetViews>
    <sheetView workbookViewId="0">
      <selection activeCell="K10" sqref="K10"/>
    </sheetView>
  </sheetViews>
  <sheetFormatPr defaultRowHeight="13.2"/>
  <cols>
    <col min="1" max="1" width="36.77734375" bestFit="1" customWidth="1"/>
    <col min="2" max="2" width="14.6640625" bestFit="1" customWidth="1"/>
    <col min="3" max="3" width="22" customWidth="1"/>
    <col min="4" max="4" width="33.44140625" bestFit="1" customWidth="1"/>
    <col min="5" max="5" width="9.44140625" customWidth="1"/>
    <col min="6" max="6" width="19.109375" bestFit="1" customWidth="1"/>
    <col min="7" max="7" width="11.44140625" bestFit="1" customWidth="1"/>
    <col min="8" max="8" width="11" customWidth="1"/>
    <col min="9" max="9" width="33.44140625" bestFit="1" customWidth="1"/>
    <col min="10" max="10" width="17.6640625" bestFit="1" customWidth="1"/>
    <col min="11" max="11" width="16" customWidth="1"/>
    <col min="12" max="12" width="6.44140625" customWidth="1"/>
    <col min="13" max="13" width="3.109375" customWidth="1"/>
  </cols>
  <sheetData>
    <row r="1" spans="1:13" ht="16.5" customHeight="1"/>
    <row r="2" spans="1:13" ht="16.5" customHeight="1"/>
    <row r="3" spans="1:13" ht="34.5" customHeight="1"/>
    <row r="4" spans="1:13" ht="21" customHeight="1">
      <c r="A4" s="531" t="s">
        <v>563</v>
      </c>
      <c r="B4" s="531"/>
      <c r="C4" s="531"/>
      <c r="D4" s="531"/>
      <c r="E4" s="531"/>
      <c r="F4" s="531"/>
      <c r="G4" s="531"/>
      <c r="H4" s="531"/>
      <c r="I4" s="531"/>
      <c r="J4" s="531"/>
      <c r="K4" s="531"/>
      <c r="L4" s="531"/>
      <c r="M4" s="531"/>
    </row>
    <row r="5" spans="1:13" ht="28.5" customHeight="1">
      <c r="A5" s="545" t="s">
        <v>564</v>
      </c>
      <c r="B5" s="545"/>
      <c r="C5" s="545"/>
      <c r="D5" s="545"/>
      <c r="E5" s="545"/>
      <c r="F5" s="545"/>
      <c r="G5" s="545"/>
      <c r="H5" s="545"/>
      <c r="I5" s="545"/>
      <c r="J5" s="545"/>
      <c r="K5" s="545"/>
      <c r="L5" s="545"/>
      <c r="M5" s="545"/>
    </row>
    <row r="6" spans="1:13" ht="16.5" customHeight="1">
      <c r="A6" s="325" t="s">
        <v>340</v>
      </c>
      <c r="B6" s="325" t="s">
        <v>565</v>
      </c>
      <c r="C6" s="324" t="s">
        <v>566</v>
      </c>
      <c r="D6" s="328" t="s">
        <v>567</v>
      </c>
      <c r="E6" s="95" t="s">
        <v>568</v>
      </c>
      <c r="I6" s="391" t="s">
        <v>579</v>
      </c>
      <c r="J6" s="392" t="s">
        <v>580</v>
      </c>
      <c r="K6" s="293">
        <f>AVERAGEIF($D$6:$D$12,$J6,$E$6:$E$12)</f>
        <v>78.333333333333329</v>
      </c>
    </row>
    <row r="7" spans="1:13" ht="16.5" customHeight="1">
      <c r="A7" s="314" t="s">
        <v>13</v>
      </c>
      <c r="B7" s="326">
        <v>250</v>
      </c>
      <c r="C7" s="316" t="s">
        <v>209</v>
      </c>
      <c r="D7" s="314" t="s">
        <v>569</v>
      </c>
      <c r="E7" s="6">
        <v>90</v>
      </c>
      <c r="J7" s="393" t="s">
        <v>581</v>
      </c>
      <c r="K7" s="293">
        <f>AVERAGEIF($D$6:$D$12,$J7,$E$6:$E$12)</f>
        <v>59</v>
      </c>
    </row>
    <row r="8" spans="1:13" ht="16.5" customHeight="1">
      <c r="A8" s="314" t="s">
        <v>87</v>
      </c>
      <c r="B8" s="326">
        <v>110</v>
      </c>
      <c r="C8" s="316" t="s">
        <v>570</v>
      </c>
      <c r="D8" s="314" t="s">
        <v>571</v>
      </c>
      <c r="E8" s="6">
        <v>77</v>
      </c>
    </row>
    <row r="9" spans="1:13" ht="16.5" customHeight="1">
      <c r="A9" s="314" t="s">
        <v>572</v>
      </c>
      <c r="B9" s="326">
        <v>300</v>
      </c>
      <c r="C9" s="316" t="s">
        <v>573</v>
      </c>
      <c r="D9" s="314" t="s">
        <v>569</v>
      </c>
      <c r="E9" s="6">
        <v>80</v>
      </c>
      <c r="J9" s="231" t="s">
        <v>1223</v>
      </c>
      <c r="K9" s="231" t="s">
        <v>1224</v>
      </c>
    </row>
    <row r="10" spans="1:13" ht="16.5" customHeight="1">
      <c r="A10" s="314" t="s">
        <v>63</v>
      </c>
      <c r="B10" s="322">
        <v>50</v>
      </c>
      <c r="C10" s="316" t="s">
        <v>574</v>
      </c>
      <c r="D10" s="314" t="s">
        <v>569</v>
      </c>
      <c r="E10" s="6">
        <v>65</v>
      </c>
      <c r="J10" s="395" t="s">
        <v>63</v>
      </c>
      <c r="K10" s="256">
        <f>AVERAGEIF($A$6:$A$18,$J10,$B$6:$B$18)</f>
        <v>37.5</v>
      </c>
    </row>
    <row r="11" spans="1:13" ht="16.5" customHeight="1">
      <c r="A11" s="314" t="s">
        <v>575</v>
      </c>
      <c r="B11" s="322">
        <v>45</v>
      </c>
      <c r="C11" s="316" t="s">
        <v>576</v>
      </c>
      <c r="D11" s="314" t="s">
        <v>571</v>
      </c>
      <c r="E11" s="6">
        <v>45</v>
      </c>
      <c r="J11" s="395" t="s">
        <v>87</v>
      </c>
      <c r="K11" s="256">
        <f>AVERAGEIF($A$6:$A$18,$J11,$B$6:$B$18)</f>
        <v>194.33333333333334</v>
      </c>
    </row>
    <row r="12" spans="1:13" ht="16.5" customHeight="1">
      <c r="A12" s="314" t="s">
        <v>87</v>
      </c>
      <c r="B12" s="322">
        <v>23</v>
      </c>
      <c r="C12" s="314" t="s">
        <v>577</v>
      </c>
      <c r="D12" s="314" t="s">
        <v>571</v>
      </c>
      <c r="E12" s="6">
        <v>55</v>
      </c>
    </row>
    <row r="13" spans="1:13" ht="18" customHeight="1">
      <c r="A13" s="314" t="s">
        <v>578</v>
      </c>
      <c r="B13" s="322">
        <v>25</v>
      </c>
    </row>
    <row r="14" spans="1:13" ht="16.5" customHeight="1">
      <c r="A14" s="314" t="s">
        <v>13</v>
      </c>
      <c r="B14" s="322">
        <v>90</v>
      </c>
    </row>
    <row r="15" spans="1:13" ht="20.25" customHeight="1">
      <c r="A15" s="314" t="s">
        <v>87</v>
      </c>
      <c r="B15" s="326">
        <v>450</v>
      </c>
      <c r="D15" s="327">
        <f>AVERAGEIF($D$6:$D$12,$J6,$E$6:$E$12)</f>
        <v>78.333333333333329</v>
      </c>
    </row>
    <row r="16" spans="1:13" ht="16.5" customHeight="1">
      <c r="A16" s="314" t="s">
        <v>575</v>
      </c>
      <c r="B16" s="322">
        <v>23</v>
      </c>
      <c r="D16" s="314" t="s">
        <v>15</v>
      </c>
    </row>
    <row r="17" spans="1:13" ht="16.5" customHeight="1">
      <c r="A17" s="314" t="s">
        <v>13</v>
      </c>
      <c r="B17" s="326">
        <v>250</v>
      </c>
    </row>
    <row r="18" spans="1:13" ht="16.5" customHeight="1">
      <c r="A18" s="314" t="s">
        <v>63</v>
      </c>
      <c r="B18" s="322">
        <v>25</v>
      </c>
    </row>
    <row r="19" spans="1:13" ht="15.75" customHeight="1"/>
    <row r="20" spans="1:13" ht="16.5" customHeight="1"/>
    <row r="21" spans="1:13" ht="16.5" customHeight="1">
      <c r="B21" s="314" t="s">
        <v>15</v>
      </c>
    </row>
    <row r="22" spans="1:13" ht="30.6" customHeight="1">
      <c r="A22" s="552"/>
      <c r="B22" s="552"/>
      <c r="C22" s="552"/>
      <c r="D22" s="552"/>
      <c r="E22" s="552"/>
      <c r="F22" s="552"/>
      <c r="G22" s="552"/>
      <c r="H22" s="552"/>
      <c r="I22" s="552"/>
      <c r="J22" s="552"/>
      <c r="K22" s="552"/>
      <c r="L22" s="552"/>
      <c r="M22" s="552"/>
    </row>
    <row r="23" spans="1:13" ht="16.5" customHeight="1">
      <c r="A23" s="323" t="s">
        <v>582</v>
      </c>
      <c r="B23" s="323" t="s">
        <v>583</v>
      </c>
      <c r="C23" s="324" t="s">
        <v>584</v>
      </c>
      <c r="D23" s="540"/>
      <c r="E23" s="539"/>
      <c r="F23" s="325" t="s">
        <v>340</v>
      </c>
      <c r="G23" s="95" t="s">
        <v>565</v>
      </c>
      <c r="H23" s="540"/>
      <c r="I23" s="551"/>
      <c r="J23" s="238" t="s">
        <v>1225</v>
      </c>
      <c r="K23" s="238">
        <f>AVERAGEIF($G$23:$G$35,$J23,$G$23:$G$35)</f>
        <v>375</v>
      </c>
    </row>
    <row r="24" spans="1:13" ht="16.5" customHeight="1">
      <c r="A24" s="314" t="s">
        <v>476</v>
      </c>
      <c r="B24" s="315" t="s">
        <v>585</v>
      </c>
      <c r="C24" s="280">
        <v>25000</v>
      </c>
      <c r="D24" s="540"/>
      <c r="E24" s="539"/>
      <c r="F24" s="314" t="s">
        <v>13</v>
      </c>
      <c r="G24" s="27">
        <v>250</v>
      </c>
      <c r="H24" s="540"/>
      <c r="I24" s="551"/>
      <c r="J24" s="238" t="s">
        <v>1226</v>
      </c>
      <c r="K24" s="238">
        <f>AVERAGEIF($G$23:$G$35,$J24,$G$23:$G$35)</f>
        <v>40.142857142857146</v>
      </c>
    </row>
    <row r="25" spans="1:13" ht="16.5" customHeight="1">
      <c r="A25" s="314" t="s">
        <v>477</v>
      </c>
      <c r="B25" s="314" t="s">
        <v>586</v>
      </c>
      <c r="C25" s="280">
        <v>12000</v>
      </c>
      <c r="D25" s="540"/>
      <c r="E25" s="539"/>
      <c r="F25" s="314" t="s">
        <v>87</v>
      </c>
      <c r="G25" s="27">
        <v>110</v>
      </c>
      <c r="H25" s="540"/>
      <c r="I25" s="551"/>
    </row>
    <row r="26" spans="1:13" ht="16.5" customHeight="1">
      <c r="A26" s="314" t="s">
        <v>475</v>
      </c>
      <c r="B26" s="314" t="s">
        <v>587</v>
      </c>
      <c r="C26" s="280">
        <v>4200</v>
      </c>
      <c r="D26" s="540"/>
      <c r="E26" s="539"/>
      <c r="F26" s="314" t="s">
        <v>572</v>
      </c>
      <c r="G26" s="27">
        <v>300</v>
      </c>
      <c r="H26" s="540"/>
      <c r="I26" s="551"/>
    </row>
    <row r="27" spans="1:13" ht="16.5" customHeight="1">
      <c r="A27" s="314" t="s">
        <v>475</v>
      </c>
      <c r="B27" s="315" t="s">
        <v>588</v>
      </c>
      <c r="C27" s="280">
        <v>5600</v>
      </c>
      <c r="D27" s="540"/>
      <c r="E27" s="539"/>
      <c r="F27" s="314" t="s">
        <v>63</v>
      </c>
      <c r="G27" s="27">
        <v>50</v>
      </c>
      <c r="H27" s="540"/>
      <c r="I27" s="551"/>
    </row>
    <row r="28" spans="1:13" ht="16.5" customHeight="1">
      <c r="A28" s="314" t="s">
        <v>478</v>
      </c>
      <c r="B28" s="316" t="s">
        <v>589</v>
      </c>
      <c r="C28" s="280">
        <v>15000</v>
      </c>
      <c r="D28" s="540"/>
      <c r="E28" s="539"/>
      <c r="F28" s="314" t="s">
        <v>575</v>
      </c>
      <c r="G28" s="27">
        <v>45</v>
      </c>
      <c r="H28" s="540"/>
      <c r="I28" s="551"/>
    </row>
    <row r="29" spans="1:13" ht="16.5" customHeight="1">
      <c r="A29" s="314" t="s">
        <v>477</v>
      </c>
      <c r="B29" s="314" t="s">
        <v>590</v>
      </c>
      <c r="C29" s="280">
        <v>7000</v>
      </c>
      <c r="D29" s="540"/>
      <c r="E29" s="539"/>
      <c r="F29" s="314" t="s">
        <v>87</v>
      </c>
      <c r="G29" s="27">
        <v>23</v>
      </c>
      <c r="H29" s="540"/>
      <c r="I29" s="551"/>
    </row>
    <row r="30" spans="1:13" ht="16.5" customHeight="1">
      <c r="A30" s="314" t="s">
        <v>476</v>
      </c>
      <c r="B30" s="315" t="s">
        <v>591</v>
      </c>
      <c r="C30" s="280">
        <v>5200</v>
      </c>
      <c r="D30" s="540"/>
      <c r="E30" s="539"/>
      <c r="F30" s="314" t="s">
        <v>578</v>
      </c>
      <c r="G30" s="27">
        <v>25</v>
      </c>
      <c r="H30" s="540"/>
      <c r="I30" s="551"/>
    </row>
    <row r="31" spans="1:13" ht="16.5" customHeight="1">
      <c r="A31" s="314" t="s">
        <v>475</v>
      </c>
      <c r="B31" s="316" t="s">
        <v>592</v>
      </c>
      <c r="C31" s="280">
        <v>6000</v>
      </c>
      <c r="D31" s="540"/>
      <c r="E31" s="539"/>
      <c r="F31" s="314" t="s">
        <v>13</v>
      </c>
      <c r="G31" s="27">
        <v>90</v>
      </c>
      <c r="H31" s="540"/>
      <c r="I31" s="551"/>
    </row>
    <row r="32" spans="1:13" ht="16.5" customHeight="1">
      <c r="A32" s="314" t="s">
        <v>478</v>
      </c>
      <c r="B32" s="314" t="s">
        <v>593</v>
      </c>
      <c r="C32" s="280">
        <v>8500</v>
      </c>
      <c r="D32" s="540"/>
      <c r="E32" s="539"/>
      <c r="F32" s="314" t="s">
        <v>87</v>
      </c>
      <c r="G32" s="27">
        <v>450</v>
      </c>
      <c r="H32" s="540"/>
      <c r="I32" s="551"/>
    </row>
    <row r="33" spans="1:13" ht="16.5" customHeight="1">
      <c r="A33" s="314" t="s">
        <v>594</v>
      </c>
      <c r="B33" s="316" t="s">
        <v>595</v>
      </c>
      <c r="C33" s="280">
        <v>12000</v>
      </c>
      <c r="D33" s="540"/>
      <c r="E33" s="539"/>
      <c r="F33" s="314" t="s">
        <v>575</v>
      </c>
      <c r="G33" s="27">
        <v>23</v>
      </c>
      <c r="H33" s="540"/>
      <c r="I33" s="551"/>
    </row>
    <row r="34" spans="1:13" ht="16.5" customHeight="1">
      <c r="A34" s="314" t="s">
        <v>475</v>
      </c>
      <c r="B34" s="315" t="s">
        <v>596</v>
      </c>
      <c r="C34" s="280">
        <v>4300</v>
      </c>
      <c r="D34" s="540"/>
      <c r="E34" s="539"/>
      <c r="F34" s="314" t="s">
        <v>13</v>
      </c>
      <c r="G34" s="27">
        <v>250</v>
      </c>
      <c r="H34" s="540"/>
      <c r="I34" s="551"/>
    </row>
    <row r="35" spans="1:13" ht="16.5" customHeight="1">
      <c r="A35" s="314" t="s">
        <v>478</v>
      </c>
      <c r="B35" s="315" t="s">
        <v>597</v>
      </c>
      <c r="C35" s="280">
        <v>1200</v>
      </c>
      <c r="D35" s="540"/>
      <c r="E35" s="539"/>
      <c r="F35" s="314" t="s">
        <v>63</v>
      </c>
      <c r="G35" s="27">
        <v>25</v>
      </c>
      <c r="H35" s="540"/>
      <c r="I35" s="551"/>
    </row>
    <row r="36" spans="1:13" ht="15.75" customHeight="1">
      <c r="A36" s="560"/>
      <c r="B36" s="560"/>
      <c r="C36" s="560"/>
      <c r="D36" s="560"/>
      <c r="E36" s="560"/>
      <c r="F36" s="560"/>
      <c r="G36" s="560"/>
      <c r="H36" s="560"/>
      <c r="I36" s="560"/>
      <c r="J36" s="560"/>
      <c r="K36" s="560"/>
      <c r="L36" s="560"/>
      <c r="M36" s="560"/>
    </row>
    <row r="37" spans="1:13" ht="16.5" customHeight="1">
      <c r="A37" s="397" t="s">
        <v>598</v>
      </c>
      <c r="B37" s="643"/>
      <c r="C37" s="644"/>
      <c r="D37" s="321" t="s">
        <v>599</v>
      </c>
      <c r="E37" s="6" t="e">
        <f>AVERAGEIF($G$23:$G$35,$D37,$G$23:$G$35)</f>
        <v>#DIV/0!</v>
      </c>
      <c r="F37" s="643"/>
    </row>
    <row r="38" spans="1:13" ht="16.5" customHeight="1">
      <c r="A38" s="396">
        <f>AVERAGEIF(A23:A35,A28,C23:C35)</f>
        <v>8233.3333333333339</v>
      </c>
      <c r="B38" s="643"/>
      <c r="C38" s="644"/>
      <c r="D38" s="321" t="s">
        <v>600</v>
      </c>
      <c r="E38" s="6" t="e">
        <f>AVERAGEIF($G$23:$G$35,$D38,$G$23:$G$35)</f>
        <v>#DIV/0!</v>
      </c>
      <c r="F38" s="643"/>
    </row>
    <row r="40" spans="1:13">
      <c r="J40">
        <f>AVERAGE($G$23:$G$35,$D37)</f>
        <v>136.75</v>
      </c>
    </row>
  </sheetData>
  <mergeCells count="8">
    <mergeCell ref="A4:M4"/>
    <mergeCell ref="A5:M5"/>
    <mergeCell ref="B37:C38"/>
    <mergeCell ref="F37:F38"/>
    <mergeCell ref="A36:M36"/>
    <mergeCell ref="A22:M22"/>
    <mergeCell ref="D23:E35"/>
    <mergeCell ref="H23:I3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34"/>
  <sheetViews>
    <sheetView topLeftCell="A17" workbookViewId="0">
      <selection activeCell="D24" sqref="D24"/>
    </sheetView>
  </sheetViews>
  <sheetFormatPr defaultRowHeight="13.2"/>
  <cols>
    <col min="1" max="1" width="12.109375" bestFit="1" customWidth="1"/>
    <col min="2" max="2" width="13" bestFit="1" customWidth="1"/>
    <col min="3" max="3" width="16.6640625" bestFit="1" customWidth="1"/>
    <col min="4" max="4" width="28.109375" bestFit="1" customWidth="1"/>
    <col min="5" max="5" width="11.109375" customWidth="1"/>
    <col min="6" max="6" width="12.109375" customWidth="1"/>
    <col min="7" max="7" width="22.6640625" bestFit="1" customWidth="1"/>
    <col min="8" max="8" width="16.6640625" customWidth="1"/>
    <col min="9" max="9" width="9.6640625" bestFit="1" customWidth="1"/>
    <col min="10" max="10" width="19.6640625" bestFit="1" customWidth="1"/>
    <col min="11" max="11" width="26" customWidth="1"/>
    <col min="12" max="12" width="29.33203125" bestFit="1" customWidth="1"/>
    <col min="21" max="21" width="15.109375" bestFit="1" customWidth="1"/>
  </cols>
  <sheetData>
    <row r="1" spans="1:24" ht="21" customHeight="1">
      <c r="A1" s="531" t="s">
        <v>601</v>
      </c>
      <c r="B1" s="531"/>
      <c r="C1" s="531"/>
      <c r="D1" s="531"/>
      <c r="E1" s="531"/>
      <c r="F1" s="531"/>
      <c r="G1" s="531"/>
      <c r="H1" s="531"/>
      <c r="I1" s="531"/>
      <c r="J1" s="531"/>
      <c r="K1" s="531"/>
    </row>
    <row r="2" spans="1:24" ht="28.5" customHeight="1">
      <c r="A2" s="545" t="s">
        <v>602</v>
      </c>
      <c r="B2" s="545"/>
      <c r="C2" s="545"/>
      <c r="D2" s="545"/>
      <c r="E2" s="545"/>
      <c r="F2" s="545"/>
      <c r="G2" s="545"/>
      <c r="H2" s="545"/>
      <c r="I2" s="545"/>
      <c r="J2" s="545"/>
      <c r="K2" s="545"/>
    </row>
    <row r="3" spans="1:24" ht="16.5" customHeight="1">
      <c r="A3" s="328" t="s">
        <v>603</v>
      </c>
      <c r="B3" s="324" t="s">
        <v>604</v>
      </c>
      <c r="C3" s="332" t="s">
        <v>605</v>
      </c>
      <c r="D3" s="580"/>
      <c r="E3" s="95" t="s">
        <v>603</v>
      </c>
      <c r="F3" s="324" t="s">
        <v>604</v>
      </c>
      <c r="G3" s="98" t="s">
        <v>605</v>
      </c>
      <c r="H3" s="95" t="s">
        <v>603</v>
      </c>
      <c r="I3" s="324" t="s">
        <v>604</v>
      </c>
      <c r="J3" s="98" t="s">
        <v>605</v>
      </c>
      <c r="K3" s="95" t="s">
        <v>603</v>
      </c>
      <c r="L3" s="98" t="s">
        <v>605</v>
      </c>
      <c r="M3" s="95" t="s">
        <v>603</v>
      </c>
      <c r="N3" s="98" t="s">
        <v>605</v>
      </c>
      <c r="Q3" s="662" t="s">
        <v>1327</v>
      </c>
      <c r="R3" s="663"/>
      <c r="S3" s="98" t="s">
        <v>605</v>
      </c>
      <c r="U3" s="95" t="s">
        <v>603</v>
      </c>
      <c r="V3" s="664" t="s">
        <v>604</v>
      </c>
      <c r="W3" s="663"/>
      <c r="X3" s="98" t="s">
        <v>605</v>
      </c>
    </row>
    <row r="4" spans="1:24" ht="16.5" customHeight="1">
      <c r="A4" s="314" t="s">
        <v>606</v>
      </c>
      <c r="B4" s="331" t="s">
        <v>607</v>
      </c>
      <c r="C4" s="453" t="str">
        <f>IF(A4=B4,"matching","not matching")</f>
        <v>not matching</v>
      </c>
      <c r="D4" s="580"/>
      <c r="E4" s="6">
        <v>343749</v>
      </c>
      <c r="F4" s="280">
        <v>160466</v>
      </c>
      <c r="G4" s="6"/>
      <c r="H4" s="6">
        <v>343749</v>
      </c>
      <c r="I4" s="280">
        <v>160466</v>
      </c>
      <c r="J4" s="6"/>
      <c r="K4" s="6">
        <v>343749</v>
      </c>
      <c r="L4" s="6">
        <f t="array" ref="L4">VLOOKUP(K4,M3:N11,{2},0)</f>
        <v>160466</v>
      </c>
      <c r="M4" s="6">
        <v>343749</v>
      </c>
      <c r="N4" s="6">
        <v>160466</v>
      </c>
      <c r="Q4" s="660">
        <v>160466</v>
      </c>
      <c r="R4" s="661"/>
      <c r="S4" s="6">
        <v>160466</v>
      </c>
      <c r="U4" s="6">
        <v>343749</v>
      </c>
      <c r="V4" s="660">
        <v>160466</v>
      </c>
      <c r="W4" s="661"/>
      <c r="X4" s="6">
        <v>160466</v>
      </c>
    </row>
    <row r="5" spans="1:24" ht="16.5" customHeight="1">
      <c r="A5" s="315" t="s">
        <v>608</v>
      </c>
      <c r="B5" s="331" t="s">
        <v>608</v>
      </c>
      <c r="C5" s="453" t="str">
        <f t="shared" ref="C5:C8" si="0">IF(A5=B5,"matching","not matching")</f>
        <v>matching</v>
      </c>
      <c r="D5" s="580"/>
      <c r="E5" s="6">
        <v>183257</v>
      </c>
      <c r="F5" s="280">
        <v>183258</v>
      </c>
      <c r="G5" s="7" t="s">
        <v>609</v>
      </c>
      <c r="H5" s="6">
        <v>183257</v>
      </c>
      <c r="I5" s="280">
        <v>183258</v>
      </c>
      <c r="J5" s="7" t="s">
        <v>609</v>
      </c>
      <c r="K5" s="6">
        <v>183257</v>
      </c>
      <c r="L5" s="6" t="str">
        <f t="array" ref="L5">VLOOKUP(K5,M4:N12,{2},0)</f>
        <v>Value not in List 1</v>
      </c>
      <c r="M5" s="6">
        <v>183257</v>
      </c>
      <c r="N5" s="7" t="s">
        <v>609</v>
      </c>
      <c r="Q5" s="660">
        <v>183258</v>
      </c>
      <c r="R5" s="661"/>
      <c r="S5" s="7" t="s">
        <v>609</v>
      </c>
      <c r="U5" s="6">
        <v>183257</v>
      </c>
      <c r="V5" s="660">
        <v>183258</v>
      </c>
      <c r="W5" s="661"/>
      <c r="X5" s="7" t="s">
        <v>609</v>
      </c>
    </row>
    <row r="6" spans="1:24" ht="16.5" customHeight="1">
      <c r="A6" s="314" t="s">
        <v>610</v>
      </c>
      <c r="B6" s="331" t="s">
        <v>611</v>
      </c>
      <c r="C6" s="453" t="str">
        <f t="shared" si="0"/>
        <v>not matching</v>
      </c>
      <c r="D6" s="580"/>
      <c r="E6" s="6">
        <v>160466</v>
      </c>
      <c r="F6" s="280">
        <v>249447</v>
      </c>
      <c r="G6" s="6">
        <v>249447</v>
      </c>
      <c r="H6" s="6">
        <v>160466</v>
      </c>
      <c r="I6" s="280">
        <v>249447</v>
      </c>
      <c r="J6" s="6">
        <v>249447</v>
      </c>
      <c r="K6" s="6">
        <v>160466</v>
      </c>
      <c r="L6" s="6">
        <f t="array" ref="L6">VLOOKUP(K6,M5:N13,{2},0)</f>
        <v>249447</v>
      </c>
      <c r="M6" s="6">
        <v>160466</v>
      </c>
      <c r="N6" s="6">
        <v>249447</v>
      </c>
      <c r="Q6" s="660">
        <v>249447</v>
      </c>
      <c r="R6" s="661"/>
      <c r="S6" s="6">
        <v>249447</v>
      </c>
      <c r="U6" s="6">
        <v>160466</v>
      </c>
      <c r="V6" s="660">
        <v>249447</v>
      </c>
      <c r="W6" s="661"/>
      <c r="X6" s="6">
        <v>249447</v>
      </c>
    </row>
    <row r="7" spans="1:24" ht="16.5" customHeight="1">
      <c r="A7" s="315" t="s">
        <v>612</v>
      </c>
      <c r="B7" s="331" t="s">
        <v>612</v>
      </c>
      <c r="C7" s="453" t="str">
        <f t="shared" si="0"/>
        <v>matching</v>
      </c>
      <c r="D7" s="580"/>
      <c r="E7" s="6">
        <v>249447</v>
      </c>
      <c r="F7" s="280">
        <v>343749</v>
      </c>
      <c r="G7" s="6">
        <v>343749</v>
      </c>
      <c r="H7" s="6">
        <v>249447</v>
      </c>
      <c r="I7" s="280">
        <v>343749</v>
      </c>
      <c r="J7" s="6">
        <v>343749</v>
      </c>
      <c r="K7" s="6">
        <v>249447</v>
      </c>
      <c r="L7" s="6">
        <f t="array" ref="L7">VLOOKUP(K7,M6:N14,{2},0)</f>
        <v>343749</v>
      </c>
      <c r="M7" s="6">
        <v>249447</v>
      </c>
      <c r="N7" s="6">
        <v>343749</v>
      </c>
      <c r="Q7" s="660">
        <v>343749</v>
      </c>
      <c r="R7" s="661"/>
      <c r="S7" s="6">
        <v>343749</v>
      </c>
      <c r="U7" s="6">
        <v>249447</v>
      </c>
      <c r="V7" s="660">
        <v>343749</v>
      </c>
      <c r="W7" s="661"/>
      <c r="X7" s="6">
        <v>343749</v>
      </c>
    </row>
    <row r="8" spans="1:24" ht="16.5" customHeight="1">
      <c r="A8" s="316" t="s">
        <v>613</v>
      </c>
      <c r="B8" s="331" t="s">
        <v>614</v>
      </c>
      <c r="C8" s="453" t="str">
        <f t="shared" si="0"/>
        <v>not matching</v>
      </c>
      <c r="D8" s="580"/>
      <c r="E8" s="6">
        <v>532765</v>
      </c>
      <c r="F8" s="280">
        <v>356160</v>
      </c>
      <c r="G8" s="7" t="s">
        <v>609</v>
      </c>
      <c r="H8" s="6">
        <v>532765</v>
      </c>
      <c r="I8" s="280">
        <v>356160</v>
      </c>
      <c r="J8" s="7" t="s">
        <v>609</v>
      </c>
      <c r="K8" s="6">
        <v>532765</v>
      </c>
      <c r="L8" s="6" t="str">
        <f t="array" ref="L8">VLOOKUP(K8,M7:N15,{2},0)</f>
        <v>Value not in List 1</v>
      </c>
      <c r="M8" s="6">
        <v>532765</v>
      </c>
      <c r="N8" s="7" t="s">
        <v>609</v>
      </c>
      <c r="Q8" s="660">
        <v>356160</v>
      </c>
      <c r="R8" s="661"/>
      <c r="S8" s="7" t="s">
        <v>609</v>
      </c>
      <c r="U8" s="6">
        <v>532765</v>
      </c>
      <c r="V8" s="660">
        <v>356160</v>
      </c>
      <c r="W8" s="661"/>
      <c r="X8" s="7" t="s">
        <v>609</v>
      </c>
    </row>
    <row r="9" spans="1:24" ht="16.5" customHeight="1">
      <c r="A9" s="550" t="s">
        <v>615</v>
      </c>
      <c r="B9" s="550"/>
      <c r="C9" s="550"/>
      <c r="D9" s="550"/>
      <c r="E9" s="550"/>
      <c r="F9" s="550"/>
      <c r="G9" s="645"/>
      <c r="H9" s="6">
        <v>356163</v>
      </c>
      <c r="I9" s="153">
        <v>379391</v>
      </c>
      <c r="J9" s="6">
        <v>379391</v>
      </c>
      <c r="K9" s="6">
        <v>356163</v>
      </c>
      <c r="L9" s="6">
        <f t="array" ref="L9">VLOOKUP(K9,M8:N16,{2},0)</f>
        <v>379391</v>
      </c>
      <c r="M9" s="6">
        <v>356163</v>
      </c>
      <c r="N9" s="6">
        <v>379391</v>
      </c>
      <c r="Q9" s="660">
        <v>379391</v>
      </c>
      <c r="R9" s="661"/>
      <c r="S9" s="6">
        <v>379391</v>
      </c>
      <c r="U9" s="6">
        <v>356163</v>
      </c>
      <c r="V9" s="660">
        <v>379391</v>
      </c>
      <c r="W9" s="661"/>
      <c r="X9" s="6">
        <v>379391</v>
      </c>
    </row>
    <row r="10" spans="1:24" ht="16.5" customHeight="1">
      <c r="A10" s="550"/>
      <c r="B10" s="550"/>
      <c r="C10" s="550"/>
      <c r="D10" s="550"/>
      <c r="E10" s="550"/>
      <c r="F10" s="550"/>
      <c r="G10" s="645"/>
      <c r="H10" s="6">
        <v>455292</v>
      </c>
      <c r="I10" s="153">
        <v>455292</v>
      </c>
      <c r="J10" s="6">
        <v>455292</v>
      </c>
      <c r="K10" s="6">
        <v>455292</v>
      </c>
      <c r="L10" s="6">
        <f t="array" ref="L10">VLOOKUP(K10,M9:N17,{2},0)</f>
        <v>455292</v>
      </c>
      <c r="M10" s="6">
        <v>455292</v>
      </c>
      <c r="N10" s="6">
        <v>455292</v>
      </c>
      <c r="Q10" s="660">
        <v>455292</v>
      </c>
      <c r="R10" s="661"/>
      <c r="S10" s="6">
        <v>455292</v>
      </c>
      <c r="U10" s="6">
        <v>455292</v>
      </c>
      <c r="V10" s="660">
        <v>455292</v>
      </c>
      <c r="W10" s="661"/>
      <c r="X10" s="6">
        <v>455292</v>
      </c>
    </row>
    <row r="11" spans="1:24" ht="16.5" customHeight="1">
      <c r="A11" s="550"/>
      <c r="B11" s="550"/>
      <c r="C11" s="550"/>
      <c r="D11" s="550"/>
      <c r="E11" s="550"/>
      <c r="F11" s="550"/>
      <c r="G11" s="645"/>
      <c r="H11" s="6">
        <v>379391</v>
      </c>
      <c r="I11" s="153">
        <v>532765</v>
      </c>
      <c r="J11" s="6">
        <v>532765</v>
      </c>
      <c r="K11" s="6">
        <v>379391</v>
      </c>
      <c r="L11" s="6">
        <f t="array" ref="L11">VLOOKUP(K11,M10:N18,{2},0)</f>
        <v>532765</v>
      </c>
      <c r="M11" s="6">
        <v>379391</v>
      </c>
      <c r="N11" s="6">
        <v>532765</v>
      </c>
      <c r="Q11" s="660">
        <v>532765</v>
      </c>
      <c r="R11" s="661"/>
      <c r="S11" s="6">
        <v>532765</v>
      </c>
      <c r="U11" s="6">
        <v>379391</v>
      </c>
      <c r="V11" s="660">
        <v>532765</v>
      </c>
      <c r="W11" s="661"/>
      <c r="X11" s="6">
        <v>532765</v>
      </c>
    </row>
    <row r="12" spans="1:24" ht="45.75" customHeight="1">
      <c r="A12" s="646" t="s">
        <v>616</v>
      </c>
      <c r="B12" s="646"/>
      <c r="C12" s="646"/>
      <c r="D12" s="646"/>
      <c r="E12" s="646"/>
      <c r="F12" s="646"/>
      <c r="G12" s="646"/>
      <c r="H12" s="646"/>
      <c r="I12" s="646"/>
      <c r="J12" s="646"/>
      <c r="K12" s="646"/>
    </row>
    <row r="13" spans="1:24" ht="16.5" customHeight="1">
      <c r="A13" s="647" t="s">
        <v>617</v>
      </c>
      <c r="B13" s="648"/>
      <c r="C13" s="540"/>
      <c r="D13" s="539"/>
      <c r="E13" s="649" t="s">
        <v>170</v>
      </c>
      <c r="F13" s="650"/>
      <c r="G13" s="580"/>
      <c r="H13" s="26" t="s">
        <v>618</v>
      </c>
      <c r="I13" s="540"/>
      <c r="J13" s="551"/>
      <c r="K13" s="551"/>
      <c r="L13" t="str">
        <f>VLOOKUP(A14,A14:B19,1,0)</f>
        <v>Red</v>
      </c>
      <c r="S13" s="664" t="s">
        <v>604</v>
      </c>
      <c r="T13" s="663"/>
    </row>
    <row r="14" spans="1:24" ht="16.5" customHeight="1">
      <c r="A14" s="651" t="s">
        <v>619</v>
      </c>
      <c r="B14" s="652"/>
      <c r="C14" s="540"/>
      <c r="D14" s="539"/>
      <c r="E14" s="651" t="str">
        <f>VLOOKUP(A14,A14:B19,1,0)</f>
        <v>Red</v>
      </c>
      <c r="F14" s="652"/>
      <c r="G14" s="580"/>
      <c r="H14" s="7" t="s">
        <v>619</v>
      </c>
      <c r="I14" s="540"/>
      <c r="J14" s="551"/>
      <c r="K14" s="551"/>
      <c r="L14" t="str">
        <f t="shared" ref="L14:L19" si="1">VLOOKUP(A15,A15:B20,1,0)</f>
        <v>Yellow</v>
      </c>
      <c r="S14" s="660">
        <v>160466</v>
      </c>
      <c r="T14" s="661"/>
      <c r="U14">
        <f t="array" ref="U14">VLOOKUP(S14,Q3:S11,{3},0)</f>
        <v>160466</v>
      </c>
    </row>
    <row r="15" spans="1:24" ht="16.5" customHeight="1">
      <c r="A15" s="653" t="s">
        <v>620</v>
      </c>
      <c r="B15" s="654"/>
      <c r="C15" s="540"/>
      <c r="D15" s="539"/>
      <c r="E15" s="651" t="str">
        <f t="shared" ref="E15:E19" si="2">VLOOKUP(A15,A15:B20,1,0)</f>
        <v>Yellow</v>
      </c>
      <c r="F15" s="652"/>
      <c r="G15" s="580"/>
      <c r="H15" s="7" t="s">
        <v>620</v>
      </c>
      <c r="I15" s="540"/>
      <c r="J15" s="551"/>
      <c r="K15" s="551"/>
      <c r="L15" t="str">
        <f t="shared" si="1"/>
        <v>Green</v>
      </c>
      <c r="S15" s="660">
        <v>183258</v>
      </c>
      <c r="T15" s="661"/>
      <c r="U15" t="str">
        <f t="array" ref="U15">VLOOKUP(S15,Q4:S12,{3},0)</f>
        <v>Value not in List 1</v>
      </c>
    </row>
    <row r="16" spans="1:24" ht="16.5" customHeight="1">
      <c r="A16" s="655" t="s">
        <v>621</v>
      </c>
      <c r="B16" s="656"/>
      <c r="C16" s="540"/>
      <c r="D16" s="539"/>
      <c r="E16" s="651" t="str">
        <f t="shared" si="2"/>
        <v>Green</v>
      </c>
      <c r="F16" s="652"/>
      <c r="G16" s="580"/>
      <c r="H16" s="7" t="s">
        <v>622</v>
      </c>
      <c r="I16" s="540"/>
      <c r="J16" s="551"/>
      <c r="K16" s="551"/>
      <c r="L16" t="str">
        <f t="shared" si="1"/>
        <v>Blue</v>
      </c>
      <c r="S16" s="660">
        <v>249447</v>
      </c>
      <c r="T16" s="661"/>
      <c r="U16">
        <f t="array" ref="U16">VLOOKUP(S16,Q5:S13,{3},0)</f>
        <v>249447</v>
      </c>
    </row>
    <row r="17" spans="1:21" ht="16.5" customHeight="1">
      <c r="A17" s="651" t="s">
        <v>623</v>
      </c>
      <c r="B17" s="652"/>
      <c r="C17" s="540"/>
      <c r="D17" s="539"/>
      <c r="E17" s="651" t="str">
        <f t="shared" si="2"/>
        <v>Blue</v>
      </c>
      <c r="F17" s="652"/>
      <c r="G17" s="580"/>
      <c r="H17" s="7" t="s">
        <v>621</v>
      </c>
      <c r="I17" s="540"/>
      <c r="J17" s="551"/>
      <c r="K17" s="551"/>
      <c r="L17" t="str">
        <f t="shared" si="1"/>
        <v>Orange</v>
      </c>
      <c r="S17" s="660">
        <v>343749</v>
      </c>
      <c r="T17" s="661"/>
      <c r="U17">
        <f t="array" ref="U17">VLOOKUP(S17,Q6:S14,{3},0)</f>
        <v>343749</v>
      </c>
    </row>
    <row r="18" spans="1:21" ht="16.5" customHeight="1">
      <c r="A18" s="653" t="s">
        <v>415</v>
      </c>
      <c r="B18" s="654"/>
      <c r="C18" s="540"/>
      <c r="D18" s="539"/>
      <c r="E18" s="651" t="str">
        <f t="shared" si="2"/>
        <v>Orange</v>
      </c>
      <c r="F18" s="652"/>
      <c r="G18" s="580"/>
      <c r="H18" s="7" t="s">
        <v>415</v>
      </c>
      <c r="I18" s="540"/>
      <c r="J18" s="551"/>
      <c r="K18" s="551"/>
      <c r="L18" t="str">
        <f t="shared" si="1"/>
        <v>White</v>
      </c>
      <c r="S18" s="660">
        <v>356160</v>
      </c>
      <c r="T18" s="661"/>
      <c r="U18" t="str">
        <f t="array" ref="U18">VLOOKUP(S18,Q7:S15,{3},0)</f>
        <v>Value not in List 1</v>
      </c>
    </row>
    <row r="19" spans="1:21" ht="16.5" customHeight="1">
      <c r="A19" s="655" t="s">
        <v>624</v>
      </c>
      <c r="B19" s="656"/>
      <c r="C19" s="540"/>
      <c r="D19" s="539"/>
      <c r="E19" s="651" t="str">
        <f t="shared" si="2"/>
        <v>White</v>
      </c>
      <c r="F19" s="652"/>
      <c r="G19" s="580"/>
      <c r="H19" s="7" t="s">
        <v>625</v>
      </c>
      <c r="I19" s="540"/>
      <c r="J19" s="551"/>
      <c r="K19" s="551"/>
      <c r="L19" t="str">
        <f t="shared" si="1"/>
        <v>VLOOKUP(A17,E17:E22,1,FALSE)</v>
      </c>
      <c r="S19" s="660">
        <v>379391</v>
      </c>
      <c r="T19" s="661"/>
      <c r="U19">
        <f t="array" ref="U19">VLOOKUP(S19,Q8:S16,{3},0)</f>
        <v>379391</v>
      </c>
    </row>
    <row r="20" spans="1:21" ht="36.75" customHeight="1">
      <c r="A20" s="550" t="s">
        <v>626</v>
      </c>
      <c r="B20" s="550"/>
      <c r="C20" s="550"/>
      <c r="D20" s="550"/>
      <c r="E20" s="550"/>
      <c r="F20" s="550"/>
      <c r="G20" s="550"/>
      <c r="H20" s="550"/>
      <c r="I20" s="550"/>
      <c r="J20" s="550"/>
      <c r="K20" s="550"/>
      <c r="S20" s="660">
        <v>455292</v>
      </c>
      <c r="T20" s="661"/>
      <c r="U20">
        <f t="array" ref="U20">VLOOKUP(S20,Q9:S17,{3},0)</f>
        <v>455292</v>
      </c>
    </row>
    <row r="21" spans="1:21" ht="21" customHeight="1">
      <c r="A21" s="658" t="s">
        <v>627</v>
      </c>
      <c r="B21" s="658"/>
      <c r="C21" s="658"/>
      <c r="D21" s="658"/>
      <c r="E21" s="658"/>
      <c r="F21" s="658"/>
      <c r="G21" s="658"/>
      <c r="H21" s="658"/>
      <c r="I21" s="658"/>
      <c r="J21" s="658"/>
      <c r="K21" s="658"/>
      <c r="S21" s="660">
        <v>532765</v>
      </c>
      <c r="T21" s="661"/>
      <c r="U21">
        <f t="array" ref="U21">VLOOKUP(S21,Q10:S18,{3},0)</f>
        <v>532765</v>
      </c>
    </row>
    <row r="22" spans="1:21" ht="28.5" customHeight="1">
      <c r="A22" s="659" t="s">
        <v>628</v>
      </c>
      <c r="B22" s="659"/>
      <c r="C22" s="659"/>
      <c r="D22" s="659"/>
      <c r="E22" s="659"/>
      <c r="F22" s="659"/>
      <c r="G22" s="659"/>
      <c r="H22" s="659"/>
      <c r="I22" s="659"/>
      <c r="J22" s="659"/>
      <c r="K22" s="659"/>
    </row>
    <row r="23" spans="1:21" ht="33" customHeight="1">
      <c r="A23" s="99" t="s">
        <v>629</v>
      </c>
      <c r="B23" s="329" t="s">
        <v>630</v>
      </c>
      <c r="C23" s="324" t="s">
        <v>631</v>
      </c>
      <c r="D23" s="330" t="s">
        <v>632</v>
      </c>
      <c r="E23" s="540"/>
      <c r="F23" s="551"/>
    </row>
    <row r="24" spans="1:21" ht="16.5" customHeight="1">
      <c r="A24" s="7" t="s">
        <v>633</v>
      </c>
      <c r="B24" s="316" t="s">
        <v>634</v>
      </c>
      <c r="C24" s="316" t="s">
        <v>635</v>
      </c>
      <c r="D24" s="399" t="str">
        <f>CONCATENATE(B24,C24)</f>
        <v>VishalMohan</v>
      </c>
      <c r="E24" s="540"/>
      <c r="F24" s="551"/>
    </row>
    <row r="25" spans="1:21" ht="16.5" customHeight="1">
      <c r="A25" s="7" t="s">
        <v>636</v>
      </c>
      <c r="B25" s="316" t="s">
        <v>209</v>
      </c>
      <c r="C25" s="316" t="s">
        <v>637</v>
      </c>
      <c r="D25" s="399" t="str">
        <f t="shared" ref="D25:D29" si="3">CONCATENATE(B25,C25)</f>
        <v>JohnMathew</v>
      </c>
      <c r="E25" s="540"/>
      <c r="F25" s="551"/>
    </row>
    <row r="26" spans="1:21" ht="16.5" customHeight="1">
      <c r="A26" s="7" t="s">
        <v>638</v>
      </c>
      <c r="B26" s="331" t="s">
        <v>639</v>
      </c>
      <c r="C26" s="315" t="s">
        <v>640</v>
      </c>
      <c r="D26" s="399" t="str">
        <f t="shared" si="3"/>
        <v>JamemahPowel</v>
      </c>
      <c r="E26" s="540"/>
      <c r="F26" s="551"/>
    </row>
    <row r="27" spans="1:21" ht="16.5" customHeight="1">
      <c r="A27" s="7" t="s">
        <v>642</v>
      </c>
      <c r="B27" s="331" t="s">
        <v>643</v>
      </c>
      <c r="C27" s="184" t="s">
        <v>644</v>
      </c>
      <c r="D27" s="399" t="str">
        <f t="shared" si="3"/>
        <v>ArundhatiSwaminathan</v>
      </c>
      <c r="E27" s="540"/>
      <c r="F27" s="551"/>
    </row>
    <row r="28" spans="1:21" ht="16.5" customHeight="1">
      <c r="A28" s="7" t="s">
        <v>645</v>
      </c>
      <c r="B28" s="316" t="s">
        <v>218</v>
      </c>
      <c r="C28" s="315" t="s">
        <v>646</v>
      </c>
      <c r="D28" s="399" t="str">
        <f t="shared" si="3"/>
        <v>PeterPotter</v>
      </c>
      <c r="E28" s="540"/>
      <c r="F28" s="551"/>
    </row>
    <row r="29" spans="1:21" ht="16.5" customHeight="1">
      <c r="A29" s="7" t="s">
        <v>647</v>
      </c>
      <c r="B29" s="316" t="s">
        <v>648</v>
      </c>
      <c r="C29" s="316" t="s">
        <v>234</v>
      </c>
      <c r="D29" s="399" t="str">
        <f t="shared" si="3"/>
        <v>RogerWilliams</v>
      </c>
      <c r="E29" s="540"/>
      <c r="F29" s="551"/>
    </row>
    <row r="30" spans="1:21" ht="60.6" customHeight="1">
      <c r="A30" s="15" t="s">
        <v>649</v>
      </c>
      <c r="B30" s="657" t="s">
        <v>650</v>
      </c>
      <c r="C30" s="657"/>
      <c r="D30" s="657"/>
      <c r="E30" s="657"/>
      <c r="F30" s="100"/>
      <c r="G30" s="100"/>
      <c r="H30" s="100"/>
      <c r="I30" s="100"/>
      <c r="J30" s="14"/>
      <c r="K30" s="14"/>
    </row>
    <row r="31" spans="1:21" ht="33" customHeight="1">
      <c r="A31" s="99" t="s">
        <v>629</v>
      </c>
      <c r="B31" s="329" t="s">
        <v>630</v>
      </c>
      <c r="C31" s="324" t="s">
        <v>631</v>
      </c>
      <c r="D31" s="330" t="s">
        <v>632</v>
      </c>
      <c r="E31" s="222"/>
      <c r="F31" s="14"/>
    </row>
    <row r="32" spans="1:21" ht="16.5" customHeight="1">
      <c r="A32" s="7" t="s">
        <v>633</v>
      </c>
      <c r="B32" s="316" t="s">
        <v>634</v>
      </c>
      <c r="C32" s="316" t="s">
        <v>635</v>
      </c>
      <c r="D32" s="399" t="str">
        <f>CONCATENATE(B32,C32)</f>
        <v>VishalMohan</v>
      </c>
      <c r="E32" s="222"/>
      <c r="F32" s="14"/>
      <c r="G32" s="14"/>
      <c r="H32" s="14"/>
      <c r="I32" s="14"/>
      <c r="J32" s="14"/>
    </row>
    <row r="33" spans="1:6" ht="16.5" customHeight="1">
      <c r="A33" s="7" t="s">
        <v>636</v>
      </c>
      <c r="B33" s="316" t="s">
        <v>209</v>
      </c>
      <c r="C33" s="316" t="s">
        <v>637</v>
      </c>
      <c r="D33" s="399" t="str">
        <f t="shared" ref="D33:D34" si="4">CONCATENATE(B33,C33)</f>
        <v>JohnMathew</v>
      </c>
      <c r="E33" s="222"/>
      <c r="F33" s="14"/>
    </row>
    <row r="34" spans="1:6" ht="15" customHeight="1">
      <c r="A34" s="101" t="s">
        <v>638</v>
      </c>
      <c r="B34" s="336" t="s">
        <v>639</v>
      </c>
      <c r="C34" s="337" t="s">
        <v>640</v>
      </c>
      <c r="D34" s="399" t="str">
        <f t="shared" si="4"/>
        <v>JamemahPowel</v>
      </c>
    </row>
  </sheetData>
  <mergeCells count="54">
    <mergeCell ref="S17:T17"/>
    <mergeCell ref="S18:T18"/>
    <mergeCell ref="S19:T19"/>
    <mergeCell ref="S20:T20"/>
    <mergeCell ref="S21:T21"/>
    <mergeCell ref="V11:W11"/>
    <mergeCell ref="S13:T13"/>
    <mergeCell ref="S14:T14"/>
    <mergeCell ref="S15:T15"/>
    <mergeCell ref="S16:T16"/>
    <mergeCell ref="V6:W6"/>
    <mergeCell ref="V7:W7"/>
    <mergeCell ref="V8:W8"/>
    <mergeCell ref="V9:W9"/>
    <mergeCell ref="V10:W10"/>
    <mergeCell ref="Q3:R3"/>
    <mergeCell ref="Q4:R4"/>
    <mergeCell ref="Q5:R5"/>
    <mergeCell ref="V3:W3"/>
    <mergeCell ref="V4:W4"/>
    <mergeCell ref="V5:W5"/>
    <mergeCell ref="Q8:R8"/>
    <mergeCell ref="Q9:R9"/>
    <mergeCell ref="Q10:R10"/>
    <mergeCell ref="Q11:R11"/>
    <mergeCell ref="Q6:R6"/>
    <mergeCell ref="Q7:R7"/>
    <mergeCell ref="B30:E30"/>
    <mergeCell ref="E23:F29"/>
    <mergeCell ref="A19:B19"/>
    <mergeCell ref="E19:F19"/>
    <mergeCell ref="A20:K20"/>
    <mergeCell ref="A21:K21"/>
    <mergeCell ref="A22:K22"/>
    <mergeCell ref="A13:B13"/>
    <mergeCell ref="C13:D19"/>
    <mergeCell ref="E13:F13"/>
    <mergeCell ref="G13:G19"/>
    <mergeCell ref="I13:K19"/>
    <mergeCell ref="A14:B14"/>
    <mergeCell ref="E14:F14"/>
    <mergeCell ref="A15:B15"/>
    <mergeCell ref="E15:F15"/>
    <mergeCell ref="A16:B16"/>
    <mergeCell ref="E16:F16"/>
    <mergeCell ref="A17:B17"/>
    <mergeCell ref="E17:F17"/>
    <mergeCell ref="A18:B18"/>
    <mergeCell ref="E18:F18"/>
    <mergeCell ref="A9:G11"/>
    <mergeCell ref="A1:K1"/>
    <mergeCell ref="A2:K2"/>
    <mergeCell ref="D3:D8"/>
    <mergeCell ref="A12:K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2"/>
  <sheetViews>
    <sheetView topLeftCell="A12" workbookViewId="0">
      <selection activeCell="I16" sqref="I16"/>
    </sheetView>
  </sheetViews>
  <sheetFormatPr defaultRowHeight="13.2"/>
  <cols>
    <col min="1" max="1" width="15" bestFit="1" customWidth="1"/>
    <col min="2" max="2" width="9.6640625" bestFit="1" customWidth="1"/>
    <col min="3" max="3" width="19.6640625" bestFit="1" customWidth="1"/>
    <col min="4" max="4" width="24.77734375" bestFit="1" customWidth="1"/>
    <col min="5" max="5" width="13.6640625" bestFit="1" customWidth="1"/>
    <col min="6" max="6" width="9.33203125" customWidth="1"/>
    <col min="7" max="7" width="19.44140625" customWidth="1"/>
    <col min="8" max="8" width="19" bestFit="1" customWidth="1"/>
    <col min="9" max="9" width="19" customWidth="1"/>
    <col min="10" max="10" width="24" customWidth="1"/>
    <col min="11" max="11" width="15.77734375" customWidth="1"/>
    <col min="12" max="12" width="19" bestFit="1" customWidth="1"/>
    <col min="13" max="13" width="17.77734375" bestFit="1" customWidth="1"/>
    <col min="14" max="14" width="11.33203125" bestFit="1" customWidth="1"/>
  </cols>
  <sheetData>
    <row r="1" spans="1:14" ht="36" customHeight="1">
      <c r="A1" s="101" t="s">
        <v>638</v>
      </c>
      <c r="B1" s="670" t="s">
        <v>639</v>
      </c>
      <c r="C1" s="671"/>
      <c r="D1" s="672" t="s">
        <v>640</v>
      </c>
      <c r="E1" s="673"/>
      <c r="F1" s="672" t="s">
        <v>641</v>
      </c>
      <c r="G1" s="673"/>
    </row>
    <row r="2" spans="1:14" ht="16.5" customHeight="1">
      <c r="A2" s="102" t="s">
        <v>649</v>
      </c>
      <c r="B2" s="674" t="s">
        <v>651</v>
      </c>
      <c r="C2" s="674"/>
      <c r="D2" s="674"/>
      <c r="E2" s="674"/>
      <c r="F2" s="611"/>
      <c r="G2" s="611"/>
    </row>
    <row r="3" spans="1:14" ht="21" customHeight="1">
      <c r="A3" s="665" t="s">
        <v>652</v>
      </c>
      <c r="B3" s="665"/>
      <c r="C3" s="665"/>
      <c r="D3" s="665"/>
      <c r="E3" s="665"/>
      <c r="F3" s="665"/>
      <c r="G3" s="665"/>
      <c r="H3" s="665"/>
      <c r="I3" s="665"/>
      <c r="J3" s="665"/>
    </row>
    <row r="4" spans="1:14" ht="28.65" customHeight="1">
      <c r="A4" s="666" t="s">
        <v>653</v>
      </c>
      <c r="B4" s="666"/>
      <c r="C4" s="666"/>
      <c r="D4" s="666"/>
      <c r="E4" s="666"/>
      <c r="F4" s="666"/>
      <c r="G4" s="666"/>
      <c r="H4" s="666"/>
      <c r="I4" s="666"/>
      <c r="J4" s="666"/>
    </row>
    <row r="5" spans="1:14" ht="16.5" customHeight="1">
      <c r="A5" s="667" t="s">
        <v>654</v>
      </c>
      <c r="B5" s="668"/>
      <c r="C5" s="668"/>
      <c r="D5" s="668"/>
      <c r="E5" s="668"/>
      <c r="F5" s="668"/>
      <c r="G5" s="668"/>
      <c r="H5" s="668"/>
      <c r="I5" s="669"/>
      <c r="J5" s="222"/>
    </row>
    <row r="6" spans="1:14" ht="27.6" customHeight="1">
      <c r="A6" s="338" t="s">
        <v>137</v>
      </c>
      <c r="B6" s="406" t="s">
        <v>1227</v>
      </c>
      <c r="C6" s="338" t="s">
        <v>431</v>
      </c>
      <c r="D6" s="338" t="s">
        <v>656</v>
      </c>
      <c r="E6" s="103" t="s">
        <v>657</v>
      </c>
      <c r="F6" s="222"/>
    </row>
    <row r="7" spans="1:14" ht="16.5" customHeight="1">
      <c r="A7" s="335">
        <v>43405</v>
      </c>
      <c r="B7" s="197">
        <v>1101</v>
      </c>
      <c r="C7" s="314" t="s">
        <v>658</v>
      </c>
      <c r="D7" s="314" t="s">
        <v>659</v>
      </c>
      <c r="E7" s="7" t="s">
        <v>660</v>
      </c>
      <c r="F7" s="222"/>
      <c r="G7" s="233" t="s">
        <v>1201</v>
      </c>
      <c r="H7" s="401" t="s">
        <v>656</v>
      </c>
      <c r="I7" s="402" t="s">
        <v>1197</v>
      </c>
    </row>
    <row r="8" spans="1:14" ht="16.5" customHeight="1">
      <c r="A8" s="335">
        <v>43405</v>
      </c>
      <c r="B8" s="197">
        <v>1102</v>
      </c>
      <c r="C8" s="314" t="s">
        <v>14</v>
      </c>
      <c r="D8" s="314" t="s">
        <v>661</v>
      </c>
      <c r="E8" s="7" t="s">
        <v>662</v>
      </c>
      <c r="F8" s="222"/>
      <c r="H8" s="394" t="s">
        <v>681</v>
      </c>
      <c r="I8" s="403">
        <f>COUNTIF(D6:D27,H8)</f>
        <v>12</v>
      </c>
    </row>
    <row r="9" spans="1:14" ht="16.5" customHeight="1">
      <c r="A9" s="335">
        <v>43407</v>
      </c>
      <c r="B9" s="197">
        <v>1103</v>
      </c>
      <c r="C9" s="314" t="s">
        <v>663</v>
      </c>
      <c r="D9" s="314" t="s">
        <v>664</v>
      </c>
      <c r="E9" s="7" t="s">
        <v>665</v>
      </c>
      <c r="F9" s="222"/>
    </row>
    <row r="10" spans="1:14" ht="16.5" customHeight="1">
      <c r="A10" s="335">
        <v>43407</v>
      </c>
      <c r="B10" s="197">
        <v>1104</v>
      </c>
      <c r="C10" s="314" t="s">
        <v>666</v>
      </c>
      <c r="D10" s="314" t="s">
        <v>667</v>
      </c>
      <c r="E10" s="7" t="s">
        <v>668</v>
      </c>
      <c r="F10" s="222"/>
      <c r="L10" s="401"/>
      <c r="M10" s="405"/>
    </row>
    <row r="11" spans="1:14" ht="16.5" customHeight="1">
      <c r="A11" s="335">
        <v>43407</v>
      </c>
      <c r="B11" s="197">
        <v>1105</v>
      </c>
      <c r="C11" s="314" t="s">
        <v>669</v>
      </c>
      <c r="D11" s="314" t="s">
        <v>670</v>
      </c>
      <c r="E11" s="7" t="s">
        <v>671</v>
      </c>
      <c r="F11" s="222"/>
      <c r="G11" s="233" t="s">
        <v>1203</v>
      </c>
      <c r="H11" s="404" t="s">
        <v>681</v>
      </c>
      <c r="K11" s="314"/>
    </row>
    <row r="12" spans="1:14" ht="16.5" customHeight="1">
      <c r="A12" s="335">
        <v>43410</v>
      </c>
      <c r="B12" s="197">
        <v>1106</v>
      </c>
      <c r="C12" s="314" t="s">
        <v>672</v>
      </c>
      <c r="D12" s="314" t="s">
        <v>670</v>
      </c>
      <c r="E12" s="7" t="s">
        <v>673</v>
      </c>
      <c r="F12" s="222"/>
      <c r="G12" s="394" t="s">
        <v>683</v>
      </c>
      <c r="H12" s="293">
        <f>COUNTIFS($E$6:$E$27,$G12,$D$6:$D$27,$H$11)</f>
        <v>4</v>
      </c>
      <c r="K12" s="314"/>
    </row>
    <row r="13" spans="1:14" ht="16.5" customHeight="1">
      <c r="A13" s="335">
        <v>43410</v>
      </c>
      <c r="B13" s="197">
        <v>1107</v>
      </c>
      <c r="C13" s="314" t="s">
        <v>674</v>
      </c>
      <c r="D13" s="314" t="s">
        <v>675</v>
      </c>
      <c r="E13" s="7" t="s">
        <v>676</v>
      </c>
      <c r="F13" s="222"/>
      <c r="G13" s="394" t="s">
        <v>691</v>
      </c>
      <c r="H13" s="293">
        <f>COUNTIFS($E$6:$E$27,$G13,$D$6:$D$27,$H$11)</f>
        <v>4</v>
      </c>
    </row>
    <row r="14" spans="1:14" ht="16.5" customHeight="1">
      <c r="A14" s="335">
        <v>43412</v>
      </c>
      <c r="B14" s="197">
        <v>1108</v>
      </c>
      <c r="C14" s="314" t="s">
        <v>677</v>
      </c>
      <c r="D14" s="314" t="s">
        <v>678</v>
      </c>
      <c r="E14" s="7" t="s">
        <v>679</v>
      </c>
      <c r="F14" s="222"/>
    </row>
    <row r="15" spans="1:14" ht="16.5" customHeight="1">
      <c r="A15" s="335">
        <v>43412</v>
      </c>
      <c r="B15" s="197">
        <v>1109</v>
      </c>
      <c r="C15" s="314" t="s">
        <v>680</v>
      </c>
      <c r="D15" s="314" t="s">
        <v>681</v>
      </c>
      <c r="E15" s="7" t="s">
        <v>660</v>
      </c>
      <c r="F15" s="222"/>
      <c r="G15" s="238" t="s">
        <v>1212</v>
      </c>
      <c r="H15" s="401" t="s">
        <v>431</v>
      </c>
      <c r="I15" s="401" t="s">
        <v>656</v>
      </c>
      <c r="J15" s="405" t="s">
        <v>657</v>
      </c>
      <c r="L15" s="338" t="s">
        <v>431</v>
      </c>
      <c r="M15" s="338" t="s">
        <v>656</v>
      </c>
      <c r="N15" s="103" t="s">
        <v>657</v>
      </c>
    </row>
    <row r="16" spans="1:14" ht="16.5" customHeight="1">
      <c r="A16" s="335">
        <v>43412</v>
      </c>
      <c r="B16" s="197">
        <v>1110</v>
      </c>
      <c r="C16" s="314" t="s">
        <v>682</v>
      </c>
      <c r="D16" s="314" t="s">
        <v>681</v>
      </c>
      <c r="E16" s="7" t="s">
        <v>683</v>
      </c>
      <c r="F16" s="222"/>
      <c r="G16" s="197">
        <v>1101</v>
      </c>
      <c r="H16" s="314" t="s">
        <v>666</v>
      </c>
      <c r="I16" t="str">
        <f t="array" ref="I16:J16">VLOOKUP(G16,B7:E27,{3,4},0)</f>
        <v>MIS-OPERATION</v>
      </c>
      <c r="J16" t="str">
        <v>SALES</v>
      </c>
      <c r="K16" s="197">
        <v>1101</v>
      </c>
      <c r="L16" s="314" t="s">
        <v>666</v>
      </c>
      <c r="M16" t="str">
        <f t="array" ref="M16:N16">VLOOKUP(K16,B6:E27,{3,4},0)</f>
        <v>MIS-OPERATION</v>
      </c>
      <c r="N16" t="str">
        <v>SALES</v>
      </c>
    </row>
    <row r="17" spans="1:14" ht="16.5" customHeight="1">
      <c r="A17" s="335">
        <v>43413</v>
      </c>
      <c r="B17" s="197">
        <v>1111</v>
      </c>
      <c r="C17" s="314" t="s">
        <v>684</v>
      </c>
      <c r="D17" s="314" t="s">
        <v>681</v>
      </c>
      <c r="E17" s="7" t="s">
        <v>683</v>
      </c>
      <c r="F17" s="222"/>
      <c r="G17" s="197">
        <v>1102</v>
      </c>
      <c r="H17" s="314" t="s">
        <v>685</v>
      </c>
      <c r="I17" t="str">
        <f t="array" ref="I17:J17">VLOOKUP(G17,B8:E28,{3,4},0)</f>
        <v>OPERATION</v>
      </c>
      <c r="J17" t="str">
        <v>PHP</v>
      </c>
      <c r="K17" s="197">
        <v>1102</v>
      </c>
      <c r="L17" s="314" t="s">
        <v>685</v>
      </c>
      <c r="M17" t="str">
        <f t="array" ref="M17:N17">VLOOKUP(K17,B7:E28,{3,4},0)</f>
        <v>OPERATION</v>
      </c>
      <c r="N17" t="str">
        <v>PHP</v>
      </c>
    </row>
    <row r="18" spans="1:14" ht="16.5" customHeight="1">
      <c r="A18" s="335">
        <v>43413</v>
      </c>
      <c r="B18" s="197">
        <v>1109</v>
      </c>
      <c r="C18" s="314" t="s">
        <v>680</v>
      </c>
      <c r="D18" s="314" t="s">
        <v>681</v>
      </c>
      <c r="E18" s="7" t="s">
        <v>683</v>
      </c>
      <c r="F18" s="222"/>
    </row>
    <row r="19" spans="1:14" ht="16.5" customHeight="1">
      <c r="A19" s="335">
        <v>43414</v>
      </c>
      <c r="B19" s="197">
        <v>1112</v>
      </c>
      <c r="C19" s="314" t="s">
        <v>685</v>
      </c>
      <c r="D19" s="314" t="s">
        <v>681</v>
      </c>
      <c r="E19" s="7" t="s">
        <v>686</v>
      </c>
      <c r="F19" s="222"/>
      <c r="G19" s="238" t="s">
        <v>1208</v>
      </c>
      <c r="H19" s="405" t="s">
        <v>657</v>
      </c>
    </row>
    <row r="20" spans="1:14" ht="16.5" customHeight="1">
      <c r="A20" s="335">
        <v>43414</v>
      </c>
      <c r="B20" s="197">
        <v>1113</v>
      </c>
      <c r="C20" s="314" t="s">
        <v>687</v>
      </c>
      <c r="D20" s="314" t="s">
        <v>681</v>
      </c>
      <c r="E20" s="7" t="s">
        <v>688</v>
      </c>
      <c r="G20" s="314" t="str">
        <f t="array" ref="G20:H20">VLOOKUP(G16,B7:E27,{3,4},0)</f>
        <v>MIS-OPERATION</v>
      </c>
      <c r="H20" s="314" t="str">
        <v>SALES</v>
      </c>
      <c r="I20" s="338" t="s">
        <v>431</v>
      </c>
      <c r="J20" s="406" t="s">
        <v>1227</v>
      </c>
    </row>
    <row r="21" spans="1:14" ht="16.5" customHeight="1">
      <c r="A21" s="335">
        <v>43414</v>
      </c>
      <c r="B21" s="197">
        <v>1114</v>
      </c>
      <c r="C21" s="314" t="s">
        <v>689</v>
      </c>
      <c r="D21" s="314" t="s">
        <v>681</v>
      </c>
      <c r="E21" s="7" t="s">
        <v>688</v>
      </c>
      <c r="F21" s="197"/>
      <c r="G21" s="314"/>
      <c r="H21" s="314"/>
      <c r="I21" s="314" t="s">
        <v>677</v>
      </c>
      <c r="J21">
        <f>INDEX($B$7:$C$27,MATCH($I21,$C$7:$C$27,0),MATCH($J$20,$B$6:$C$6,0))</f>
        <v>1108</v>
      </c>
      <c r="K21">
        <f>INDEX($B$7:$C$27,MATCH($I21,$C$7:$C$27,0),MATCH($J$20,$B$6:$C$6,0))</f>
        <v>1108</v>
      </c>
    </row>
    <row r="22" spans="1:14" ht="16.5" customHeight="1">
      <c r="A22" s="335">
        <v>43414</v>
      </c>
      <c r="B22" s="197">
        <v>1115</v>
      </c>
      <c r="C22" s="314" t="s">
        <v>690</v>
      </c>
      <c r="D22" s="314" t="s">
        <v>681</v>
      </c>
      <c r="E22" s="7" t="s">
        <v>691</v>
      </c>
      <c r="F22" s="222"/>
      <c r="I22" s="407" t="s">
        <v>1228</v>
      </c>
      <c r="J22">
        <f>INDEX($B$7:$C$27,MATCH($I22,$C$7:$C$27,0),MATCH($J$20,$B$6:$C$6,0))</f>
        <v>1115</v>
      </c>
      <c r="K22">
        <f>INDEX($B$7:$C$27,MATCH($I22,$C$7:$C$27,0),MATCH($J$20,$B$6:$C$6,0))</f>
        <v>1115</v>
      </c>
    </row>
    <row r="23" spans="1:14" ht="16.5" customHeight="1">
      <c r="A23" s="335">
        <v>43415</v>
      </c>
      <c r="B23" s="197">
        <v>1109</v>
      </c>
      <c r="C23" s="314" t="s">
        <v>680</v>
      </c>
      <c r="D23" s="314" t="s">
        <v>681</v>
      </c>
      <c r="E23" s="7" t="s">
        <v>683</v>
      </c>
      <c r="F23" s="222"/>
    </row>
    <row r="24" spans="1:14" ht="16.5" customHeight="1">
      <c r="A24" s="335">
        <v>43415</v>
      </c>
      <c r="B24" s="197">
        <v>1116</v>
      </c>
      <c r="C24" s="314" t="s">
        <v>692</v>
      </c>
      <c r="D24" s="314" t="s">
        <v>681</v>
      </c>
      <c r="E24" s="7" t="s">
        <v>691</v>
      </c>
      <c r="F24" s="222"/>
    </row>
    <row r="25" spans="1:14" ht="16.5" customHeight="1">
      <c r="A25" s="335">
        <v>43415</v>
      </c>
      <c r="B25" s="197">
        <v>1116</v>
      </c>
      <c r="C25" s="314" t="s">
        <v>692</v>
      </c>
      <c r="D25" s="314" t="s">
        <v>681</v>
      </c>
      <c r="E25" s="7" t="s">
        <v>691</v>
      </c>
      <c r="F25" s="222"/>
    </row>
    <row r="26" spans="1:14" ht="16.5" customHeight="1">
      <c r="A26" s="335">
        <v>43415</v>
      </c>
      <c r="B26" s="197">
        <v>1116</v>
      </c>
      <c r="C26" s="314" t="s">
        <v>692</v>
      </c>
      <c r="D26" s="314" t="s">
        <v>681</v>
      </c>
      <c r="E26" s="7" t="s">
        <v>691</v>
      </c>
      <c r="F26" s="222"/>
    </row>
    <row r="27" spans="1:14" ht="18" customHeight="1">
      <c r="A27" s="334" t="s">
        <v>693</v>
      </c>
      <c r="B27" s="197">
        <v>1010</v>
      </c>
      <c r="C27" s="314" t="s">
        <v>694</v>
      </c>
      <c r="D27" s="314" t="s">
        <v>695</v>
      </c>
      <c r="E27" s="7" t="s">
        <v>696</v>
      </c>
      <c r="F27" s="222"/>
    </row>
    <row r="28" spans="1:14" ht="36" customHeight="1">
      <c r="A28" s="533" t="s">
        <v>697</v>
      </c>
      <c r="B28" s="533"/>
      <c r="C28" s="533"/>
      <c r="D28" s="533"/>
      <c r="E28" s="533"/>
      <c r="F28" s="533"/>
      <c r="G28" s="675" t="s">
        <v>159</v>
      </c>
      <c r="H28" s="675"/>
      <c r="I28" s="16"/>
      <c r="J28" s="400">
        <f>COUNTA(C6:C27)</f>
        <v>22</v>
      </c>
    </row>
    <row r="29" spans="1:14" ht="33" customHeight="1">
      <c r="A29" s="551" t="s">
        <v>698</v>
      </c>
      <c r="B29" s="551"/>
      <c r="C29" s="551"/>
      <c r="D29" s="551"/>
      <c r="E29" s="551"/>
      <c r="F29" s="551"/>
      <c r="G29" s="591" t="s">
        <v>699</v>
      </c>
      <c r="H29" s="591"/>
      <c r="I29" s="17"/>
      <c r="J29" s="17"/>
    </row>
    <row r="30" spans="1:14" ht="16.5" customHeight="1">
      <c r="A30" s="534" t="s">
        <v>700</v>
      </c>
      <c r="B30" s="534"/>
      <c r="C30" s="534"/>
      <c r="D30" s="534"/>
      <c r="E30" s="534"/>
      <c r="F30" s="534"/>
      <c r="G30" s="534"/>
      <c r="H30" s="534"/>
      <c r="I30" s="536" t="s">
        <v>426</v>
      </c>
      <c r="J30" s="536"/>
    </row>
    <row r="31" spans="1:14" ht="16.5" customHeight="1">
      <c r="A31" s="534" t="s">
        <v>701</v>
      </c>
      <c r="B31" s="534"/>
      <c r="C31" s="534"/>
      <c r="D31" s="534"/>
      <c r="E31" s="534"/>
      <c r="F31" s="534"/>
      <c r="G31" s="534"/>
      <c r="H31" s="534"/>
      <c r="I31" s="536" t="s">
        <v>702</v>
      </c>
      <c r="J31" s="536"/>
    </row>
    <row r="32" spans="1:14" ht="33" customHeight="1">
      <c r="A32" s="551" t="s">
        <v>703</v>
      </c>
      <c r="B32" s="551"/>
      <c r="C32" s="551"/>
      <c r="D32" s="551"/>
      <c r="E32" s="551"/>
      <c r="F32" s="551"/>
      <c r="G32" s="552"/>
      <c r="H32" s="552"/>
      <c r="I32" s="549" t="s">
        <v>704</v>
      </c>
      <c r="J32" s="549"/>
    </row>
  </sheetData>
  <mergeCells count="19">
    <mergeCell ref="I30:J30"/>
    <mergeCell ref="A31:H31"/>
    <mergeCell ref="I31:J31"/>
    <mergeCell ref="A32:F32"/>
    <mergeCell ref="G32:H32"/>
    <mergeCell ref="I32:J32"/>
    <mergeCell ref="A28:F28"/>
    <mergeCell ref="G28:H28"/>
    <mergeCell ref="A29:F29"/>
    <mergeCell ref="G29:H29"/>
    <mergeCell ref="A30:H30"/>
    <mergeCell ref="A3:J3"/>
    <mergeCell ref="A4:J4"/>
    <mergeCell ref="A5:I5"/>
    <mergeCell ref="B1:C1"/>
    <mergeCell ref="D1:E1"/>
    <mergeCell ref="F1:G1"/>
    <mergeCell ref="B2:E2"/>
    <mergeCell ref="F2:G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8"/>
  <sheetViews>
    <sheetView topLeftCell="A27" workbookViewId="0">
      <selection activeCell="O37" sqref="O37"/>
    </sheetView>
  </sheetViews>
  <sheetFormatPr defaultRowHeight="13.2"/>
  <cols>
    <col min="1" max="1" width="15.33203125" bestFit="1" customWidth="1"/>
    <col min="2" max="2" width="12" bestFit="1" customWidth="1"/>
    <col min="3" max="3" width="13.77734375" bestFit="1" customWidth="1"/>
    <col min="4" max="4" width="11.6640625" bestFit="1" customWidth="1"/>
    <col min="5" max="5" width="12.33203125" bestFit="1" customWidth="1"/>
    <col min="6" max="6" width="20.77734375" bestFit="1" customWidth="1"/>
    <col min="7" max="7" width="5.109375" customWidth="1"/>
    <col min="8" max="8" width="7.109375" customWidth="1"/>
    <col min="9" max="9" width="10.77734375" customWidth="1"/>
    <col min="10" max="10" width="3.44140625" customWidth="1"/>
    <col min="11" max="11" width="12" customWidth="1"/>
    <col min="12" max="12" width="12.88671875" bestFit="1" customWidth="1"/>
    <col min="13" max="13" width="16.77734375" bestFit="1" customWidth="1"/>
    <col min="15" max="15" width="12.88671875" bestFit="1" customWidth="1"/>
    <col min="16" max="16" width="15.21875" bestFit="1" customWidth="1"/>
  </cols>
  <sheetData>
    <row r="1" spans="1:10" ht="21" customHeight="1">
      <c r="A1" s="531" t="s">
        <v>705</v>
      </c>
      <c r="B1" s="531"/>
      <c r="C1" s="531"/>
      <c r="D1" s="531"/>
      <c r="E1" s="531"/>
      <c r="F1" s="531"/>
      <c r="G1" s="531"/>
      <c r="H1" s="531"/>
      <c r="I1" s="531"/>
      <c r="J1" s="531"/>
    </row>
    <row r="2" spans="1:10" ht="22.65" customHeight="1">
      <c r="A2" s="545" t="s">
        <v>706</v>
      </c>
      <c r="B2" s="545"/>
      <c r="C2" s="545"/>
      <c r="D2" s="545"/>
      <c r="E2" s="545"/>
      <c r="F2" s="545"/>
      <c r="G2" s="545"/>
      <c r="H2" s="545"/>
      <c r="I2" s="545"/>
      <c r="J2" s="545"/>
    </row>
    <row r="3" spans="1:10" ht="21" customHeight="1">
      <c r="A3" s="48"/>
      <c r="B3" s="583"/>
      <c r="C3" s="583"/>
      <c r="D3" s="618" t="s">
        <v>707</v>
      </c>
      <c r="E3" s="618"/>
      <c r="F3" s="583"/>
      <c r="G3" s="583"/>
      <c r="H3" s="583"/>
      <c r="I3" s="583"/>
      <c r="J3" s="583"/>
    </row>
    <row r="4" spans="1:10" ht="33" customHeight="1">
      <c r="A4" s="104" t="s">
        <v>655</v>
      </c>
      <c r="B4" s="342" t="s">
        <v>708</v>
      </c>
      <c r="C4" s="343" t="s">
        <v>362</v>
      </c>
      <c r="D4" s="342" t="s">
        <v>245</v>
      </c>
      <c r="E4" s="342" t="s">
        <v>709</v>
      </c>
    </row>
    <row r="5" spans="1:10" ht="16.5" customHeight="1">
      <c r="A5" s="105">
        <v>101</v>
      </c>
      <c r="B5" s="339" t="s">
        <v>710</v>
      </c>
      <c r="C5" s="340" t="s">
        <v>711</v>
      </c>
      <c r="D5" s="339" t="s">
        <v>712</v>
      </c>
      <c r="E5" s="339" t="s">
        <v>713</v>
      </c>
    </row>
    <row r="6" spans="1:10" ht="16.5" customHeight="1">
      <c r="A6" s="6">
        <v>102</v>
      </c>
      <c r="B6" s="314" t="s">
        <v>714</v>
      </c>
      <c r="C6" s="315" t="s">
        <v>715</v>
      </c>
      <c r="D6" s="314" t="s">
        <v>716</v>
      </c>
      <c r="E6" s="314" t="s">
        <v>595</v>
      </c>
    </row>
    <row r="7" spans="1:10" ht="16.5" customHeight="1">
      <c r="A7" s="105">
        <v>103</v>
      </c>
      <c r="B7" s="339" t="s">
        <v>717</v>
      </c>
      <c r="C7" s="339" t="s">
        <v>718</v>
      </c>
      <c r="D7" s="339" t="s">
        <v>712</v>
      </c>
      <c r="E7" s="339" t="s">
        <v>595</v>
      </c>
    </row>
    <row r="8" spans="1:10" ht="16.5" customHeight="1">
      <c r="A8" s="6">
        <v>104</v>
      </c>
      <c r="B8" s="314" t="s">
        <v>444</v>
      </c>
      <c r="C8" s="316" t="s">
        <v>368</v>
      </c>
      <c r="D8" s="314" t="s">
        <v>716</v>
      </c>
      <c r="E8" s="314" t="s">
        <v>593</v>
      </c>
    </row>
    <row r="9" spans="1:10" ht="16.5" customHeight="1">
      <c r="A9" s="105">
        <v>105</v>
      </c>
      <c r="B9" s="339" t="s">
        <v>717</v>
      </c>
      <c r="C9" s="339" t="s">
        <v>215</v>
      </c>
      <c r="D9" s="339" t="s">
        <v>716</v>
      </c>
      <c r="E9" s="339" t="s">
        <v>713</v>
      </c>
    </row>
    <row r="10" spans="1:10" ht="16.5" customHeight="1">
      <c r="A10" s="6">
        <v>106</v>
      </c>
      <c r="B10" s="314" t="s">
        <v>719</v>
      </c>
      <c r="C10" s="315" t="s">
        <v>720</v>
      </c>
      <c r="D10" s="314" t="s">
        <v>721</v>
      </c>
      <c r="E10" s="314" t="s">
        <v>593</v>
      </c>
    </row>
    <row r="11" spans="1:10" ht="16.5" customHeight="1">
      <c r="A11" s="105">
        <v>107</v>
      </c>
      <c r="B11" s="339" t="s">
        <v>722</v>
      </c>
      <c r="C11" s="339" t="s">
        <v>723</v>
      </c>
      <c r="D11" s="339" t="s">
        <v>712</v>
      </c>
      <c r="E11" s="339" t="s">
        <v>595</v>
      </c>
    </row>
    <row r="12" spans="1:10" ht="16.5" customHeight="1">
      <c r="A12" s="6">
        <v>108</v>
      </c>
      <c r="B12" s="314" t="s">
        <v>724</v>
      </c>
      <c r="C12" s="314" t="s">
        <v>725</v>
      </c>
      <c r="D12" s="314" t="s">
        <v>716</v>
      </c>
      <c r="E12" s="314" t="s">
        <v>713</v>
      </c>
    </row>
    <row r="13" spans="1:10" ht="16.5" customHeight="1">
      <c r="A13" s="105">
        <v>109</v>
      </c>
      <c r="B13" s="339" t="s">
        <v>726</v>
      </c>
      <c r="C13" s="340" t="s">
        <v>727</v>
      </c>
      <c r="D13" s="339" t="s">
        <v>721</v>
      </c>
      <c r="E13" s="339" t="s">
        <v>595</v>
      </c>
    </row>
    <row r="14" spans="1:10" ht="16.5" customHeight="1">
      <c r="A14" s="106">
        <v>110</v>
      </c>
      <c r="B14" s="341" t="s">
        <v>728</v>
      </c>
      <c r="C14" s="341" t="s">
        <v>729</v>
      </c>
      <c r="D14" s="341" t="s">
        <v>721</v>
      </c>
      <c r="E14" s="341" t="s">
        <v>593</v>
      </c>
    </row>
    <row r="15" spans="1:10" ht="63.75" customHeight="1">
      <c r="A15" s="676" t="s">
        <v>730</v>
      </c>
      <c r="B15" s="676"/>
      <c r="C15" s="676"/>
      <c r="D15" s="676"/>
      <c r="E15" s="676"/>
      <c r="F15" s="676"/>
      <c r="G15" s="676"/>
      <c r="H15" s="676"/>
      <c r="I15" s="676"/>
      <c r="J15" s="676"/>
    </row>
    <row r="16" spans="1:10" ht="33" customHeight="1">
      <c r="A16" s="104" t="s">
        <v>655</v>
      </c>
      <c r="B16" s="342" t="s">
        <v>708</v>
      </c>
      <c r="C16" s="343" t="s">
        <v>362</v>
      </c>
      <c r="D16" s="342" t="s">
        <v>245</v>
      </c>
      <c r="E16" s="342" t="s">
        <v>709</v>
      </c>
    </row>
    <row r="17" spans="1:13" ht="16.5" customHeight="1">
      <c r="A17" s="105">
        <v>101</v>
      </c>
      <c r="B17" s="398" t="str">
        <f t="array" ref="B17">VLOOKUP(A5,A4:E14,{2,3,4,5},0)</f>
        <v>Donald</v>
      </c>
      <c r="C17" s="398" t="str">
        <f t="array" ref="C17">VLOOKUP(B5,B4:F14,{2,3,4,5},0)</f>
        <v>Patrick</v>
      </c>
      <c r="D17" s="398" t="str">
        <f t="array" ref="D17">VLOOKUP(C5,C4:G14,{2,3,4,5},0)</f>
        <v>Finance</v>
      </c>
      <c r="E17" s="398" t="str">
        <f t="array" ref="E17">VLOOKUP(D5,D4:H14,{2,3,4,5},0)</f>
        <v>Banglore</v>
      </c>
    </row>
    <row r="18" spans="1:13" ht="16.5" customHeight="1">
      <c r="A18" s="6">
        <v>103</v>
      </c>
      <c r="B18" s="398" t="str">
        <f t="array" ref="B18">VLOOKUP(A6,A5:E15,{2,3,4,5},0)</f>
        <v>Samuel</v>
      </c>
      <c r="C18" s="398" t="str">
        <f t="array" ref="C18">VLOOKUP(B6,B5:F15,{2,3,4,5},0)</f>
        <v>Samson</v>
      </c>
      <c r="D18" s="398" t="str">
        <f t="array" ref="D18">VLOOKUP(C6,C5:G15,{2,3,4,5},0)</f>
        <v>Marketing</v>
      </c>
      <c r="E18" s="398" t="str">
        <f t="array" ref="E18">VLOOKUP(D6,D5:H15,{2,3,4,5},0)</f>
        <v>Hyderabad</v>
      </c>
    </row>
    <row r="19" spans="1:13" ht="16.5" customHeight="1">
      <c r="A19" s="105">
        <v>102</v>
      </c>
      <c r="B19" s="398" t="str">
        <f t="array" ref="B19">VLOOKUP(A7,A6:E16,{2,3,4,5},0)</f>
        <v>Ian</v>
      </c>
      <c r="C19" s="398" t="str">
        <f t="array" ref="C19">VLOOKUP(B7,B6:F16,{2,3,4,5},0)</f>
        <v>Jacob</v>
      </c>
      <c r="D19" s="398" t="str">
        <f t="array" ref="D19">VLOOKUP(C7,C6:G16,{2,3,4,5},0)</f>
        <v>Finance</v>
      </c>
      <c r="E19" s="398" t="str">
        <f t="array" ref="E19">VLOOKUP(D7,D6:H16,{2,3,4,5},0)</f>
        <v>Hyderabad</v>
      </c>
    </row>
    <row r="20" spans="1:13" ht="16.5" customHeight="1">
      <c r="A20" s="6">
        <v>105</v>
      </c>
      <c r="B20" s="398" t="str">
        <f t="array" ref="B20">VLOOKUP(A8,A7:E17,{2,3,4,5},0)</f>
        <v>David</v>
      </c>
      <c r="C20" s="398" t="str">
        <f t="array" ref="C20">VLOOKUP(B8,B7:F17,{2,3,4,5},0)</f>
        <v>Johnson</v>
      </c>
      <c r="D20" s="398" t="str">
        <f t="array" ref="D20">VLOOKUP(C8,C7:G17,{2,3,4,5},0)</f>
        <v>Marketing</v>
      </c>
      <c r="E20" s="398" t="str">
        <f t="array" ref="E20">VLOOKUP(D8,D7:H17,{2,3,4,5},0)</f>
        <v>Pune</v>
      </c>
    </row>
    <row r="21" spans="1:13" ht="16.5" customHeight="1">
      <c r="A21" s="105">
        <v>108</v>
      </c>
      <c r="B21" s="398" t="str">
        <f t="array" ref="B21">VLOOKUP(A9,A8:E18,{2,3,4,5},0)</f>
        <v>Ian</v>
      </c>
      <c r="C21" s="398" t="str">
        <f t="array" ref="C21">VLOOKUP(B9,B8:F18,{2,3,4,5},0)</f>
        <v>Smith</v>
      </c>
      <c r="D21" s="398" t="str">
        <f t="array" ref="D21">VLOOKUP(C9,C8:G18,{2,3,4,5},0)</f>
        <v>Marketing</v>
      </c>
      <c r="E21" s="398" t="str">
        <f t="array" ref="E21">VLOOKUP(D9,D8:H18,{2,3,4,5},0)</f>
        <v>Pune</v>
      </c>
    </row>
    <row r="22" spans="1:13" ht="16.5" customHeight="1">
      <c r="A22" s="6">
        <v>106</v>
      </c>
      <c r="B22" s="398" t="str">
        <f t="array" ref="B22">VLOOKUP(A10,A9:E19,{2,3,4,5},0)</f>
        <v>Henry</v>
      </c>
      <c r="C22" s="398" t="str">
        <f t="array" ref="C22">VLOOKUP(B10,B9:F19,{2,3,4,5},0)</f>
        <v>Madrid</v>
      </c>
      <c r="D22" s="398" t="str">
        <f t="array" ref="D22">VLOOKUP(C10,C9:G19,{2,3,4,5},0)</f>
        <v>IT</v>
      </c>
      <c r="E22" s="398" t="str">
        <f t="array" ref="E22">VLOOKUP(D10,D9:H19,{2,3,4,5},0)</f>
        <v>Pune</v>
      </c>
    </row>
    <row r="23" spans="1:13" ht="16.5" customHeight="1">
      <c r="A23" s="105">
        <v>107</v>
      </c>
      <c r="B23" s="398" t="str">
        <f t="array" ref="B23">VLOOKUP(A11,A10:E20,{2,3,4,5},0)</f>
        <v>Ronica</v>
      </c>
      <c r="C23" s="398" t="str">
        <f t="array" ref="C23">VLOOKUP(B11,B10:F20,{2,3,4,5},0)</f>
        <v>Brave</v>
      </c>
      <c r="D23" s="398" t="str">
        <f t="array" ref="D23">VLOOKUP(C11,C10:G20,{2,3,4,5},0)</f>
        <v>Finance</v>
      </c>
      <c r="E23" s="398" t="str">
        <f t="array" ref="E23">VLOOKUP(D11,D10:H20,{2,3,4,5},0)</f>
        <v>Hyderabad</v>
      </c>
    </row>
    <row r="24" spans="1:13" ht="16.5" customHeight="1">
      <c r="A24" s="6">
        <v>104</v>
      </c>
      <c r="B24" s="398" t="str">
        <f t="array" ref="B24">VLOOKUP(A12,A11:E21,{2,3,4,5},0)</f>
        <v>Christine</v>
      </c>
      <c r="C24" s="398" t="str">
        <f t="array" ref="C24">VLOOKUP(B12,B11:F21,{2,3,4,5},0)</f>
        <v>Salvi</v>
      </c>
      <c r="D24" s="398" t="str">
        <f t="array" ref="D24">VLOOKUP(C12,C11:G21,{2,3,4,5},0)</f>
        <v>Marketing</v>
      </c>
      <c r="E24" s="398" t="str">
        <f t="array" ref="E24">VLOOKUP(D12,D11:H21,{2,3,4,5},0)</f>
        <v>Banglore</v>
      </c>
    </row>
    <row r="25" spans="1:13" ht="16.5" customHeight="1">
      <c r="A25" s="105">
        <v>109</v>
      </c>
      <c r="B25" s="398" t="str">
        <f t="array" ref="B25">VLOOKUP(A13,A12:E22,{2,3,4,5},0)</f>
        <v>Andrew</v>
      </c>
      <c r="C25" s="398" t="str">
        <f t="array" ref="C25">VLOOKUP(B13,B12:F22,{2,3,4,5},0)</f>
        <v>Baisley</v>
      </c>
      <c r="D25" s="398" t="str">
        <f t="array" ref="D25">VLOOKUP(C13,C12:G22,{2,3,4,5},0)</f>
        <v>IT</v>
      </c>
      <c r="E25" s="398" t="str">
        <f t="array" ref="E25">VLOOKUP(D13,D12:H22,{2,3,4,5},0)</f>
        <v>Hyderabad</v>
      </c>
    </row>
    <row r="26" spans="1:13" ht="16.5" customHeight="1">
      <c r="A26" s="106">
        <v>110</v>
      </c>
      <c r="B26" s="398" t="str">
        <f t="array" ref="B26">VLOOKUP(A14,A13:E23,{2,3,4,5},0)</f>
        <v>Erica</v>
      </c>
      <c r="C26" s="398" t="str">
        <f t="array" ref="C26">VLOOKUP(B14,B13:F23,{2,3,4,5},0)</f>
        <v>Irons</v>
      </c>
      <c r="D26" s="398" t="str">
        <f t="array" ref="D26">VLOOKUP(C14,C13:G23,{2,3,4,5},0)</f>
        <v>IT</v>
      </c>
      <c r="E26" s="398" t="str">
        <f t="array" ref="E26">VLOOKUP(D14,D13:H23,{2,3,4,5},0)</f>
        <v>Hyderabad</v>
      </c>
    </row>
    <row r="27" spans="1:13" ht="21" customHeight="1">
      <c r="A27" s="531" t="s">
        <v>731</v>
      </c>
      <c r="B27" s="531"/>
      <c r="C27" s="531"/>
      <c r="D27" s="531"/>
      <c r="E27" s="531"/>
      <c r="F27" s="531"/>
      <c r="G27" s="531"/>
      <c r="H27" s="531"/>
      <c r="I27" s="531"/>
      <c r="J27" s="531"/>
      <c r="K27" s="531"/>
    </row>
    <row r="28" spans="1:13" ht="22.65" customHeight="1">
      <c r="A28" s="545" t="s">
        <v>732</v>
      </c>
      <c r="B28" s="545"/>
      <c r="C28" s="545"/>
      <c r="D28" s="545"/>
      <c r="E28" s="545"/>
      <c r="F28" s="545"/>
      <c r="G28" s="545"/>
      <c r="H28" s="545"/>
      <c r="I28" s="545"/>
      <c r="J28" s="545"/>
      <c r="K28" s="545"/>
    </row>
    <row r="29" spans="1:13" ht="21" customHeight="1">
      <c r="A29" s="678" t="s">
        <v>733</v>
      </c>
      <c r="B29" s="678"/>
      <c r="C29" s="678"/>
      <c r="D29" s="678"/>
      <c r="E29" s="678"/>
      <c r="F29" s="678"/>
      <c r="G29" s="678"/>
      <c r="H29" s="678"/>
      <c r="I29" s="678"/>
      <c r="J29" s="678"/>
      <c r="K29" s="678"/>
    </row>
    <row r="30" spans="1:13" ht="36.75" customHeight="1">
      <c r="A30" s="428" t="s">
        <v>734</v>
      </c>
      <c r="B30" s="430" t="s">
        <v>735</v>
      </c>
      <c r="C30" s="431" t="s">
        <v>736</v>
      </c>
      <c r="D30" s="96"/>
      <c r="E30" s="680" t="s">
        <v>737</v>
      </c>
      <c r="F30" s="680"/>
      <c r="G30" s="680" t="s">
        <v>738</v>
      </c>
      <c r="H30" s="680"/>
    </row>
    <row r="31" spans="1:13" ht="16.5" customHeight="1">
      <c r="A31" s="416">
        <v>43119</v>
      </c>
      <c r="B31" s="316" t="s">
        <v>739</v>
      </c>
      <c r="C31" s="419" t="s">
        <v>740</v>
      </c>
      <c r="D31" s="108"/>
      <c r="E31" s="677"/>
      <c r="F31" s="677"/>
      <c r="G31" s="677"/>
      <c r="H31" s="677"/>
      <c r="L31" s="447" t="s">
        <v>1239</v>
      </c>
      <c r="M31" t="s">
        <v>1328</v>
      </c>
    </row>
    <row r="32" spans="1:13" ht="16.5" customHeight="1">
      <c r="A32" s="416">
        <v>43116</v>
      </c>
      <c r="B32" s="316" t="s">
        <v>739</v>
      </c>
      <c r="C32" s="419" t="s">
        <v>741</v>
      </c>
      <c r="D32" s="679" t="b">
        <f>ISNUMBER(C31)</f>
        <v>0</v>
      </c>
      <c r="E32" s="427" t="s">
        <v>734</v>
      </c>
      <c r="F32" s="428" t="s">
        <v>742</v>
      </c>
      <c r="L32" t="s">
        <v>1307</v>
      </c>
      <c r="M32" s="788">
        <v>43119</v>
      </c>
    </row>
    <row r="33" spans="1:13" ht="16.5" customHeight="1">
      <c r="A33" s="416">
        <v>43122</v>
      </c>
      <c r="B33" s="316" t="s">
        <v>739</v>
      </c>
      <c r="C33" s="419" t="s">
        <v>743</v>
      </c>
      <c r="D33" s="679"/>
      <c r="E33" s="420">
        <v>43112</v>
      </c>
      <c r="F33" s="429" t="s">
        <v>744</v>
      </c>
      <c r="H33" t="b">
        <f>ISNUMBER(F33)</f>
        <v>0</v>
      </c>
      <c r="L33" t="s">
        <v>1240</v>
      </c>
      <c r="M33" s="788">
        <v>43119</v>
      </c>
    </row>
    <row r="34" spans="1:13" ht="16.5" customHeight="1">
      <c r="A34" s="422">
        <v>43112</v>
      </c>
      <c r="B34" s="423" t="s">
        <v>739</v>
      </c>
      <c r="C34" s="424" t="s">
        <v>744</v>
      </c>
      <c r="D34" s="580"/>
      <c r="E34" s="425">
        <v>43116</v>
      </c>
      <c r="F34" s="426" t="s">
        <v>741</v>
      </c>
    </row>
    <row r="35" spans="1:13" ht="16.5" customHeight="1">
      <c r="A35" s="416">
        <v>43136</v>
      </c>
      <c r="B35" s="314" t="s">
        <v>745</v>
      </c>
      <c r="C35" s="417">
        <v>15205</v>
      </c>
      <c r="D35" s="580"/>
      <c r="E35" s="420">
        <v>43119</v>
      </c>
      <c r="F35" s="414" t="s">
        <v>740</v>
      </c>
    </row>
    <row r="36" spans="1:13" ht="16.5" customHeight="1">
      <c r="A36" s="416">
        <v>43133</v>
      </c>
      <c r="B36" s="314" t="s">
        <v>745</v>
      </c>
      <c r="C36" s="417">
        <v>24327</v>
      </c>
      <c r="D36" s="580"/>
      <c r="E36" s="420">
        <v>43122</v>
      </c>
      <c r="F36" s="414" t="s">
        <v>743</v>
      </c>
    </row>
    <row r="37" spans="1:13" ht="16.5" customHeight="1">
      <c r="A37" s="416">
        <v>43144</v>
      </c>
      <c r="B37" s="314" t="s">
        <v>745</v>
      </c>
      <c r="C37" s="417">
        <v>50549</v>
      </c>
      <c r="D37" s="580"/>
      <c r="E37" s="420">
        <v>43133</v>
      </c>
      <c r="F37" s="415">
        <v>24327</v>
      </c>
    </row>
    <row r="38" spans="1:13" ht="16.5" customHeight="1">
      <c r="A38" s="416">
        <v>43146</v>
      </c>
      <c r="B38" s="314" t="s">
        <v>745</v>
      </c>
      <c r="C38" s="417">
        <v>15106</v>
      </c>
      <c r="D38" s="580"/>
      <c r="E38" s="420">
        <v>43136</v>
      </c>
      <c r="F38" s="415">
        <v>15205</v>
      </c>
    </row>
    <row r="39" spans="1:13" ht="16.5" customHeight="1">
      <c r="A39" s="416">
        <v>43146</v>
      </c>
      <c r="B39" s="314" t="s">
        <v>745</v>
      </c>
      <c r="C39" s="417">
        <v>19901</v>
      </c>
      <c r="D39" s="580"/>
      <c r="E39" s="420">
        <v>43140</v>
      </c>
      <c r="F39" s="415">
        <v>15205</v>
      </c>
    </row>
    <row r="40" spans="1:13" ht="16.5" customHeight="1">
      <c r="A40" s="416">
        <v>43140</v>
      </c>
      <c r="B40" s="314" t="s">
        <v>745</v>
      </c>
      <c r="C40" s="417">
        <v>15205</v>
      </c>
      <c r="D40" s="580"/>
      <c r="E40" s="420">
        <v>43144</v>
      </c>
      <c r="F40" s="415">
        <v>50549</v>
      </c>
    </row>
    <row r="41" spans="1:13" ht="16.5" customHeight="1">
      <c r="A41" s="416">
        <v>43153</v>
      </c>
      <c r="B41" s="314" t="s">
        <v>745</v>
      </c>
      <c r="C41" s="419" t="s">
        <v>746</v>
      </c>
      <c r="D41" s="580"/>
      <c r="E41" s="420">
        <v>43146</v>
      </c>
      <c r="F41" s="415">
        <v>35007</v>
      </c>
    </row>
    <row r="42" spans="1:13" ht="16.5" customHeight="1">
      <c r="A42" s="416">
        <v>43157</v>
      </c>
      <c r="B42" s="314" t="s">
        <v>745</v>
      </c>
      <c r="C42" s="419" t="s">
        <v>747</v>
      </c>
      <c r="D42" s="580"/>
      <c r="E42" s="420">
        <v>43153</v>
      </c>
      <c r="F42" s="414" t="s">
        <v>746</v>
      </c>
    </row>
    <row r="43" spans="1:13" ht="16.5" customHeight="1">
      <c r="A43" s="416">
        <v>43157</v>
      </c>
      <c r="B43" s="314" t="s">
        <v>745</v>
      </c>
      <c r="C43" s="419" t="s">
        <v>748</v>
      </c>
      <c r="D43" s="580"/>
      <c r="E43" s="420">
        <v>43157</v>
      </c>
      <c r="F43" s="414" t="s">
        <v>749</v>
      </c>
    </row>
    <row r="44" spans="1:13" ht="16.5" customHeight="1">
      <c r="A44" s="416">
        <v>43157</v>
      </c>
      <c r="B44" s="314" t="s">
        <v>745</v>
      </c>
      <c r="C44" s="419" t="s">
        <v>750</v>
      </c>
      <c r="D44" s="580"/>
      <c r="E44" s="420">
        <v>43158</v>
      </c>
      <c r="F44" s="414" t="s">
        <v>751</v>
      </c>
    </row>
    <row r="45" spans="1:13" ht="16.5" customHeight="1">
      <c r="A45" s="416">
        <v>43158</v>
      </c>
      <c r="B45" s="314" t="s">
        <v>745</v>
      </c>
      <c r="C45" s="419" t="s">
        <v>751</v>
      </c>
      <c r="D45" s="580"/>
      <c r="E45" s="420">
        <v>43159</v>
      </c>
      <c r="F45" s="414" t="s">
        <v>752</v>
      </c>
    </row>
    <row r="46" spans="1:13" ht="16.5" customHeight="1">
      <c r="A46" s="416">
        <v>43159</v>
      </c>
      <c r="B46" s="314" t="s">
        <v>745</v>
      </c>
      <c r="C46" s="419" t="s">
        <v>753</v>
      </c>
      <c r="D46" s="580"/>
      <c r="E46" s="281" t="s">
        <v>754</v>
      </c>
      <c r="F46" s="421" t="s">
        <v>755</v>
      </c>
    </row>
    <row r="47" spans="1:13" ht="16.5" customHeight="1">
      <c r="A47" s="416">
        <v>43159</v>
      </c>
      <c r="B47" s="314" t="s">
        <v>745</v>
      </c>
      <c r="C47" s="417">
        <v>15218</v>
      </c>
      <c r="D47" s="643"/>
      <c r="E47" s="552"/>
      <c r="F47" s="552"/>
      <c r="G47" s="552"/>
      <c r="H47" s="552"/>
    </row>
    <row r="48" spans="1:13" ht="16.5" customHeight="1">
      <c r="A48" s="418">
        <v>43159</v>
      </c>
      <c r="B48" s="314" t="s">
        <v>745</v>
      </c>
      <c r="C48" s="419" t="s">
        <v>740</v>
      </c>
      <c r="D48" s="643"/>
      <c r="E48" s="552"/>
      <c r="F48" s="552"/>
      <c r="G48" s="552"/>
      <c r="H48" s="552"/>
    </row>
  </sheetData>
  <mergeCells count="17">
    <mergeCell ref="D47:H48"/>
    <mergeCell ref="D34:D46"/>
    <mergeCell ref="D32:D33"/>
    <mergeCell ref="E30:F30"/>
    <mergeCell ref="G30:H30"/>
    <mergeCell ref="A15:J15"/>
    <mergeCell ref="E31:F31"/>
    <mergeCell ref="G31:H31"/>
    <mergeCell ref="A1:J1"/>
    <mergeCell ref="A2:J2"/>
    <mergeCell ref="B3:C3"/>
    <mergeCell ref="D3:E3"/>
    <mergeCell ref="F3:H3"/>
    <mergeCell ref="I3:J3"/>
    <mergeCell ref="A27:K27"/>
    <mergeCell ref="A28:K28"/>
    <mergeCell ref="A29:K29"/>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3"/>
  <sheetViews>
    <sheetView zoomScale="130" zoomScaleNormal="130" workbookViewId="0">
      <selection activeCell="O33" sqref="O33"/>
    </sheetView>
  </sheetViews>
  <sheetFormatPr defaultRowHeight="13.2"/>
  <cols>
    <col min="1" max="1" width="20.44140625" customWidth="1"/>
    <col min="2" max="2" width="15.109375" customWidth="1"/>
    <col min="3" max="3" width="14.109375" customWidth="1"/>
    <col min="4" max="4" width="13.44140625" customWidth="1"/>
    <col min="5" max="5" width="13.33203125" customWidth="1"/>
    <col min="6" max="6" width="14.77734375" customWidth="1"/>
    <col min="7" max="7" width="8.44140625" customWidth="1"/>
    <col min="10" max="10" width="11.44140625" customWidth="1"/>
    <col min="11" max="11" width="11.44140625" bestFit="1" customWidth="1"/>
    <col min="12" max="12" width="14.6640625" customWidth="1"/>
  </cols>
  <sheetData>
    <row r="1" spans="1:16" ht="21" customHeight="1">
      <c r="A1" s="531" t="s">
        <v>756</v>
      </c>
      <c r="B1" s="531"/>
      <c r="C1" s="531"/>
      <c r="D1" s="531"/>
      <c r="E1" s="531"/>
      <c r="F1" s="531"/>
      <c r="G1" s="531"/>
    </row>
    <row r="2" spans="1:16" ht="28.5" customHeight="1">
      <c r="A2" s="619" t="s">
        <v>757</v>
      </c>
      <c r="B2" s="619"/>
      <c r="C2" s="619"/>
      <c r="D2" s="619"/>
      <c r="E2" s="619"/>
      <c r="F2" s="619"/>
      <c r="G2" s="619"/>
    </row>
    <row r="3" spans="1:16" ht="16.5" customHeight="1">
      <c r="A3" s="95" t="s">
        <v>758</v>
      </c>
      <c r="B3" s="7" t="s">
        <v>739</v>
      </c>
      <c r="C3" s="44" t="s">
        <v>745</v>
      </c>
      <c r="D3" s="25" t="s">
        <v>759</v>
      </c>
      <c r="E3" s="43" t="s">
        <v>760</v>
      </c>
      <c r="F3" s="82" t="s">
        <v>761</v>
      </c>
      <c r="G3" s="7" t="s">
        <v>762</v>
      </c>
      <c r="J3" s="95"/>
      <c r="K3" s="7"/>
      <c r="L3" s="44"/>
      <c r="M3" s="25"/>
      <c r="N3" s="43"/>
      <c r="O3" s="82"/>
      <c r="P3" s="7"/>
    </row>
    <row r="4" spans="1:16" ht="16.5" customHeight="1">
      <c r="A4" s="95" t="s">
        <v>763</v>
      </c>
      <c r="B4" s="6">
        <v>240</v>
      </c>
      <c r="C4" s="6">
        <v>180</v>
      </c>
      <c r="D4" s="6">
        <v>310</v>
      </c>
      <c r="E4" s="6">
        <v>445</v>
      </c>
      <c r="F4" s="6">
        <v>650</v>
      </c>
      <c r="G4" s="6">
        <v>700</v>
      </c>
      <c r="J4" s="95"/>
      <c r="K4" s="6"/>
      <c r="L4" s="6"/>
      <c r="M4" s="6"/>
      <c r="N4" s="6"/>
      <c r="O4" s="6"/>
      <c r="P4" s="6"/>
    </row>
    <row r="5" spans="1:16" ht="15.75" customHeight="1">
      <c r="A5" s="611"/>
      <c r="B5" s="611"/>
      <c r="C5" s="611"/>
      <c r="D5" s="611"/>
      <c r="E5" s="611"/>
      <c r="F5" s="611"/>
      <c r="G5" s="611"/>
    </row>
    <row r="6" spans="1:16" ht="16.5" customHeight="1">
      <c r="A6" s="95" t="s">
        <v>758</v>
      </c>
      <c r="B6" s="7" t="s">
        <v>760</v>
      </c>
      <c r="C6" s="643"/>
      <c r="D6" s="552"/>
      <c r="E6" s="552"/>
      <c r="F6" s="552"/>
      <c r="G6" s="552"/>
      <c r="K6" s="95"/>
      <c r="L6" s="7"/>
    </row>
    <row r="7" spans="1:16" ht="16.5" customHeight="1">
      <c r="A7" s="95" t="s">
        <v>763</v>
      </c>
      <c r="B7" s="490">
        <f t="array" ref="B7">VLOOKUP(A7,A4:G4,{5},0)</f>
        <v>445</v>
      </c>
      <c r="C7" s="643"/>
      <c r="D7" s="552"/>
      <c r="E7" s="552"/>
      <c r="F7" s="552"/>
      <c r="G7" s="552"/>
      <c r="K7" s="95"/>
      <c r="L7" s="490"/>
    </row>
    <row r="8" spans="1:16" ht="30.6" customHeight="1">
      <c r="A8" s="681"/>
      <c r="B8" s="681"/>
      <c r="C8" s="681"/>
      <c r="D8" s="681"/>
      <c r="E8" s="681"/>
      <c r="F8" s="681"/>
      <c r="G8" s="681"/>
      <c r="K8" s="7" t="s">
        <v>648</v>
      </c>
      <c r="L8" s="7" t="s">
        <v>765</v>
      </c>
      <c r="M8" s="7" t="s">
        <v>766</v>
      </c>
      <c r="N8" s="43" t="s">
        <v>767</v>
      </c>
      <c r="O8" s="43" t="s">
        <v>768</v>
      </c>
      <c r="P8" s="7" t="s">
        <v>769</v>
      </c>
    </row>
    <row r="9" spans="1:16" ht="16.5" customHeight="1">
      <c r="A9" s="95" t="s">
        <v>764</v>
      </c>
      <c r="B9" s="7" t="s">
        <v>648</v>
      </c>
      <c r="C9" s="7" t="s">
        <v>765</v>
      </c>
      <c r="D9" s="7" t="s">
        <v>766</v>
      </c>
      <c r="E9" s="43" t="s">
        <v>767</v>
      </c>
      <c r="F9" s="43" t="s">
        <v>768</v>
      </c>
      <c r="G9" s="7" t="s">
        <v>769</v>
      </c>
      <c r="J9" s="95" t="s">
        <v>5</v>
      </c>
      <c r="K9">
        <f>HLOOKUP(K$8,$A$9:$G$12,3,0)</f>
        <v>82</v>
      </c>
      <c r="L9">
        <f t="shared" ref="L9:P9" si="0">HLOOKUP(L$8,$A$9:$G$12,3,0)</f>
        <v>71</v>
      </c>
      <c r="M9">
        <f t="shared" si="0"/>
        <v>56</v>
      </c>
      <c r="N9">
        <f t="shared" si="0"/>
        <v>32</v>
      </c>
      <c r="O9">
        <f t="shared" si="0"/>
        <v>81</v>
      </c>
      <c r="P9">
        <f t="shared" si="0"/>
        <v>66</v>
      </c>
    </row>
    <row r="10" spans="1:16" ht="16.5" customHeight="1">
      <c r="A10" s="95" t="s">
        <v>770</v>
      </c>
      <c r="B10" s="6">
        <v>36</v>
      </c>
      <c r="C10" s="6">
        <v>45</v>
      </c>
      <c r="D10" s="6">
        <v>52</v>
      </c>
      <c r="E10" s="6">
        <v>66</v>
      </c>
      <c r="F10" s="6">
        <v>75</v>
      </c>
      <c r="G10" s="6">
        <v>40</v>
      </c>
      <c r="K10">
        <f t="array" ref="K10">'Table 20'!H27</f>
        <v>76641</v>
      </c>
    </row>
    <row r="11" spans="1:16" ht="16.5" customHeight="1">
      <c r="A11" s="500" t="s">
        <v>1308</v>
      </c>
      <c r="B11" s="6">
        <v>82</v>
      </c>
      <c r="C11" s="6">
        <v>71</v>
      </c>
      <c r="D11" s="6">
        <v>56</v>
      </c>
      <c r="E11" s="6">
        <v>32</v>
      </c>
      <c r="F11" s="6">
        <v>81</v>
      </c>
      <c r="G11" s="6">
        <v>66</v>
      </c>
    </row>
    <row r="12" spans="1:16" ht="16.5" customHeight="1">
      <c r="A12" s="95" t="s">
        <v>771</v>
      </c>
      <c r="B12" s="6">
        <v>32</v>
      </c>
      <c r="C12" s="6">
        <v>45</v>
      </c>
      <c r="D12" s="6">
        <v>52</v>
      </c>
      <c r="E12" s="6">
        <v>51</v>
      </c>
      <c r="F12" s="6">
        <v>71</v>
      </c>
      <c r="G12" s="6">
        <v>74</v>
      </c>
    </row>
    <row r="13" spans="1:16" ht="30.6" customHeight="1">
      <c r="A13" s="548"/>
      <c r="B13" s="548"/>
      <c r="C13" s="548"/>
      <c r="D13" s="548"/>
      <c r="E13" s="548"/>
      <c r="F13" s="548"/>
      <c r="G13" s="548"/>
    </row>
    <row r="14" spans="1:16" ht="16.5" customHeight="1">
      <c r="A14" s="682" t="s">
        <v>772</v>
      </c>
      <c r="B14" s="683"/>
      <c r="C14" s="506"/>
      <c r="D14" s="684"/>
      <c r="E14" s="560"/>
      <c r="F14" s="560"/>
      <c r="G14" s="560"/>
    </row>
    <row r="15" spans="1:16" ht="15.75" customHeight="1">
      <c r="A15" s="583"/>
      <c r="B15" s="583"/>
      <c r="C15" s="583"/>
      <c r="D15" s="583"/>
      <c r="E15" s="583"/>
      <c r="F15" s="583"/>
      <c r="G15" s="583"/>
      <c r="K15" s="7" t="s">
        <v>648</v>
      </c>
      <c r="L15" s="7" t="s">
        <v>765</v>
      </c>
      <c r="M15" s="7" t="s">
        <v>766</v>
      </c>
      <c r="N15" s="43" t="s">
        <v>767</v>
      </c>
      <c r="O15" s="43" t="s">
        <v>768</v>
      </c>
      <c r="P15" s="7" t="s">
        <v>769</v>
      </c>
    </row>
    <row r="16" spans="1:16" ht="16.5" customHeight="1">
      <c r="A16" s="95" t="s">
        <v>764</v>
      </c>
      <c r="B16" s="7" t="s">
        <v>648</v>
      </c>
      <c r="C16" s="7" t="s">
        <v>765</v>
      </c>
      <c r="D16" s="7" t="s">
        <v>766</v>
      </c>
      <c r="E16" s="43" t="s">
        <v>767</v>
      </c>
      <c r="F16" s="43" t="s">
        <v>768</v>
      </c>
      <c r="G16" s="7" t="s">
        <v>769</v>
      </c>
      <c r="J16" s="95" t="s">
        <v>771</v>
      </c>
      <c r="K16">
        <f>HLOOKUP(K$15,$A$16:$G$19,4,0)</f>
        <v>32</v>
      </c>
      <c r="L16">
        <f t="shared" ref="L16:P16" si="1">HLOOKUP(L$15,$A$16:$G$19,4,0)</f>
        <v>45</v>
      </c>
      <c r="M16">
        <f t="shared" si="1"/>
        <v>52</v>
      </c>
      <c r="N16">
        <f t="shared" si="1"/>
        <v>51</v>
      </c>
      <c r="O16">
        <f t="shared" si="1"/>
        <v>71</v>
      </c>
      <c r="P16">
        <f t="shared" si="1"/>
        <v>74</v>
      </c>
    </row>
    <row r="17" spans="1:12" ht="16.5" customHeight="1">
      <c r="A17" s="95" t="s">
        <v>770</v>
      </c>
      <c r="B17" s="6">
        <v>36</v>
      </c>
      <c r="C17" s="6">
        <v>45</v>
      </c>
      <c r="D17" s="6">
        <v>52</v>
      </c>
      <c r="E17" s="6">
        <v>66</v>
      </c>
      <c r="F17" s="6">
        <v>75</v>
      </c>
      <c r="G17" s="6">
        <v>40</v>
      </c>
    </row>
    <row r="18" spans="1:12" ht="16.5" customHeight="1">
      <c r="A18" s="95" t="s">
        <v>5</v>
      </c>
      <c r="B18" s="6">
        <v>82</v>
      </c>
      <c r="C18" s="6">
        <v>71</v>
      </c>
      <c r="D18" s="6">
        <v>56</v>
      </c>
      <c r="E18" s="6">
        <v>32</v>
      </c>
      <c r="F18" s="6">
        <v>81</v>
      </c>
      <c r="G18" s="6">
        <v>66</v>
      </c>
    </row>
    <row r="19" spans="1:12" ht="16.5" customHeight="1">
      <c r="A19" s="95" t="s">
        <v>771</v>
      </c>
      <c r="B19" s="6">
        <v>32</v>
      </c>
      <c r="C19" s="6">
        <v>45</v>
      </c>
      <c r="D19" s="6">
        <v>52</v>
      </c>
      <c r="E19" s="6">
        <v>51</v>
      </c>
      <c r="F19" s="6">
        <v>71</v>
      </c>
      <c r="G19" s="6">
        <v>74</v>
      </c>
    </row>
    <row r="20" spans="1:12" ht="15.75" customHeight="1">
      <c r="A20" s="611"/>
      <c r="B20" s="611"/>
      <c r="C20" s="611"/>
      <c r="D20" s="611"/>
      <c r="E20" s="611"/>
      <c r="F20" s="611"/>
      <c r="G20" s="611"/>
    </row>
    <row r="21" spans="1:12" ht="16.5" customHeight="1">
      <c r="A21" s="682" t="s">
        <v>773</v>
      </c>
      <c r="B21" s="683"/>
      <c r="C21" s="506"/>
      <c r="D21" s="684"/>
      <c r="E21" s="560"/>
      <c r="F21" s="560"/>
      <c r="G21" s="560"/>
    </row>
    <row r="22" spans="1:12" ht="15.75" customHeight="1">
      <c r="A22" s="560"/>
      <c r="B22" s="560"/>
      <c r="C22" s="560"/>
      <c r="D22" s="560"/>
      <c r="E22" s="560"/>
      <c r="F22" s="560"/>
      <c r="G22" s="560"/>
    </row>
    <row r="23" spans="1:12" ht="16.5" customHeight="1">
      <c r="A23" s="95" t="s">
        <v>774</v>
      </c>
      <c r="B23" s="7" t="s">
        <v>775</v>
      </c>
      <c r="C23" s="5" t="s">
        <v>776</v>
      </c>
      <c r="D23" s="5" t="s">
        <v>777</v>
      </c>
      <c r="E23" s="43" t="s">
        <v>778</v>
      </c>
      <c r="F23" s="5" t="s">
        <v>779</v>
      </c>
      <c r="G23" s="540"/>
    </row>
    <row r="24" spans="1:12" ht="16.5" customHeight="1">
      <c r="A24" s="95" t="s">
        <v>780</v>
      </c>
      <c r="B24" s="6">
        <v>66</v>
      </c>
      <c r="C24" s="6">
        <v>43</v>
      </c>
      <c r="D24" s="6">
        <v>36</v>
      </c>
      <c r="E24" s="6">
        <v>82</v>
      </c>
      <c r="F24" s="6">
        <v>89</v>
      </c>
      <c r="G24" s="540"/>
    </row>
    <row r="25" spans="1:12" ht="16.5" customHeight="1">
      <c r="A25" s="95" t="s">
        <v>781</v>
      </c>
      <c r="B25" s="6">
        <v>51</v>
      </c>
      <c r="C25" s="6">
        <v>83</v>
      </c>
      <c r="D25" s="6">
        <v>41</v>
      </c>
      <c r="E25" s="6">
        <v>125</v>
      </c>
      <c r="F25" s="6">
        <v>79</v>
      </c>
      <c r="G25" s="540"/>
    </row>
    <row r="26" spans="1:12" ht="16.5" customHeight="1">
      <c r="A26" s="110" t="s">
        <v>782</v>
      </c>
      <c r="B26" s="111">
        <v>35</v>
      </c>
      <c r="C26" s="111">
        <v>97</v>
      </c>
      <c r="D26" s="111">
        <v>92</v>
      </c>
      <c r="E26" s="111">
        <v>41</v>
      </c>
      <c r="F26" s="111">
        <v>39</v>
      </c>
      <c r="G26" s="540"/>
    </row>
    <row r="27" spans="1:12" ht="16.5" customHeight="1">
      <c r="A27" s="95" t="s">
        <v>783</v>
      </c>
      <c r="B27" s="6">
        <v>84</v>
      </c>
      <c r="C27" s="6">
        <v>76</v>
      </c>
      <c r="D27" s="6">
        <v>35</v>
      </c>
      <c r="E27" s="6">
        <v>48</v>
      </c>
      <c r="F27" s="6">
        <v>37</v>
      </c>
      <c r="G27" s="540"/>
      <c r="K27" s="95" t="s">
        <v>792</v>
      </c>
      <c r="L27" s="43" t="s">
        <v>778</v>
      </c>
    </row>
    <row r="28" spans="1:12" ht="16.5" customHeight="1">
      <c r="A28" s="95" t="s">
        <v>784</v>
      </c>
      <c r="B28" s="6">
        <v>110</v>
      </c>
      <c r="C28" s="6">
        <v>77</v>
      </c>
      <c r="D28" s="6">
        <v>90</v>
      </c>
      <c r="E28" s="6">
        <v>37</v>
      </c>
      <c r="F28" s="6">
        <v>34</v>
      </c>
      <c r="G28" s="540"/>
      <c r="K28" s="98" t="s">
        <v>785</v>
      </c>
      <c r="L28" s="7">
        <f>HLOOKUP($L$27,$A$23:$F$28,5,0)</f>
        <v>48</v>
      </c>
    </row>
    <row r="29" spans="1:12" ht="15.75" customHeight="1">
      <c r="A29" s="560"/>
      <c r="B29" s="560"/>
      <c r="C29" s="560"/>
      <c r="D29" s="560"/>
      <c r="E29" s="560"/>
      <c r="F29" s="560"/>
      <c r="G29" s="560"/>
    </row>
    <row r="30" spans="1:12" ht="16.5" customHeight="1">
      <c r="A30" s="95" t="s">
        <v>774</v>
      </c>
      <c r="B30" s="7" t="s">
        <v>778</v>
      </c>
      <c r="C30" s="643"/>
      <c r="D30" s="552"/>
      <c r="E30" s="552"/>
      <c r="F30" s="552"/>
      <c r="G30" s="552"/>
    </row>
    <row r="31" spans="1:12" ht="16.5" customHeight="1">
      <c r="A31" s="98" t="s">
        <v>785</v>
      </c>
      <c r="B31" s="7"/>
      <c r="C31" s="643"/>
      <c r="D31" s="552"/>
      <c r="E31" s="552"/>
      <c r="F31" s="552"/>
      <c r="G31" s="552"/>
    </row>
    <row r="32" spans="1:12" ht="15.75" customHeight="1">
      <c r="A32" s="560"/>
      <c r="B32" s="560"/>
      <c r="C32" s="560"/>
      <c r="D32" s="560"/>
      <c r="E32" s="560"/>
      <c r="F32" s="560"/>
      <c r="G32" s="560"/>
    </row>
    <row r="33" spans="1:13" ht="45.6" customHeight="1">
      <c r="A33" s="112" t="s">
        <v>786</v>
      </c>
      <c r="B33" s="113">
        <v>21</v>
      </c>
      <c r="C33" s="113">
        <v>33</v>
      </c>
      <c r="D33" s="113">
        <v>39</v>
      </c>
      <c r="E33" s="113">
        <v>42</v>
      </c>
      <c r="F33" s="113">
        <v>50</v>
      </c>
      <c r="G33" s="540"/>
    </row>
    <row r="34" spans="1:13" ht="16.5" customHeight="1">
      <c r="A34" s="95" t="s">
        <v>787</v>
      </c>
      <c r="B34" s="7" t="s">
        <v>788</v>
      </c>
      <c r="C34" s="7" t="s">
        <v>586</v>
      </c>
      <c r="D34" s="7" t="s">
        <v>789</v>
      </c>
      <c r="E34" s="7" t="s">
        <v>593</v>
      </c>
      <c r="F34" s="7" t="s">
        <v>790</v>
      </c>
      <c r="G34" s="540"/>
      <c r="K34" s="95" t="s">
        <v>791</v>
      </c>
      <c r="L34" s="113">
        <v>42</v>
      </c>
    </row>
    <row r="35" spans="1:13" ht="15.75" customHeight="1">
      <c r="A35" s="560"/>
      <c r="B35" s="560"/>
      <c r="C35" s="560"/>
      <c r="D35" s="560"/>
      <c r="E35" s="560"/>
      <c r="F35" s="560"/>
      <c r="G35" s="560"/>
      <c r="K35" s="98" t="s">
        <v>583</v>
      </c>
      <c r="L35" s="7" t="str">
        <f>HLOOKUP($L$34,$A$33:$F$34,2,0)</f>
        <v>Pune</v>
      </c>
      <c r="M35" t="e">
        <f>HLOOKUP($K$34,$A$33:$F$34,2,0)</f>
        <v>#N/A</v>
      </c>
    </row>
    <row r="36" spans="1:13" ht="16.5" customHeight="1">
      <c r="A36" s="95" t="s">
        <v>791</v>
      </c>
      <c r="B36" s="6">
        <v>40</v>
      </c>
      <c r="C36" s="643"/>
      <c r="D36" s="552"/>
      <c r="E36" s="552"/>
      <c r="F36" s="552"/>
      <c r="G36" s="552"/>
    </row>
    <row r="37" spans="1:13" ht="16.5" customHeight="1">
      <c r="A37" s="98" t="s">
        <v>583</v>
      </c>
      <c r="B37" s="7"/>
      <c r="C37" s="643"/>
      <c r="D37" s="552"/>
      <c r="E37" s="552"/>
      <c r="F37" s="552"/>
      <c r="G37" s="552"/>
    </row>
    <row r="38" spans="1:13" ht="15.75" customHeight="1">
      <c r="A38" s="583"/>
      <c r="B38" s="583"/>
      <c r="C38" s="583"/>
      <c r="D38" s="583"/>
      <c r="E38" s="583"/>
      <c r="F38" s="583"/>
      <c r="G38" s="583"/>
      <c r="K38" s="95" t="s">
        <v>792</v>
      </c>
      <c r="L38" s="7" t="s">
        <v>797</v>
      </c>
    </row>
    <row r="39" spans="1:13" ht="16.5" customHeight="1">
      <c r="A39" s="95" t="s">
        <v>792</v>
      </c>
      <c r="B39" s="7" t="s">
        <v>793</v>
      </c>
      <c r="C39" s="7" t="s">
        <v>794</v>
      </c>
      <c r="D39" s="7" t="s">
        <v>795</v>
      </c>
      <c r="E39" s="7" t="s">
        <v>796</v>
      </c>
      <c r="F39" s="7" t="s">
        <v>441</v>
      </c>
      <c r="G39" s="7" t="s">
        <v>797</v>
      </c>
      <c r="K39" s="98" t="s">
        <v>584</v>
      </c>
      <c r="L39" s="7">
        <f>HLOOKUP($L$38,$A$39:$G$40,2,0)</f>
        <v>421</v>
      </c>
    </row>
    <row r="40" spans="1:13" ht="16.5" customHeight="1">
      <c r="A40" s="95" t="s">
        <v>584</v>
      </c>
      <c r="B40" s="6">
        <v>200</v>
      </c>
      <c r="C40" s="6">
        <v>125</v>
      </c>
      <c r="D40" s="6">
        <v>320</v>
      </c>
      <c r="E40" s="6">
        <v>250</v>
      </c>
      <c r="F40" s="6">
        <v>300</v>
      </c>
      <c r="G40" s="6">
        <v>421</v>
      </c>
    </row>
    <row r="41" spans="1:13" ht="15.75" customHeight="1">
      <c r="A41" s="611"/>
      <c r="B41" s="611"/>
      <c r="C41" s="611"/>
      <c r="D41" s="611"/>
      <c r="E41" s="611"/>
      <c r="F41" s="611"/>
      <c r="G41" s="611"/>
    </row>
    <row r="42" spans="1:13" ht="16.5" customHeight="1">
      <c r="A42" s="95" t="s">
        <v>792</v>
      </c>
      <c r="B42" s="7" t="s">
        <v>798</v>
      </c>
      <c r="C42" s="643"/>
      <c r="D42" s="552"/>
      <c r="E42" s="552"/>
      <c r="F42" s="552"/>
      <c r="G42" s="552"/>
    </row>
    <row r="43" spans="1:13" ht="16.5" customHeight="1">
      <c r="A43" s="98" t="s">
        <v>584</v>
      </c>
      <c r="B43" s="7"/>
      <c r="C43" s="643"/>
      <c r="D43" s="552"/>
      <c r="E43" s="552"/>
      <c r="F43" s="552"/>
      <c r="G43" s="552"/>
    </row>
  </sheetData>
  <mergeCells count="24">
    <mergeCell ref="C36:G37"/>
    <mergeCell ref="A38:G38"/>
    <mergeCell ref="A41:G41"/>
    <mergeCell ref="C42:G43"/>
    <mergeCell ref="A29:G29"/>
    <mergeCell ref="C30:G31"/>
    <mergeCell ref="A32:G32"/>
    <mergeCell ref="G33:G34"/>
    <mergeCell ref="A35:G35"/>
    <mergeCell ref="A21:B21"/>
    <mergeCell ref="D21:G21"/>
    <mergeCell ref="A22:G22"/>
    <mergeCell ref="G23:G25"/>
    <mergeCell ref="G26:G28"/>
    <mergeCell ref="A13:G13"/>
    <mergeCell ref="A14:B14"/>
    <mergeCell ref="D14:G14"/>
    <mergeCell ref="A15:G15"/>
    <mergeCell ref="A20:G20"/>
    <mergeCell ref="A1:G1"/>
    <mergeCell ref="A2:G2"/>
    <mergeCell ref="A5:G5"/>
    <mergeCell ref="C6:G7"/>
    <mergeCell ref="A8:G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59"/>
  <sheetViews>
    <sheetView topLeftCell="A12" workbookViewId="0">
      <selection activeCell="N19" sqref="N19"/>
    </sheetView>
  </sheetViews>
  <sheetFormatPr defaultRowHeight="13.2"/>
  <cols>
    <col min="1" max="1" width="10.109375" customWidth="1"/>
    <col min="2" max="2" width="17" customWidth="1"/>
    <col min="3" max="3" width="12.44140625" bestFit="1" customWidth="1"/>
    <col min="4" max="4" width="12.109375" customWidth="1"/>
    <col min="5" max="5" width="12.77734375" customWidth="1"/>
    <col min="6" max="6" width="11.44140625" customWidth="1"/>
    <col min="7" max="7" width="10.109375" customWidth="1"/>
    <col min="8" max="8" width="8.33203125" bestFit="1" customWidth="1"/>
    <col min="9" max="9" width="2.44140625" customWidth="1"/>
    <col min="10" max="10" width="5.33203125" customWidth="1"/>
    <col min="11" max="11" width="2.44140625" customWidth="1"/>
    <col min="12" max="12" width="5.33203125" customWidth="1"/>
    <col min="13" max="13" width="5.109375" customWidth="1"/>
    <col min="14" max="14" width="14.109375" customWidth="1"/>
  </cols>
  <sheetData>
    <row r="1" spans="1:14" ht="21" customHeight="1">
      <c r="A1" s="531" t="s">
        <v>799</v>
      </c>
      <c r="B1" s="531"/>
      <c r="C1" s="531"/>
      <c r="D1" s="531"/>
      <c r="E1" s="531"/>
      <c r="F1" s="531"/>
      <c r="G1" s="531"/>
      <c r="H1" s="531"/>
      <c r="I1" s="531"/>
      <c r="J1" s="531"/>
      <c r="K1" s="531"/>
      <c r="L1" s="531"/>
      <c r="M1" s="531"/>
    </row>
    <row r="2" spans="1:14" ht="28.5" customHeight="1">
      <c r="A2" s="545" t="s">
        <v>800</v>
      </c>
      <c r="B2" s="545"/>
      <c r="C2" s="545"/>
      <c r="D2" s="545"/>
      <c r="E2" s="545"/>
      <c r="F2" s="545"/>
      <c r="G2" s="545"/>
      <c r="H2" s="545"/>
      <c r="I2" s="545"/>
      <c r="J2" s="545"/>
      <c r="K2" s="545"/>
      <c r="L2" s="545"/>
      <c r="M2" s="545"/>
    </row>
    <row r="3" spans="1:14" ht="47.25" customHeight="1">
      <c r="A3" s="688" t="s">
        <v>171</v>
      </c>
      <c r="B3" s="689"/>
      <c r="C3" s="690"/>
      <c r="D3" s="691" t="s">
        <v>801</v>
      </c>
      <c r="E3" s="692"/>
      <c r="F3" s="688" t="s">
        <v>802</v>
      </c>
      <c r="G3" s="689"/>
      <c r="H3" s="690"/>
      <c r="I3" s="693" t="s">
        <v>803</v>
      </c>
      <c r="J3" s="694"/>
      <c r="K3" s="694"/>
      <c r="L3" s="694"/>
      <c r="M3" s="694"/>
    </row>
    <row r="4" spans="1:14" ht="16.5" customHeight="1">
      <c r="A4" s="651" t="s">
        <v>804</v>
      </c>
      <c r="B4" s="685"/>
      <c r="C4" s="652"/>
      <c r="D4" s="686">
        <v>92</v>
      </c>
      <c r="E4" s="687"/>
      <c r="F4" s="651" t="str">
        <f>IF(D4&gt;90,M4,IF(D4&gt;85,M5,IF(D4&gt;80,M6,IF(D4&gt;75,M7,IF(D4&gt;70,M8,IF(D4&gt;65,M9,IF(D4&gt;60,M10,IF(D4&gt;50,M11,M12))))))))</f>
        <v>A+</v>
      </c>
      <c r="G4" s="685"/>
      <c r="H4" s="652"/>
      <c r="I4" s="580"/>
      <c r="J4" s="651" t="s">
        <v>806</v>
      </c>
      <c r="K4" s="685"/>
      <c r="L4" s="652"/>
      <c r="M4" s="114" t="s">
        <v>805</v>
      </c>
      <c r="N4" t="str">
        <f>IF(D4&gt;90,M4,IF(D5&gt;85,M5,IF(D6&gt;80,M6,IF(D7&gt;75,M7,IF(D8&gt;70,M8,IF(D9&gt;65,M9,IF(D10&gt;60,M10,IF(D11&gt;50,M11,IF(D12&gt;50,M12,M12)))))))))</f>
        <v>A+</v>
      </c>
    </row>
    <row r="5" spans="1:14" ht="16.5" customHeight="1">
      <c r="A5" s="651" t="s">
        <v>807</v>
      </c>
      <c r="B5" s="685"/>
      <c r="C5" s="652"/>
      <c r="D5" s="686">
        <v>88</v>
      </c>
      <c r="E5" s="687"/>
      <c r="F5" s="651" t="str">
        <f t="shared" ref="F5:F12" si="0">IF(D5&gt;90,M5,IF(D5&gt;85,M6,IF(D5&gt;80,M7,IF(D5&gt;75,M8,IF(D5&gt;70,M9,IF(D5&gt;65,M10,IF(D5&gt;60,M11,IF(D5&gt;50,M12,M13))))))))</f>
        <v>B+</v>
      </c>
      <c r="G5" s="685"/>
      <c r="H5" s="652"/>
      <c r="I5" s="580"/>
      <c r="J5" s="651" t="s">
        <v>808</v>
      </c>
      <c r="K5" s="685"/>
      <c r="L5" s="652"/>
      <c r="M5" s="107" t="s">
        <v>13</v>
      </c>
      <c r="N5" t="str">
        <f t="shared" ref="N5:N12" si="1">IF(D5&gt;90,M5,IF(D6&gt;85,M6,IF(D7&gt;80,M7,IF(D8&gt;75,M8,IF(D9&gt;70,M9,IF(D10&gt;65,M10,IF(D11&gt;60,M11,IF(D12&gt;50,M12,IF(D13&gt;50,M13,M13)))))))))</f>
        <v>B+</v>
      </c>
    </row>
    <row r="6" spans="1:14" ht="16.5" customHeight="1">
      <c r="A6" s="651" t="s">
        <v>809</v>
      </c>
      <c r="B6" s="685"/>
      <c r="C6" s="652"/>
      <c r="D6" s="686">
        <v>94</v>
      </c>
      <c r="E6" s="687"/>
      <c r="F6" s="651" t="str">
        <f t="shared" si="0"/>
        <v>B+</v>
      </c>
      <c r="G6" s="685"/>
      <c r="H6" s="652"/>
      <c r="I6" s="580"/>
      <c r="J6" s="651" t="s">
        <v>810</v>
      </c>
      <c r="K6" s="685"/>
      <c r="L6" s="652"/>
      <c r="M6" s="114" t="s">
        <v>811</v>
      </c>
      <c r="N6" t="str">
        <f t="shared" si="1"/>
        <v>B+</v>
      </c>
    </row>
    <row r="7" spans="1:14" ht="16.5" customHeight="1">
      <c r="A7" s="651" t="s">
        <v>812</v>
      </c>
      <c r="B7" s="685"/>
      <c r="C7" s="652"/>
      <c r="D7" s="686">
        <v>84</v>
      </c>
      <c r="E7" s="687"/>
      <c r="F7" s="651" t="str">
        <f t="shared" si="0"/>
        <v>C</v>
      </c>
      <c r="G7" s="685"/>
      <c r="H7" s="652"/>
      <c r="I7" s="580"/>
      <c r="J7" s="651" t="s">
        <v>813</v>
      </c>
      <c r="K7" s="685"/>
      <c r="L7" s="652"/>
      <c r="M7" s="107" t="s">
        <v>63</v>
      </c>
      <c r="N7" t="str">
        <f t="shared" si="1"/>
        <v>C+</v>
      </c>
    </row>
    <row r="8" spans="1:14" ht="16.5" customHeight="1">
      <c r="A8" s="651" t="s">
        <v>814</v>
      </c>
      <c r="B8" s="685"/>
      <c r="C8" s="652"/>
      <c r="D8" s="686">
        <v>95</v>
      </c>
      <c r="E8" s="687"/>
      <c r="F8" s="651" t="str">
        <f t="shared" si="0"/>
        <v>C+</v>
      </c>
      <c r="G8" s="685"/>
      <c r="H8" s="652"/>
      <c r="I8" s="580"/>
      <c r="J8" s="651" t="s">
        <v>815</v>
      </c>
      <c r="K8" s="685"/>
      <c r="L8" s="652"/>
      <c r="M8" s="114" t="s">
        <v>816</v>
      </c>
      <c r="N8" t="str">
        <f t="shared" si="1"/>
        <v>C+</v>
      </c>
    </row>
    <row r="9" spans="1:14" ht="16.5" customHeight="1">
      <c r="A9" s="651" t="s">
        <v>817</v>
      </c>
      <c r="B9" s="685"/>
      <c r="C9" s="652"/>
      <c r="D9" s="686">
        <v>78</v>
      </c>
      <c r="E9" s="687"/>
      <c r="F9" s="651" t="str">
        <f t="shared" si="0"/>
        <v>F</v>
      </c>
      <c r="G9" s="685"/>
      <c r="H9" s="652"/>
      <c r="I9" s="580"/>
      <c r="J9" s="651" t="s">
        <v>818</v>
      </c>
      <c r="K9" s="685"/>
      <c r="L9" s="652"/>
      <c r="M9" s="107" t="s">
        <v>575</v>
      </c>
      <c r="N9" t="str">
        <f t="shared" si="1"/>
        <v>F</v>
      </c>
    </row>
    <row r="10" spans="1:14" ht="16.5" customHeight="1">
      <c r="A10" s="651" t="s">
        <v>819</v>
      </c>
      <c r="B10" s="685"/>
      <c r="C10" s="652"/>
      <c r="D10" s="686">
        <v>59</v>
      </c>
      <c r="E10" s="687"/>
      <c r="F10" s="651">
        <f>IF(D10&gt;90,M10,IF(D10&gt;85,M11,IF(D10&gt;80,M12,IF(D10&gt;75,M13,IF(D10&gt;70,M14,IF(D10&gt;65,M15,IF(D10&gt;60,M16,IF(D10&gt;50,M17,M18))))))))</f>
        <v>0</v>
      </c>
      <c r="G10" s="685"/>
      <c r="H10" s="652"/>
      <c r="I10" s="580"/>
      <c r="J10" s="651" t="s">
        <v>820</v>
      </c>
      <c r="K10" s="685"/>
      <c r="L10" s="652"/>
      <c r="M10" s="114" t="s">
        <v>821</v>
      </c>
      <c r="N10" t="str">
        <f t="shared" si="1"/>
        <v>F</v>
      </c>
    </row>
    <row r="11" spans="1:14" ht="16.5" customHeight="1">
      <c r="A11" s="651" t="s">
        <v>822</v>
      </c>
      <c r="B11" s="685"/>
      <c r="C11" s="652"/>
      <c r="D11" s="686">
        <v>43</v>
      </c>
      <c r="E11" s="687"/>
      <c r="F11" s="651">
        <f t="shared" si="0"/>
        <v>0</v>
      </c>
      <c r="G11" s="685"/>
      <c r="H11" s="652"/>
      <c r="I11" s="580"/>
      <c r="J11" s="651" t="s">
        <v>823</v>
      </c>
      <c r="K11" s="685"/>
      <c r="L11" s="652"/>
      <c r="M11" s="107" t="s">
        <v>87</v>
      </c>
      <c r="N11" t="str">
        <f t="shared" si="1"/>
        <v>F</v>
      </c>
    </row>
    <row r="12" spans="1:14" ht="16.5" customHeight="1">
      <c r="A12" s="651" t="s">
        <v>824</v>
      </c>
      <c r="B12" s="685"/>
      <c r="C12" s="652"/>
      <c r="D12" s="686">
        <v>90</v>
      </c>
      <c r="E12" s="687"/>
      <c r="F12" s="651">
        <f t="shared" si="0"/>
        <v>0</v>
      </c>
      <c r="G12" s="685"/>
      <c r="H12" s="652"/>
      <c r="I12" s="580"/>
      <c r="J12" s="651" t="s">
        <v>825</v>
      </c>
      <c r="K12" s="685"/>
      <c r="L12" s="652"/>
      <c r="M12" s="107" t="s">
        <v>578</v>
      </c>
      <c r="N12">
        <f t="shared" si="1"/>
        <v>0</v>
      </c>
    </row>
    <row r="13" spans="1:14" ht="21" customHeight="1">
      <c r="A13" s="531" t="s">
        <v>826</v>
      </c>
      <c r="B13" s="531"/>
      <c r="C13" s="531"/>
      <c r="D13" s="531"/>
      <c r="E13" s="531"/>
      <c r="F13" s="531"/>
      <c r="G13" s="531"/>
      <c r="H13" s="531"/>
      <c r="I13" s="531"/>
      <c r="J13" s="531"/>
      <c r="K13" s="531"/>
      <c r="L13" s="531"/>
      <c r="M13" s="531"/>
      <c r="N13" s="531"/>
    </row>
    <row r="14" spans="1:14" ht="28.5" customHeight="1">
      <c r="A14" s="545" t="s">
        <v>827</v>
      </c>
      <c r="B14" s="545"/>
      <c r="C14" s="545"/>
      <c r="D14" s="545"/>
      <c r="E14" s="545"/>
      <c r="F14" s="545"/>
      <c r="G14" s="545"/>
      <c r="H14" s="545"/>
      <c r="I14" s="545"/>
      <c r="J14" s="545"/>
      <c r="K14" s="545"/>
      <c r="L14" s="545"/>
      <c r="M14" s="545"/>
      <c r="N14" s="545"/>
    </row>
    <row r="15" spans="1:14" ht="15.6" customHeight="1">
      <c r="A15" s="345" t="s">
        <v>828</v>
      </c>
      <c r="B15" s="345" t="s">
        <v>829</v>
      </c>
      <c r="C15" s="345" t="s">
        <v>830</v>
      </c>
    </row>
    <row r="16" spans="1:14" ht="15.6" customHeight="1">
      <c r="A16" s="115" t="s">
        <v>831</v>
      </c>
      <c r="B16" s="115" t="s">
        <v>832</v>
      </c>
      <c r="C16" s="345" t="s">
        <v>833</v>
      </c>
      <c r="D16" s="116" t="s">
        <v>834</v>
      </c>
      <c r="F16" s="115" t="s">
        <v>831</v>
      </c>
      <c r="G16" s="345" t="s">
        <v>833</v>
      </c>
      <c r="H16" s="116" t="s">
        <v>834</v>
      </c>
    </row>
    <row r="17" spans="1:8" ht="15.6" customHeight="1">
      <c r="A17" s="54" t="s">
        <v>835</v>
      </c>
      <c r="B17" s="54" t="s">
        <v>836</v>
      </c>
      <c r="C17" s="344" t="s">
        <v>837</v>
      </c>
      <c r="D17" s="117">
        <v>92671</v>
      </c>
      <c r="F17" s="54" t="s">
        <v>835</v>
      </c>
      <c r="G17" s="344" t="s">
        <v>837</v>
      </c>
      <c r="H17" s="117">
        <v>92671</v>
      </c>
    </row>
    <row r="18" spans="1:8" ht="15.6" customHeight="1">
      <c r="A18" s="54" t="s">
        <v>838</v>
      </c>
      <c r="B18" s="54" t="s">
        <v>839</v>
      </c>
      <c r="C18" s="344" t="s">
        <v>840</v>
      </c>
      <c r="D18" s="117">
        <v>84120</v>
      </c>
      <c r="F18" s="54" t="s">
        <v>838</v>
      </c>
      <c r="G18" s="344" t="s">
        <v>840</v>
      </c>
      <c r="H18" s="117">
        <v>84120</v>
      </c>
    </row>
    <row r="19" spans="1:8" ht="15.15" customHeight="1">
      <c r="A19" s="54" t="s">
        <v>841</v>
      </c>
      <c r="B19" s="54" t="s">
        <v>842</v>
      </c>
      <c r="C19" s="344" t="s">
        <v>254</v>
      </c>
      <c r="D19" s="117">
        <v>50793</v>
      </c>
      <c r="F19" s="54" t="s">
        <v>841</v>
      </c>
      <c r="G19" s="344" t="s">
        <v>254</v>
      </c>
      <c r="H19" s="117">
        <v>50793</v>
      </c>
    </row>
    <row r="20" spans="1:8" ht="15.15" customHeight="1">
      <c r="A20" s="118" t="s">
        <v>843</v>
      </c>
      <c r="B20" s="118" t="s">
        <v>844</v>
      </c>
      <c r="C20" s="346" t="s">
        <v>254</v>
      </c>
      <c r="D20" s="119">
        <v>77833</v>
      </c>
      <c r="F20" s="118" t="s">
        <v>843</v>
      </c>
      <c r="G20" s="346" t="s">
        <v>254</v>
      </c>
      <c r="H20" s="119">
        <v>77833</v>
      </c>
    </row>
    <row r="21" spans="1:8" ht="15.15" customHeight="1">
      <c r="A21" s="54" t="s">
        <v>846</v>
      </c>
      <c r="B21" s="54" t="s">
        <v>847</v>
      </c>
      <c r="C21" s="344" t="s">
        <v>837</v>
      </c>
      <c r="D21" s="117">
        <v>58914</v>
      </c>
      <c r="F21" s="54" t="s">
        <v>846</v>
      </c>
      <c r="G21" s="344" t="s">
        <v>837</v>
      </c>
      <c r="H21" s="117">
        <v>58914</v>
      </c>
    </row>
    <row r="22" spans="1:8" ht="15.6" customHeight="1">
      <c r="A22" s="54" t="s">
        <v>849</v>
      </c>
      <c r="B22" s="54" t="s">
        <v>850</v>
      </c>
      <c r="C22" s="344" t="s">
        <v>852</v>
      </c>
      <c r="D22" s="117">
        <v>51096</v>
      </c>
      <c r="F22" s="54" t="s">
        <v>849</v>
      </c>
      <c r="G22" s="344" t="s">
        <v>852</v>
      </c>
      <c r="H22" s="117">
        <v>51096</v>
      </c>
    </row>
    <row r="23" spans="1:8" ht="15.6" customHeight="1">
      <c r="A23" s="54" t="s">
        <v>853</v>
      </c>
      <c r="B23" s="54" t="s">
        <v>854</v>
      </c>
      <c r="C23" s="344" t="s">
        <v>840</v>
      </c>
      <c r="D23" s="117">
        <v>88965</v>
      </c>
      <c r="F23" s="54" t="s">
        <v>853</v>
      </c>
      <c r="G23" s="344" t="s">
        <v>840</v>
      </c>
      <c r="H23" s="117">
        <v>88965</v>
      </c>
    </row>
    <row r="24" spans="1:8" ht="15.6" customHeight="1">
      <c r="A24" s="54" t="s">
        <v>856</v>
      </c>
      <c r="B24" s="54" t="s">
        <v>857</v>
      </c>
      <c r="C24" s="344" t="s">
        <v>837</v>
      </c>
      <c r="D24" s="117">
        <v>63288</v>
      </c>
      <c r="F24" s="54" t="s">
        <v>856</v>
      </c>
      <c r="G24" s="344" t="s">
        <v>837</v>
      </c>
      <c r="H24" s="117">
        <v>63288</v>
      </c>
    </row>
    <row r="25" spans="1:8" ht="15.15" customHeight="1">
      <c r="A25" s="54" t="s">
        <v>859</v>
      </c>
      <c r="B25" s="54" t="s">
        <v>860</v>
      </c>
      <c r="C25" s="344" t="s">
        <v>837</v>
      </c>
      <c r="D25" s="117">
        <v>45742</v>
      </c>
      <c r="F25" s="54" t="s">
        <v>859</v>
      </c>
      <c r="G25" s="344" t="s">
        <v>837</v>
      </c>
      <c r="H25" s="117">
        <v>45742</v>
      </c>
    </row>
    <row r="26" spans="1:8" ht="15.6" customHeight="1">
      <c r="A26" s="54" t="s">
        <v>862</v>
      </c>
      <c r="B26" s="54" t="s">
        <v>863</v>
      </c>
      <c r="C26" s="344" t="s">
        <v>864</v>
      </c>
      <c r="D26" s="117">
        <v>88354</v>
      </c>
      <c r="F26" s="54" t="s">
        <v>862</v>
      </c>
      <c r="G26" s="344" t="s">
        <v>864</v>
      </c>
      <c r="H26" s="117">
        <v>88354</v>
      </c>
    </row>
    <row r="27" spans="1:8" ht="15.6" customHeight="1">
      <c r="A27" s="54" t="s">
        <v>866</v>
      </c>
      <c r="B27" s="54" t="s">
        <v>867</v>
      </c>
      <c r="C27" s="344" t="s">
        <v>273</v>
      </c>
      <c r="D27" s="117">
        <v>76641</v>
      </c>
      <c r="F27" s="54" t="s">
        <v>866</v>
      </c>
      <c r="G27" s="344" t="s">
        <v>273</v>
      </c>
      <c r="H27" s="117">
        <v>76641</v>
      </c>
    </row>
    <row r="28" spans="1:8" ht="15.6" customHeight="1">
      <c r="A28" s="54" t="s">
        <v>869</v>
      </c>
      <c r="B28" s="54" t="s">
        <v>870</v>
      </c>
      <c r="C28" s="344" t="s">
        <v>852</v>
      </c>
      <c r="D28" s="117">
        <v>61678</v>
      </c>
      <c r="F28" s="54" t="s">
        <v>869</v>
      </c>
      <c r="G28" s="344" t="s">
        <v>852</v>
      </c>
      <c r="H28" s="117">
        <v>61678</v>
      </c>
    </row>
    <row r="29" spans="1:8" ht="15.6" customHeight="1">
      <c r="A29" s="54" t="s">
        <v>845</v>
      </c>
      <c r="B29" s="54" t="s">
        <v>871</v>
      </c>
      <c r="C29" s="344" t="s">
        <v>254</v>
      </c>
      <c r="D29" s="117">
        <v>83735</v>
      </c>
      <c r="F29" s="54" t="s">
        <v>845</v>
      </c>
      <c r="G29" s="344" t="s">
        <v>254</v>
      </c>
      <c r="H29" s="117">
        <v>83735</v>
      </c>
    </row>
    <row r="30" spans="1:8" ht="15.15" customHeight="1">
      <c r="A30" s="54" t="s">
        <v>848</v>
      </c>
      <c r="B30" s="54" t="s">
        <v>872</v>
      </c>
      <c r="C30" s="344" t="s">
        <v>254</v>
      </c>
      <c r="D30" s="117">
        <v>74418</v>
      </c>
      <c r="F30" s="54" t="s">
        <v>848</v>
      </c>
      <c r="G30" s="344" t="s">
        <v>254</v>
      </c>
      <c r="H30" s="117">
        <v>74418</v>
      </c>
    </row>
    <row r="31" spans="1:8" ht="15.6" customHeight="1">
      <c r="A31" s="54" t="s">
        <v>851</v>
      </c>
      <c r="B31" s="54" t="s">
        <v>873</v>
      </c>
      <c r="C31" s="344" t="s">
        <v>254</v>
      </c>
      <c r="D31" s="117">
        <v>51366</v>
      </c>
      <c r="F31" s="54" t="s">
        <v>851</v>
      </c>
      <c r="G31" s="344" t="s">
        <v>254</v>
      </c>
      <c r="H31" s="117">
        <v>51366</v>
      </c>
    </row>
    <row r="32" spans="1:8" ht="15.6" customHeight="1">
      <c r="A32" s="54" t="s">
        <v>855</v>
      </c>
      <c r="B32" s="54" t="s">
        <v>874</v>
      </c>
      <c r="C32" s="344" t="s">
        <v>852</v>
      </c>
      <c r="D32" s="117">
        <v>54600</v>
      </c>
      <c r="F32" s="54" t="s">
        <v>855</v>
      </c>
      <c r="G32" s="344" t="s">
        <v>852</v>
      </c>
      <c r="H32" s="117">
        <v>54600</v>
      </c>
    </row>
    <row r="33" spans="1:14" ht="15.15" customHeight="1">
      <c r="A33" s="54" t="s">
        <v>858</v>
      </c>
      <c r="B33" s="54" t="s">
        <v>875</v>
      </c>
      <c r="C33" s="344" t="s">
        <v>837</v>
      </c>
      <c r="D33" s="117">
        <v>93509</v>
      </c>
      <c r="F33" s="54" t="s">
        <v>858</v>
      </c>
      <c r="G33" s="344" t="s">
        <v>837</v>
      </c>
      <c r="H33" s="117">
        <v>93509</v>
      </c>
    </row>
    <row r="34" spans="1:14" ht="15.75" customHeight="1">
      <c r="A34" s="54" t="s">
        <v>865</v>
      </c>
      <c r="B34" s="54" t="s">
        <v>876</v>
      </c>
      <c r="C34" s="344" t="s">
        <v>273</v>
      </c>
      <c r="D34" s="117">
        <v>80105</v>
      </c>
      <c r="F34" s="54" t="s">
        <v>865</v>
      </c>
      <c r="G34" s="344" t="s">
        <v>273</v>
      </c>
      <c r="H34" s="117">
        <v>80105</v>
      </c>
    </row>
    <row r="35" spans="1:14" ht="15.15" customHeight="1">
      <c r="A35" s="54" t="s">
        <v>868</v>
      </c>
      <c r="B35" s="54" t="s">
        <v>877</v>
      </c>
      <c r="C35" s="344" t="s">
        <v>840</v>
      </c>
      <c r="D35" s="117">
        <v>60802</v>
      </c>
      <c r="F35" s="54" t="s">
        <v>868</v>
      </c>
      <c r="G35" s="344" t="s">
        <v>840</v>
      </c>
      <c r="H35" s="117">
        <v>60802</v>
      </c>
    </row>
    <row r="36" spans="1:14" ht="15.6" customHeight="1">
      <c r="A36" s="54" t="s">
        <v>861</v>
      </c>
      <c r="B36" s="54" t="s">
        <v>878</v>
      </c>
      <c r="C36" s="344" t="s">
        <v>273</v>
      </c>
      <c r="D36" s="117">
        <v>76260</v>
      </c>
      <c r="F36" s="54" t="s">
        <v>861</v>
      </c>
      <c r="G36" s="344" t="s">
        <v>273</v>
      </c>
      <c r="H36" s="117">
        <v>76260</v>
      </c>
    </row>
    <row r="37" spans="1:14" ht="15" customHeight="1">
      <c r="A37" s="560"/>
      <c r="B37" s="560"/>
      <c r="C37" s="560"/>
      <c r="D37" s="560"/>
      <c r="E37" s="560"/>
      <c r="F37" s="560"/>
      <c r="G37" s="560"/>
      <c r="H37" s="560"/>
      <c r="I37" s="560"/>
      <c r="J37" s="560"/>
      <c r="K37" s="560"/>
      <c r="L37" s="560"/>
      <c r="M37" s="560"/>
      <c r="N37" s="560"/>
    </row>
    <row r="38" spans="1:14" ht="15.15" customHeight="1">
      <c r="A38" s="583"/>
      <c r="B38" s="583"/>
      <c r="C38" s="695" t="s">
        <v>879</v>
      </c>
      <c r="D38" s="695"/>
      <c r="E38" s="583"/>
      <c r="F38" s="583"/>
      <c r="G38" s="14"/>
      <c r="H38" s="14"/>
      <c r="I38" s="14"/>
      <c r="J38" s="14"/>
      <c r="K38" s="14"/>
      <c r="L38" s="14"/>
      <c r="M38" s="14"/>
      <c r="N38" s="14"/>
    </row>
    <row r="39" spans="1:14" ht="15.6" customHeight="1">
      <c r="A39" s="115" t="s">
        <v>831</v>
      </c>
      <c r="B39" s="115" t="s">
        <v>832</v>
      </c>
      <c r="C39" s="345" t="s">
        <v>880</v>
      </c>
      <c r="D39" s="345" t="s">
        <v>834</v>
      </c>
      <c r="E39" s="14"/>
      <c r="F39" s="14"/>
      <c r="G39" s="14"/>
      <c r="H39" s="14"/>
      <c r="I39" s="14"/>
      <c r="J39" s="14"/>
      <c r="K39" s="14"/>
      <c r="L39" s="14"/>
    </row>
    <row r="40" spans="1:14" ht="15.15" customHeight="1">
      <c r="A40" s="54" t="s">
        <v>835</v>
      </c>
      <c r="B40" s="54" t="s">
        <v>836</v>
      </c>
      <c r="C40" s="408" t="str">
        <f t="array" ref="C40">VLOOKUP(A17,A16:D36,{3,4},0)</f>
        <v>Sales</v>
      </c>
      <c r="D40" s="408">
        <f t="array" ref="D40">VLOOKUP(B17,B16:E36,{3,4},0)</f>
        <v>92671</v>
      </c>
      <c r="E40" s="14" t="str">
        <f t="array" ref="E40">VLOOKUP(A40,A16:D36,{3,4},0)</f>
        <v>Sales</v>
      </c>
      <c r="F40" s="14">
        <f t="array" ref="F40">VLOOKUP(B40,B16:E36,{3,4},0)</f>
        <v>92671</v>
      </c>
      <c r="G40" s="14" t="e">
        <f>INDEX($G$17:$H$36,MATCH($A40,$F$17:$F$36,0),MATCH(C$39,$G$16:$H$16,0))</f>
        <v>#N/A</v>
      </c>
      <c r="H40" s="14"/>
      <c r="I40" s="14"/>
      <c r="J40" s="14"/>
      <c r="K40" s="14"/>
    </row>
    <row r="41" spans="1:14" ht="15.6" customHeight="1">
      <c r="A41" s="54" t="s">
        <v>838</v>
      </c>
      <c r="B41" s="54" t="s">
        <v>839</v>
      </c>
      <c r="C41" s="408" t="str">
        <f t="array" ref="C41">VLOOKUP(A18,A17:D37,{3,4},0)</f>
        <v>Operations</v>
      </c>
      <c r="D41" s="408">
        <f t="array" ref="D41">VLOOKUP(B18,B17:E37,{3,4},0)</f>
        <v>84120</v>
      </c>
      <c r="E41" s="14" t="str">
        <f t="array" ref="E41">VLOOKUP(A41,A17:D37,{3,4},0)</f>
        <v>Operations</v>
      </c>
      <c r="F41" s="14">
        <f t="array" ref="F41">VLOOKUP(B41,B17:E37,{3,4},0)</f>
        <v>84120</v>
      </c>
      <c r="G41" s="14"/>
      <c r="H41" s="14"/>
      <c r="I41" s="14"/>
      <c r="J41" s="14"/>
      <c r="K41" s="14"/>
      <c r="L41" s="14"/>
    </row>
    <row r="42" spans="1:14" ht="15.15" customHeight="1">
      <c r="A42" s="54" t="s">
        <v>841</v>
      </c>
      <c r="B42" s="54" t="s">
        <v>842</v>
      </c>
      <c r="C42" s="408" t="str">
        <f t="array" ref="C42">VLOOKUP(A19,A18:D38,{3,4},0)</f>
        <v>Marketing</v>
      </c>
      <c r="D42" s="408">
        <f t="array" ref="D42">VLOOKUP(B19,B18:E38,{3,4},0)</f>
        <v>50793</v>
      </c>
      <c r="E42" s="14" t="str">
        <f t="array" ref="E42">VLOOKUP(A42,A18:D38,{3,4},0)</f>
        <v>Marketing</v>
      </c>
      <c r="F42" s="14">
        <f t="array" ref="F42">VLOOKUP(B42,B18:E38,{3,4},0)</f>
        <v>50793</v>
      </c>
      <c r="G42" s="14"/>
      <c r="H42" s="14"/>
      <c r="I42" s="14"/>
      <c r="J42" s="14"/>
      <c r="K42" s="14"/>
      <c r="L42" s="14"/>
    </row>
    <row r="43" spans="1:14" ht="15.6" customHeight="1">
      <c r="A43" s="54" t="s">
        <v>843</v>
      </c>
      <c r="B43" s="54" t="s">
        <v>844</v>
      </c>
      <c r="C43" s="408" t="str">
        <f t="array" ref="C43">VLOOKUP(A20,A19:D39,{3,4},0)</f>
        <v>Marketing</v>
      </c>
      <c r="D43" s="408">
        <f t="array" ref="D43">VLOOKUP(B20,B19:E39,{3,4},0)</f>
        <v>77833</v>
      </c>
      <c r="E43" s="14" t="str">
        <f t="array" ref="E43">VLOOKUP(A43,A19:D39,{3,4},0)</f>
        <v>Marketing</v>
      </c>
      <c r="F43" s="14">
        <f t="array" ref="F43">VLOOKUP(B43,B19:E39,{3,4},0)</f>
        <v>77833</v>
      </c>
      <c r="G43" s="14"/>
      <c r="H43" s="14"/>
      <c r="I43" s="14"/>
      <c r="J43" s="14"/>
      <c r="K43" s="14"/>
      <c r="L43" s="14"/>
    </row>
    <row r="44" spans="1:14" ht="15.15" customHeight="1">
      <c r="A44" s="54" t="s">
        <v>846</v>
      </c>
      <c r="B44" s="54" t="s">
        <v>847</v>
      </c>
      <c r="C44" s="408" t="str">
        <f t="array" ref="C44">VLOOKUP(A21,A20:D40,{3,4},0)</f>
        <v>Sales</v>
      </c>
      <c r="D44" s="408">
        <f t="array" ref="D44">VLOOKUP(B21,B20:E40,{3,4},0)</f>
        <v>58914</v>
      </c>
      <c r="E44" s="14" t="str">
        <f t="array" ref="E44">VLOOKUP(A44,A20:D40,{3,4},0)</f>
        <v>Sales</v>
      </c>
      <c r="F44" s="14">
        <f t="array" ref="F44">VLOOKUP(B44,B20:E40,{3,4},0)</f>
        <v>58914</v>
      </c>
      <c r="G44" s="14"/>
      <c r="H44" s="14"/>
      <c r="I44" s="14"/>
      <c r="J44" s="14"/>
      <c r="K44" s="14"/>
      <c r="L44" s="14"/>
    </row>
    <row r="45" spans="1:14" ht="15.6" customHeight="1">
      <c r="A45" s="54" t="s">
        <v>849</v>
      </c>
      <c r="B45" s="54" t="s">
        <v>850</v>
      </c>
      <c r="C45" s="408" t="str">
        <f t="array" ref="C45">VLOOKUP(A22,A21:D41,{3,4},0)</f>
        <v>IT</v>
      </c>
      <c r="D45" s="408">
        <f t="array" ref="D45">VLOOKUP(B22,B21:E41,{3,4},0)</f>
        <v>51096</v>
      </c>
      <c r="E45" s="14" t="str">
        <f t="array" ref="E45">VLOOKUP(A45,A21:D41,{3,4},0)</f>
        <v>IT</v>
      </c>
      <c r="F45" s="14">
        <f t="array" ref="F45">VLOOKUP(B45,B21:E41,{3,4},0)</f>
        <v>51096</v>
      </c>
      <c r="G45" s="14"/>
      <c r="H45" s="14"/>
      <c r="I45" s="14"/>
      <c r="J45" s="14"/>
      <c r="K45" s="14"/>
      <c r="L45" s="14"/>
    </row>
    <row r="46" spans="1:14" ht="15.6" customHeight="1">
      <c r="A46" s="54" t="s">
        <v>853</v>
      </c>
      <c r="B46" s="54" t="s">
        <v>854</v>
      </c>
      <c r="C46" s="408" t="str">
        <f t="array" ref="C46">VLOOKUP(A23,A22:D42,{3,4},0)</f>
        <v>Operations</v>
      </c>
      <c r="D46" s="408">
        <f t="array" ref="D46">VLOOKUP(B23,B22:E42,{3,4},0)</f>
        <v>88965</v>
      </c>
      <c r="E46" s="14" t="str">
        <f t="array" ref="E46">VLOOKUP(A46,A22:D42,{3,4},0)</f>
        <v>Operations</v>
      </c>
      <c r="F46" s="14">
        <f t="array" ref="F46">VLOOKUP(B46,B22:E42,{3,4},0)</f>
        <v>88965</v>
      </c>
      <c r="G46" s="14"/>
      <c r="H46" s="14"/>
      <c r="I46" s="14"/>
      <c r="J46" s="14"/>
      <c r="K46" s="14"/>
      <c r="L46" s="14"/>
    </row>
    <row r="47" spans="1:14" ht="15.15" customHeight="1">
      <c r="A47" s="54" t="s">
        <v>856</v>
      </c>
      <c r="B47" s="54" t="s">
        <v>857</v>
      </c>
      <c r="C47" s="408" t="str">
        <f t="array" ref="C47">VLOOKUP(A24,A23:D43,{3,4},0)</f>
        <v>Sales</v>
      </c>
      <c r="D47" s="408">
        <f t="array" ref="D47">VLOOKUP(B24,B23:E43,{3,4},0)</f>
        <v>63288</v>
      </c>
      <c r="E47" s="14" t="str">
        <f t="array" ref="E47">VLOOKUP(A47,A23:D43,{3,4},0)</f>
        <v>Sales</v>
      </c>
      <c r="F47" s="14">
        <f t="array" ref="F47">VLOOKUP(B47,B23:E43,{3,4},0)</f>
        <v>63288</v>
      </c>
      <c r="G47" s="14"/>
      <c r="H47" s="14"/>
      <c r="I47" s="14"/>
      <c r="J47" s="14"/>
      <c r="K47" s="14"/>
      <c r="L47" s="14"/>
    </row>
    <row r="48" spans="1:14" ht="15.6" customHeight="1">
      <c r="A48" s="54" t="s">
        <v>859</v>
      </c>
      <c r="B48" s="54" t="s">
        <v>860</v>
      </c>
      <c r="C48" s="408" t="str">
        <f t="array" ref="C48">VLOOKUP(A25,A24:D44,{3,4},0)</f>
        <v>Sales</v>
      </c>
      <c r="D48" s="408">
        <f t="array" ref="D48">VLOOKUP(B25,B24:E44,{3,4},0)</f>
        <v>45742</v>
      </c>
      <c r="E48" s="14" t="str">
        <f t="array" ref="E48">VLOOKUP(A48,A24:D44,{3,4},0)</f>
        <v>Sales</v>
      </c>
      <c r="F48" s="14">
        <f t="array" ref="F48">VLOOKUP(B48,B24:E44,{3,4},0)</f>
        <v>45742</v>
      </c>
      <c r="G48" s="14"/>
      <c r="H48" s="14"/>
      <c r="I48" s="14"/>
      <c r="J48" s="14"/>
      <c r="K48" s="14"/>
      <c r="L48" s="14"/>
    </row>
    <row r="49" spans="1:12" ht="15.15" customHeight="1">
      <c r="A49" s="54" t="s">
        <v>862</v>
      </c>
      <c r="B49" s="54" t="s">
        <v>863</v>
      </c>
      <c r="C49" s="408" t="str">
        <f t="array" ref="C49">VLOOKUP(A26,A25:D45,{3,4},0)</f>
        <v>HR</v>
      </c>
      <c r="D49" s="408">
        <f t="array" ref="D49">VLOOKUP(B26,B25:E45,{3,4},0)</f>
        <v>88354</v>
      </c>
      <c r="E49" s="14" t="str">
        <f t="array" ref="E49">VLOOKUP(A49,A25:D45,{3,4},0)</f>
        <v>HR</v>
      </c>
      <c r="F49" s="14">
        <f t="array" ref="F49">VLOOKUP(B49,B25:E45,{3,4},0)</f>
        <v>88354</v>
      </c>
      <c r="G49" s="14"/>
      <c r="H49" s="14"/>
      <c r="I49" s="14"/>
      <c r="J49" s="14"/>
      <c r="K49" s="14"/>
      <c r="L49" s="14"/>
    </row>
    <row r="50" spans="1:12" ht="15.75" customHeight="1">
      <c r="A50" s="54" t="s">
        <v>866</v>
      </c>
      <c r="B50" s="54" t="s">
        <v>867</v>
      </c>
      <c r="C50" s="408" t="str">
        <f t="array" ref="C50">VLOOKUP(A27,A26:D46,{3,4},0)</f>
        <v>Finance</v>
      </c>
      <c r="D50" s="408">
        <f t="array" ref="D50">VLOOKUP(B27,B26:E46,{3,4},0)</f>
        <v>76641</v>
      </c>
      <c r="E50" s="14" t="str">
        <f t="array" ref="E50">VLOOKUP(A50,A26:D46,{3,4},0)</f>
        <v>Finance</v>
      </c>
      <c r="F50" s="14">
        <f t="array" ref="F50">VLOOKUP(B50,B26:E46,{3,4},0)</f>
        <v>76641</v>
      </c>
      <c r="G50" s="14"/>
      <c r="H50" s="14"/>
      <c r="I50" s="14"/>
      <c r="J50" s="14"/>
      <c r="K50" s="14"/>
      <c r="L50" s="14"/>
    </row>
    <row r="51" spans="1:12" ht="15.6" customHeight="1">
      <c r="A51" s="54" t="s">
        <v>869</v>
      </c>
      <c r="B51" s="54" t="s">
        <v>870</v>
      </c>
      <c r="C51" s="408" t="str">
        <f t="array" ref="C51">VLOOKUP(A28,A27:D47,{3,4},0)</f>
        <v>IT</v>
      </c>
      <c r="D51" s="408">
        <f t="array" ref="D51">VLOOKUP(B28,B27:E47,{3,4},0)</f>
        <v>61678</v>
      </c>
      <c r="E51" s="14" t="str">
        <f t="array" ref="E51">VLOOKUP(A51,A27:D47,{3,4},0)</f>
        <v>IT</v>
      </c>
      <c r="F51" s="14">
        <f t="array" ref="F51">VLOOKUP(B51,B27:E47,{3,4},0)</f>
        <v>61678</v>
      </c>
      <c r="G51" s="14"/>
      <c r="H51" s="14"/>
      <c r="I51" s="14"/>
      <c r="J51" s="14"/>
      <c r="K51" s="14"/>
      <c r="L51" s="14"/>
    </row>
    <row r="52" spans="1:12" ht="15.15" customHeight="1">
      <c r="A52" s="54" t="s">
        <v>845</v>
      </c>
      <c r="B52" s="54" t="s">
        <v>871</v>
      </c>
      <c r="C52" s="408" t="str">
        <f t="array" ref="C52">VLOOKUP(A29,A28:D48,{3,4},0)</f>
        <v>Marketing</v>
      </c>
      <c r="D52" s="408">
        <f t="array" ref="D52">VLOOKUP(B29,B28:E48,{3,4},0)</f>
        <v>83735</v>
      </c>
      <c r="E52" s="14" t="str">
        <f t="array" ref="E52">VLOOKUP(A52,A28:D48,{3,4},0)</f>
        <v>Marketing</v>
      </c>
      <c r="F52" s="14">
        <f t="array" ref="F52">VLOOKUP(B52,B28:E48,{3,4},0)</f>
        <v>83735</v>
      </c>
      <c r="G52" s="14"/>
      <c r="H52" s="14"/>
      <c r="I52" s="14"/>
      <c r="J52" s="14"/>
      <c r="K52" s="14"/>
      <c r="L52" s="14"/>
    </row>
    <row r="53" spans="1:12" ht="15.6" customHeight="1">
      <c r="A53" s="54" t="s">
        <v>848</v>
      </c>
      <c r="B53" s="54" t="s">
        <v>872</v>
      </c>
      <c r="C53" s="408" t="str">
        <f t="array" ref="C53">VLOOKUP(A30,A29:D49,{3,4},0)</f>
        <v>Marketing</v>
      </c>
      <c r="D53" s="408">
        <f t="array" ref="D53">VLOOKUP(B30,B29:E49,{3,4},0)</f>
        <v>74418</v>
      </c>
      <c r="E53" s="14" t="str">
        <f t="array" ref="E53">VLOOKUP(A53,A29:D49,{3,4},0)</f>
        <v>Marketing</v>
      </c>
      <c r="F53" s="14">
        <f t="array" ref="F53">VLOOKUP(B53,B29:E49,{3,4},0)</f>
        <v>74418</v>
      </c>
      <c r="G53" s="14"/>
      <c r="H53" s="14"/>
      <c r="I53" s="14"/>
      <c r="J53" s="14"/>
      <c r="K53" s="14"/>
      <c r="L53" s="14"/>
    </row>
    <row r="54" spans="1:12" ht="15.15" customHeight="1">
      <c r="A54" s="54" t="s">
        <v>851</v>
      </c>
      <c r="B54" s="54" t="s">
        <v>873</v>
      </c>
      <c r="C54" s="408" t="str">
        <f t="array" ref="C54">VLOOKUP(A31,A30:D50,{3,4},0)</f>
        <v>Marketing</v>
      </c>
      <c r="D54" s="408">
        <f t="array" ref="D54">VLOOKUP(B31,B30:E50,{3,4},0)</f>
        <v>51366</v>
      </c>
      <c r="E54" s="14" t="str">
        <f t="array" ref="E54">VLOOKUP(A54,A30:D50,{3,4},0)</f>
        <v>Marketing</v>
      </c>
      <c r="F54" s="14">
        <f t="array" ref="F54">VLOOKUP(B54,B30:E50,{3,4},0)</f>
        <v>51366</v>
      </c>
      <c r="G54" s="14"/>
      <c r="H54" s="14"/>
      <c r="I54" s="14"/>
      <c r="J54" s="14"/>
      <c r="K54" s="14"/>
      <c r="L54" s="14"/>
    </row>
    <row r="55" spans="1:12" ht="15.6" customHeight="1">
      <c r="A55" s="54" t="s">
        <v>855</v>
      </c>
      <c r="B55" s="54" t="s">
        <v>874</v>
      </c>
      <c r="C55" s="408" t="str">
        <f t="array" ref="C55">VLOOKUP(A32,A31:D51,{3,4},0)</f>
        <v>IT</v>
      </c>
      <c r="D55" s="408">
        <f t="array" ref="D55">VLOOKUP(B32,B31:E51,{3,4},0)</f>
        <v>54600</v>
      </c>
      <c r="E55" s="14" t="str">
        <f t="array" ref="E55">VLOOKUP(A55,A31:D51,{3,4},0)</f>
        <v>IT</v>
      </c>
      <c r="F55" s="14">
        <f t="array" ref="F55">VLOOKUP(B55,B31:E51,{3,4},0)</f>
        <v>54600</v>
      </c>
      <c r="G55" s="14"/>
      <c r="H55" s="14"/>
      <c r="I55" s="14"/>
      <c r="J55" s="14"/>
      <c r="K55" s="14"/>
      <c r="L55" s="14"/>
    </row>
    <row r="56" spans="1:12" ht="15.15" customHeight="1">
      <c r="A56" s="54" t="s">
        <v>858</v>
      </c>
      <c r="B56" s="54" t="s">
        <v>875</v>
      </c>
      <c r="C56" s="408" t="str">
        <f t="array" ref="C56">VLOOKUP(A33,A32:D52,{3,4},0)</f>
        <v>Sales</v>
      </c>
      <c r="D56" s="408">
        <f t="array" ref="D56">VLOOKUP(B33,B32:E52,{3,4},0)</f>
        <v>93509</v>
      </c>
      <c r="E56" s="14" t="str">
        <f t="array" ref="E56">VLOOKUP(A56,A32:D52,{3,4},0)</f>
        <v>Sales</v>
      </c>
      <c r="F56" s="14">
        <f t="array" ref="F56">VLOOKUP(B56,B32:E52,{3,4},0)</f>
        <v>93509</v>
      </c>
      <c r="G56" s="14"/>
      <c r="H56" s="14"/>
      <c r="I56" s="14"/>
      <c r="J56" s="14"/>
      <c r="K56" s="14"/>
      <c r="L56" s="14"/>
    </row>
    <row r="57" spans="1:12" ht="15.6" customHeight="1">
      <c r="A57" s="54" t="s">
        <v>865</v>
      </c>
      <c r="B57" s="54" t="s">
        <v>876</v>
      </c>
      <c r="C57" s="408" t="str">
        <f t="array" ref="C57">VLOOKUP(A34,A33:D53,{3,4},0)</f>
        <v>Finance</v>
      </c>
      <c r="D57" s="408">
        <f t="array" ref="D57">VLOOKUP(B34,B33:E53,{3,4},0)</f>
        <v>80105</v>
      </c>
      <c r="E57" s="14" t="str">
        <f t="array" ref="E57">VLOOKUP(A57,A33:D53,{3,4},0)</f>
        <v>Finance</v>
      </c>
      <c r="F57" s="14">
        <f t="array" ref="F57">VLOOKUP(B57,B33:E53,{3,4},0)</f>
        <v>80105</v>
      </c>
      <c r="G57" s="14"/>
      <c r="H57" s="14"/>
      <c r="I57" s="14"/>
      <c r="J57" s="14"/>
      <c r="K57" s="14"/>
      <c r="L57" s="14"/>
    </row>
    <row r="58" spans="1:12" ht="15.6" customHeight="1">
      <c r="A58" s="54" t="s">
        <v>868</v>
      </c>
      <c r="B58" s="54" t="s">
        <v>877</v>
      </c>
      <c r="C58" s="408" t="str">
        <f t="array" ref="C58">VLOOKUP(A35,A34:D54,{3,4},0)</f>
        <v>Operations</v>
      </c>
      <c r="D58" s="408">
        <f t="array" ref="D58">VLOOKUP(B35,B34:E54,{3,4},0)</f>
        <v>60802</v>
      </c>
      <c r="E58" s="14" t="str">
        <f t="array" ref="E58">VLOOKUP(A58,A34:D54,{3,4},0)</f>
        <v>Operations</v>
      </c>
      <c r="F58" s="14">
        <f t="array" ref="F58">VLOOKUP(B58,B34:E54,{3,4},0)</f>
        <v>60802</v>
      </c>
      <c r="G58" s="14"/>
      <c r="H58" s="14"/>
      <c r="I58" s="14"/>
      <c r="J58" s="14"/>
      <c r="K58" s="14"/>
      <c r="L58" s="14"/>
    </row>
    <row r="59" spans="1:12" ht="15.15" customHeight="1">
      <c r="A59" s="54" t="s">
        <v>861</v>
      </c>
      <c r="B59" s="54" t="s">
        <v>878</v>
      </c>
      <c r="C59" s="408" t="str">
        <f t="array" ref="C59">VLOOKUP(A36,A35:D55,{3,4},0)</f>
        <v>Finance</v>
      </c>
      <c r="D59" s="408">
        <f t="array" ref="D59">VLOOKUP(B36,B35:E55,{3,4},0)</f>
        <v>76260</v>
      </c>
      <c r="E59" s="14" t="str">
        <f t="array" ref="E59">VLOOKUP(A59,A35:D55,{3,4},0)</f>
        <v>Finance</v>
      </c>
      <c r="F59" s="14">
        <f t="array" ref="F59">VLOOKUP(B59,B35:E55,{3,4},0)</f>
        <v>76260</v>
      </c>
      <c r="G59" s="14"/>
      <c r="H59" s="14"/>
      <c r="I59" s="14"/>
      <c r="J59" s="14"/>
      <c r="K59" s="14"/>
      <c r="L59" s="14"/>
    </row>
  </sheetData>
  <mergeCells count="49">
    <mergeCell ref="A38:B38"/>
    <mergeCell ref="C38:D38"/>
    <mergeCell ref="E38:F38"/>
    <mergeCell ref="A14:N14"/>
    <mergeCell ref="A12:C12"/>
    <mergeCell ref="D12:E12"/>
    <mergeCell ref="F12:H12"/>
    <mergeCell ref="J12:L12"/>
    <mergeCell ref="A37:N37"/>
    <mergeCell ref="A13:N13"/>
    <mergeCell ref="F8:H8"/>
    <mergeCell ref="J8:L8"/>
    <mergeCell ref="A9:C9"/>
    <mergeCell ref="D9:E9"/>
    <mergeCell ref="F9:H9"/>
    <mergeCell ref="J9:L9"/>
    <mergeCell ref="A8:C8"/>
    <mergeCell ref="A4:C4"/>
    <mergeCell ref="D4:E4"/>
    <mergeCell ref="F4:H4"/>
    <mergeCell ref="I4:I12"/>
    <mergeCell ref="J4:L4"/>
    <mergeCell ref="A5:C5"/>
    <mergeCell ref="D5:E5"/>
    <mergeCell ref="A10:C10"/>
    <mergeCell ref="D10:E10"/>
    <mergeCell ref="F10:H10"/>
    <mergeCell ref="J10:L10"/>
    <mergeCell ref="A11:C11"/>
    <mergeCell ref="D11:E11"/>
    <mergeCell ref="F11:H11"/>
    <mergeCell ref="J11:L11"/>
    <mergeCell ref="D8:E8"/>
    <mergeCell ref="A1:M1"/>
    <mergeCell ref="A2:M2"/>
    <mergeCell ref="A3:C3"/>
    <mergeCell ref="D3:E3"/>
    <mergeCell ref="F3:H3"/>
    <mergeCell ref="I3:M3"/>
    <mergeCell ref="A7:C7"/>
    <mergeCell ref="F5:H5"/>
    <mergeCell ref="J5:L5"/>
    <mergeCell ref="A6:C6"/>
    <mergeCell ref="D6:E6"/>
    <mergeCell ref="F6:H6"/>
    <mergeCell ref="J6:L6"/>
    <mergeCell ref="D7:E7"/>
    <mergeCell ref="F7:H7"/>
    <mergeCell ref="J7:L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
  <sheetViews>
    <sheetView workbookViewId="0">
      <selection activeCell="H6" sqref="H6"/>
    </sheetView>
  </sheetViews>
  <sheetFormatPr defaultRowHeight="13.2"/>
  <cols>
    <col min="1" max="1" width="18" customWidth="1"/>
    <col min="2" max="2" width="14" customWidth="1"/>
    <col min="3" max="3" width="21.77734375" customWidth="1"/>
    <col min="4" max="4" width="29.77734375" customWidth="1"/>
    <col min="5" max="5" width="13" customWidth="1"/>
    <col min="6" max="6" width="11.77734375" customWidth="1"/>
    <col min="7" max="7" width="15.44140625" customWidth="1"/>
    <col min="8" max="8" width="17.77734375" bestFit="1" customWidth="1"/>
    <col min="9" max="9" width="15.77734375" bestFit="1" customWidth="1"/>
  </cols>
  <sheetData>
    <row r="1" spans="1:8" ht="21" customHeight="1">
      <c r="A1" s="531" t="s">
        <v>881</v>
      </c>
      <c r="B1" s="531"/>
      <c r="C1" s="531"/>
      <c r="D1" s="531"/>
      <c r="E1" s="531"/>
      <c r="F1" s="531"/>
      <c r="G1" s="531"/>
    </row>
    <row r="2" spans="1:8" ht="28.5" customHeight="1">
      <c r="A2" s="545" t="s">
        <v>102</v>
      </c>
      <c r="B2" s="545"/>
      <c r="C2" s="545"/>
      <c r="D2" s="545"/>
      <c r="E2" s="545"/>
      <c r="F2" s="545"/>
      <c r="G2" s="545"/>
    </row>
    <row r="3" spans="1:8" ht="16.5" customHeight="1">
      <c r="A3" s="120" t="s">
        <v>882</v>
      </c>
      <c r="B3" s="348" t="s">
        <v>883</v>
      </c>
      <c r="C3" s="95" t="s">
        <v>884</v>
      </c>
      <c r="D3" s="540"/>
      <c r="E3" s="551"/>
      <c r="F3" s="551"/>
      <c r="G3" s="410" t="s">
        <v>882</v>
      </c>
      <c r="H3" s="304" t="s">
        <v>884</v>
      </c>
    </row>
    <row r="4" spans="1:8" ht="16.5" customHeight="1">
      <c r="A4" s="7" t="s">
        <v>885</v>
      </c>
      <c r="B4" s="314" t="s">
        <v>886</v>
      </c>
      <c r="C4" s="6">
        <v>4615</v>
      </c>
      <c r="D4" s="540"/>
      <c r="E4" s="551"/>
      <c r="F4" s="551"/>
      <c r="G4" s="411" t="s">
        <v>885</v>
      </c>
      <c r="H4" s="293">
        <f>SUMIF($A$3:$A$11,$G4,$C$3:$C$11)</f>
        <v>24383</v>
      </c>
    </row>
    <row r="5" spans="1:8" ht="16.5" customHeight="1">
      <c r="A5" s="7" t="s">
        <v>887</v>
      </c>
      <c r="B5" s="314" t="s">
        <v>888</v>
      </c>
      <c r="C5" s="6">
        <v>2345</v>
      </c>
      <c r="D5" s="540"/>
      <c r="E5" s="551"/>
      <c r="F5" s="551"/>
      <c r="G5" s="412" t="s">
        <v>891</v>
      </c>
      <c r="H5" s="293">
        <f t="shared" ref="H5" si="0">SUMIF($A$3:$A$11,$G5,$C$3:$C$11)</f>
        <v>11224</v>
      </c>
    </row>
    <row r="6" spans="1:8" ht="16.5" customHeight="1">
      <c r="A6" s="7" t="s">
        <v>885</v>
      </c>
      <c r="B6" s="314" t="s">
        <v>889</v>
      </c>
      <c r="C6" s="6">
        <v>11282</v>
      </c>
      <c r="D6" s="540"/>
      <c r="E6" s="551"/>
      <c r="F6" s="551"/>
      <c r="G6" s="413" t="s">
        <v>1230</v>
      </c>
      <c r="H6" s="413">
        <f>SUM(H4,H5)</f>
        <v>35607</v>
      </c>
    </row>
    <row r="7" spans="1:8" ht="16.5" customHeight="1">
      <c r="A7" s="7" t="s">
        <v>887</v>
      </c>
      <c r="B7" s="314" t="s">
        <v>890</v>
      </c>
      <c r="C7" s="6">
        <v>4159</v>
      </c>
      <c r="D7" s="540"/>
      <c r="E7" s="551"/>
      <c r="F7" s="551"/>
    </row>
    <row r="8" spans="1:8" ht="16.5" customHeight="1">
      <c r="A8" s="82" t="s">
        <v>891</v>
      </c>
      <c r="B8" s="314" t="s">
        <v>892</v>
      </c>
      <c r="C8" s="6">
        <v>7802</v>
      </c>
      <c r="D8" s="540"/>
      <c r="E8" s="551"/>
      <c r="F8" s="551"/>
    </row>
    <row r="9" spans="1:8" ht="16.5" customHeight="1">
      <c r="A9" s="7" t="s">
        <v>885</v>
      </c>
      <c r="B9" s="314" t="s">
        <v>893</v>
      </c>
      <c r="C9" s="6">
        <v>8486</v>
      </c>
      <c r="D9" s="540"/>
      <c r="E9" s="551"/>
      <c r="F9" s="551"/>
    </row>
    <row r="10" spans="1:8" ht="16.5" customHeight="1">
      <c r="A10" s="7" t="s">
        <v>887</v>
      </c>
      <c r="B10" s="314" t="s">
        <v>894</v>
      </c>
      <c r="C10" s="6">
        <v>3384</v>
      </c>
      <c r="D10" s="540"/>
      <c r="E10" s="551"/>
      <c r="F10" s="551"/>
    </row>
    <row r="11" spans="1:8" ht="16.5" customHeight="1">
      <c r="A11" s="82" t="s">
        <v>891</v>
      </c>
      <c r="B11" s="314" t="s">
        <v>895</v>
      </c>
      <c r="C11" s="6">
        <v>3422</v>
      </c>
      <c r="D11" s="540"/>
      <c r="E11" s="551"/>
      <c r="F11" s="551"/>
    </row>
    <row r="12" spans="1:8" ht="15.75" customHeight="1">
      <c r="A12" s="560"/>
      <c r="B12" s="560"/>
      <c r="C12" s="560"/>
      <c r="D12" s="560"/>
      <c r="E12" s="560"/>
      <c r="F12" s="560"/>
      <c r="G12" s="560"/>
    </row>
    <row r="13" spans="1:8" ht="66" customHeight="1">
      <c r="A13" s="409" t="s">
        <v>1229</v>
      </c>
      <c r="B13" s="333" t="s">
        <v>897</v>
      </c>
      <c r="C13" s="6">
        <v>24383</v>
      </c>
      <c r="D13" s="121" t="s">
        <v>898</v>
      </c>
      <c r="E13" s="122">
        <f>SUMIF(A3:A11,D13,C3:C11)</f>
        <v>0</v>
      </c>
    </row>
    <row r="14" spans="1:8" ht="15.75" customHeight="1"/>
    <row r="15" spans="1:8" ht="67.650000000000006" customHeight="1">
      <c r="A15" s="347" t="s">
        <v>896</v>
      </c>
      <c r="B15" s="123" t="s">
        <v>899</v>
      </c>
      <c r="C15" s="113">
        <v>35607</v>
      </c>
      <c r="D15" s="121" t="s">
        <v>900</v>
      </c>
      <c r="E15" s="124" t="s">
        <v>15</v>
      </c>
    </row>
    <row r="16" spans="1:8" ht="30.6" customHeight="1">
      <c r="A16" s="536" t="s">
        <v>901</v>
      </c>
      <c r="B16" s="536"/>
      <c r="C16" s="536"/>
      <c r="D16" s="536"/>
      <c r="E16" s="536"/>
      <c r="F16" s="536"/>
      <c r="G16" s="536"/>
    </row>
    <row r="17" spans="1:9" ht="16.5" customHeight="1">
      <c r="A17" s="120" t="s">
        <v>882</v>
      </c>
      <c r="B17" s="348" t="s">
        <v>883</v>
      </c>
      <c r="C17" s="95" t="s">
        <v>884</v>
      </c>
      <c r="D17" s="540"/>
      <c r="E17" s="551"/>
      <c r="F17" s="551"/>
    </row>
    <row r="18" spans="1:9" ht="16.5" customHeight="1">
      <c r="A18" s="7" t="s">
        <v>885</v>
      </c>
      <c r="B18" s="314" t="s">
        <v>886</v>
      </c>
      <c r="C18" s="6">
        <v>4615</v>
      </c>
      <c r="D18" s="540"/>
      <c r="E18" s="551"/>
      <c r="F18" s="551"/>
      <c r="H18" s="410" t="s">
        <v>882</v>
      </c>
      <c r="I18" s="304" t="s">
        <v>884</v>
      </c>
    </row>
    <row r="19" spans="1:9" ht="16.5" customHeight="1">
      <c r="A19" s="7" t="s">
        <v>887</v>
      </c>
      <c r="B19" s="314" t="s">
        <v>888</v>
      </c>
      <c r="C19" s="6">
        <v>2345</v>
      </c>
      <c r="D19" s="540"/>
      <c r="E19" s="551"/>
      <c r="F19" s="551"/>
      <c r="H19" s="411" t="s">
        <v>887</v>
      </c>
      <c r="I19" s="293">
        <f>SUMIF($A$17:$A$25,$H19,$C$17:$C$25)</f>
        <v>9888</v>
      </c>
    </row>
    <row r="20" spans="1:9" ht="16.5" customHeight="1">
      <c r="A20" s="7" t="s">
        <v>885</v>
      </c>
      <c r="B20" s="314" t="s">
        <v>889</v>
      </c>
      <c r="C20" s="6">
        <v>11282</v>
      </c>
      <c r="D20" s="540"/>
      <c r="E20" s="551"/>
      <c r="F20" s="551"/>
      <c r="H20" s="412" t="s">
        <v>891</v>
      </c>
      <c r="I20" s="293">
        <f>SUMIF($A$17:$A$25,$H20,$C$17:$C$25)</f>
        <v>11224</v>
      </c>
    </row>
    <row r="21" spans="1:9" ht="16.5" customHeight="1">
      <c r="A21" s="7" t="s">
        <v>887</v>
      </c>
      <c r="B21" s="314" t="s">
        <v>890</v>
      </c>
      <c r="C21" s="6">
        <v>4159</v>
      </c>
      <c r="D21" s="540"/>
      <c r="E21" s="551"/>
      <c r="F21" s="551"/>
      <c r="H21" s="233" t="s">
        <v>1231</v>
      </c>
      <c r="I21" s="233">
        <f>SUM(I19,I20)</f>
        <v>21112</v>
      </c>
    </row>
    <row r="22" spans="1:9" ht="16.5" customHeight="1">
      <c r="A22" s="82" t="s">
        <v>891</v>
      </c>
      <c r="B22" s="314" t="s">
        <v>892</v>
      </c>
      <c r="C22" s="6">
        <v>7802</v>
      </c>
      <c r="D22" s="540"/>
      <c r="E22" s="551"/>
      <c r="F22" s="551"/>
    </row>
    <row r="23" spans="1:9" ht="16.5" customHeight="1">
      <c r="A23" s="7" t="s">
        <v>885</v>
      </c>
      <c r="B23" s="314" t="s">
        <v>893</v>
      </c>
      <c r="C23" s="6">
        <v>8486</v>
      </c>
      <c r="D23" s="540"/>
      <c r="E23" s="551"/>
      <c r="F23" s="551"/>
    </row>
    <row r="24" spans="1:9" ht="16.5" customHeight="1">
      <c r="A24" s="7" t="s">
        <v>887</v>
      </c>
      <c r="B24" s="314" t="s">
        <v>894</v>
      </c>
      <c r="C24" s="6">
        <v>3384</v>
      </c>
      <c r="D24" s="540"/>
      <c r="E24" s="551"/>
      <c r="F24" s="551"/>
    </row>
    <row r="25" spans="1:9" ht="16.5" customHeight="1">
      <c r="A25" s="82" t="s">
        <v>891</v>
      </c>
      <c r="B25" s="314" t="s">
        <v>895</v>
      </c>
      <c r="C25" s="6">
        <v>3422</v>
      </c>
      <c r="D25" s="540"/>
      <c r="E25" s="551"/>
      <c r="F25" s="551"/>
    </row>
    <row r="26" spans="1:9" ht="15.75" customHeight="1">
      <c r="A26" s="560"/>
      <c r="B26" s="560"/>
      <c r="C26" s="560"/>
      <c r="D26" s="560"/>
      <c r="E26" s="560"/>
      <c r="F26" s="560"/>
      <c r="G26" s="560"/>
    </row>
    <row r="27" spans="1:9" ht="78" customHeight="1">
      <c r="A27" s="696" t="s">
        <v>896</v>
      </c>
      <c r="B27" s="697"/>
      <c r="C27" s="123" t="s">
        <v>899</v>
      </c>
      <c r="D27" s="113">
        <v>35607</v>
      </c>
      <c r="E27" s="38"/>
      <c r="F27" s="121" t="s">
        <v>902</v>
      </c>
      <c r="G27" s="125"/>
    </row>
    <row r="28" spans="1:9" ht="36.75" customHeight="1">
      <c r="A28" s="549" t="s">
        <v>901</v>
      </c>
      <c r="B28" s="549"/>
      <c r="C28" s="549"/>
      <c r="D28" s="549"/>
      <c r="E28" s="549"/>
      <c r="F28" s="549"/>
      <c r="G28" s="549"/>
    </row>
  </sheetData>
  <mergeCells count="9">
    <mergeCell ref="A28:G28"/>
    <mergeCell ref="D17:F25"/>
    <mergeCell ref="A12:G12"/>
    <mergeCell ref="A16:G16"/>
    <mergeCell ref="A1:G1"/>
    <mergeCell ref="A2:G2"/>
    <mergeCell ref="D3:F11"/>
    <mergeCell ref="A26:G26"/>
    <mergeCell ref="A27:B2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70"/>
  <sheetViews>
    <sheetView topLeftCell="A22" workbookViewId="0">
      <selection activeCell="J31" sqref="J31:K31"/>
    </sheetView>
  </sheetViews>
  <sheetFormatPr defaultRowHeight="13.2"/>
  <cols>
    <col min="1" max="1" width="12.109375" customWidth="1"/>
    <col min="2" max="2" width="12.33203125" bestFit="1" customWidth="1"/>
    <col min="3" max="3" width="10.109375" bestFit="1" customWidth="1"/>
    <col min="4" max="4" width="8.33203125" bestFit="1" customWidth="1"/>
    <col min="5" max="5" width="10.44140625" customWidth="1"/>
    <col min="6" max="6" width="12.109375" customWidth="1"/>
    <col min="7" max="7" width="11.109375" customWidth="1"/>
    <col min="8" max="8" width="9.6640625" customWidth="1"/>
    <col min="9" max="9" width="10.109375" bestFit="1" customWidth="1"/>
    <col min="10" max="10" width="12.109375" bestFit="1" customWidth="1"/>
    <col min="11" max="11" width="9" bestFit="1" customWidth="1"/>
    <col min="12" max="12" width="5.77734375" customWidth="1"/>
    <col min="13" max="13" width="3.44140625" customWidth="1"/>
    <col min="14" max="14" width="5.44140625" customWidth="1"/>
    <col min="16" max="16" width="12.109375" bestFit="1" customWidth="1"/>
    <col min="17" max="17" width="15.77734375" customWidth="1"/>
    <col min="18" max="18" width="12.77734375" customWidth="1"/>
    <col min="19" max="19" width="17.109375" customWidth="1"/>
    <col min="21" max="21" width="11.109375" customWidth="1"/>
    <col min="22" max="22" width="11.33203125" bestFit="1" customWidth="1"/>
  </cols>
  <sheetData>
    <row r="1" spans="1:23" ht="30.6" customHeight="1">
      <c r="A1" s="531" t="s">
        <v>903</v>
      </c>
      <c r="B1" s="531"/>
      <c r="C1" s="531"/>
      <c r="D1" s="531"/>
      <c r="E1" s="531"/>
      <c r="F1" s="531"/>
      <c r="G1" s="531"/>
      <c r="H1" s="531"/>
      <c r="I1" s="531"/>
      <c r="J1" s="531"/>
      <c r="K1" s="531"/>
      <c r="L1" s="531"/>
      <c r="M1" s="531"/>
      <c r="N1" s="531"/>
    </row>
    <row r="2" spans="1:23" ht="59.4" customHeight="1">
      <c r="A2" s="698" t="s">
        <v>904</v>
      </c>
      <c r="B2" s="698"/>
      <c r="C2" s="698"/>
      <c r="D2" s="698"/>
      <c r="E2" s="698"/>
      <c r="F2" s="698"/>
      <c r="G2" s="698"/>
      <c r="H2" s="698"/>
      <c r="I2" s="698"/>
      <c r="J2" s="698"/>
      <c r="K2" s="698"/>
      <c r="L2" s="698"/>
      <c r="M2" s="698"/>
      <c r="N2" s="698"/>
    </row>
    <row r="3" spans="1:23" ht="16.5" customHeight="1">
      <c r="A3" s="18" t="s">
        <v>905</v>
      </c>
      <c r="B3" s="187" t="s">
        <v>630</v>
      </c>
      <c r="C3" s="187" t="s">
        <v>906</v>
      </c>
      <c r="D3" s="187" t="s">
        <v>907</v>
      </c>
      <c r="E3" s="209" t="s">
        <v>908</v>
      </c>
      <c r="F3" s="187" t="s">
        <v>909</v>
      </c>
      <c r="G3" s="187" t="s">
        <v>910</v>
      </c>
      <c r="H3" s="1" t="s">
        <v>911</v>
      </c>
      <c r="I3" s="366" t="s">
        <v>912</v>
      </c>
      <c r="J3" s="367" t="s">
        <v>913</v>
      </c>
      <c r="K3" s="368" t="s">
        <v>914</v>
      </c>
      <c r="Q3" s="187" t="s">
        <v>910</v>
      </c>
      <c r="R3" s="1" t="s">
        <v>911</v>
      </c>
      <c r="S3" s="233" t="s">
        <v>1200</v>
      </c>
      <c r="T3" s="357" t="s">
        <v>906</v>
      </c>
      <c r="U3" s="231" t="s">
        <v>1197</v>
      </c>
    </row>
    <row r="4" spans="1:23" ht="16.5" customHeight="1">
      <c r="A4" s="4">
        <v>1</v>
      </c>
      <c r="B4" s="184" t="s">
        <v>915</v>
      </c>
      <c r="C4" s="184" t="s">
        <v>916</v>
      </c>
      <c r="D4" s="184" t="s">
        <v>917</v>
      </c>
      <c r="E4" s="185">
        <v>15625</v>
      </c>
      <c r="F4" s="369">
        <f>VLOOKUP($C4,$I$4:$K$11,2,0)</f>
        <v>100</v>
      </c>
      <c r="G4" s="507">
        <f>VLOOKUP($C4,$I$4:$K$11,3,0)</f>
        <v>900</v>
      </c>
      <c r="H4" s="13" t="str">
        <f>IF('Table 1'!E4&gt;15000,"a",IF(E4&gt;10000,"b","c"))</f>
        <v>b</v>
      </c>
      <c r="I4" s="184" t="s">
        <v>916</v>
      </c>
      <c r="J4" s="185">
        <v>100</v>
      </c>
      <c r="K4" s="185">
        <v>900</v>
      </c>
      <c r="Q4" s="369"/>
      <c r="R4" s="13"/>
      <c r="T4" s="356" t="s">
        <v>916</v>
      </c>
      <c r="U4" s="293">
        <f>COUNTIF($C$3:$C$20,$T4)</f>
        <v>3</v>
      </c>
    </row>
    <row r="5" spans="1:23" ht="16.5" customHeight="1">
      <c r="A5" s="4">
        <v>2</v>
      </c>
      <c r="B5" s="184" t="s">
        <v>918</v>
      </c>
      <c r="C5" s="184" t="s">
        <v>916</v>
      </c>
      <c r="D5" s="184" t="s">
        <v>919</v>
      </c>
      <c r="E5" s="185">
        <v>12500</v>
      </c>
      <c r="F5" s="369">
        <f>VLOOKUP($C5,$I$4:$K$11,2,0)</f>
        <v>100</v>
      </c>
      <c r="G5" s="507">
        <f t="shared" ref="G5:G20" si="0">VLOOKUP($C5,$I$4:$K$11,3,0)</f>
        <v>900</v>
      </c>
      <c r="H5" s="13" t="str">
        <f t="shared" ref="H5:H20" si="1">IF(E5&gt;15000,"a",IF(E5&gt;10000,"b","c"))</f>
        <v>b</v>
      </c>
      <c r="I5" s="184" t="s">
        <v>920</v>
      </c>
      <c r="J5" s="185">
        <v>200</v>
      </c>
      <c r="K5" s="185">
        <v>800</v>
      </c>
      <c r="Q5" s="369"/>
      <c r="R5" s="13"/>
      <c r="T5" s="356" t="s">
        <v>920</v>
      </c>
      <c r="U5" s="293">
        <f>COUNTIF($C$3:$C$20,$T5)</f>
        <v>3</v>
      </c>
    </row>
    <row r="6" spans="1:23" ht="16.5" customHeight="1">
      <c r="A6" s="4">
        <v>3</v>
      </c>
      <c r="B6" s="184" t="s">
        <v>921</v>
      </c>
      <c r="C6" s="184" t="s">
        <v>920</v>
      </c>
      <c r="D6" s="184" t="s">
        <v>917</v>
      </c>
      <c r="E6" s="185">
        <v>8750</v>
      </c>
      <c r="F6" s="369">
        <f t="shared" ref="F6:F20" si="2">VLOOKUP($C6,$I$4:$K$11,2,0)</f>
        <v>200</v>
      </c>
      <c r="G6" s="507">
        <f t="shared" si="0"/>
        <v>800</v>
      </c>
      <c r="H6" s="13" t="str">
        <f t="shared" si="1"/>
        <v>c</v>
      </c>
      <c r="I6" s="184" t="s">
        <v>922</v>
      </c>
      <c r="J6" s="185">
        <v>300</v>
      </c>
      <c r="K6" s="185">
        <v>700</v>
      </c>
      <c r="Q6" s="369"/>
      <c r="R6" s="13"/>
    </row>
    <row r="7" spans="1:23" ht="16.5" customHeight="1">
      <c r="A7" s="4">
        <v>4</v>
      </c>
      <c r="B7" s="184" t="s">
        <v>923</v>
      </c>
      <c r="C7" s="184" t="s">
        <v>922</v>
      </c>
      <c r="D7" s="184" t="s">
        <v>917</v>
      </c>
      <c r="E7" s="185">
        <v>15000</v>
      </c>
      <c r="F7" s="369">
        <f t="shared" si="2"/>
        <v>300</v>
      </c>
      <c r="G7" s="507">
        <f t="shared" si="0"/>
        <v>700</v>
      </c>
      <c r="H7" s="13" t="str">
        <f t="shared" si="1"/>
        <v>b</v>
      </c>
      <c r="I7" s="184" t="s">
        <v>712</v>
      </c>
      <c r="J7" s="185">
        <v>400</v>
      </c>
      <c r="K7" s="185">
        <v>600</v>
      </c>
      <c r="Q7" s="369"/>
      <c r="R7" s="13"/>
      <c r="S7" s="233" t="s">
        <v>1201</v>
      </c>
      <c r="T7" s="359" t="s">
        <v>906</v>
      </c>
      <c r="U7" s="358" t="s">
        <v>1189</v>
      </c>
    </row>
    <row r="8" spans="1:23" ht="16.5" customHeight="1">
      <c r="A8" s="4">
        <v>5</v>
      </c>
      <c r="B8" s="184" t="s">
        <v>924</v>
      </c>
      <c r="C8" s="184" t="s">
        <v>922</v>
      </c>
      <c r="D8" s="184" t="s">
        <v>917</v>
      </c>
      <c r="E8" s="185">
        <v>8875</v>
      </c>
      <c r="F8" s="369">
        <f t="shared" si="2"/>
        <v>300</v>
      </c>
      <c r="G8" s="507">
        <f t="shared" si="0"/>
        <v>700</v>
      </c>
      <c r="H8" s="13" t="str">
        <f t="shared" si="1"/>
        <v>c</v>
      </c>
      <c r="I8" s="184" t="s">
        <v>925</v>
      </c>
      <c r="J8" s="185">
        <v>500</v>
      </c>
      <c r="K8" s="185">
        <v>500</v>
      </c>
      <c r="Q8" s="369"/>
      <c r="R8" s="13"/>
      <c r="T8" s="356" t="s">
        <v>916</v>
      </c>
      <c r="U8" s="293">
        <f>SUMIF(C3:C20,T8,E3:E20)</f>
        <v>38750</v>
      </c>
    </row>
    <row r="9" spans="1:23" ht="16.5" customHeight="1">
      <c r="A9" s="4">
        <v>6</v>
      </c>
      <c r="B9" s="184" t="s">
        <v>926</v>
      </c>
      <c r="C9" s="184" t="s">
        <v>922</v>
      </c>
      <c r="D9" s="184" t="s">
        <v>917</v>
      </c>
      <c r="E9" s="185">
        <v>8875</v>
      </c>
      <c r="F9" s="369">
        <f t="shared" si="2"/>
        <v>300</v>
      </c>
      <c r="G9" s="507">
        <f t="shared" si="0"/>
        <v>700</v>
      </c>
      <c r="H9" s="13" t="str">
        <f t="shared" si="1"/>
        <v>c</v>
      </c>
      <c r="I9" s="184" t="s">
        <v>927</v>
      </c>
      <c r="J9" s="185">
        <v>600</v>
      </c>
      <c r="K9" s="185">
        <v>400</v>
      </c>
      <c r="Q9" s="369"/>
      <c r="R9" s="13"/>
    </row>
    <row r="10" spans="1:23" ht="16.5" customHeight="1">
      <c r="A10" s="4">
        <v>7</v>
      </c>
      <c r="B10" s="184" t="s">
        <v>928</v>
      </c>
      <c r="C10" s="184" t="s">
        <v>916</v>
      </c>
      <c r="D10" s="184" t="s">
        <v>917</v>
      </c>
      <c r="E10" s="185">
        <v>10625</v>
      </c>
      <c r="F10" s="369">
        <f t="shared" si="2"/>
        <v>100</v>
      </c>
      <c r="G10" s="507">
        <f t="shared" si="0"/>
        <v>900</v>
      </c>
      <c r="H10" s="13" t="str">
        <f t="shared" si="1"/>
        <v>b</v>
      </c>
      <c r="I10" s="184" t="s">
        <v>929</v>
      </c>
      <c r="J10" s="185">
        <v>700</v>
      </c>
      <c r="K10" s="185">
        <v>300</v>
      </c>
      <c r="Q10" s="369"/>
      <c r="R10" s="13"/>
      <c r="S10" s="233" t="s">
        <v>1212</v>
      </c>
      <c r="T10" s="359" t="s">
        <v>906</v>
      </c>
      <c r="U10" s="359" t="s">
        <v>907</v>
      </c>
      <c r="V10" s="358" t="s">
        <v>1232</v>
      </c>
    </row>
    <row r="11" spans="1:23" ht="16.5" customHeight="1">
      <c r="A11" s="4">
        <v>8</v>
      </c>
      <c r="B11" s="184" t="s">
        <v>930</v>
      </c>
      <c r="C11" s="184" t="s">
        <v>920</v>
      </c>
      <c r="D11" s="184" t="s">
        <v>919</v>
      </c>
      <c r="E11" s="185">
        <v>11250</v>
      </c>
      <c r="F11" s="369">
        <f t="shared" si="2"/>
        <v>200</v>
      </c>
      <c r="G11" s="507">
        <f t="shared" si="0"/>
        <v>800</v>
      </c>
      <c r="H11" s="13" t="str">
        <f t="shared" si="1"/>
        <v>b</v>
      </c>
      <c r="I11" s="184" t="s">
        <v>931</v>
      </c>
      <c r="J11" s="185">
        <v>800</v>
      </c>
      <c r="K11" s="185">
        <v>200</v>
      </c>
      <c r="Q11" s="369"/>
      <c r="R11" s="13"/>
      <c r="T11" s="356" t="s">
        <v>916</v>
      </c>
      <c r="U11" s="356" t="s">
        <v>917</v>
      </c>
      <c r="V11" s="293">
        <f>COUNTIFS(C3:C20,T11,D3:D20,U11)</f>
        <v>2</v>
      </c>
      <c r="W11" s="432"/>
    </row>
    <row r="12" spans="1:23" ht="16.5" customHeight="1">
      <c r="A12" s="4">
        <v>9</v>
      </c>
      <c r="B12" s="184" t="s">
        <v>932</v>
      </c>
      <c r="C12" s="184" t="s">
        <v>712</v>
      </c>
      <c r="D12" s="184" t="s">
        <v>933</v>
      </c>
      <c r="E12" s="185">
        <v>10625</v>
      </c>
      <c r="F12" s="369">
        <f t="shared" si="2"/>
        <v>400</v>
      </c>
      <c r="G12" s="507">
        <f t="shared" si="0"/>
        <v>600</v>
      </c>
      <c r="H12" s="13" t="str">
        <f t="shared" si="1"/>
        <v>b</v>
      </c>
      <c r="I12" s="551"/>
      <c r="J12" s="551"/>
      <c r="K12" s="551"/>
      <c r="L12" s="551"/>
      <c r="M12" s="551"/>
      <c r="N12" s="551"/>
      <c r="Q12" s="369"/>
      <c r="R12" s="13"/>
    </row>
    <row r="13" spans="1:23" ht="16.5" customHeight="1">
      <c r="A13" s="4">
        <v>10</v>
      </c>
      <c r="B13" s="184" t="s">
        <v>934</v>
      </c>
      <c r="C13" s="184" t="s">
        <v>925</v>
      </c>
      <c r="D13" s="184" t="s">
        <v>917</v>
      </c>
      <c r="E13" s="185">
        <v>15000</v>
      </c>
      <c r="F13" s="369">
        <f t="shared" si="2"/>
        <v>500</v>
      </c>
      <c r="G13" s="507">
        <f t="shared" si="0"/>
        <v>500</v>
      </c>
      <c r="H13" s="13" t="str">
        <f t="shared" si="1"/>
        <v>b</v>
      </c>
      <c r="I13" s="551"/>
      <c r="J13" s="551"/>
      <c r="K13" s="551"/>
      <c r="L13" s="551"/>
      <c r="M13" s="551"/>
      <c r="N13" s="551"/>
      <c r="Q13" s="369"/>
      <c r="R13" s="13"/>
      <c r="S13" t="s">
        <v>1203</v>
      </c>
      <c r="T13" s="359" t="s">
        <v>906</v>
      </c>
      <c r="U13" s="359" t="s">
        <v>907</v>
      </c>
      <c r="V13" t="s">
        <v>1233</v>
      </c>
      <c r="W13" t="s">
        <v>1234</v>
      </c>
    </row>
    <row r="14" spans="1:23" ht="16.5" customHeight="1">
      <c r="A14" s="4">
        <v>11</v>
      </c>
      <c r="B14" s="184" t="s">
        <v>935</v>
      </c>
      <c r="C14" s="184" t="s">
        <v>712</v>
      </c>
      <c r="D14" s="184" t="s">
        <v>919</v>
      </c>
      <c r="E14" s="185">
        <v>13750</v>
      </c>
      <c r="F14" s="369">
        <f t="shared" si="2"/>
        <v>400</v>
      </c>
      <c r="G14" s="507">
        <f t="shared" si="0"/>
        <v>600</v>
      </c>
      <c r="H14" s="13" t="str">
        <f t="shared" si="1"/>
        <v>b</v>
      </c>
      <c r="I14" s="551"/>
      <c r="J14" s="551"/>
      <c r="K14" s="551"/>
      <c r="L14" s="551"/>
      <c r="M14" s="551"/>
      <c r="N14" s="551"/>
      <c r="Q14" s="369"/>
      <c r="R14" s="13"/>
      <c r="T14" s="356" t="s">
        <v>916</v>
      </c>
      <c r="U14" s="356" t="s">
        <v>917</v>
      </c>
      <c r="V14">
        <f>SUMIFS(E3:E20,C3:C20,T14,D3:D20,U14)</f>
        <v>26250</v>
      </c>
      <c r="W14">
        <f>COUNTIFS(C3:C20,T14,D3:D20,U14)</f>
        <v>2</v>
      </c>
    </row>
    <row r="15" spans="1:23" ht="16.5" customHeight="1">
      <c r="A15" s="4">
        <v>12</v>
      </c>
      <c r="B15" s="184" t="s">
        <v>936</v>
      </c>
      <c r="C15" s="184" t="s">
        <v>927</v>
      </c>
      <c r="D15" s="184" t="s">
        <v>594</v>
      </c>
      <c r="E15" s="185">
        <v>35000</v>
      </c>
      <c r="F15" s="369">
        <f>VLOOKUP($C15,$I$4:$K$11,2,0)</f>
        <v>600</v>
      </c>
      <c r="G15" s="507">
        <f t="shared" si="0"/>
        <v>400</v>
      </c>
      <c r="H15" s="13" t="str">
        <f t="shared" si="1"/>
        <v>a</v>
      </c>
      <c r="I15" s="551"/>
      <c r="J15" s="551"/>
      <c r="K15" s="551"/>
      <c r="L15" s="551"/>
      <c r="M15" s="551"/>
      <c r="N15" s="551"/>
      <c r="Q15" s="369"/>
      <c r="R15" s="13"/>
    </row>
    <row r="16" spans="1:23" ht="16.5" customHeight="1">
      <c r="A16" s="4">
        <v>13</v>
      </c>
      <c r="B16" s="184" t="s">
        <v>937</v>
      </c>
      <c r="C16" s="184" t="s">
        <v>929</v>
      </c>
      <c r="D16" s="184" t="s">
        <v>917</v>
      </c>
      <c r="E16" s="185">
        <v>10625</v>
      </c>
      <c r="F16" s="369">
        <f t="shared" si="2"/>
        <v>700</v>
      </c>
      <c r="G16" s="507">
        <f t="shared" si="0"/>
        <v>300</v>
      </c>
      <c r="H16" s="13" t="str">
        <f t="shared" si="1"/>
        <v>b</v>
      </c>
      <c r="I16" s="370" t="s">
        <v>938</v>
      </c>
      <c r="J16" s="370" t="s">
        <v>939</v>
      </c>
      <c r="K16" s="540"/>
      <c r="L16" s="551"/>
      <c r="Q16" s="369"/>
      <c r="R16" s="13"/>
    </row>
    <row r="17" spans="1:18" ht="16.5" customHeight="1">
      <c r="A17" s="4">
        <v>14</v>
      </c>
      <c r="B17" s="184" t="s">
        <v>940</v>
      </c>
      <c r="C17" s="184" t="s">
        <v>929</v>
      </c>
      <c r="D17" s="184" t="s">
        <v>917</v>
      </c>
      <c r="E17" s="185">
        <v>10625</v>
      </c>
      <c r="F17" s="369">
        <f t="shared" si="2"/>
        <v>700</v>
      </c>
      <c r="G17" s="507">
        <f t="shared" si="0"/>
        <v>300</v>
      </c>
      <c r="H17" s="13" t="str">
        <f t="shared" si="1"/>
        <v>b</v>
      </c>
      <c r="I17" s="184" t="s">
        <v>917</v>
      </c>
      <c r="J17" s="185">
        <v>100</v>
      </c>
      <c r="K17" s="540"/>
      <c r="L17" s="551"/>
      <c r="Q17" s="369"/>
      <c r="R17" s="13"/>
    </row>
    <row r="18" spans="1:18" ht="16.5" customHeight="1">
      <c r="A18" s="4">
        <v>15</v>
      </c>
      <c r="B18" s="184" t="s">
        <v>941</v>
      </c>
      <c r="C18" s="184" t="s">
        <v>925</v>
      </c>
      <c r="D18" s="184" t="s">
        <v>919</v>
      </c>
      <c r="E18" s="185">
        <v>11250</v>
      </c>
      <c r="F18" s="369">
        <f t="shared" si="2"/>
        <v>500</v>
      </c>
      <c r="G18" s="507">
        <f t="shared" si="0"/>
        <v>500</v>
      </c>
      <c r="H18" s="13" t="str">
        <f t="shared" si="1"/>
        <v>b</v>
      </c>
      <c r="I18" s="184" t="s">
        <v>919</v>
      </c>
      <c r="J18" s="185">
        <v>200</v>
      </c>
      <c r="K18" s="540"/>
      <c r="L18" s="551"/>
      <c r="Q18" s="369"/>
      <c r="R18" s="13"/>
    </row>
    <row r="19" spans="1:18" ht="16.5" customHeight="1">
      <c r="A19" s="4">
        <v>16</v>
      </c>
      <c r="B19" s="184" t="s">
        <v>942</v>
      </c>
      <c r="C19" s="184" t="s">
        <v>925</v>
      </c>
      <c r="D19" s="184" t="s">
        <v>933</v>
      </c>
      <c r="E19" s="185">
        <v>11250</v>
      </c>
      <c r="F19" s="369">
        <f t="shared" si="2"/>
        <v>500</v>
      </c>
      <c r="G19" s="507">
        <f t="shared" si="0"/>
        <v>500</v>
      </c>
      <c r="H19" s="13" t="str">
        <f t="shared" si="1"/>
        <v>b</v>
      </c>
      <c r="I19" s="184" t="s">
        <v>933</v>
      </c>
      <c r="J19" s="185">
        <v>300</v>
      </c>
      <c r="K19" s="540"/>
      <c r="L19" s="551"/>
      <c r="Q19" s="369"/>
      <c r="R19" s="13"/>
    </row>
    <row r="20" spans="1:18" ht="16.5" customHeight="1">
      <c r="A20" s="4">
        <v>17</v>
      </c>
      <c r="B20" s="184" t="s">
        <v>943</v>
      </c>
      <c r="C20" s="184" t="s">
        <v>920</v>
      </c>
      <c r="D20" s="184" t="s">
        <v>917</v>
      </c>
      <c r="E20" s="185">
        <v>7500</v>
      </c>
      <c r="F20" s="369">
        <f t="shared" si="2"/>
        <v>200</v>
      </c>
      <c r="G20" s="507">
        <f t="shared" si="0"/>
        <v>800</v>
      </c>
      <c r="H20" s="13" t="str">
        <f t="shared" si="1"/>
        <v>c</v>
      </c>
      <c r="I20" s="184" t="s">
        <v>594</v>
      </c>
      <c r="J20" s="185">
        <v>400</v>
      </c>
      <c r="K20" s="540"/>
      <c r="L20" s="551"/>
      <c r="Q20" s="369"/>
      <c r="R20" s="13"/>
    </row>
    <row r="21" spans="1:18" ht="36.75" customHeight="1">
      <c r="A21" s="549" t="s">
        <v>944</v>
      </c>
      <c r="B21" s="549"/>
      <c r="C21" s="549"/>
      <c r="D21" s="549"/>
      <c r="E21" s="549"/>
      <c r="F21" s="549"/>
      <c r="G21" s="549"/>
      <c r="H21" s="549"/>
      <c r="I21" s="549"/>
      <c r="J21" s="549"/>
      <c r="K21" s="549"/>
      <c r="L21" s="549"/>
      <c r="M21" s="549"/>
      <c r="N21" s="549"/>
    </row>
    <row r="22" spans="1:18" ht="16.5" customHeight="1">
      <c r="A22" s="536" t="s">
        <v>945</v>
      </c>
      <c r="B22" s="536"/>
      <c r="C22" s="536"/>
      <c r="D22" s="536"/>
      <c r="E22" s="536"/>
      <c r="F22" s="536"/>
      <c r="G22" s="536"/>
      <c r="H22" s="536"/>
      <c r="I22" s="536"/>
      <c r="J22" s="536"/>
      <c r="K22" s="536"/>
      <c r="L22" s="536"/>
      <c r="M22" s="536"/>
      <c r="N22" s="536"/>
      <c r="O22" t="e">
        <f t="array" ref="O22">VLOOKUP($C23,$I$4:$K$11,{2,3},0)</f>
        <v>#N/A</v>
      </c>
      <c r="P22" t="e">
        <f t="array" ref="P22">VLOOKUP($C23,$I$4:$K$11,{2,3},0)</f>
        <v>#N/A</v>
      </c>
    </row>
    <row r="23" spans="1:18" ht="16.5" customHeight="1">
      <c r="A23" s="536" t="s">
        <v>946</v>
      </c>
      <c r="B23" s="536"/>
      <c r="C23" s="536"/>
      <c r="D23" s="536"/>
      <c r="E23" s="536"/>
      <c r="F23" s="536"/>
      <c r="G23" s="536"/>
      <c r="H23" s="536"/>
      <c r="I23" s="536"/>
      <c r="J23" s="536"/>
      <c r="K23" s="536"/>
      <c r="L23" s="536"/>
      <c r="M23" s="536"/>
      <c r="N23" s="536"/>
      <c r="O23" t="e">
        <f t="array" ref="O23">VLOOKUP($C24,$I$4:$K$11,{2,3},0)</f>
        <v>#N/A</v>
      </c>
      <c r="P23" t="e">
        <f t="array" ref="P23">VLOOKUP($C24,$I$4:$K$11,{2,3},0)</f>
        <v>#N/A</v>
      </c>
    </row>
    <row r="24" spans="1:18" ht="16.5" customHeight="1">
      <c r="A24" s="536" t="s">
        <v>947</v>
      </c>
      <c r="B24" s="536"/>
      <c r="C24" s="536"/>
      <c r="D24" s="536"/>
      <c r="E24" s="536"/>
      <c r="F24" s="536"/>
      <c r="G24" s="536"/>
      <c r="H24" s="536"/>
      <c r="I24" s="536"/>
      <c r="J24" s="536"/>
      <c r="K24" s="536"/>
      <c r="L24" s="536"/>
      <c r="M24" s="536"/>
      <c r="N24" s="536"/>
      <c r="O24" t="e">
        <f t="array" ref="O24">VLOOKUP($C25,$I$4:$K$11,{2,3},0)</f>
        <v>#N/A</v>
      </c>
      <c r="P24" t="e">
        <f t="array" ref="P24">VLOOKUP($C25,$I$4:$K$11,{2,3},0)</f>
        <v>#N/A</v>
      </c>
    </row>
    <row r="25" spans="1:18" ht="16.5" customHeight="1">
      <c r="A25" s="536" t="s">
        <v>948</v>
      </c>
      <c r="B25" s="536"/>
      <c r="C25" s="536"/>
      <c r="D25" s="536"/>
      <c r="E25" s="536"/>
      <c r="F25" s="536"/>
      <c r="G25" s="536"/>
      <c r="H25" s="536"/>
      <c r="I25" s="536"/>
      <c r="J25" s="536"/>
      <c r="K25" s="536"/>
      <c r="L25" s="536"/>
      <c r="M25" s="536"/>
      <c r="N25" s="536"/>
      <c r="O25" t="e">
        <f t="array" ref="O25">VLOOKUP($C26,$I$4:$K$11,{2,3},0)</f>
        <v>#N/A</v>
      </c>
      <c r="P25" t="e">
        <f t="array" ref="P25">VLOOKUP($C26,$I$4:$K$11,{2,3},0)</f>
        <v>#N/A</v>
      </c>
    </row>
    <row r="26" spans="1:18" ht="21" customHeight="1">
      <c r="A26" s="531" t="s">
        <v>949</v>
      </c>
      <c r="B26" s="531"/>
      <c r="C26" s="531"/>
      <c r="D26" s="531"/>
      <c r="E26" s="531"/>
      <c r="F26" s="531"/>
      <c r="G26" s="531"/>
      <c r="H26" s="531"/>
      <c r="I26" s="531"/>
      <c r="J26" s="531"/>
      <c r="K26" s="531"/>
      <c r="L26" s="531"/>
      <c r="M26" s="531"/>
      <c r="O26" t="e">
        <f t="array" ref="O26">VLOOKUP($C27,$I$4:$K$11,{2,3},0)</f>
        <v>#N/A</v>
      </c>
      <c r="P26" t="e">
        <f t="array" ref="P26">VLOOKUP($C27,$I$4:$K$11,{2,3},0)</f>
        <v>#N/A</v>
      </c>
    </row>
    <row r="27" spans="1:18" ht="21" customHeight="1">
      <c r="A27" s="699" t="s">
        <v>950</v>
      </c>
      <c r="B27" s="699"/>
      <c r="C27" s="699"/>
      <c r="D27" s="699"/>
      <c r="E27" s="699"/>
      <c r="F27" s="699"/>
      <c r="G27" s="699"/>
      <c r="H27" s="699"/>
      <c r="I27" s="699"/>
      <c r="J27" s="699"/>
      <c r="K27" s="699"/>
      <c r="L27" s="699"/>
      <c r="M27" s="699"/>
      <c r="O27" t="e">
        <f t="array" ref="O27">VLOOKUP($C28,$I$4:$K$11,{2,3},0)</f>
        <v>#N/A</v>
      </c>
      <c r="P27" t="e">
        <f t="array" ref="P27">VLOOKUP($C28,$I$4:$K$11,{2,3},0)</f>
        <v>#N/A</v>
      </c>
    </row>
    <row r="28" spans="1:18" ht="16.5" customHeight="1">
      <c r="A28" s="700" t="s">
        <v>951</v>
      </c>
      <c r="B28" s="700"/>
      <c r="C28" s="700"/>
      <c r="D28" s="700"/>
      <c r="E28" s="700"/>
      <c r="F28" s="700"/>
      <c r="G28" s="700"/>
      <c r="H28" s="700"/>
      <c r="I28" s="700"/>
      <c r="J28" s="581" t="s">
        <v>952</v>
      </c>
      <c r="K28" s="581"/>
      <c r="L28" s="560"/>
      <c r="M28" s="560"/>
      <c r="O28" t="e">
        <f t="array" ref="O28">VLOOKUP($C29,$I$4:$K$11,{2,3},0)</f>
        <v>#N/A</v>
      </c>
      <c r="P28" t="e">
        <f t="array" ref="P28">VLOOKUP($C29,$I$4:$K$11,{2,3},0)</f>
        <v>#N/A</v>
      </c>
    </row>
    <row r="29" spans="1:18" ht="15.75" customHeight="1">
      <c r="A29" s="560"/>
      <c r="B29" s="560"/>
      <c r="C29" s="560"/>
      <c r="D29" s="560"/>
      <c r="E29" s="560"/>
      <c r="F29" s="560"/>
      <c r="G29" s="560"/>
      <c r="H29" s="560"/>
      <c r="I29" s="560"/>
      <c r="J29" s="560"/>
      <c r="K29" s="560"/>
      <c r="L29" s="560"/>
      <c r="M29" s="560"/>
    </row>
    <row r="30" spans="1:18" ht="31.5" customHeight="1">
      <c r="A30" s="701" t="s">
        <v>953</v>
      </c>
      <c r="B30" s="702"/>
      <c r="C30" s="372"/>
      <c r="D30" s="372"/>
      <c r="E30" s="371"/>
      <c r="F30" s="373"/>
      <c r="G30" s="374"/>
      <c r="H30" s="703"/>
      <c r="I30" s="704"/>
      <c r="J30" s="705" t="s">
        <v>954</v>
      </c>
      <c r="K30" s="706"/>
      <c r="L30" s="707" t="s">
        <v>955</v>
      </c>
      <c r="M30" s="708"/>
    </row>
    <row r="31" spans="1:18" ht="16.5" customHeight="1">
      <c r="A31" s="709">
        <v>1</v>
      </c>
      <c r="B31" s="710"/>
      <c r="C31" s="375"/>
      <c r="D31" s="375"/>
      <c r="E31" s="376"/>
      <c r="F31" s="377"/>
      <c r="G31" s="192"/>
      <c r="H31" s="711"/>
      <c r="I31" s="712"/>
      <c r="J31" s="713">
        <v>0.05</v>
      </c>
      <c r="K31" s="714"/>
      <c r="L31" s="651" t="s">
        <v>13</v>
      </c>
      <c r="M31" s="652"/>
    </row>
    <row r="32" spans="1:18" ht="16.5" customHeight="1">
      <c r="A32" s="709">
        <v>2</v>
      </c>
      <c r="B32" s="710"/>
      <c r="C32" s="375"/>
      <c r="D32" s="375"/>
      <c r="E32" s="376"/>
      <c r="F32" s="192"/>
      <c r="G32" s="192"/>
      <c r="H32" s="711"/>
      <c r="I32" s="712"/>
      <c r="J32" s="713">
        <v>0.1</v>
      </c>
      <c r="K32" s="714"/>
      <c r="L32" s="651" t="s">
        <v>63</v>
      </c>
      <c r="M32" s="652"/>
    </row>
    <row r="33" spans="1:13" ht="16.5" customHeight="1">
      <c r="A33" s="709">
        <v>3</v>
      </c>
      <c r="B33" s="710"/>
      <c r="C33" s="375"/>
      <c r="D33" s="375"/>
      <c r="E33" s="376"/>
      <c r="F33" s="192"/>
      <c r="G33" s="192"/>
      <c r="H33" s="711"/>
      <c r="I33" s="712"/>
      <c r="J33" s="713">
        <v>0.15</v>
      </c>
      <c r="K33" s="714"/>
      <c r="L33" s="651" t="s">
        <v>575</v>
      </c>
      <c r="M33" s="652"/>
    </row>
    <row r="34" spans="1:13" ht="16.5" customHeight="1">
      <c r="A34" s="709">
        <v>4</v>
      </c>
      <c r="B34" s="710"/>
      <c r="C34" s="375"/>
      <c r="D34" s="375"/>
      <c r="E34" s="376"/>
      <c r="F34" s="192"/>
      <c r="G34" s="192"/>
      <c r="H34" s="711"/>
      <c r="I34" s="712"/>
      <c r="J34" s="713">
        <v>0.2</v>
      </c>
      <c r="K34" s="714"/>
      <c r="L34" s="651" t="s">
        <v>87</v>
      </c>
      <c r="M34" s="652"/>
    </row>
    <row r="35" spans="1:13" ht="16.5" customHeight="1">
      <c r="A35" s="709">
        <v>5</v>
      </c>
      <c r="B35" s="710"/>
      <c r="C35" s="375"/>
      <c r="D35" s="375"/>
      <c r="E35" s="376"/>
      <c r="F35" s="192"/>
      <c r="G35" s="192"/>
      <c r="H35" s="711"/>
      <c r="I35" s="712"/>
      <c r="J35" s="713">
        <v>0.25</v>
      </c>
      <c r="K35" s="714"/>
      <c r="L35" s="651" t="s">
        <v>572</v>
      </c>
      <c r="M35" s="652"/>
    </row>
    <row r="36" spans="1:13" ht="16.5" customHeight="1">
      <c r="A36" s="709">
        <v>6</v>
      </c>
      <c r="B36" s="710"/>
      <c r="C36" s="375"/>
      <c r="D36" s="375"/>
      <c r="E36" s="376"/>
      <c r="F36" s="192"/>
      <c r="G36" s="192"/>
      <c r="H36" s="711"/>
      <c r="I36" s="712"/>
      <c r="J36" s="713">
        <v>0.3</v>
      </c>
      <c r="K36" s="714"/>
      <c r="L36" s="651" t="s">
        <v>578</v>
      </c>
      <c r="M36" s="652"/>
    </row>
    <row r="37" spans="1:13" ht="16.5" customHeight="1">
      <c r="A37" s="709">
        <v>7</v>
      </c>
      <c r="B37" s="710"/>
      <c r="C37" s="378"/>
      <c r="D37" s="379"/>
      <c r="E37" s="380"/>
      <c r="F37" s="381"/>
      <c r="G37" s="192"/>
      <c r="H37" s="711"/>
      <c r="I37" s="712"/>
      <c r="J37" s="713">
        <v>0.35</v>
      </c>
      <c r="K37" s="714"/>
      <c r="L37" s="651" t="s">
        <v>957</v>
      </c>
      <c r="M37" s="652"/>
    </row>
    <row r="38" spans="1:13" ht="16.5" customHeight="1">
      <c r="A38" s="709">
        <v>8</v>
      </c>
      <c r="B38" s="710"/>
      <c r="C38" s="375"/>
      <c r="D38" s="375"/>
      <c r="E38" s="376"/>
      <c r="F38" s="192"/>
      <c r="G38" s="192"/>
      <c r="H38" s="711"/>
      <c r="I38" s="712"/>
      <c r="J38" s="713">
        <v>0.4</v>
      </c>
      <c r="K38" s="714"/>
      <c r="L38" s="651" t="s">
        <v>958</v>
      </c>
      <c r="M38" s="652"/>
    </row>
    <row r="39" spans="1:13" ht="16.5" customHeight="1">
      <c r="A39" s="709">
        <v>9</v>
      </c>
      <c r="B39" s="710"/>
      <c r="C39" s="375"/>
      <c r="D39" s="375"/>
      <c r="E39" s="376"/>
      <c r="F39" s="192"/>
      <c r="G39" s="192"/>
      <c r="H39" s="715"/>
      <c r="I39" s="568"/>
      <c r="J39" s="568"/>
      <c r="K39" s="568"/>
      <c r="L39" s="568"/>
      <c r="M39" s="568"/>
    </row>
    <row r="40" spans="1:13" ht="16.5" customHeight="1">
      <c r="A40" s="709">
        <v>10</v>
      </c>
      <c r="B40" s="710"/>
      <c r="C40" s="375"/>
      <c r="D40" s="375"/>
      <c r="E40" s="376"/>
      <c r="F40" s="192"/>
      <c r="G40" s="192"/>
      <c r="H40" s="540"/>
      <c r="I40" s="551"/>
      <c r="J40" s="551"/>
      <c r="K40" s="551"/>
      <c r="L40" s="551"/>
      <c r="M40" s="551"/>
    </row>
    <row r="41" spans="1:13" ht="16.5" customHeight="1">
      <c r="A41" s="709">
        <v>11</v>
      </c>
      <c r="B41" s="710"/>
      <c r="C41" s="375"/>
      <c r="D41" s="375"/>
      <c r="E41" s="376"/>
      <c r="F41" s="192"/>
      <c r="G41" s="192"/>
      <c r="H41" s="540"/>
      <c r="I41" s="551"/>
      <c r="J41" s="551"/>
      <c r="K41" s="551"/>
      <c r="L41" s="551"/>
      <c r="M41" s="551"/>
    </row>
    <row r="42" spans="1:13" ht="16.5" customHeight="1">
      <c r="A42" s="709">
        <v>12</v>
      </c>
      <c r="B42" s="710"/>
      <c r="C42" s="375"/>
      <c r="D42" s="375"/>
      <c r="E42" s="376"/>
      <c r="F42" s="192"/>
      <c r="G42" s="192"/>
      <c r="H42" s="540"/>
      <c r="I42" s="551"/>
      <c r="J42" s="551"/>
      <c r="K42" s="551"/>
      <c r="L42" s="551"/>
      <c r="M42" s="551"/>
    </row>
    <row r="43" spans="1:13" ht="16.5" customHeight="1">
      <c r="A43" s="709">
        <v>13</v>
      </c>
      <c r="B43" s="710"/>
      <c r="C43" s="375"/>
      <c r="D43" s="375"/>
      <c r="E43" s="376"/>
      <c r="F43" s="192"/>
      <c r="G43" s="192"/>
      <c r="H43" s="540"/>
      <c r="I43" s="551"/>
      <c r="J43" s="551"/>
      <c r="K43" s="551"/>
      <c r="L43" s="551"/>
      <c r="M43" s="551"/>
    </row>
    <row r="44" spans="1:13" ht="16.5" customHeight="1">
      <c r="A44" s="709">
        <v>14</v>
      </c>
      <c r="B44" s="710"/>
      <c r="C44" s="375"/>
      <c r="D44" s="375"/>
      <c r="E44" s="376"/>
      <c r="F44" s="192"/>
      <c r="G44" s="192"/>
      <c r="H44" s="540"/>
      <c r="I44" s="551"/>
      <c r="J44" s="551"/>
      <c r="K44" s="551"/>
      <c r="L44" s="551"/>
      <c r="M44" s="551"/>
    </row>
    <row r="45" spans="1:13" ht="16.5" customHeight="1">
      <c r="A45" s="709">
        <v>15</v>
      </c>
      <c r="B45" s="710"/>
      <c r="C45" s="375"/>
      <c r="D45" s="375"/>
      <c r="E45" s="376"/>
      <c r="F45" s="192"/>
      <c r="G45" s="192"/>
      <c r="H45" s="540"/>
      <c r="I45" s="551"/>
      <c r="J45" s="551"/>
      <c r="K45" s="551"/>
      <c r="L45" s="551"/>
      <c r="M45" s="551"/>
    </row>
    <row r="46" spans="1:13" ht="16.5" customHeight="1">
      <c r="A46" s="709">
        <v>16</v>
      </c>
      <c r="B46" s="710"/>
      <c r="C46" s="375"/>
      <c r="D46" s="375"/>
      <c r="E46" s="376"/>
      <c r="F46" s="192"/>
      <c r="G46" s="192"/>
      <c r="H46" s="540"/>
      <c r="I46" s="551"/>
      <c r="J46" s="551"/>
      <c r="K46" s="551"/>
      <c r="L46" s="551"/>
      <c r="M46" s="551"/>
    </row>
    <row r="47" spans="1:13" ht="16.5" customHeight="1">
      <c r="A47" s="709">
        <v>17</v>
      </c>
      <c r="B47" s="710"/>
      <c r="C47" s="375"/>
      <c r="D47" s="375"/>
      <c r="E47" s="376"/>
      <c r="F47" s="192"/>
      <c r="G47" s="192"/>
      <c r="H47" s="540"/>
      <c r="I47" s="551"/>
      <c r="J47" s="551"/>
      <c r="K47" s="551"/>
      <c r="L47" s="551"/>
      <c r="M47" s="551"/>
    </row>
    <row r="48" spans="1:13" ht="16.5" customHeight="1">
      <c r="A48" s="709">
        <v>18</v>
      </c>
      <c r="B48" s="710"/>
      <c r="C48" s="375"/>
      <c r="D48" s="375"/>
      <c r="E48" s="376"/>
      <c r="F48" s="192"/>
      <c r="G48" s="192"/>
      <c r="H48" s="540"/>
      <c r="I48" s="551"/>
      <c r="J48" s="551"/>
      <c r="K48" s="551"/>
      <c r="L48" s="551"/>
      <c r="M48" s="551"/>
    </row>
    <row r="49" spans="1:13" ht="27.75" customHeight="1">
      <c r="A49" s="716">
        <v>19</v>
      </c>
      <c r="B49" s="717"/>
      <c r="C49" s="375"/>
      <c r="D49" s="382"/>
      <c r="E49" s="383"/>
      <c r="F49" s="192"/>
      <c r="G49" s="192"/>
      <c r="H49" s="540"/>
      <c r="I49" s="551"/>
      <c r="J49" s="551"/>
      <c r="K49" s="551"/>
      <c r="L49" s="551"/>
      <c r="M49" s="551"/>
    </row>
    <row r="50" spans="1:13" ht="16.5" customHeight="1">
      <c r="A50" s="709">
        <v>20</v>
      </c>
      <c r="B50" s="710"/>
      <c r="C50" s="375"/>
      <c r="D50" s="375"/>
      <c r="E50" s="376"/>
      <c r="F50" s="192"/>
      <c r="G50" s="192"/>
      <c r="H50" s="540"/>
      <c r="I50" s="551"/>
      <c r="J50" s="551"/>
      <c r="K50" s="551"/>
      <c r="L50" s="551"/>
      <c r="M50" s="551"/>
    </row>
    <row r="51" spans="1:13" ht="16.5" customHeight="1">
      <c r="A51" s="709">
        <v>21</v>
      </c>
      <c r="B51" s="710"/>
      <c r="C51" s="375"/>
      <c r="D51" s="375"/>
      <c r="E51" s="376"/>
      <c r="F51" s="192"/>
      <c r="G51" s="192"/>
      <c r="H51" s="540"/>
      <c r="I51" s="551"/>
      <c r="J51" s="551"/>
      <c r="K51" s="551"/>
      <c r="L51" s="551"/>
      <c r="M51" s="551"/>
    </row>
    <row r="52" spans="1:13" ht="16.5" customHeight="1">
      <c r="A52" s="709">
        <v>22</v>
      </c>
      <c r="B52" s="710"/>
      <c r="C52" s="375"/>
      <c r="D52" s="375"/>
      <c r="E52" s="376"/>
      <c r="F52" s="192"/>
      <c r="G52" s="192"/>
      <c r="H52" s="540"/>
      <c r="I52" s="551"/>
      <c r="J52" s="551"/>
      <c r="K52" s="551"/>
      <c r="L52" s="551"/>
      <c r="M52" s="551"/>
    </row>
    <row r="53" spans="1:13" ht="16.5" customHeight="1">
      <c r="A53" s="709">
        <v>23</v>
      </c>
      <c r="B53" s="710"/>
      <c r="C53" s="375"/>
      <c r="D53" s="375"/>
      <c r="E53" s="376"/>
      <c r="F53" s="192"/>
      <c r="G53" s="192"/>
      <c r="H53" s="540"/>
      <c r="I53" s="551"/>
      <c r="J53" s="551"/>
      <c r="K53" s="551"/>
      <c r="L53" s="551"/>
      <c r="M53" s="551"/>
    </row>
    <row r="54" spans="1:13" ht="16.5" customHeight="1">
      <c r="A54" s="709">
        <v>24</v>
      </c>
      <c r="B54" s="710"/>
      <c r="C54" s="375"/>
      <c r="D54" s="375"/>
      <c r="E54" s="376"/>
      <c r="F54" s="192"/>
      <c r="G54" s="192"/>
      <c r="H54" s="540"/>
      <c r="I54" s="551"/>
      <c r="J54" s="551"/>
      <c r="K54" s="551"/>
      <c r="L54" s="551"/>
      <c r="M54" s="551"/>
    </row>
    <row r="55" spans="1:13" ht="16.5" customHeight="1">
      <c r="A55" s="709">
        <v>25</v>
      </c>
      <c r="B55" s="710"/>
      <c r="C55" s="375"/>
      <c r="D55" s="375"/>
      <c r="E55" s="376"/>
      <c r="F55" s="192"/>
      <c r="G55" s="192"/>
      <c r="H55" s="540"/>
      <c r="I55" s="551"/>
      <c r="J55" s="551"/>
      <c r="K55" s="551"/>
      <c r="L55" s="551"/>
      <c r="M55" s="551"/>
    </row>
    <row r="56" spans="1:13" ht="16.5" customHeight="1">
      <c r="A56" s="709">
        <v>26</v>
      </c>
      <c r="B56" s="710"/>
      <c r="C56" s="375"/>
      <c r="D56" s="375"/>
      <c r="E56" s="376"/>
      <c r="F56" s="192"/>
      <c r="G56" s="192"/>
      <c r="H56" s="540"/>
      <c r="I56" s="551"/>
      <c r="J56" s="551"/>
      <c r="K56" s="551"/>
      <c r="L56" s="551"/>
      <c r="M56" s="551"/>
    </row>
    <row r="57" spans="1:13" ht="16.5" customHeight="1">
      <c r="A57" s="709">
        <v>27</v>
      </c>
      <c r="B57" s="710"/>
      <c r="C57" s="375"/>
      <c r="D57" s="375"/>
      <c r="E57" s="376"/>
      <c r="F57" s="192"/>
      <c r="G57" s="192"/>
      <c r="H57" s="540"/>
      <c r="I57" s="551"/>
      <c r="J57" s="551"/>
      <c r="K57" s="551"/>
      <c r="L57" s="551"/>
      <c r="M57" s="551"/>
    </row>
    <row r="58" spans="1:13" ht="16.5" customHeight="1">
      <c r="A58" s="709">
        <v>28</v>
      </c>
      <c r="B58" s="710"/>
      <c r="C58" s="375"/>
      <c r="D58" s="375"/>
      <c r="E58" s="376"/>
      <c r="F58" s="192"/>
      <c r="G58" s="192"/>
      <c r="H58" s="540"/>
      <c r="I58" s="551"/>
      <c r="J58" s="551"/>
      <c r="K58" s="551"/>
      <c r="L58" s="551"/>
      <c r="M58" s="551"/>
    </row>
    <row r="59" spans="1:13" ht="16.5" customHeight="1">
      <c r="A59" s="709">
        <v>29</v>
      </c>
      <c r="B59" s="710"/>
      <c r="C59" s="375"/>
      <c r="D59" s="375"/>
      <c r="E59" s="376"/>
      <c r="F59" s="192"/>
      <c r="G59" s="192"/>
      <c r="H59" s="540"/>
      <c r="I59" s="551"/>
      <c r="J59" s="551"/>
      <c r="K59" s="551"/>
      <c r="L59" s="551"/>
      <c r="M59" s="551"/>
    </row>
    <row r="60" spans="1:13" ht="16.5" customHeight="1">
      <c r="A60" s="709">
        <v>30</v>
      </c>
      <c r="B60" s="710"/>
      <c r="C60" s="375"/>
      <c r="D60" s="375"/>
      <c r="E60" s="376"/>
      <c r="F60" s="192"/>
      <c r="G60" s="192"/>
      <c r="H60" s="540"/>
      <c r="I60" s="551"/>
      <c r="J60" s="551"/>
      <c r="K60" s="551"/>
      <c r="L60" s="551"/>
      <c r="M60" s="551"/>
    </row>
    <row r="61" spans="1:13" ht="16.5" customHeight="1">
      <c r="A61" s="709">
        <v>31</v>
      </c>
      <c r="B61" s="710"/>
      <c r="C61" s="375"/>
      <c r="D61" s="375"/>
      <c r="E61" s="376"/>
      <c r="F61" s="192"/>
      <c r="G61" s="192"/>
      <c r="H61" s="540"/>
      <c r="I61" s="551"/>
      <c r="J61" s="551"/>
      <c r="K61" s="551"/>
      <c r="L61" s="551"/>
      <c r="M61" s="551"/>
    </row>
    <row r="62" spans="1:13" ht="16.5" customHeight="1">
      <c r="A62" s="709">
        <v>32</v>
      </c>
      <c r="B62" s="710"/>
      <c r="C62" s="375"/>
      <c r="D62" s="375"/>
      <c r="E62" s="376"/>
      <c r="F62" s="192"/>
      <c r="G62" s="192"/>
      <c r="H62" s="540"/>
      <c r="I62" s="551"/>
      <c r="J62" s="551"/>
      <c r="K62" s="551"/>
      <c r="L62" s="551"/>
      <c r="M62" s="551"/>
    </row>
    <row r="63" spans="1:13" ht="16.5" customHeight="1">
      <c r="A63" s="709">
        <v>33</v>
      </c>
      <c r="B63" s="710"/>
      <c r="C63" s="375"/>
      <c r="D63" s="375"/>
      <c r="E63" s="376"/>
      <c r="F63" s="192"/>
      <c r="G63" s="192"/>
      <c r="H63" s="540"/>
      <c r="I63" s="551"/>
      <c r="J63" s="551"/>
      <c r="K63" s="551"/>
      <c r="L63" s="551"/>
      <c r="M63" s="551"/>
    </row>
    <row r="64" spans="1:13" ht="16.5" customHeight="1">
      <c r="A64" s="709">
        <v>34</v>
      </c>
      <c r="B64" s="710"/>
      <c r="C64" s="375"/>
      <c r="D64" s="375"/>
      <c r="E64" s="376"/>
      <c r="F64" s="192"/>
      <c r="G64" s="192"/>
      <c r="H64" s="540"/>
      <c r="I64" s="551"/>
      <c r="J64" s="551"/>
      <c r="K64" s="551"/>
      <c r="L64" s="551"/>
      <c r="M64" s="551"/>
    </row>
    <row r="65" spans="1:13" ht="16.5" customHeight="1">
      <c r="A65" s="709">
        <v>35</v>
      </c>
      <c r="B65" s="710"/>
      <c r="C65" s="375"/>
      <c r="D65" s="375"/>
      <c r="E65" s="376"/>
      <c r="F65" s="192"/>
      <c r="G65" s="192"/>
      <c r="H65" s="540"/>
      <c r="I65" s="551"/>
      <c r="J65" s="551"/>
      <c r="K65" s="551"/>
      <c r="L65" s="551"/>
      <c r="M65" s="551"/>
    </row>
    <row r="66" spans="1:13" ht="16.5" customHeight="1">
      <c r="A66" s="709">
        <v>36</v>
      </c>
      <c r="B66" s="710"/>
      <c r="C66" s="375"/>
      <c r="D66" s="375"/>
      <c r="E66" s="376"/>
      <c r="F66" s="192"/>
      <c r="G66" s="192"/>
      <c r="H66" s="540"/>
      <c r="I66" s="551"/>
      <c r="J66" s="551"/>
      <c r="K66" s="551"/>
      <c r="L66" s="551"/>
      <c r="M66" s="551"/>
    </row>
    <row r="67" spans="1:13" ht="16.5" customHeight="1">
      <c r="A67" s="709">
        <v>37</v>
      </c>
      <c r="B67" s="710"/>
      <c r="C67" s="375"/>
      <c r="D67" s="375"/>
      <c r="E67" s="376"/>
      <c r="F67" s="192"/>
      <c r="G67" s="192"/>
      <c r="H67" s="540"/>
      <c r="I67" s="551"/>
      <c r="J67" s="551"/>
      <c r="K67" s="551"/>
      <c r="L67" s="551"/>
      <c r="M67" s="551"/>
    </row>
    <row r="68" spans="1:13" ht="16.5" customHeight="1">
      <c r="A68" s="709">
        <v>38</v>
      </c>
      <c r="B68" s="710"/>
      <c r="C68" s="375"/>
      <c r="D68" s="375"/>
      <c r="E68" s="376"/>
      <c r="F68" s="192"/>
      <c r="G68" s="192"/>
      <c r="H68" s="540"/>
      <c r="I68" s="551"/>
      <c r="J68" s="551"/>
      <c r="K68" s="551"/>
      <c r="L68" s="551"/>
      <c r="M68" s="551"/>
    </row>
    <row r="69" spans="1:13" ht="16.5" customHeight="1">
      <c r="A69" s="709">
        <v>39</v>
      </c>
      <c r="B69" s="710"/>
      <c r="C69" s="375"/>
      <c r="D69" s="375"/>
      <c r="E69" s="376"/>
      <c r="F69" s="192"/>
      <c r="G69" s="192"/>
      <c r="H69" s="540"/>
      <c r="I69" s="551"/>
      <c r="J69" s="551"/>
      <c r="K69" s="551"/>
      <c r="L69" s="551"/>
      <c r="M69" s="551"/>
    </row>
    <row r="70" spans="1:13" ht="16.5" customHeight="1">
      <c r="A70" s="709">
        <v>40</v>
      </c>
      <c r="B70" s="710"/>
      <c r="C70" s="375"/>
      <c r="D70" s="375"/>
      <c r="E70" s="376"/>
      <c r="F70" s="192"/>
      <c r="G70" s="192"/>
      <c r="H70" s="540"/>
      <c r="I70" s="551"/>
      <c r="J70" s="551"/>
      <c r="K70" s="551"/>
      <c r="L70" s="551"/>
      <c r="M70" s="551"/>
    </row>
  </sheetData>
  <mergeCells count="84">
    <mergeCell ref="A69:B69"/>
    <mergeCell ref="A70:B70"/>
    <mergeCell ref="A64:B64"/>
    <mergeCell ref="A65:B65"/>
    <mergeCell ref="A66:B66"/>
    <mergeCell ref="A67:B67"/>
    <mergeCell ref="A68:B68"/>
    <mergeCell ref="A59:B59"/>
    <mergeCell ref="A60:B60"/>
    <mergeCell ref="A61:B61"/>
    <mergeCell ref="A62:B62"/>
    <mergeCell ref="A63:B63"/>
    <mergeCell ref="A54:B54"/>
    <mergeCell ref="A55:B55"/>
    <mergeCell ref="A56:B56"/>
    <mergeCell ref="A57:B57"/>
    <mergeCell ref="A58:B58"/>
    <mergeCell ref="A39:B39"/>
    <mergeCell ref="H39:M70"/>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38:B38"/>
    <mergeCell ref="H38:I38"/>
    <mergeCell ref="J38:K38"/>
    <mergeCell ref="L38:M38"/>
    <mergeCell ref="A37:B37"/>
    <mergeCell ref="H37:I37"/>
    <mergeCell ref="J37:K37"/>
    <mergeCell ref="A36:B36"/>
    <mergeCell ref="H36:I36"/>
    <mergeCell ref="J36:K36"/>
    <mergeCell ref="L36:M36"/>
    <mergeCell ref="L37:M37"/>
    <mergeCell ref="A34:B34"/>
    <mergeCell ref="H34:I34"/>
    <mergeCell ref="J34:K34"/>
    <mergeCell ref="L34:M34"/>
    <mergeCell ref="A35:B35"/>
    <mergeCell ref="H35:I35"/>
    <mergeCell ref="J35:K35"/>
    <mergeCell ref="L35:M35"/>
    <mergeCell ref="A32:B32"/>
    <mergeCell ref="H32:I32"/>
    <mergeCell ref="J32:K32"/>
    <mergeCell ref="L32:M32"/>
    <mergeCell ref="A33:B33"/>
    <mergeCell ref="H33:I33"/>
    <mergeCell ref="J33:K33"/>
    <mergeCell ref="L33:M33"/>
    <mergeCell ref="A30:B30"/>
    <mergeCell ref="H30:I30"/>
    <mergeCell ref="J30:K30"/>
    <mergeCell ref="L30:M30"/>
    <mergeCell ref="A31:B31"/>
    <mergeCell ref="H31:I31"/>
    <mergeCell ref="J31:K31"/>
    <mergeCell ref="L31:M31"/>
    <mergeCell ref="A27:M27"/>
    <mergeCell ref="A28:I28"/>
    <mergeCell ref="J28:K28"/>
    <mergeCell ref="L28:M28"/>
    <mergeCell ref="A29:M29"/>
    <mergeCell ref="A22:N22"/>
    <mergeCell ref="A23:N23"/>
    <mergeCell ref="A24:N24"/>
    <mergeCell ref="A25:N25"/>
    <mergeCell ref="A26:M26"/>
    <mergeCell ref="A1:N1"/>
    <mergeCell ref="A2:N2"/>
    <mergeCell ref="I12:N15"/>
    <mergeCell ref="K16:L20"/>
    <mergeCell ref="A21:N2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41"/>
  <sheetViews>
    <sheetView topLeftCell="A16" workbookViewId="0">
      <selection activeCell="C36" sqref="C36"/>
    </sheetView>
  </sheetViews>
  <sheetFormatPr defaultRowHeight="13.2"/>
  <cols>
    <col min="1" max="1" width="26.77734375" customWidth="1"/>
    <col min="2" max="2" width="37.77734375" customWidth="1"/>
    <col min="3" max="3" width="26.88671875" customWidth="1"/>
    <col min="4" max="4" width="33.77734375" customWidth="1"/>
    <col min="6" max="6" width="9.6640625" bestFit="1" customWidth="1"/>
  </cols>
  <sheetData>
    <row r="1" spans="1:6" ht="21" customHeight="1">
      <c r="A1" s="531" t="s">
        <v>1066</v>
      </c>
      <c r="B1" s="531"/>
      <c r="C1" s="531"/>
      <c r="D1" s="531"/>
    </row>
    <row r="2" spans="1:6" ht="16.5" customHeight="1">
      <c r="A2" s="718" t="s">
        <v>1067</v>
      </c>
      <c r="B2" s="718"/>
      <c r="C2" s="718"/>
      <c r="D2" s="718"/>
    </row>
    <row r="3" spans="1:6" ht="16.5" customHeight="1">
      <c r="A3" s="48"/>
      <c r="B3" s="146" t="s">
        <v>1068</v>
      </c>
      <c r="C3" s="48"/>
      <c r="D3" s="719" t="s">
        <v>1069</v>
      </c>
    </row>
    <row r="4" spans="1:6" ht="31.5" customHeight="1">
      <c r="A4" s="147" t="s">
        <v>1014</v>
      </c>
      <c r="B4" s="139" t="s">
        <v>1070</v>
      </c>
      <c r="C4" s="147" t="s">
        <v>1071</v>
      </c>
      <c r="D4" s="719"/>
    </row>
    <row r="5" spans="1:6" ht="15.15" customHeight="1">
      <c r="A5" s="33" t="s">
        <v>1072</v>
      </c>
      <c r="B5" s="34">
        <v>1</v>
      </c>
      <c r="C5" s="233" t="str">
        <f>LEFT(A5,1)</f>
        <v>A</v>
      </c>
      <c r="D5" s="719"/>
    </row>
    <row r="6" spans="1:6" ht="15.6" customHeight="1">
      <c r="A6" s="33" t="s">
        <v>1072</v>
      </c>
      <c r="B6" s="34">
        <v>2</v>
      </c>
      <c r="C6" s="233" t="str">
        <f>LEFT(A6,B6)</f>
        <v>Al</v>
      </c>
      <c r="D6" s="719"/>
    </row>
    <row r="7" spans="1:6" ht="15.6" customHeight="1">
      <c r="A7" s="33" t="s">
        <v>1072</v>
      </c>
      <c r="B7" s="34">
        <v>3</v>
      </c>
      <c r="C7" s="233" t="str">
        <f>LEFT(A7,B7)</f>
        <v>Ala</v>
      </c>
      <c r="D7" s="719"/>
    </row>
    <row r="8" spans="1:6" ht="15.6" customHeight="1">
      <c r="A8" s="33" t="s">
        <v>1073</v>
      </c>
      <c r="B8" s="34">
        <v>6</v>
      </c>
      <c r="C8" s="233" t="str">
        <f>LEFT(A8,B8)</f>
        <v>Cardif</v>
      </c>
      <c r="D8" s="719"/>
    </row>
    <row r="9" spans="1:6" ht="15.6" customHeight="1">
      <c r="A9" s="33" t="s">
        <v>1074</v>
      </c>
      <c r="B9" s="34">
        <v>4</v>
      </c>
      <c r="C9" s="233" t="str">
        <f>LEFT(A9,B9)</f>
        <v>ABC1</v>
      </c>
      <c r="D9" s="719"/>
    </row>
    <row r="10" spans="1:6" ht="15" customHeight="1">
      <c r="A10" s="560"/>
      <c r="B10" s="560"/>
      <c r="C10" s="560"/>
      <c r="D10" s="560"/>
    </row>
    <row r="11" spans="1:6" ht="16.5" customHeight="1">
      <c r="A11" s="48"/>
      <c r="B11" s="146" t="s">
        <v>1075</v>
      </c>
      <c r="C11" s="720" t="s">
        <v>1076</v>
      </c>
      <c r="D11" s="720"/>
    </row>
    <row r="12" spans="1:6" ht="15.6" customHeight="1">
      <c r="A12" s="33" t="s">
        <v>1077</v>
      </c>
      <c r="B12" s="33" t="s">
        <v>1078</v>
      </c>
      <c r="C12" s="720"/>
      <c r="D12" s="720"/>
      <c r="F12" t="e">
        <f>LEFT(A12,FIND("alan",B12)-2)</f>
        <v>#VALUE!</v>
      </c>
    </row>
    <row r="13" spans="1:6" ht="15.6" customHeight="1">
      <c r="A13" s="33" t="s">
        <v>1072</v>
      </c>
      <c r="B13" s="435" t="str">
        <f>LEFT(A13,FIND(" ",A13)-1)</f>
        <v>Alan</v>
      </c>
      <c r="C13" s="720"/>
      <c r="D13" s="720"/>
    </row>
    <row r="14" spans="1:6" ht="15.15" customHeight="1">
      <c r="A14" s="33" t="s">
        <v>1079</v>
      </c>
      <c r="B14" s="435" t="str">
        <f t="shared" ref="B14:B15" si="0">LEFT(A14,FIND(" ",A14)-1)</f>
        <v>Bob</v>
      </c>
      <c r="C14" s="720"/>
      <c r="D14" s="720"/>
    </row>
    <row r="15" spans="1:6" ht="15.6" customHeight="1">
      <c r="A15" s="33" t="s">
        <v>1080</v>
      </c>
      <c r="B15" s="435" t="str">
        <f t="shared" si="0"/>
        <v>Carol</v>
      </c>
      <c r="C15" s="720"/>
      <c r="D15" s="720"/>
    </row>
    <row r="16" spans="1:6" ht="15.15" customHeight="1">
      <c r="A16" s="560"/>
      <c r="B16" s="560"/>
      <c r="C16" s="560"/>
      <c r="D16" s="560"/>
    </row>
    <row r="17" spans="1:4" ht="16.5" customHeight="1">
      <c r="A17" s="48"/>
      <c r="B17" s="146" t="s">
        <v>1081</v>
      </c>
      <c r="C17" s="722" t="s">
        <v>1082</v>
      </c>
      <c r="D17" s="722"/>
    </row>
    <row r="18" spans="1:4" ht="15.6" customHeight="1">
      <c r="A18" s="33" t="s">
        <v>1014</v>
      </c>
      <c r="B18" s="33" t="s">
        <v>1083</v>
      </c>
      <c r="C18" s="722"/>
      <c r="D18" s="722"/>
    </row>
    <row r="19" spans="1:4" ht="15.15" customHeight="1">
      <c r="A19" s="33" t="s">
        <v>1072</v>
      </c>
      <c r="B19" s="433">
        <f>LEN(A19)</f>
        <v>10</v>
      </c>
      <c r="C19" s="722"/>
      <c r="D19" s="722"/>
    </row>
    <row r="20" spans="1:4" ht="15.6" customHeight="1">
      <c r="A20" s="33" t="s">
        <v>1079</v>
      </c>
      <c r="B20" s="433">
        <f t="shared" ref="B20:B23" si="1">LEN(A20)</f>
        <v>9</v>
      </c>
      <c r="C20" s="722"/>
      <c r="D20" s="722"/>
    </row>
    <row r="21" spans="1:4" ht="15.15" customHeight="1">
      <c r="A21" s="33" t="s">
        <v>1080</v>
      </c>
      <c r="B21" s="433">
        <f t="shared" si="1"/>
        <v>14</v>
      </c>
      <c r="C21" s="722"/>
      <c r="D21" s="722"/>
    </row>
    <row r="22" spans="1:4" ht="15.6" customHeight="1">
      <c r="A22" s="33" t="s">
        <v>1073</v>
      </c>
      <c r="B22" s="433">
        <f t="shared" si="1"/>
        <v>7</v>
      </c>
      <c r="C22" s="722"/>
      <c r="D22" s="722"/>
    </row>
    <row r="23" spans="1:4" ht="15.6" customHeight="1">
      <c r="A23" s="33" t="s">
        <v>1074</v>
      </c>
      <c r="B23" s="433">
        <f t="shared" si="1"/>
        <v>6</v>
      </c>
      <c r="C23" s="722"/>
      <c r="D23" s="722"/>
    </row>
    <row r="24" spans="1:4" ht="15" customHeight="1">
      <c r="A24" s="560"/>
      <c r="B24" s="560"/>
      <c r="C24" s="560"/>
      <c r="D24" s="560"/>
    </row>
    <row r="25" spans="1:4" ht="15.15" customHeight="1">
      <c r="A25" s="48"/>
      <c r="B25" s="148" t="s">
        <v>1084</v>
      </c>
      <c r="C25" s="722" t="s">
        <v>1085</v>
      </c>
      <c r="D25" s="722"/>
    </row>
    <row r="26" spans="1:4" ht="15.15" customHeight="1">
      <c r="A26" s="33" t="s">
        <v>1086</v>
      </c>
      <c r="B26" s="33" t="s">
        <v>1087</v>
      </c>
      <c r="C26" s="722"/>
      <c r="D26" s="722"/>
    </row>
    <row r="27" spans="1:4" ht="15.6" customHeight="1">
      <c r="A27" s="33" t="s">
        <v>1088</v>
      </c>
      <c r="B27" s="435" t="str">
        <f>LOWER(A27)</f>
        <v>alan jones</v>
      </c>
      <c r="C27" s="722"/>
      <c r="D27" s="722"/>
    </row>
    <row r="28" spans="1:4" ht="15.6" customHeight="1">
      <c r="A28" s="33" t="s">
        <v>1089</v>
      </c>
      <c r="B28" s="435" t="str">
        <f t="shared" ref="B28:B31" si="2">LOWER(A28)</f>
        <v>bob smith</v>
      </c>
      <c r="C28" s="722"/>
      <c r="D28" s="722"/>
    </row>
    <row r="29" spans="1:4" ht="15.6" customHeight="1">
      <c r="A29" s="33" t="s">
        <v>1090</v>
      </c>
      <c r="B29" s="435" t="str">
        <f t="shared" si="2"/>
        <v>carol williams</v>
      </c>
      <c r="C29" s="722"/>
      <c r="D29" s="722"/>
    </row>
    <row r="30" spans="1:4" ht="15.6" customHeight="1">
      <c r="A30" s="33" t="s">
        <v>1091</v>
      </c>
      <c r="B30" s="435" t="str">
        <f t="shared" si="2"/>
        <v>cardiff</v>
      </c>
      <c r="C30" s="722"/>
      <c r="D30" s="722"/>
    </row>
    <row r="31" spans="1:4" ht="15.15" customHeight="1">
      <c r="A31" s="33" t="s">
        <v>1074</v>
      </c>
      <c r="B31" s="435" t="str">
        <f t="shared" si="2"/>
        <v>abc123</v>
      </c>
      <c r="C31" s="722"/>
      <c r="D31" s="722"/>
    </row>
    <row r="32" spans="1:4" ht="15.15" customHeight="1">
      <c r="A32" s="560"/>
      <c r="B32" s="560"/>
      <c r="C32" s="560"/>
      <c r="D32" s="560"/>
    </row>
    <row r="33" spans="1:4" ht="15" customHeight="1">
      <c r="A33" s="8"/>
      <c r="B33" s="436" t="s">
        <v>1092</v>
      </c>
      <c r="C33" s="560"/>
      <c r="D33" s="560"/>
    </row>
    <row r="34" spans="1:4" ht="15.6" customHeight="1">
      <c r="A34" s="560"/>
      <c r="B34" s="560"/>
      <c r="C34" s="560"/>
      <c r="D34" s="560"/>
    </row>
    <row r="35" spans="1:4" ht="15.15" customHeight="1">
      <c r="A35" s="33" t="s">
        <v>1093</v>
      </c>
      <c r="B35" s="33" t="s">
        <v>1094</v>
      </c>
      <c r="C35" s="434" t="s">
        <v>1095</v>
      </c>
      <c r="D35" s="721" t="s">
        <v>1096</v>
      </c>
    </row>
    <row r="36" spans="1:4" ht="16.8" customHeight="1">
      <c r="A36" s="529">
        <v>35855</v>
      </c>
      <c r="B36" s="513">
        <v>35861</v>
      </c>
      <c r="C36" s="129">
        <f>NETWORKDAYS(A36,B36)</f>
        <v>5</v>
      </c>
      <c r="D36" s="721"/>
    </row>
    <row r="37" spans="1:4" ht="16.5" customHeight="1">
      <c r="A37" s="513">
        <v>35910</v>
      </c>
      <c r="B37" s="530">
        <v>36006</v>
      </c>
      <c r="C37" s="129">
        <f t="shared" ref="C37:C38" si="3">NETWORKDAYS(A37,B37)</f>
        <v>69</v>
      </c>
      <c r="D37" s="721"/>
    </row>
    <row r="38" spans="1:4" ht="16.5" customHeight="1">
      <c r="A38" s="513">
        <v>36153</v>
      </c>
      <c r="B38" s="530">
        <v>35800</v>
      </c>
      <c r="C38" s="129">
        <f t="shared" si="3"/>
        <v>-254</v>
      </c>
      <c r="D38" s="721"/>
    </row>
    <row r="40" spans="1:4">
      <c r="C40">
        <f>NETWORKDAYS(A36,B36)</f>
        <v>5</v>
      </c>
    </row>
    <row r="41" spans="1:4">
      <c r="B41">
        <f>NETWORKDAYS(A38,B38)</f>
        <v>-254</v>
      </c>
    </row>
  </sheetData>
  <mergeCells count="13">
    <mergeCell ref="C33:D33"/>
    <mergeCell ref="A34:D34"/>
    <mergeCell ref="D35:D38"/>
    <mergeCell ref="A16:D16"/>
    <mergeCell ref="C17:D23"/>
    <mergeCell ref="A24:D24"/>
    <mergeCell ref="C25:D31"/>
    <mergeCell ref="A32:D32"/>
    <mergeCell ref="A1:D1"/>
    <mergeCell ref="A2:D2"/>
    <mergeCell ref="D3:D9"/>
    <mergeCell ref="A10:D10"/>
    <mergeCell ref="C11:D15"/>
  </mergeCells>
  <phoneticPr fontId="57"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6"/>
  <sheetViews>
    <sheetView workbookViewId="0">
      <selection activeCell="E11" sqref="E11"/>
    </sheetView>
  </sheetViews>
  <sheetFormatPr defaultRowHeight="13.2"/>
  <cols>
    <col min="1" max="1" width="20.77734375" customWidth="1"/>
    <col min="2" max="2" width="27.33203125" customWidth="1"/>
    <col min="3" max="3" width="20.77734375" customWidth="1"/>
    <col min="4" max="4" width="11.77734375" bestFit="1" customWidth="1"/>
    <col min="5" max="5" width="35.33203125" customWidth="1"/>
    <col min="6" max="6" width="9.6640625" bestFit="1" customWidth="1"/>
    <col min="7" max="7" width="19.44140625" customWidth="1"/>
    <col min="8" max="8" width="9.33203125" customWidth="1"/>
  </cols>
  <sheetData>
    <row r="1" spans="1:7" ht="21" customHeight="1">
      <c r="A1" s="531" t="s">
        <v>959</v>
      </c>
      <c r="B1" s="531"/>
      <c r="C1" s="531"/>
      <c r="D1" s="531"/>
      <c r="E1" s="531"/>
    </row>
    <row r="2" spans="1:7" ht="28.5" customHeight="1">
      <c r="A2" s="723" t="s">
        <v>960</v>
      </c>
      <c r="B2" s="723"/>
      <c r="C2" s="723"/>
      <c r="D2" s="723"/>
      <c r="E2" s="723"/>
    </row>
    <row r="3" spans="1:7" ht="15.15" customHeight="1">
      <c r="A3" s="33" t="s">
        <v>961</v>
      </c>
      <c r="B3" s="33" t="s">
        <v>962</v>
      </c>
      <c r="C3" s="33" t="s">
        <v>963</v>
      </c>
      <c r="D3" s="33" t="s">
        <v>964</v>
      </c>
      <c r="E3" s="108"/>
    </row>
    <row r="4" spans="1:7" ht="16.5" customHeight="1">
      <c r="A4" s="513">
        <v>21916</v>
      </c>
      <c r="B4" s="513">
        <v>25698</v>
      </c>
      <c r="C4" s="33" t="s">
        <v>967</v>
      </c>
      <c r="D4" s="501">
        <f>A4-B4</f>
        <v>-3782</v>
      </c>
      <c r="E4" s="126" t="s">
        <v>968</v>
      </c>
      <c r="G4" s="516">
        <f>B4-A4</f>
        <v>3782</v>
      </c>
    </row>
    <row r="5" spans="1:7" ht="16.5" customHeight="1">
      <c r="A5" s="513">
        <v>21917</v>
      </c>
      <c r="B5" s="513">
        <v>25699</v>
      </c>
      <c r="C5" s="33" t="s">
        <v>969</v>
      </c>
      <c r="D5" s="501">
        <v>3783</v>
      </c>
      <c r="E5" s="126" t="s">
        <v>970</v>
      </c>
      <c r="G5" s="516">
        <f t="shared" ref="G5:G6" si="0">B5-A5</f>
        <v>3782</v>
      </c>
    </row>
    <row r="6" spans="1:7" ht="16.5" customHeight="1">
      <c r="A6" s="513">
        <v>21918</v>
      </c>
      <c r="B6" s="513">
        <v>25700</v>
      </c>
      <c r="C6" s="33" t="s">
        <v>971</v>
      </c>
      <c r="D6" s="501">
        <v>3784</v>
      </c>
      <c r="E6" s="126" t="s">
        <v>972</v>
      </c>
      <c r="G6" s="516">
        <f t="shared" si="0"/>
        <v>3782</v>
      </c>
    </row>
    <row r="7" spans="1:7" ht="16.5" customHeight="1">
      <c r="A7" s="513">
        <v>21919</v>
      </c>
      <c r="B7" s="513">
        <v>25701</v>
      </c>
      <c r="C7" s="33" t="s">
        <v>973</v>
      </c>
      <c r="D7" s="501">
        <v>3785</v>
      </c>
      <c r="E7" s="126" t="s">
        <v>974</v>
      </c>
      <c r="G7" s="516"/>
    </row>
    <row r="8" spans="1:7" ht="16.5" customHeight="1">
      <c r="A8" s="513">
        <v>21920</v>
      </c>
      <c r="B8" s="513">
        <v>25702</v>
      </c>
      <c r="C8" s="33" t="s">
        <v>975</v>
      </c>
      <c r="D8" s="501">
        <v>3786</v>
      </c>
      <c r="E8" s="108"/>
      <c r="G8" s="516"/>
    </row>
    <row r="10" spans="1:7">
      <c r="F10" s="206" t="s">
        <v>1321</v>
      </c>
      <c r="G10" s="206" t="s">
        <v>1322</v>
      </c>
    </row>
    <row r="11" spans="1:7">
      <c r="B11" t="str">
        <f>TEXT(B4-A4,"d")</f>
        <v>9</v>
      </c>
      <c r="C11">
        <f>A4-B4</f>
        <v>-3782</v>
      </c>
      <c r="D11" s="789">
        <f>B4-A4</f>
        <v>3782</v>
      </c>
    </row>
    <row r="12" spans="1:7">
      <c r="B12" t="str">
        <f>TEXT(B5-A5,"m")</f>
        <v>5</v>
      </c>
      <c r="C12">
        <f t="shared" ref="C12:C16" si="1">A5-B5</f>
        <v>-3782</v>
      </c>
      <c r="D12" s="790">
        <f>B5-A5</f>
        <v>3782</v>
      </c>
    </row>
    <row r="13" spans="1:7">
      <c r="C13">
        <f t="shared" si="1"/>
        <v>-3782</v>
      </c>
    </row>
    <row r="14" spans="1:7">
      <c r="C14">
        <f t="shared" si="1"/>
        <v>-3782</v>
      </c>
    </row>
    <row r="15" spans="1:7">
      <c r="C15">
        <f t="shared" si="1"/>
        <v>-3782</v>
      </c>
    </row>
    <row r="16" spans="1:7">
      <c r="C16">
        <f t="shared" si="1"/>
        <v>0</v>
      </c>
    </row>
  </sheetData>
  <mergeCells count="2">
    <mergeCell ref="A1:E1"/>
    <mergeCell ref="A2:E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38"/>
  <sheetViews>
    <sheetView workbookViewId="0">
      <selection activeCell="P1" sqref="P1"/>
    </sheetView>
  </sheetViews>
  <sheetFormatPr defaultRowHeight="13.2"/>
  <cols>
    <col min="1" max="1" width="18.6640625" customWidth="1"/>
    <col min="2" max="2" width="2.109375" customWidth="1"/>
    <col min="3" max="3" width="16.77734375" customWidth="1"/>
    <col min="4" max="4" width="10.44140625" customWidth="1"/>
    <col min="5" max="5" width="15.109375" customWidth="1"/>
    <col min="6" max="6" width="5.77734375" customWidth="1"/>
    <col min="7" max="7" width="16.77734375" customWidth="1"/>
    <col min="8" max="8" width="35.33203125" customWidth="1"/>
    <col min="11" max="11" width="21.44140625" customWidth="1"/>
    <col min="13" max="13" width="9.77734375" bestFit="1" customWidth="1"/>
  </cols>
  <sheetData>
    <row r="1" spans="1:8" ht="30.75" customHeight="1">
      <c r="A1" s="724"/>
      <c r="B1" s="725"/>
      <c r="C1" s="724"/>
      <c r="D1" s="725"/>
      <c r="E1" s="724"/>
      <c r="F1" s="725"/>
      <c r="G1" s="127"/>
      <c r="H1" s="128" t="s">
        <v>976</v>
      </c>
    </row>
    <row r="2" spans="1:8" ht="28.5" customHeight="1">
      <c r="A2" s="726" t="s">
        <v>965</v>
      </c>
      <c r="B2" s="727"/>
      <c r="C2" s="728" t="s">
        <v>966</v>
      </c>
      <c r="D2" s="729"/>
      <c r="E2" s="730" t="s">
        <v>977</v>
      </c>
      <c r="F2" s="731"/>
      <c r="G2" s="129">
        <v>9</v>
      </c>
      <c r="H2" s="130" t="s">
        <v>978</v>
      </c>
    </row>
    <row r="3" spans="1:8" ht="33.6" customHeight="1">
      <c r="A3" s="732" t="s">
        <v>979</v>
      </c>
      <c r="B3" s="732"/>
      <c r="C3" s="732"/>
      <c r="D3" s="732"/>
      <c r="E3" s="732"/>
      <c r="F3" s="732"/>
      <c r="G3" s="732"/>
      <c r="H3" s="732"/>
    </row>
    <row r="4" spans="1:8" ht="16.5" customHeight="1">
      <c r="A4" s="536" t="s">
        <v>980</v>
      </c>
      <c r="B4" s="536"/>
      <c r="C4" s="536"/>
      <c r="D4" s="536"/>
      <c r="E4" s="536"/>
      <c r="F4" s="536"/>
      <c r="G4" s="536"/>
      <c r="H4" s="536"/>
    </row>
    <row r="5" spans="1:8" ht="22.65" customHeight="1">
      <c r="A5" s="536" t="s">
        <v>981</v>
      </c>
      <c r="B5" s="536"/>
      <c r="C5" s="536"/>
      <c r="D5" s="536"/>
      <c r="E5" s="536"/>
      <c r="F5" s="536"/>
      <c r="G5" s="536"/>
      <c r="H5" s="536"/>
    </row>
    <row r="6" spans="1:8" ht="23.4" customHeight="1">
      <c r="A6" s="733" t="s">
        <v>982</v>
      </c>
      <c r="B6" s="733"/>
      <c r="C6" s="552"/>
      <c r="D6" s="552"/>
      <c r="E6" s="552"/>
      <c r="F6" s="552"/>
      <c r="G6" s="17"/>
      <c r="H6" s="17"/>
    </row>
    <row r="7" spans="1:8" ht="16.5" customHeight="1">
      <c r="A7" s="734" t="s">
        <v>983</v>
      </c>
      <c r="B7" s="734"/>
      <c r="C7" s="734"/>
      <c r="D7" s="734"/>
      <c r="E7" s="734"/>
      <c r="F7" s="734"/>
      <c r="G7" s="734"/>
      <c r="H7" s="734"/>
    </row>
    <row r="8" spans="1:8" ht="16.5" customHeight="1">
      <c r="A8" s="536" t="s">
        <v>984</v>
      </c>
      <c r="B8" s="536"/>
      <c r="C8" s="536"/>
      <c r="D8" s="536"/>
      <c r="E8" s="536"/>
      <c r="F8" s="536"/>
      <c r="G8" s="536"/>
      <c r="H8" s="536"/>
    </row>
    <row r="9" spans="1:8" ht="16.5" customHeight="1">
      <c r="A9" s="536" t="s">
        <v>985</v>
      </c>
      <c r="B9" s="536"/>
      <c r="C9" s="536"/>
      <c r="D9" s="536"/>
      <c r="E9" s="536"/>
      <c r="F9" s="536"/>
      <c r="G9" s="536"/>
      <c r="H9" s="536"/>
    </row>
    <row r="10" spans="1:8" ht="16.5" customHeight="1">
      <c r="A10" s="536" t="s">
        <v>986</v>
      </c>
      <c r="B10" s="536"/>
      <c r="C10" s="536"/>
      <c r="D10" s="536"/>
      <c r="E10" s="536"/>
      <c r="F10" s="536"/>
      <c r="G10" s="536"/>
      <c r="H10" s="536"/>
    </row>
    <row r="11" spans="1:8" ht="16.5" customHeight="1">
      <c r="A11" s="536" t="s">
        <v>987</v>
      </c>
      <c r="B11" s="536"/>
      <c r="C11" s="536"/>
      <c r="D11" s="536"/>
      <c r="E11" s="536"/>
      <c r="F11" s="536"/>
      <c r="G11" s="536"/>
      <c r="H11" s="536"/>
    </row>
    <row r="12" spans="1:8" ht="16.5" customHeight="1">
      <c r="A12" s="591" t="s">
        <v>988</v>
      </c>
      <c r="B12" s="591"/>
      <c r="C12" s="536" t="s">
        <v>989</v>
      </c>
      <c r="D12" s="536"/>
      <c r="E12" s="536"/>
      <c r="F12" s="536"/>
      <c r="G12" s="8"/>
      <c r="H12" s="8"/>
    </row>
    <row r="13" spans="1:8" ht="16.5" customHeight="1">
      <c r="A13" s="591" t="s">
        <v>990</v>
      </c>
      <c r="B13" s="591"/>
      <c r="C13" s="536" t="s">
        <v>991</v>
      </c>
      <c r="D13" s="536"/>
      <c r="E13" s="536"/>
      <c r="F13" s="536"/>
      <c r="G13" s="8"/>
      <c r="H13" s="8"/>
    </row>
    <row r="14" spans="1:8" ht="16.5" customHeight="1">
      <c r="A14" s="591" t="s">
        <v>992</v>
      </c>
      <c r="B14" s="591"/>
      <c r="C14" s="536" t="s">
        <v>993</v>
      </c>
      <c r="D14" s="536"/>
      <c r="E14" s="536"/>
      <c r="F14" s="536"/>
      <c r="G14" s="8"/>
      <c r="H14" s="8"/>
    </row>
    <row r="15" spans="1:8" ht="16.5" customHeight="1">
      <c r="A15" s="591" t="s">
        <v>994</v>
      </c>
      <c r="B15" s="591"/>
      <c r="C15" s="536" t="s">
        <v>995</v>
      </c>
      <c r="D15" s="536"/>
      <c r="E15" s="536"/>
      <c r="F15" s="536"/>
      <c r="G15" s="536"/>
      <c r="H15" s="536"/>
    </row>
    <row r="16" spans="1:8" ht="16.5" customHeight="1">
      <c r="A16" s="591" t="s">
        <v>996</v>
      </c>
      <c r="B16" s="591"/>
      <c r="C16" s="536" t="s">
        <v>997</v>
      </c>
      <c r="D16" s="536"/>
      <c r="E16" s="536"/>
      <c r="F16" s="536"/>
      <c r="G16" s="536"/>
      <c r="H16" s="536"/>
    </row>
    <row r="17" spans="1:15" ht="22.65" customHeight="1">
      <c r="A17" s="591" t="s">
        <v>998</v>
      </c>
      <c r="B17" s="591"/>
      <c r="C17" s="536" t="s">
        <v>999</v>
      </c>
      <c r="D17" s="536"/>
      <c r="E17" s="536"/>
      <c r="F17" s="536"/>
      <c r="G17" s="536"/>
      <c r="H17" s="536"/>
    </row>
    <row r="18" spans="1:15" ht="23.4" customHeight="1">
      <c r="A18" s="733" t="s">
        <v>1000</v>
      </c>
      <c r="B18" s="733"/>
      <c r="C18" s="552"/>
      <c r="D18" s="552"/>
      <c r="E18" s="552"/>
      <c r="F18" s="552"/>
      <c r="G18" s="17"/>
      <c r="H18" s="17"/>
    </row>
    <row r="19" spans="1:15" ht="74.099999999999994" customHeight="1">
      <c r="A19" s="536" t="s">
        <v>1001</v>
      </c>
      <c r="B19" s="536"/>
      <c r="C19" s="536"/>
      <c r="D19" s="536"/>
      <c r="E19" s="536"/>
      <c r="F19" s="536"/>
      <c r="G19" s="536"/>
      <c r="H19" s="536"/>
    </row>
    <row r="20" spans="1:15" ht="16.5" customHeight="1">
      <c r="A20" s="560"/>
      <c r="B20" s="735"/>
      <c r="C20" s="736" t="s">
        <v>1002</v>
      </c>
      <c r="D20" s="737"/>
      <c r="E20" s="738" t="s">
        <v>965</v>
      </c>
      <c r="F20" s="739"/>
      <c r="G20" s="108"/>
      <c r="H20" s="8"/>
    </row>
    <row r="21" spans="1:15" ht="15.6" customHeight="1">
      <c r="A21" s="560"/>
      <c r="B21" s="560"/>
      <c r="C21" s="588"/>
      <c r="D21" s="588"/>
      <c r="E21" s="588"/>
      <c r="F21" s="588"/>
      <c r="G21" s="8"/>
      <c r="H21" s="8"/>
    </row>
    <row r="22" spans="1:15" ht="15.15" customHeight="1">
      <c r="A22" s="560"/>
      <c r="B22" s="735"/>
      <c r="C22" s="736" t="s">
        <v>1003</v>
      </c>
      <c r="D22" s="737"/>
      <c r="E22" s="740">
        <v>61</v>
      </c>
      <c r="F22" s="741"/>
      <c r="G22" s="742" t="s">
        <v>1004</v>
      </c>
      <c r="H22" s="722"/>
    </row>
    <row r="23" spans="1:15" ht="15.6" customHeight="1">
      <c r="A23" s="560"/>
      <c r="B23" s="735"/>
      <c r="C23" s="736" t="s">
        <v>1005</v>
      </c>
      <c r="D23" s="737"/>
      <c r="E23" s="740">
        <v>3</v>
      </c>
      <c r="F23" s="741"/>
      <c r="G23" s="742" t="s">
        <v>1006</v>
      </c>
      <c r="H23" s="722"/>
    </row>
    <row r="24" spans="1:15" ht="15.6" customHeight="1">
      <c r="A24" s="560"/>
      <c r="B24" s="735"/>
      <c r="C24" s="736" t="s">
        <v>1007</v>
      </c>
      <c r="D24" s="737"/>
      <c r="E24" s="740">
        <v>24</v>
      </c>
      <c r="F24" s="741"/>
      <c r="G24" s="742" t="s">
        <v>1008</v>
      </c>
      <c r="H24" s="722"/>
    </row>
    <row r="25" spans="1:15" ht="36" customHeight="1">
      <c r="A25" s="743" t="s">
        <v>1009</v>
      </c>
      <c r="B25" s="743"/>
      <c r="C25" s="743"/>
      <c r="D25" s="743"/>
      <c r="E25" s="743"/>
      <c r="F25" s="743"/>
      <c r="G25" s="743"/>
      <c r="H25" s="743"/>
    </row>
    <row r="26" spans="1:15" ht="15.9" customHeight="1">
      <c r="A26" s="744" t="s">
        <v>1010</v>
      </c>
      <c r="B26" s="744"/>
      <c r="C26" s="744"/>
      <c r="D26" s="744"/>
      <c r="E26" s="744"/>
      <c r="F26" s="744"/>
      <c r="G26" s="744"/>
      <c r="H26" s="744"/>
    </row>
    <row r="27" spans="1:15" ht="12" customHeight="1">
      <c r="A27" s="745" t="s">
        <v>1011</v>
      </c>
      <c r="B27" s="745"/>
      <c r="C27" s="745"/>
      <c r="D27" s="745"/>
      <c r="E27" s="745"/>
      <c r="F27" s="745"/>
      <c r="G27" s="745"/>
      <c r="H27" s="745"/>
    </row>
    <row r="28" spans="1:15" ht="21" customHeight="1">
      <c r="A28" s="531" t="s">
        <v>1012</v>
      </c>
      <c r="B28" s="531"/>
      <c r="C28" s="531"/>
      <c r="D28" s="531"/>
      <c r="E28" s="531"/>
      <c r="F28" s="531"/>
      <c r="G28" s="531"/>
      <c r="H28" s="531"/>
    </row>
    <row r="29" spans="1:15" ht="28.5" customHeight="1">
      <c r="A29" s="746" t="s">
        <v>1013</v>
      </c>
      <c r="B29" s="746"/>
      <c r="C29" s="746"/>
      <c r="D29" s="746"/>
      <c r="E29" s="746"/>
      <c r="F29" s="746"/>
      <c r="G29" s="746"/>
      <c r="H29" s="746"/>
    </row>
    <row r="30" spans="1:15" ht="15.15" customHeight="1">
      <c r="A30" s="33" t="s">
        <v>1014</v>
      </c>
      <c r="B30" s="747" t="s">
        <v>1015</v>
      </c>
      <c r="C30" s="748"/>
      <c r="D30" s="747" t="s">
        <v>1016</v>
      </c>
      <c r="E30" s="748"/>
      <c r="F30" s="684"/>
      <c r="G30" s="560"/>
      <c r="H30" s="560"/>
      <c r="K30" s="33" t="s">
        <v>1014</v>
      </c>
      <c r="L30" s="244" t="s">
        <v>1015</v>
      </c>
      <c r="M30" s="244" t="s">
        <v>1016</v>
      </c>
      <c r="O30" s="503"/>
    </row>
    <row r="31" spans="1:15" ht="15.6" customHeight="1">
      <c r="A31" s="33" t="s">
        <v>1017</v>
      </c>
      <c r="B31" s="747" t="s">
        <v>1018</v>
      </c>
      <c r="C31" s="748"/>
      <c r="D31" s="749"/>
      <c r="E31" s="750"/>
      <c r="F31" s="742" t="s">
        <v>1019</v>
      </c>
      <c r="G31" s="722"/>
      <c r="H31" s="722"/>
      <c r="K31" s="33" t="s">
        <v>1017</v>
      </c>
      <c r="L31" s="244" t="s">
        <v>1018</v>
      </c>
      <c r="M31" s="504">
        <f>FIND(B31,A31)</f>
        <v>2</v>
      </c>
      <c r="O31" s="505"/>
    </row>
    <row r="32" spans="1:15" ht="15.75" customHeight="1">
      <c r="A32" s="33" t="s">
        <v>1017</v>
      </c>
      <c r="B32" s="747" t="s">
        <v>1020</v>
      </c>
      <c r="C32" s="748"/>
      <c r="D32" s="749">
        <v>1</v>
      </c>
      <c r="E32" s="750"/>
      <c r="F32" s="742" t="s">
        <v>1021</v>
      </c>
      <c r="G32" s="722"/>
      <c r="H32" s="722"/>
      <c r="K32" s="33" t="s">
        <v>1017</v>
      </c>
      <c r="L32" s="244" t="s">
        <v>1020</v>
      </c>
      <c r="M32" s="504">
        <f t="shared" ref="M32:M36" si="0">FIND(B32,A32)</f>
        <v>1</v>
      </c>
      <c r="O32" s="505"/>
    </row>
    <row r="33" spans="1:15" ht="15.15" customHeight="1">
      <c r="A33" s="33" t="s">
        <v>1017</v>
      </c>
      <c r="B33" s="747" t="s">
        <v>1022</v>
      </c>
      <c r="C33" s="748"/>
      <c r="D33" s="749">
        <v>5</v>
      </c>
      <c r="E33" s="750"/>
      <c r="F33" s="742" t="s">
        <v>1023</v>
      </c>
      <c r="G33" s="722"/>
      <c r="H33" s="722"/>
      <c r="K33" s="33" t="s">
        <v>1017</v>
      </c>
      <c r="L33" s="244" t="s">
        <v>1022</v>
      </c>
      <c r="M33" s="504">
        <f t="shared" si="0"/>
        <v>5</v>
      </c>
      <c r="O33" s="505"/>
    </row>
    <row r="34" spans="1:15" ht="15.6" customHeight="1">
      <c r="A34" s="33" t="s">
        <v>1024</v>
      </c>
      <c r="B34" s="747" t="s">
        <v>1025</v>
      </c>
      <c r="C34" s="748"/>
      <c r="D34" s="749">
        <v>3</v>
      </c>
      <c r="E34" s="750"/>
      <c r="F34" s="742" t="s">
        <v>1026</v>
      </c>
      <c r="G34" s="722"/>
      <c r="H34" s="722"/>
      <c r="K34" s="33" t="s">
        <v>1024</v>
      </c>
      <c r="L34" s="244" t="s">
        <v>1025</v>
      </c>
      <c r="M34" s="504">
        <f t="shared" si="0"/>
        <v>3</v>
      </c>
      <c r="O34" s="505"/>
    </row>
    <row r="35" spans="1:15">
      <c r="K35" s="133" t="s">
        <v>1024</v>
      </c>
      <c r="L35" s="134" t="s">
        <v>1025</v>
      </c>
      <c r="M35" s="504">
        <f t="shared" si="0"/>
        <v>1</v>
      </c>
      <c r="N35" s="136"/>
    </row>
    <row r="36" spans="1:15">
      <c r="K36" s="138" t="s">
        <v>1024</v>
      </c>
      <c r="L36" s="33" t="s">
        <v>1028</v>
      </c>
      <c r="M36" s="504">
        <f t="shared" si="0"/>
        <v>1</v>
      </c>
      <c r="N36" s="126"/>
    </row>
    <row r="38" spans="1:15">
      <c r="M38" t="e">
        <f>FIND(L36,K36)</f>
        <v>#VALUE!</v>
      </c>
    </row>
  </sheetData>
  <mergeCells count="71">
    <mergeCell ref="B33:C33"/>
    <mergeCell ref="D33:E33"/>
    <mergeCell ref="F33:H33"/>
    <mergeCell ref="B34:C34"/>
    <mergeCell ref="D34:E34"/>
    <mergeCell ref="F34:H34"/>
    <mergeCell ref="B31:C31"/>
    <mergeCell ref="D31:E31"/>
    <mergeCell ref="F31:H31"/>
    <mergeCell ref="B32:C32"/>
    <mergeCell ref="D32:E32"/>
    <mergeCell ref="F32:H32"/>
    <mergeCell ref="A26:H26"/>
    <mergeCell ref="A27:H27"/>
    <mergeCell ref="A28:H28"/>
    <mergeCell ref="A29:H29"/>
    <mergeCell ref="B30:C30"/>
    <mergeCell ref="D30:E30"/>
    <mergeCell ref="F30:H30"/>
    <mergeCell ref="A24:B24"/>
    <mergeCell ref="C24:D24"/>
    <mergeCell ref="E24:F24"/>
    <mergeCell ref="G24:H24"/>
    <mergeCell ref="A25:H25"/>
    <mergeCell ref="G22:H22"/>
    <mergeCell ref="A23:B23"/>
    <mergeCell ref="C23:D23"/>
    <mergeCell ref="E23:F23"/>
    <mergeCell ref="G23:H23"/>
    <mergeCell ref="A21:B21"/>
    <mergeCell ref="C21:D21"/>
    <mergeCell ref="E21:F21"/>
    <mergeCell ref="A22:B22"/>
    <mergeCell ref="C22:D22"/>
    <mergeCell ref="E22:F22"/>
    <mergeCell ref="A18:B18"/>
    <mergeCell ref="C18:D18"/>
    <mergeCell ref="E18:F18"/>
    <mergeCell ref="A19:H19"/>
    <mergeCell ref="A20:B20"/>
    <mergeCell ref="C20:D20"/>
    <mergeCell ref="E20:F20"/>
    <mergeCell ref="A15:B15"/>
    <mergeCell ref="C15:H15"/>
    <mergeCell ref="A16:B16"/>
    <mergeCell ref="C16:H16"/>
    <mergeCell ref="A17:B17"/>
    <mergeCell ref="C17:H17"/>
    <mergeCell ref="A12:B12"/>
    <mergeCell ref="C12:F12"/>
    <mergeCell ref="A13:B13"/>
    <mergeCell ref="C13:F13"/>
    <mergeCell ref="A14:B14"/>
    <mergeCell ref="C14:F14"/>
    <mergeCell ref="A7:H7"/>
    <mergeCell ref="A8:H8"/>
    <mergeCell ref="A9:H9"/>
    <mergeCell ref="A10:H10"/>
    <mergeCell ref="A11:H11"/>
    <mergeCell ref="A3:H3"/>
    <mergeCell ref="A4:H4"/>
    <mergeCell ref="A5:H5"/>
    <mergeCell ref="A6:B6"/>
    <mergeCell ref="C6:D6"/>
    <mergeCell ref="E6:F6"/>
    <mergeCell ref="A1:B1"/>
    <mergeCell ref="C1:D1"/>
    <mergeCell ref="E1:F1"/>
    <mergeCell ref="A2:B2"/>
    <mergeCell ref="C2:D2"/>
    <mergeCell ref="E2:F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33"/>
  <sheetViews>
    <sheetView topLeftCell="A14" workbookViewId="0">
      <selection activeCell="I5" sqref="I5"/>
    </sheetView>
  </sheetViews>
  <sheetFormatPr defaultRowHeight="13.2"/>
  <cols>
    <col min="1" max="1" width="18.6640625" customWidth="1"/>
    <col min="2" max="2" width="19.33203125" customWidth="1"/>
    <col min="3" max="3" width="25.44140625" customWidth="1"/>
    <col min="4" max="4" width="23.33203125" customWidth="1"/>
    <col min="5" max="5" width="19.44140625" customWidth="1"/>
    <col min="6" max="6" width="15.33203125" customWidth="1"/>
    <col min="8" max="8" width="19.109375" bestFit="1" customWidth="1"/>
    <col min="9" max="9" width="14.109375" customWidth="1"/>
    <col min="11" max="11" width="13.44140625" bestFit="1" customWidth="1"/>
  </cols>
  <sheetData>
    <row r="1" spans="1:9" ht="34.5" customHeight="1">
      <c r="A1" s="133" t="s">
        <v>1024</v>
      </c>
      <c r="B1" s="134" t="s">
        <v>1025</v>
      </c>
      <c r="C1" s="135">
        <v>11</v>
      </c>
      <c r="D1" s="136" t="s">
        <v>1027</v>
      </c>
      <c r="E1" s="137"/>
      <c r="F1" s="17"/>
    </row>
    <row r="2" spans="1:9" ht="15.15" customHeight="1">
      <c r="A2" s="138" t="s">
        <v>1024</v>
      </c>
      <c r="B2" s="33" t="s">
        <v>1028</v>
      </c>
      <c r="C2" s="139" t="e">
        <f>FIND(B2,A2)</f>
        <v>#VALUE!</v>
      </c>
      <c r="D2" s="126" t="s">
        <v>1029</v>
      </c>
      <c r="E2" s="8"/>
      <c r="F2" s="8"/>
    </row>
    <row r="3" spans="1:9" ht="30.6" customHeight="1">
      <c r="A3" s="140"/>
      <c r="B3" s="16"/>
      <c r="C3" s="140"/>
      <c r="D3" s="109"/>
      <c r="E3" s="17"/>
      <c r="F3" s="17"/>
    </row>
    <row r="4" spans="1:9" ht="15.6" customHeight="1">
      <c r="A4" s="141" t="s">
        <v>1030</v>
      </c>
      <c r="B4" s="46"/>
      <c r="C4" s="142" t="s">
        <v>1031</v>
      </c>
      <c r="D4" s="35">
        <v>800</v>
      </c>
      <c r="E4" s="742" t="s">
        <v>1032</v>
      </c>
      <c r="F4" s="722"/>
      <c r="H4" s="142" t="s">
        <v>1031</v>
      </c>
      <c r="I4" s="35">
        <f>LARGE(A5:A9,1)</f>
        <v>800</v>
      </c>
    </row>
    <row r="5" spans="1:9" ht="15.15" customHeight="1">
      <c r="A5" s="34">
        <v>120</v>
      </c>
      <c r="B5" s="46"/>
      <c r="C5" s="142" t="s">
        <v>1033</v>
      </c>
      <c r="D5" s="35">
        <v>250</v>
      </c>
      <c r="E5" s="742" t="s">
        <v>1034</v>
      </c>
      <c r="F5" s="722"/>
      <c r="H5" s="142" t="s">
        <v>1033</v>
      </c>
      <c r="I5" s="35">
        <f t="shared" ref="I5:I8" si="0">LARGE(C5:D9,1)</f>
        <v>250</v>
      </c>
    </row>
    <row r="6" spans="1:9" ht="15.6" customHeight="1">
      <c r="A6" s="34">
        <v>800</v>
      </c>
      <c r="B6" s="46"/>
      <c r="C6" s="142" t="s">
        <v>1035</v>
      </c>
      <c r="D6" s="35">
        <v>120</v>
      </c>
      <c r="E6" s="742" t="s">
        <v>1036</v>
      </c>
      <c r="F6" s="722"/>
      <c r="H6" s="142" t="s">
        <v>1035</v>
      </c>
      <c r="I6" s="35">
        <f t="shared" si="0"/>
        <v>120</v>
      </c>
    </row>
    <row r="7" spans="1:9" ht="15.6" customHeight="1">
      <c r="A7" s="34">
        <v>100</v>
      </c>
      <c r="B7" s="46"/>
      <c r="C7" s="142" t="s">
        <v>1037</v>
      </c>
      <c r="D7" s="35">
        <v>120</v>
      </c>
      <c r="E7" s="742" t="s">
        <v>1038</v>
      </c>
      <c r="F7" s="722"/>
      <c r="H7" s="142" t="s">
        <v>1037</v>
      </c>
      <c r="I7" s="35">
        <f t="shared" si="0"/>
        <v>120</v>
      </c>
    </row>
    <row r="8" spans="1:9" ht="15.6" customHeight="1">
      <c r="A8" s="34">
        <v>120</v>
      </c>
      <c r="B8" s="46"/>
      <c r="C8" s="142" t="s">
        <v>1039</v>
      </c>
      <c r="D8" s="35">
        <v>100</v>
      </c>
      <c r="E8" s="742" t="s">
        <v>1040</v>
      </c>
      <c r="F8" s="722"/>
      <c r="H8" s="142" t="s">
        <v>1039</v>
      </c>
      <c r="I8" s="35">
        <f t="shared" si="0"/>
        <v>100</v>
      </c>
    </row>
    <row r="9" spans="1:9" ht="15.6" customHeight="1">
      <c r="A9" s="34">
        <v>250</v>
      </c>
      <c r="B9" s="108"/>
      <c r="C9" s="73"/>
      <c r="D9" s="73"/>
      <c r="E9" s="8"/>
      <c r="F9" s="8"/>
    </row>
    <row r="10" spans="1:9" ht="33.15" customHeight="1">
      <c r="A10" s="732" t="s">
        <v>1041</v>
      </c>
      <c r="B10" s="732"/>
      <c r="C10" s="732"/>
      <c r="D10" s="732"/>
      <c r="E10" s="732"/>
      <c r="F10" s="732"/>
    </row>
    <row r="11" spans="1:9" ht="16.5" customHeight="1">
      <c r="A11" s="536" t="s">
        <v>1042</v>
      </c>
      <c r="B11" s="536"/>
      <c r="C11" s="536"/>
      <c r="D11" s="536"/>
      <c r="E11" s="536"/>
      <c r="F11" s="536"/>
    </row>
    <row r="12" spans="1:9" ht="22.65" customHeight="1">
      <c r="A12" s="9" t="s">
        <v>1043</v>
      </c>
      <c r="B12" s="17"/>
      <c r="C12" s="17"/>
      <c r="D12" s="17"/>
      <c r="E12" s="17"/>
      <c r="F12" s="17"/>
    </row>
    <row r="13" spans="1:9" ht="23.4" customHeight="1">
      <c r="A13" s="36" t="s">
        <v>1044</v>
      </c>
      <c r="B13" s="17"/>
      <c r="C13" s="17"/>
      <c r="D13" s="17"/>
      <c r="E13" s="17"/>
      <c r="F13" s="17"/>
    </row>
    <row r="14" spans="1:9" ht="23.25" customHeight="1">
      <c r="A14" s="536" t="s">
        <v>1045</v>
      </c>
      <c r="B14" s="536"/>
      <c r="C14" s="536"/>
      <c r="D14" s="536"/>
      <c r="E14" s="536"/>
      <c r="F14" s="536"/>
    </row>
    <row r="15" spans="1:9" ht="23.4" customHeight="1">
      <c r="A15" s="36" t="s">
        <v>1046</v>
      </c>
      <c r="B15" s="17"/>
      <c r="C15" s="17"/>
      <c r="D15" s="17"/>
      <c r="E15" s="17"/>
      <c r="F15" s="17"/>
    </row>
    <row r="16" spans="1:9" ht="23.25" customHeight="1">
      <c r="A16" s="536" t="s">
        <v>1001</v>
      </c>
      <c r="B16" s="536"/>
      <c r="C16" s="536"/>
      <c r="D16" s="536"/>
      <c r="E16" s="536"/>
      <c r="F16" s="536"/>
    </row>
    <row r="17" spans="1:12" ht="23.4" customHeight="1">
      <c r="A17" s="36" t="s">
        <v>1047</v>
      </c>
      <c r="B17" s="17"/>
      <c r="C17" s="17"/>
      <c r="D17" s="17"/>
      <c r="E17" s="17"/>
      <c r="F17" s="17"/>
    </row>
    <row r="18" spans="1:12" ht="29.1" customHeight="1">
      <c r="A18" s="536" t="s">
        <v>1048</v>
      </c>
      <c r="B18" s="536"/>
      <c r="C18" s="536"/>
      <c r="D18" s="536"/>
      <c r="E18" s="536"/>
      <c r="F18" s="536"/>
    </row>
    <row r="19" spans="1:12" ht="15.6" customHeight="1">
      <c r="A19" s="539"/>
      <c r="B19" s="33" t="s">
        <v>956</v>
      </c>
      <c r="C19" s="33" t="s">
        <v>1049</v>
      </c>
      <c r="D19" s="33" t="s">
        <v>1050</v>
      </c>
      <c r="E19" s="33" t="s">
        <v>1051</v>
      </c>
      <c r="F19" s="540"/>
      <c r="H19" s="511"/>
      <c r="I19" s="511"/>
      <c r="J19" s="511"/>
      <c r="K19" s="511"/>
    </row>
    <row r="20" spans="1:12" ht="15.15" customHeight="1">
      <c r="A20" s="539"/>
      <c r="B20" s="33" t="s">
        <v>1052</v>
      </c>
      <c r="C20" s="518">
        <v>5000</v>
      </c>
      <c r="D20" s="518">
        <v>6000</v>
      </c>
      <c r="E20" s="518">
        <v>4500</v>
      </c>
      <c r="F20" s="540"/>
      <c r="H20" s="502"/>
      <c r="I20" s="509"/>
      <c r="J20" s="509"/>
      <c r="K20" s="509"/>
      <c r="L20" t="b">
        <f>ISTEXT(I20)</f>
        <v>0</v>
      </c>
    </row>
    <row r="21" spans="1:12" ht="15.6" customHeight="1">
      <c r="A21" s="539"/>
      <c r="B21" s="33" t="s">
        <v>1053</v>
      </c>
      <c r="C21" s="518">
        <v>5800</v>
      </c>
      <c r="D21" s="519">
        <v>7000</v>
      </c>
      <c r="E21" s="518">
        <v>3000</v>
      </c>
      <c r="F21" s="540"/>
      <c r="H21" s="502"/>
      <c r="I21" s="509"/>
      <c r="J21" s="509"/>
      <c r="K21" s="509"/>
    </row>
    <row r="22" spans="1:12" ht="15.15" customHeight="1">
      <c r="A22" s="539"/>
      <c r="B22" s="33" t="s">
        <v>1054</v>
      </c>
      <c r="C22" s="518">
        <v>3500</v>
      </c>
      <c r="D22" s="518">
        <v>2000</v>
      </c>
      <c r="E22" s="518">
        <v>10000</v>
      </c>
      <c r="F22" s="540"/>
      <c r="H22" s="502"/>
      <c r="I22" s="509"/>
      <c r="J22" s="509"/>
      <c r="K22" s="509"/>
    </row>
    <row r="23" spans="1:12" ht="15.6" customHeight="1">
      <c r="A23" s="539"/>
      <c r="B23" s="33" t="s">
        <v>1055</v>
      </c>
      <c r="C23" s="518">
        <v>12000</v>
      </c>
      <c r="D23" s="518">
        <v>4000</v>
      </c>
      <c r="E23" s="518">
        <v>6000</v>
      </c>
      <c r="F23" s="540"/>
      <c r="H23" s="502"/>
      <c r="I23" s="509"/>
      <c r="J23" s="509"/>
      <c r="K23" s="509"/>
    </row>
    <row r="24" spans="1:12" ht="36.75" customHeight="1">
      <c r="A24" s="97"/>
      <c r="B24" s="143"/>
      <c r="C24" s="144" t="s">
        <v>1031</v>
      </c>
      <c r="D24" s="508">
        <f>LARGE(C20:E23,1)</f>
        <v>12000</v>
      </c>
      <c r="E24" s="751" t="s">
        <v>1056</v>
      </c>
      <c r="F24" s="720"/>
    </row>
    <row r="25" spans="1:12" ht="15.6" customHeight="1">
      <c r="A25" s="132"/>
      <c r="B25" s="369"/>
      <c r="C25" s="145" t="s">
        <v>1033</v>
      </c>
      <c r="D25" s="508">
        <f>LARGE(C20:E23,2)</f>
        <v>10000</v>
      </c>
      <c r="E25" s="742" t="s">
        <v>1057</v>
      </c>
      <c r="F25" s="722"/>
      <c r="G25">
        <f>LARGE(C20:E23,1)</f>
        <v>12000</v>
      </c>
      <c r="H25">
        <f>LARGE(B19:E23,1)</f>
        <v>12000</v>
      </c>
    </row>
    <row r="26" spans="1:12" ht="15.15" customHeight="1">
      <c r="A26" s="132"/>
      <c r="B26" s="369"/>
      <c r="C26" s="145" t="s">
        <v>1035</v>
      </c>
      <c r="D26" s="508">
        <f>LARGE(C20:E23,3)</f>
        <v>7000</v>
      </c>
      <c r="E26" s="742" t="s">
        <v>1058</v>
      </c>
      <c r="F26" s="722"/>
    </row>
    <row r="27" spans="1:12" ht="33.15" customHeight="1">
      <c r="A27" s="131" t="s">
        <v>1059</v>
      </c>
      <c r="B27" s="16"/>
      <c r="C27" s="16"/>
      <c r="D27" s="16"/>
      <c r="E27" s="17"/>
      <c r="F27" s="17"/>
    </row>
    <row r="28" spans="1:12" ht="16.5" customHeight="1">
      <c r="A28" s="536" t="s">
        <v>1060</v>
      </c>
      <c r="B28" s="536"/>
      <c r="C28" s="536"/>
      <c r="D28" s="536"/>
      <c r="E28" s="536"/>
      <c r="F28" s="536"/>
    </row>
    <row r="29" spans="1:12" ht="28.35" customHeight="1">
      <c r="A29" s="536" t="s">
        <v>1061</v>
      </c>
      <c r="B29" s="536"/>
      <c r="C29" s="536"/>
      <c r="D29" s="536"/>
      <c r="E29" s="536"/>
      <c r="F29" s="536"/>
    </row>
    <row r="30" spans="1:12" ht="15.6" customHeight="1">
      <c r="A30" s="8"/>
      <c r="B30" s="132"/>
      <c r="C30" s="33" t="s">
        <v>1062</v>
      </c>
      <c r="D30" s="520">
        <f>MAX(C20:E23)</f>
        <v>12000</v>
      </c>
      <c r="E30" s="126" t="s">
        <v>1063</v>
      </c>
      <c r="F30" s="8"/>
      <c r="G30" s="510">
        <f>MAX(C20:E23)</f>
        <v>12000</v>
      </c>
    </row>
    <row r="31" spans="1:12" ht="15.15" customHeight="1">
      <c r="A31" s="8"/>
      <c r="B31" s="132"/>
      <c r="C31" s="33" t="s">
        <v>1064</v>
      </c>
      <c r="D31" s="521">
        <f>MIN(C20:E23)</f>
        <v>2000</v>
      </c>
      <c r="E31" s="126" t="s">
        <v>1065</v>
      </c>
      <c r="F31" s="8"/>
      <c r="G31" s="510">
        <f>MAX(C21:E24)</f>
        <v>12000</v>
      </c>
    </row>
    <row r="33" spans="3:4">
      <c r="C33">
        <f>MAX(D30,D31)</f>
        <v>12000</v>
      </c>
      <c r="D33">
        <f>MIN(D30,D31)</f>
        <v>2000</v>
      </c>
    </row>
  </sheetData>
  <mergeCells count="17">
    <mergeCell ref="A28:F28"/>
    <mergeCell ref="A29:F29"/>
    <mergeCell ref="A19:A23"/>
    <mergeCell ref="F19:F23"/>
    <mergeCell ref="E24:F24"/>
    <mergeCell ref="E25:F25"/>
    <mergeCell ref="E26:F26"/>
    <mergeCell ref="A10:F10"/>
    <mergeCell ref="A11:F11"/>
    <mergeCell ref="A14:F14"/>
    <mergeCell ref="A16:F16"/>
    <mergeCell ref="A18:F18"/>
    <mergeCell ref="E4:F4"/>
    <mergeCell ref="E5:F5"/>
    <mergeCell ref="E6:F6"/>
    <mergeCell ref="E7:F7"/>
    <mergeCell ref="E8:F8"/>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G57"/>
  <sheetViews>
    <sheetView topLeftCell="B34" workbookViewId="0">
      <selection activeCell="Q45" sqref="Q45"/>
    </sheetView>
  </sheetViews>
  <sheetFormatPr defaultRowHeight="13.2"/>
  <cols>
    <col min="1" max="1" width="14.109375" customWidth="1"/>
    <col min="2" max="2" width="13.44140625" customWidth="1"/>
    <col min="3" max="3" width="14.33203125" customWidth="1"/>
    <col min="4" max="4" width="10.77734375" customWidth="1"/>
    <col min="5" max="5" width="11.6640625" customWidth="1"/>
    <col min="6" max="6" width="12.44140625" customWidth="1"/>
    <col min="7" max="7" width="14.77734375" customWidth="1"/>
    <col min="8" max="8" width="12.77734375" customWidth="1"/>
    <col min="9" max="9" width="9.109375" bestFit="1" customWidth="1"/>
    <col min="10" max="10" width="15.44140625" bestFit="1" customWidth="1"/>
    <col min="11" max="11" width="11.44140625" bestFit="1" customWidth="1"/>
    <col min="12" max="12" width="5.77734375" customWidth="1"/>
    <col min="13" max="13" width="17.33203125" customWidth="1"/>
    <col min="14" max="14" width="13.109375" customWidth="1"/>
    <col min="15" max="15" width="11.44140625" bestFit="1" customWidth="1"/>
    <col min="16" max="16" width="15.33203125" bestFit="1" customWidth="1"/>
    <col min="18" max="18" width="11.44140625" bestFit="1" customWidth="1"/>
  </cols>
  <sheetData>
    <row r="1" spans="1:17" ht="21" customHeight="1">
      <c r="A1" s="754" t="s">
        <v>1097</v>
      </c>
      <c r="B1" s="754"/>
      <c r="C1" s="754"/>
      <c r="D1" s="754"/>
      <c r="E1" s="754"/>
      <c r="F1" s="754"/>
      <c r="G1" s="754"/>
      <c r="H1" s="754"/>
      <c r="I1" s="754"/>
      <c r="J1" s="754"/>
      <c r="K1" s="754"/>
      <c r="L1" s="754"/>
      <c r="M1" s="754"/>
      <c r="N1" s="754"/>
      <c r="O1" s="754"/>
    </row>
    <row r="2" spans="1:17" ht="28.35" customHeight="1">
      <c r="A2" s="723" t="s">
        <v>1098</v>
      </c>
      <c r="B2" s="723"/>
      <c r="C2" s="723"/>
      <c r="D2" s="723"/>
      <c r="E2" s="723"/>
      <c r="F2" s="723"/>
      <c r="G2" s="723"/>
      <c r="H2" s="723"/>
      <c r="I2" s="723"/>
      <c r="J2" s="723"/>
      <c r="K2" s="723"/>
      <c r="L2" s="723"/>
      <c r="M2" s="723"/>
      <c r="N2" s="723"/>
      <c r="O2" s="723"/>
    </row>
    <row r="3" spans="1:17" ht="16.5" customHeight="1">
      <c r="A3" s="583"/>
      <c r="B3" s="583"/>
      <c r="C3" s="583"/>
      <c r="D3" s="755" t="s">
        <v>1099</v>
      </c>
      <c r="E3" s="755"/>
      <c r="F3" s="755"/>
      <c r="G3" s="755"/>
      <c r="H3" s="755"/>
      <c r="I3" s="583"/>
      <c r="J3" s="583"/>
      <c r="K3" s="583"/>
      <c r="L3" s="720" t="s">
        <v>1100</v>
      </c>
      <c r="M3" s="720"/>
      <c r="N3" s="720"/>
      <c r="O3" s="720"/>
    </row>
    <row r="4" spans="1:17" ht="15.15" customHeight="1">
      <c r="A4" s="747" t="s">
        <v>1101</v>
      </c>
      <c r="B4" s="756"/>
      <c r="C4" s="748"/>
      <c r="D4" s="747" t="s">
        <v>1102</v>
      </c>
      <c r="E4" s="756"/>
      <c r="F4" s="756"/>
      <c r="G4" s="756"/>
      <c r="H4" s="748"/>
      <c r="I4" s="747" t="s">
        <v>1103</v>
      </c>
      <c r="J4" s="756"/>
      <c r="K4" s="748"/>
      <c r="L4" s="720"/>
      <c r="M4" s="720"/>
      <c r="N4" s="720"/>
      <c r="O4" s="720"/>
    </row>
    <row r="5" spans="1:17" ht="15.6" customHeight="1">
      <c r="A5" s="757">
        <v>3</v>
      </c>
      <c r="B5" s="758"/>
      <c r="C5" s="759"/>
      <c r="D5" s="757">
        <v>2</v>
      </c>
      <c r="E5" s="758"/>
      <c r="F5" s="758"/>
      <c r="G5" s="758"/>
      <c r="H5" s="759"/>
      <c r="I5" s="760">
        <f>POWER(A5,D5)</f>
        <v>9</v>
      </c>
      <c r="J5" s="761"/>
      <c r="K5" s="762"/>
      <c r="L5" s="720"/>
      <c r="M5" s="720"/>
      <c r="N5" s="720"/>
      <c r="O5" s="720"/>
    </row>
    <row r="6" spans="1:17" ht="15.6" customHeight="1">
      <c r="A6" s="757">
        <v>3</v>
      </c>
      <c r="B6" s="758"/>
      <c r="C6" s="759"/>
      <c r="D6" s="757">
        <v>4</v>
      </c>
      <c r="E6" s="758"/>
      <c r="F6" s="758"/>
      <c r="G6" s="758"/>
      <c r="H6" s="759"/>
      <c r="I6" s="760">
        <f t="shared" ref="I6:I8" si="0">POWER(A6,D6)</f>
        <v>81</v>
      </c>
      <c r="J6" s="761"/>
      <c r="K6" s="762"/>
      <c r="L6" s="720"/>
      <c r="M6" s="720"/>
      <c r="N6" s="720"/>
      <c r="O6" s="720"/>
    </row>
    <row r="7" spans="1:17" ht="15.6" customHeight="1">
      <c r="A7" s="757">
        <v>5</v>
      </c>
      <c r="B7" s="758"/>
      <c r="C7" s="759"/>
      <c r="D7" s="757">
        <v>2</v>
      </c>
      <c r="E7" s="758"/>
      <c r="F7" s="758"/>
      <c r="G7" s="758"/>
      <c r="H7" s="759"/>
      <c r="I7" s="760">
        <f t="shared" si="0"/>
        <v>25</v>
      </c>
      <c r="J7" s="761"/>
      <c r="K7" s="762"/>
      <c r="L7" s="720"/>
      <c r="M7" s="720"/>
      <c r="N7" s="720"/>
      <c r="O7" s="720"/>
    </row>
    <row r="8" spans="1:17" ht="15.6" customHeight="1">
      <c r="A8" s="757">
        <v>5</v>
      </c>
      <c r="B8" s="758"/>
      <c r="C8" s="759"/>
      <c r="D8" s="757">
        <v>4</v>
      </c>
      <c r="E8" s="758"/>
      <c r="F8" s="758"/>
      <c r="G8" s="758"/>
      <c r="H8" s="759"/>
      <c r="I8" s="760">
        <f t="shared" si="0"/>
        <v>625</v>
      </c>
      <c r="J8" s="761"/>
      <c r="K8" s="762"/>
      <c r="L8" s="720"/>
      <c r="M8" s="720"/>
      <c r="N8" s="720"/>
      <c r="O8" s="720"/>
    </row>
    <row r="9" spans="1:17" ht="15.75" customHeight="1">
      <c r="A9" s="560"/>
      <c r="B9" s="560"/>
      <c r="C9" s="560"/>
      <c r="D9" s="560"/>
      <c r="E9" s="560"/>
      <c r="F9" s="560"/>
      <c r="G9" s="560"/>
      <c r="H9" s="560"/>
      <c r="I9" s="560"/>
      <c r="J9" s="560"/>
      <c r="K9" s="560"/>
      <c r="L9" s="560"/>
      <c r="M9" s="560"/>
      <c r="N9" s="560"/>
      <c r="O9" s="560"/>
    </row>
    <row r="10" spans="1:17" ht="16.5" customHeight="1">
      <c r="A10" s="583"/>
      <c r="B10" s="583"/>
      <c r="C10" s="583"/>
      <c r="D10" s="755" t="s">
        <v>1104</v>
      </c>
      <c r="E10" s="755"/>
      <c r="F10" s="755"/>
      <c r="G10" s="755"/>
      <c r="H10" s="755"/>
      <c r="I10" s="583"/>
      <c r="J10" s="583"/>
      <c r="K10" s="583"/>
      <c r="L10" s="719" t="s">
        <v>1105</v>
      </c>
      <c r="M10" s="719"/>
      <c r="N10" s="719"/>
      <c r="O10" s="719"/>
      <c r="Q10">
        <f>PRODUCT(I12,I13,I14,)</f>
        <v>6300</v>
      </c>
    </row>
    <row r="11" spans="1:17" ht="15.15" customHeight="1">
      <c r="A11" s="747" t="s">
        <v>1106</v>
      </c>
      <c r="B11" s="756"/>
      <c r="C11" s="756"/>
      <c r="D11" s="756"/>
      <c r="E11" s="756"/>
      <c r="F11" s="756"/>
      <c r="G11" s="756"/>
      <c r="H11" s="748"/>
      <c r="I11" s="747" t="s">
        <v>1107</v>
      </c>
      <c r="J11" s="756"/>
      <c r="K11" s="748"/>
      <c r="L11" s="719"/>
      <c r="M11" s="719"/>
      <c r="N11" s="719"/>
      <c r="O11" s="719"/>
    </row>
    <row r="12" spans="1:17" ht="28.5" customHeight="1">
      <c r="A12" s="763">
        <v>2</v>
      </c>
      <c r="B12" s="764"/>
      <c r="C12" s="765"/>
      <c r="D12" s="763">
        <v>3</v>
      </c>
      <c r="E12" s="764"/>
      <c r="F12" s="764"/>
      <c r="G12" s="764"/>
      <c r="H12" s="765"/>
      <c r="I12" s="766">
        <f>PRODUCT(A12,D12)</f>
        <v>6</v>
      </c>
      <c r="J12" s="767"/>
      <c r="K12" s="768"/>
      <c r="L12" s="719"/>
      <c r="M12" s="719"/>
      <c r="N12" s="719"/>
      <c r="O12" s="719"/>
    </row>
    <row r="13" spans="1:17" ht="15.6" customHeight="1">
      <c r="A13" s="757">
        <v>5</v>
      </c>
      <c r="B13" s="758"/>
      <c r="C13" s="759"/>
      <c r="D13" s="757">
        <v>10</v>
      </c>
      <c r="E13" s="758"/>
      <c r="F13" s="758"/>
      <c r="G13" s="758"/>
      <c r="H13" s="759"/>
      <c r="I13" s="766">
        <f t="shared" ref="I13:I14" si="1">PRODUCT(A13,D13)</f>
        <v>50</v>
      </c>
      <c r="J13" s="767"/>
      <c r="K13" s="768"/>
      <c r="L13" s="719"/>
      <c r="M13" s="719"/>
      <c r="N13" s="719"/>
      <c r="O13" s="719"/>
    </row>
    <row r="14" spans="1:17" ht="15.15" customHeight="1">
      <c r="A14" s="757">
        <v>3</v>
      </c>
      <c r="B14" s="758"/>
      <c r="C14" s="759"/>
      <c r="D14" s="757">
        <v>7</v>
      </c>
      <c r="E14" s="758"/>
      <c r="F14" s="758"/>
      <c r="G14" s="758"/>
      <c r="H14" s="759"/>
      <c r="I14" s="766">
        <f t="shared" si="1"/>
        <v>21</v>
      </c>
      <c r="J14" s="767"/>
      <c r="K14" s="768"/>
      <c r="L14" s="719"/>
      <c r="M14" s="719"/>
      <c r="N14" s="719"/>
      <c r="O14" s="719"/>
    </row>
    <row r="15" spans="1:17" ht="15.75" customHeight="1">
      <c r="A15" s="611"/>
      <c r="B15" s="611"/>
      <c r="C15" s="611"/>
      <c r="D15" s="611"/>
      <c r="E15" s="611"/>
      <c r="F15" s="611"/>
      <c r="G15" s="611"/>
      <c r="H15" s="769"/>
      <c r="I15" s="749">
        <v>6300</v>
      </c>
      <c r="J15" s="770"/>
      <c r="K15" s="750"/>
      <c r="L15" s="719"/>
      <c r="M15" s="719"/>
      <c r="N15" s="719"/>
      <c r="O15" s="719"/>
    </row>
    <row r="16" spans="1:17" ht="15.75" customHeight="1">
      <c r="A16" s="560"/>
      <c r="B16" s="560"/>
      <c r="C16" s="560"/>
      <c r="D16" s="560"/>
      <c r="E16" s="560"/>
      <c r="F16" s="560"/>
      <c r="G16" s="560"/>
      <c r="H16" s="560"/>
      <c r="I16" s="560"/>
      <c r="J16" s="560"/>
      <c r="K16" s="560"/>
      <c r="L16" s="560"/>
      <c r="M16" s="560"/>
      <c r="N16" s="560"/>
      <c r="O16" s="560"/>
    </row>
    <row r="17" spans="1:15" ht="16.5" customHeight="1">
      <c r="A17" s="583"/>
      <c r="B17" s="583"/>
      <c r="C17" s="583"/>
      <c r="D17" s="755" t="s">
        <v>1108</v>
      </c>
      <c r="E17" s="755"/>
      <c r="F17" s="755"/>
      <c r="G17" s="755"/>
      <c r="H17" s="755"/>
      <c r="I17" s="722" t="s">
        <v>1109</v>
      </c>
      <c r="J17" s="722"/>
      <c r="K17" s="722"/>
      <c r="L17" s="722"/>
      <c r="M17" s="722"/>
      <c r="N17" s="722"/>
      <c r="O17" s="722"/>
    </row>
    <row r="18" spans="1:15" ht="15.6" customHeight="1">
      <c r="A18" s="747" t="s">
        <v>1110</v>
      </c>
      <c r="B18" s="756"/>
      <c r="C18" s="748"/>
      <c r="D18" s="747" t="s">
        <v>1111</v>
      </c>
      <c r="E18" s="756"/>
      <c r="F18" s="756"/>
      <c r="G18" s="756"/>
      <c r="H18" s="748"/>
      <c r="I18" s="722"/>
      <c r="J18" s="722"/>
      <c r="K18" s="722"/>
      <c r="L18" s="722"/>
      <c r="M18" s="722"/>
      <c r="N18" s="722"/>
      <c r="O18" s="722"/>
    </row>
    <row r="19" spans="1:15" ht="15.15" customHeight="1">
      <c r="A19" s="747" t="s">
        <v>1112</v>
      </c>
      <c r="B19" s="756"/>
      <c r="C19" s="748"/>
      <c r="D19" s="771" t="str">
        <f>PROPER(A19)</f>
        <v>Alan Jones</v>
      </c>
      <c r="E19" s="772"/>
      <c r="F19" s="772"/>
      <c r="G19" s="772"/>
      <c r="H19" s="773"/>
      <c r="I19" s="722"/>
      <c r="J19" s="722"/>
      <c r="K19" s="722"/>
      <c r="L19" s="722"/>
      <c r="M19" s="722"/>
      <c r="N19" s="722"/>
      <c r="O19" s="722"/>
    </row>
    <row r="20" spans="1:15" ht="15.6" customHeight="1">
      <c r="A20" s="747" t="s">
        <v>1113</v>
      </c>
      <c r="B20" s="756"/>
      <c r="C20" s="748"/>
      <c r="D20" s="771" t="str">
        <f t="shared" ref="D20:D23" si="2">PROPER(A20)</f>
        <v>Bob Smith</v>
      </c>
      <c r="E20" s="772"/>
      <c r="F20" s="772"/>
      <c r="G20" s="772"/>
      <c r="H20" s="773"/>
      <c r="I20" s="722"/>
      <c r="J20" s="722"/>
      <c r="K20" s="722"/>
      <c r="L20" s="722"/>
      <c r="M20" s="722"/>
      <c r="N20" s="722"/>
      <c r="O20" s="722"/>
    </row>
    <row r="21" spans="1:15" ht="15.15" customHeight="1">
      <c r="A21" s="747" t="s">
        <v>1114</v>
      </c>
      <c r="B21" s="756"/>
      <c r="C21" s="748"/>
      <c r="D21" s="771" t="str">
        <f t="shared" si="2"/>
        <v>Carol Williams</v>
      </c>
      <c r="E21" s="772"/>
      <c r="F21" s="772"/>
      <c r="G21" s="772"/>
      <c r="H21" s="773"/>
      <c r="I21" s="722"/>
      <c r="J21" s="722"/>
      <c r="K21" s="722"/>
      <c r="L21" s="722"/>
      <c r="M21" s="722"/>
      <c r="N21" s="722"/>
      <c r="O21" s="722"/>
    </row>
    <row r="22" spans="1:15" ht="15.6" customHeight="1">
      <c r="A22" s="747" t="s">
        <v>1115</v>
      </c>
      <c r="B22" s="756"/>
      <c r="C22" s="748"/>
      <c r="D22" s="771" t="str">
        <f t="shared" si="2"/>
        <v>Cardiff</v>
      </c>
      <c r="E22" s="772"/>
      <c r="F22" s="772"/>
      <c r="G22" s="772"/>
      <c r="H22" s="773"/>
      <c r="I22" s="722"/>
      <c r="J22" s="722"/>
      <c r="K22" s="722"/>
      <c r="L22" s="722"/>
      <c r="M22" s="722"/>
      <c r="N22" s="722"/>
      <c r="O22" s="722"/>
    </row>
    <row r="23" spans="1:15" ht="15.15" customHeight="1">
      <c r="A23" s="747" t="s">
        <v>1074</v>
      </c>
      <c r="B23" s="756"/>
      <c r="C23" s="748"/>
      <c r="D23" s="771" t="str">
        <f t="shared" si="2"/>
        <v>Abc123</v>
      </c>
      <c r="E23" s="772"/>
      <c r="F23" s="772"/>
      <c r="G23" s="772"/>
      <c r="H23" s="773"/>
      <c r="I23" s="722"/>
      <c r="J23" s="722"/>
      <c r="K23" s="722"/>
      <c r="L23" s="722"/>
      <c r="M23" s="722"/>
      <c r="N23" s="722"/>
      <c r="O23" s="722"/>
    </row>
    <row r="24" spans="1:15" ht="15.75" customHeight="1">
      <c r="A24" s="560"/>
      <c r="B24" s="560"/>
      <c r="C24" s="560"/>
      <c r="D24" s="560"/>
      <c r="E24" s="560"/>
      <c r="F24" s="560"/>
      <c r="G24" s="560"/>
      <c r="H24" s="560"/>
      <c r="I24" s="560"/>
      <c r="J24" s="560"/>
      <c r="K24" s="560"/>
      <c r="L24" s="560"/>
      <c r="M24" s="560"/>
      <c r="N24" s="560"/>
      <c r="O24" s="560"/>
    </row>
    <row r="25" spans="1:15" ht="16.5" customHeight="1">
      <c r="A25" s="583"/>
      <c r="B25" s="583"/>
      <c r="C25" s="583"/>
      <c r="D25" s="755" t="s">
        <v>1116</v>
      </c>
      <c r="E25" s="755"/>
      <c r="F25" s="755"/>
      <c r="G25" s="755"/>
      <c r="H25" s="755"/>
      <c r="I25" s="583"/>
      <c r="J25" s="583"/>
      <c r="K25" s="583"/>
      <c r="L25" s="720" t="s">
        <v>1117</v>
      </c>
      <c r="M25" s="720"/>
      <c r="N25" s="720"/>
      <c r="O25" s="720"/>
    </row>
    <row r="26" spans="1:15" ht="26.85" customHeight="1">
      <c r="A26" s="747" t="s">
        <v>1118</v>
      </c>
      <c r="B26" s="756"/>
      <c r="C26" s="748"/>
      <c r="D26" s="775" t="s">
        <v>1119</v>
      </c>
      <c r="E26" s="776"/>
      <c r="F26" s="776"/>
      <c r="G26" s="776"/>
      <c r="H26" s="777"/>
      <c r="I26" s="778" t="s">
        <v>1120</v>
      </c>
      <c r="J26" s="779"/>
      <c r="K26" s="780"/>
      <c r="L26" s="720"/>
      <c r="M26" s="720"/>
      <c r="N26" s="720"/>
      <c r="O26" s="720"/>
    </row>
    <row r="27" spans="1:15" ht="15.75" customHeight="1">
      <c r="A27" s="747" t="s">
        <v>1121</v>
      </c>
      <c r="B27" s="756"/>
      <c r="C27" s="748"/>
      <c r="D27" s="757">
        <v>3</v>
      </c>
      <c r="E27" s="758"/>
      <c r="F27" s="758"/>
      <c r="G27" s="758"/>
      <c r="H27" s="759"/>
      <c r="I27" s="781" t="str">
        <f>REPT(A27,D27)</f>
        <v>AAA</v>
      </c>
      <c r="J27" s="782"/>
      <c r="K27" s="783"/>
      <c r="L27" s="720"/>
      <c r="M27" s="720"/>
      <c r="N27" s="720"/>
      <c r="O27" s="720"/>
    </row>
    <row r="28" spans="1:15" ht="15.15" customHeight="1">
      <c r="A28" s="747" t="s">
        <v>1122</v>
      </c>
      <c r="B28" s="756"/>
      <c r="C28" s="748"/>
      <c r="D28" s="757">
        <v>3</v>
      </c>
      <c r="E28" s="758"/>
      <c r="F28" s="758"/>
      <c r="G28" s="758"/>
      <c r="H28" s="759"/>
      <c r="I28" s="781" t="str">
        <f t="shared" ref="I28:I30" si="3">REPT(A28,D28)</f>
        <v>ABABAB</v>
      </c>
      <c r="J28" s="782"/>
      <c r="K28" s="783"/>
      <c r="L28" s="720"/>
      <c r="M28" s="720"/>
      <c r="N28" s="720"/>
      <c r="O28" s="720"/>
    </row>
    <row r="29" spans="1:15" ht="15.6" customHeight="1">
      <c r="A29" s="747" t="s">
        <v>1123</v>
      </c>
      <c r="B29" s="756"/>
      <c r="C29" s="748"/>
      <c r="D29" s="757">
        <v>10</v>
      </c>
      <c r="E29" s="758"/>
      <c r="F29" s="758"/>
      <c r="G29" s="758"/>
      <c r="H29" s="759"/>
      <c r="I29" s="781" t="str">
        <f t="shared" si="3"/>
        <v>----------</v>
      </c>
      <c r="J29" s="782"/>
      <c r="K29" s="783"/>
      <c r="L29" s="720"/>
      <c r="M29" s="720"/>
      <c r="N29" s="720"/>
      <c r="O29" s="720"/>
    </row>
    <row r="30" spans="1:15" ht="15.15" customHeight="1">
      <c r="A30" s="747" t="s">
        <v>1124</v>
      </c>
      <c r="B30" s="756"/>
      <c r="C30" s="748"/>
      <c r="D30" s="757">
        <v>10</v>
      </c>
      <c r="E30" s="758"/>
      <c r="F30" s="758"/>
      <c r="G30" s="758"/>
      <c r="H30" s="759"/>
      <c r="I30" s="781" t="str">
        <f t="shared" si="3"/>
        <v>||||||||||</v>
      </c>
      <c r="J30" s="782"/>
      <c r="K30" s="783"/>
      <c r="L30" s="720"/>
      <c r="M30" s="720"/>
      <c r="N30" s="720"/>
      <c r="O30" s="720"/>
    </row>
    <row r="31" spans="1:15" ht="44.4" customHeight="1">
      <c r="A31" s="774" t="s">
        <v>1125</v>
      </c>
      <c r="B31" s="774"/>
      <c r="C31" s="774"/>
      <c r="D31" s="774"/>
      <c r="E31" s="774"/>
      <c r="F31" s="774"/>
      <c r="G31" s="774"/>
      <c r="H31" s="774"/>
      <c r="I31" s="774"/>
      <c r="J31" s="774"/>
      <c r="K31" s="774"/>
      <c r="L31" s="774"/>
      <c r="M31" s="774"/>
      <c r="N31" s="774"/>
    </row>
    <row r="32" spans="1:15" ht="16.5" customHeight="1">
      <c r="A32" s="80" t="s">
        <v>1126</v>
      </c>
      <c r="B32" s="80" t="s">
        <v>1127</v>
      </c>
      <c r="C32" s="281" t="s">
        <v>1128</v>
      </c>
      <c r="D32" s="31" t="s">
        <v>1129</v>
      </c>
      <c r="E32" s="31" t="s">
        <v>1130</v>
      </c>
      <c r="F32" s="80" t="s">
        <v>1131</v>
      </c>
      <c r="G32" s="241" t="s">
        <v>1132</v>
      </c>
      <c r="H32" s="149" t="s">
        <v>1133</v>
      </c>
      <c r="I32" s="384" t="s">
        <v>1134</v>
      </c>
      <c r="J32" s="80" t="s">
        <v>1135</v>
      </c>
      <c r="K32" s="149" t="s">
        <v>1136</v>
      </c>
    </row>
    <row r="33" spans="1:33" ht="16.5" customHeight="1">
      <c r="A33" s="5" t="s">
        <v>119</v>
      </c>
      <c r="B33" s="41">
        <v>2000</v>
      </c>
      <c r="C33" s="385">
        <v>1500</v>
      </c>
      <c r="D33" s="6">
        <v>300</v>
      </c>
      <c r="E33" s="6">
        <v>1400</v>
      </c>
      <c r="F33" s="41">
        <v>1000</v>
      </c>
      <c r="G33" s="197">
        <v>1400</v>
      </c>
      <c r="H33" s="4">
        <v>7600</v>
      </c>
      <c r="I33" s="185">
        <v>10000</v>
      </c>
      <c r="J33" s="443" t="s">
        <v>1238</v>
      </c>
      <c r="K33" s="4">
        <v>380</v>
      </c>
      <c r="N33" s="558" t="s">
        <v>1139</v>
      </c>
      <c r="O33" s="558"/>
      <c r="P33" s="558"/>
      <c r="Q33" s="558"/>
      <c r="S33" s="753" t="s">
        <v>1138</v>
      </c>
      <c r="T33" s="753"/>
      <c r="U33" s="753"/>
      <c r="V33" s="753"/>
      <c r="W33" s="753"/>
      <c r="X33" s="753"/>
      <c r="Y33" s="753"/>
      <c r="Z33" s="753"/>
      <c r="AA33" s="753"/>
      <c r="AB33" s="753"/>
      <c r="AC33" s="753"/>
      <c r="AD33" s="753"/>
      <c r="AE33" s="753"/>
      <c r="AF33" s="753"/>
    </row>
    <row r="34" spans="1:33" ht="16.5" customHeight="1">
      <c r="A34" s="5" t="s">
        <v>95</v>
      </c>
      <c r="B34" s="41">
        <v>5000</v>
      </c>
      <c r="C34" s="385">
        <v>1200</v>
      </c>
      <c r="D34" s="6">
        <v>500</v>
      </c>
      <c r="E34" s="6">
        <v>1200</v>
      </c>
      <c r="F34" s="41">
        <v>1200</v>
      </c>
      <c r="G34" s="197">
        <v>2800</v>
      </c>
      <c r="H34" s="4">
        <v>11900</v>
      </c>
      <c r="I34" s="185">
        <v>12000</v>
      </c>
      <c r="J34" s="443" t="s">
        <v>1238</v>
      </c>
      <c r="K34" s="4">
        <v>595</v>
      </c>
      <c r="N34" s="231" t="s">
        <v>1198</v>
      </c>
    </row>
    <row r="35" spans="1:33" ht="16.5" customHeight="1">
      <c r="A35" s="5" t="s">
        <v>93</v>
      </c>
      <c r="B35" s="41">
        <v>3000</v>
      </c>
      <c r="C35" s="185">
        <v>800</v>
      </c>
      <c r="D35" s="6">
        <v>1200</v>
      </c>
      <c r="E35" s="6">
        <v>3000</v>
      </c>
      <c r="F35" s="41">
        <v>1500</v>
      </c>
      <c r="G35" s="197">
        <v>3500</v>
      </c>
      <c r="H35" s="4">
        <v>13000</v>
      </c>
      <c r="I35" s="185">
        <v>18000</v>
      </c>
      <c r="J35" s="443" t="s">
        <v>1238</v>
      </c>
      <c r="K35" s="4">
        <v>650</v>
      </c>
      <c r="N35" s="238">
        <f>COUNTA(A32:A43)</f>
        <v>12</v>
      </c>
      <c r="P35" s="437" t="s">
        <v>1126</v>
      </c>
      <c r="Q35" s="438" t="s">
        <v>1134</v>
      </c>
      <c r="R35" s="437" t="s">
        <v>1135</v>
      </c>
    </row>
    <row r="36" spans="1:33" ht="16.5" customHeight="1">
      <c r="A36" s="5" t="s">
        <v>19</v>
      </c>
      <c r="B36" s="41">
        <v>1000</v>
      </c>
      <c r="C36" s="185">
        <v>900</v>
      </c>
      <c r="D36" s="6">
        <v>1800</v>
      </c>
      <c r="E36" s="6">
        <v>5000</v>
      </c>
      <c r="F36" s="41">
        <v>1400</v>
      </c>
      <c r="G36" s="197">
        <v>1200</v>
      </c>
      <c r="H36" s="4">
        <v>11300</v>
      </c>
      <c r="I36" s="185">
        <v>10000</v>
      </c>
      <c r="J36" s="5" t="s">
        <v>1137</v>
      </c>
      <c r="K36" s="4">
        <v>1130</v>
      </c>
      <c r="P36" s="439" t="s">
        <v>121</v>
      </c>
      <c r="Q36" s="238">
        <f t="array" ref="Q36:R36">VLOOKUP(P36,A32:K43,{9,10},0)</f>
        <v>12000</v>
      </c>
      <c r="R36" s="238" t="str">
        <v>ACHIEVED</v>
      </c>
    </row>
    <row r="37" spans="1:33" ht="16.5" customHeight="1">
      <c r="A37" s="5" t="s">
        <v>16</v>
      </c>
      <c r="B37" s="19">
        <v>500</v>
      </c>
      <c r="C37" s="385">
        <v>1000</v>
      </c>
      <c r="D37" s="6">
        <v>2300</v>
      </c>
      <c r="E37" s="6">
        <v>8000</v>
      </c>
      <c r="F37" s="41">
        <v>1700</v>
      </c>
      <c r="G37" s="197">
        <v>1400</v>
      </c>
      <c r="H37" s="4">
        <v>14900</v>
      </c>
      <c r="I37" s="185">
        <v>12000</v>
      </c>
      <c r="J37" s="5" t="s">
        <v>1137</v>
      </c>
      <c r="K37" s="4">
        <v>1490</v>
      </c>
    </row>
    <row r="38" spans="1:33" ht="15" customHeight="1">
      <c r="A38" s="94" t="s">
        <v>14</v>
      </c>
      <c r="B38" s="386">
        <v>800</v>
      </c>
      <c r="C38" s="386">
        <v>500</v>
      </c>
      <c r="D38" s="386">
        <v>2400</v>
      </c>
      <c r="E38" s="150">
        <v>1900</v>
      </c>
      <c r="F38" s="387">
        <v>1800</v>
      </c>
      <c r="G38" s="387">
        <v>1800</v>
      </c>
      <c r="H38" s="387">
        <v>9200</v>
      </c>
      <c r="I38" s="387">
        <v>10000</v>
      </c>
      <c r="J38" s="365" t="s">
        <v>120</v>
      </c>
      <c r="K38" s="387">
        <v>460</v>
      </c>
      <c r="N38" s="536" t="s">
        <v>1140</v>
      </c>
      <c r="O38" s="536"/>
      <c r="P38" s="536"/>
      <c r="Q38" s="536"/>
      <c r="R38" s="536"/>
      <c r="S38" s="536"/>
      <c r="T38" s="536"/>
      <c r="U38" s="536"/>
      <c r="V38" s="560"/>
      <c r="W38" s="560"/>
      <c r="X38" s="560"/>
      <c r="Y38" s="560"/>
      <c r="Z38" s="560"/>
      <c r="AA38" s="560"/>
      <c r="AB38" s="560"/>
      <c r="AC38" s="560"/>
      <c r="AD38" s="536" t="s">
        <v>1141</v>
      </c>
      <c r="AE38" s="536"/>
      <c r="AF38" s="536"/>
      <c r="AG38" s="536"/>
    </row>
    <row r="39" spans="1:33" ht="15" customHeight="1">
      <c r="A39" s="5" t="s">
        <v>121</v>
      </c>
      <c r="B39" s="197">
        <v>1200</v>
      </c>
      <c r="C39" s="197">
        <v>1400</v>
      </c>
      <c r="D39" s="197">
        <v>1500</v>
      </c>
      <c r="E39" s="4">
        <v>700</v>
      </c>
      <c r="F39" s="185">
        <v>2500</v>
      </c>
      <c r="G39" s="185">
        <v>7000</v>
      </c>
      <c r="H39" s="185">
        <v>14300</v>
      </c>
      <c r="I39" s="185">
        <v>12000</v>
      </c>
      <c r="J39" s="184" t="s">
        <v>1137</v>
      </c>
      <c r="K39" s="185">
        <v>1430</v>
      </c>
      <c r="N39" s="437" t="s">
        <v>1126</v>
      </c>
      <c r="O39" s="438" t="s">
        <v>1134</v>
      </c>
      <c r="P39" s="437" t="s">
        <v>1135</v>
      </c>
    </row>
    <row r="40" spans="1:33" ht="15" customHeight="1">
      <c r="A40" s="5" t="s">
        <v>122</v>
      </c>
      <c r="B40" s="197">
        <v>1500</v>
      </c>
      <c r="C40" s="197">
        <v>1800</v>
      </c>
      <c r="D40" s="197">
        <v>1800</v>
      </c>
      <c r="E40" s="4">
        <v>1800</v>
      </c>
      <c r="F40" s="185">
        <v>300</v>
      </c>
      <c r="G40" s="185">
        <v>1500</v>
      </c>
      <c r="H40" s="185">
        <v>8700</v>
      </c>
      <c r="I40" s="185">
        <v>10000</v>
      </c>
      <c r="J40" s="184" t="s">
        <v>120</v>
      </c>
      <c r="K40" s="185">
        <v>435</v>
      </c>
      <c r="N40" s="259" t="s">
        <v>93</v>
      </c>
      <c r="O40" s="238">
        <f t="array" ref="O40:P40">VLOOKUP(N40,A32:K43,{9,10},0)</f>
        <v>18000</v>
      </c>
      <c r="P40" s="238" t="str">
        <v>NOT ACHIVED</v>
      </c>
    </row>
    <row r="41" spans="1:33" ht="15" customHeight="1">
      <c r="A41" s="5" t="s">
        <v>123</v>
      </c>
      <c r="B41" s="197">
        <v>1800</v>
      </c>
      <c r="C41" s="197">
        <v>2500</v>
      </c>
      <c r="D41" s="197">
        <v>1700</v>
      </c>
      <c r="E41" s="4">
        <v>1500</v>
      </c>
      <c r="F41" s="185">
        <v>2800</v>
      </c>
      <c r="G41" s="185">
        <v>1800</v>
      </c>
      <c r="H41" s="185">
        <v>12100</v>
      </c>
      <c r="I41" s="185">
        <v>12000</v>
      </c>
      <c r="J41" s="184" t="s">
        <v>1137</v>
      </c>
      <c r="K41" s="185">
        <v>1210</v>
      </c>
      <c r="N41" s="259" t="s">
        <v>19</v>
      </c>
      <c r="O41" s="238">
        <f t="array" ref="O41:P41">VLOOKUP(N41,A33:K44,{9,10},0)</f>
        <v>10000</v>
      </c>
      <c r="P41" s="238" t="str">
        <v>ACHIEVED</v>
      </c>
    </row>
    <row r="42" spans="1:33" ht="15" customHeight="1">
      <c r="A42" s="5" t="s">
        <v>124</v>
      </c>
      <c r="B42" s="197">
        <v>200</v>
      </c>
      <c r="C42" s="197">
        <v>3000</v>
      </c>
      <c r="D42" s="197">
        <v>1900</v>
      </c>
      <c r="E42" s="4">
        <v>1200</v>
      </c>
      <c r="F42" s="185">
        <v>1500</v>
      </c>
      <c r="G42" s="185">
        <v>3000</v>
      </c>
      <c r="H42" s="185">
        <v>10800</v>
      </c>
      <c r="I42" s="185">
        <v>10000</v>
      </c>
      <c r="J42" s="184" t="s">
        <v>1137</v>
      </c>
      <c r="K42" s="185">
        <v>1080</v>
      </c>
      <c r="N42" s="440" t="s">
        <v>14</v>
      </c>
      <c r="O42" s="238">
        <f t="array" ref="O42:P42">VLOOKUP(N42,A34:K45,{9,10},0)</f>
        <v>10000</v>
      </c>
      <c r="P42" s="238" t="str">
        <v>NOT ACHIVED</v>
      </c>
    </row>
    <row r="43" spans="1:33" ht="15" customHeight="1">
      <c r="A43" s="5" t="s">
        <v>125</v>
      </c>
      <c r="B43" s="197">
        <v>1600</v>
      </c>
      <c r="C43" s="197">
        <v>1200</v>
      </c>
      <c r="D43" s="197">
        <v>2000</v>
      </c>
      <c r="E43" s="4">
        <v>800</v>
      </c>
      <c r="F43" s="185">
        <v>1700</v>
      </c>
      <c r="G43" s="185">
        <v>800</v>
      </c>
      <c r="H43" s="185">
        <v>8100</v>
      </c>
      <c r="I43" s="185">
        <v>10000</v>
      </c>
      <c r="J43" s="184" t="s">
        <v>120</v>
      </c>
      <c r="K43" s="185">
        <v>405</v>
      </c>
    </row>
    <row r="44" spans="1:33" ht="14.4">
      <c r="N44" s="536" t="s">
        <v>1142</v>
      </c>
      <c r="O44" s="536"/>
      <c r="P44" s="536"/>
      <c r="Q44" s="536"/>
      <c r="R44" s="536"/>
      <c r="S44" s="536"/>
      <c r="T44" s="536"/>
      <c r="U44" s="536"/>
      <c r="V44" s="560"/>
      <c r="W44" s="560"/>
      <c r="X44" s="560"/>
      <c r="Y44" s="560"/>
      <c r="Z44" s="560"/>
      <c r="AA44" s="560"/>
      <c r="AB44" s="560"/>
      <c r="AC44" s="560"/>
      <c r="AD44" s="536" t="s">
        <v>1143</v>
      </c>
      <c r="AE44" s="536"/>
      <c r="AF44" s="536"/>
      <c r="AG44" s="536"/>
    </row>
    <row r="45" spans="1:33" ht="14.4">
      <c r="N45" s="80"/>
      <c r="O45" s="438" t="s">
        <v>1134</v>
      </c>
      <c r="P45" s="231" t="s">
        <v>1197</v>
      </c>
    </row>
    <row r="46" spans="1:33" ht="30.75" customHeight="1">
      <c r="B46" s="752" t="s">
        <v>1235</v>
      </c>
      <c r="C46" s="549"/>
      <c r="D46" s="549"/>
      <c r="E46" s="549"/>
      <c r="F46" s="549"/>
      <c r="G46" s="549"/>
      <c r="H46" s="549"/>
      <c r="I46" s="549"/>
      <c r="J46" s="549"/>
      <c r="K46" s="549"/>
      <c r="L46" s="549"/>
      <c r="M46" s="549"/>
      <c r="N46" s="549"/>
      <c r="O46" s="549"/>
      <c r="P46" s="549"/>
      <c r="Q46" s="549"/>
      <c r="R46" s="549"/>
      <c r="S46" s="549"/>
      <c r="T46" s="551" t="s">
        <v>1146</v>
      </c>
      <c r="U46" s="551"/>
    </row>
    <row r="47" spans="1:33" ht="14.4">
      <c r="C47" s="359" t="s">
        <v>1127</v>
      </c>
      <c r="D47" s="442" t="s">
        <v>1129</v>
      </c>
      <c r="E47" s="358" t="s">
        <v>1232</v>
      </c>
    </row>
    <row r="48" spans="1:33" ht="14.4">
      <c r="C48" s="293" t="s">
        <v>1236</v>
      </c>
      <c r="D48" s="293" t="s">
        <v>1237</v>
      </c>
      <c r="E48" s="293">
        <f>COUNTIFS('Table 27'!B32:B43,'Table 27'!C48,'Table 27'!D32:D43,'Table 27'!D48)</f>
        <v>2</v>
      </c>
      <c r="N48" s="536" t="s">
        <v>1144</v>
      </c>
      <c r="O48" s="536"/>
      <c r="P48" s="536"/>
      <c r="Q48" s="536"/>
      <c r="R48" s="536"/>
      <c r="S48" s="536"/>
      <c r="T48" s="536"/>
      <c r="U48" s="536"/>
      <c r="V48" s="536"/>
      <c r="W48" s="536"/>
      <c r="X48" s="536"/>
      <c r="Y48" s="536"/>
      <c r="Z48" s="560"/>
      <c r="AA48" s="560"/>
      <c r="AB48" s="560"/>
      <c r="AC48" s="560"/>
      <c r="AD48" s="536" t="s">
        <v>1145</v>
      </c>
      <c r="AE48" s="536"/>
      <c r="AF48" s="536"/>
      <c r="AG48" s="536"/>
    </row>
    <row r="49" spans="2:23" ht="14.4">
      <c r="N49" s="80" t="s">
        <v>1127</v>
      </c>
      <c r="O49" s="281" t="s">
        <v>1128</v>
      </c>
    </row>
    <row r="50" spans="2:23" ht="14.4">
      <c r="N50" s="41">
        <v>2000</v>
      </c>
      <c r="O50" s="197">
        <v>2500</v>
      </c>
    </row>
    <row r="53" spans="2:23" ht="27.75" customHeight="1">
      <c r="B53" s="549" t="s">
        <v>1147</v>
      </c>
      <c r="C53" s="549"/>
      <c r="D53" s="549"/>
      <c r="E53" s="549"/>
      <c r="F53" s="549"/>
      <c r="G53" s="549"/>
      <c r="H53" s="549"/>
      <c r="I53" s="549"/>
      <c r="J53" s="549"/>
      <c r="K53" s="549"/>
      <c r="L53" s="549"/>
      <c r="M53" s="549"/>
      <c r="N53" s="549"/>
      <c r="O53" s="549"/>
      <c r="P53" s="549"/>
      <c r="Q53" s="549"/>
      <c r="R53" s="549"/>
      <c r="S53" s="549"/>
      <c r="T53" s="551" t="s">
        <v>1148</v>
      </c>
      <c r="U53" s="551"/>
      <c r="V53" s="551"/>
      <c r="W53" s="551"/>
    </row>
    <row r="55" spans="2:23" ht="30.75" customHeight="1">
      <c r="B55" s="549" t="s">
        <v>1149</v>
      </c>
      <c r="C55" s="549"/>
      <c r="D55" s="549"/>
      <c r="E55" s="549"/>
      <c r="F55" s="549"/>
      <c r="G55" s="549"/>
      <c r="H55" s="549"/>
      <c r="I55" s="549"/>
      <c r="J55" s="549"/>
      <c r="K55" s="549"/>
      <c r="L55" s="549"/>
      <c r="M55" s="549"/>
      <c r="N55" s="549"/>
      <c r="O55" s="549"/>
      <c r="P55" s="549"/>
      <c r="Q55" s="549"/>
      <c r="R55" s="552"/>
      <c r="S55" s="552"/>
      <c r="T55" s="551" t="s">
        <v>1150</v>
      </c>
      <c r="U55" s="551"/>
    </row>
    <row r="57" spans="2:23">
      <c r="D57" s="441" t="str">
        <f>IF(H33&gt;I33,"10%","5%")</f>
        <v>5%</v>
      </c>
    </row>
  </sheetData>
  <mergeCells count="101">
    <mergeCell ref="A31:N31"/>
    <mergeCell ref="A24:O24"/>
    <mergeCell ref="A25:C25"/>
    <mergeCell ref="D25:H25"/>
    <mergeCell ref="I25:K25"/>
    <mergeCell ref="L25:O30"/>
    <mergeCell ref="A26:C26"/>
    <mergeCell ref="D26:H26"/>
    <mergeCell ref="I26:K26"/>
    <mergeCell ref="A27:C27"/>
    <mergeCell ref="D27:H27"/>
    <mergeCell ref="I27:K27"/>
    <mergeCell ref="A28:C28"/>
    <mergeCell ref="D28:H28"/>
    <mergeCell ref="I28:K28"/>
    <mergeCell ref="A29:C29"/>
    <mergeCell ref="D29:H29"/>
    <mergeCell ref="I29:K29"/>
    <mergeCell ref="A30:C30"/>
    <mergeCell ref="D30:H30"/>
    <mergeCell ref="I30:K30"/>
    <mergeCell ref="A16:O16"/>
    <mergeCell ref="A17:C17"/>
    <mergeCell ref="D17:H17"/>
    <mergeCell ref="I17:O23"/>
    <mergeCell ref="A18:C18"/>
    <mergeCell ref="D18:H18"/>
    <mergeCell ref="A19:C19"/>
    <mergeCell ref="D19:H19"/>
    <mergeCell ref="A20:C20"/>
    <mergeCell ref="D20:H20"/>
    <mergeCell ref="A21:C21"/>
    <mergeCell ref="D21:H21"/>
    <mergeCell ref="A22:C22"/>
    <mergeCell ref="D22:H22"/>
    <mergeCell ref="A23:C23"/>
    <mergeCell ref="D23:H23"/>
    <mergeCell ref="D7:H7"/>
    <mergeCell ref="I7:K7"/>
    <mergeCell ref="A8:C8"/>
    <mergeCell ref="D8:H8"/>
    <mergeCell ref="I8:K8"/>
    <mergeCell ref="A9:O9"/>
    <mergeCell ref="A10:C10"/>
    <mergeCell ref="D10:H10"/>
    <mergeCell ref="I10:K10"/>
    <mergeCell ref="L10:O15"/>
    <mergeCell ref="A11:H11"/>
    <mergeCell ref="I11:K11"/>
    <mergeCell ref="A12:C12"/>
    <mergeCell ref="D12:H12"/>
    <mergeCell ref="I12:K12"/>
    <mergeCell ref="A13:C13"/>
    <mergeCell ref="D13:H13"/>
    <mergeCell ref="I13:K13"/>
    <mergeCell ref="A14:C14"/>
    <mergeCell ref="D14:H14"/>
    <mergeCell ref="I14:K14"/>
    <mergeCell ref="A15:H15"/>
    <mergeCell ref="I15:K15"/>
    <mergeCell ref="N33:Q33"/>
    <mergeCell ref="S33:AF33"/>
    <mergeCell ref="N38:U38"/>
    <mergeCell ref="V38:W38"/>
    <mergeCell ref="X38:Y38"/>
    <mergeCell ref="Z38:AA38"/>
    <mergeCell ref="AB38:AC38"/>
    <mergeCell ref="AD38:AG38"/>
    <mergeCell ref="A1:O1"/>
    <mergeCell ref="A2:O2"/>
    <mergeCell ref="A3:C3"/>
    <mergeCell ref="D3:H3"/>
    <mergeCell ref="I3:K3"/>
    <mergeCell ref="L3:O8"/>
    <mergeCell ref="A4:C4"/>
    <mergeCell ref="D4:H4"/>
    <mergeCell ref="I4:K4"/>
    <mergeCell ref="A5:C5"/>
    <mergeCell ref="D5:H5"/>
    <mergeCell ref="I5:K5"/>
    <mergeCell ref="A6:C6"/>
    <mergeCell ref="D6:H6"/>
    <mergeCell ref="I6:K6"/>
    <mergeCell ref="A7:C7"/>
    <mergeCell ref="B53:S53"/>
    <mergeCell ref="T53:W53"/>
    <mergeCell ref="B55:Q55"/>
    <mergeCell ref="R55:S55"/>
    <mergeCell ref="T55:U55"/>
    <mergeCell ref="AD44:AG44"/>
    <mergeCell ref="N48:Y48"/>
    <mergeCell ref="Z48:AA48"/>
    <mergeCell ref="AB48:AC48"/>
    <mergeCell ref="AD48:AG48"/>
    <mergeCell ref="B46:S46"/>
    <mergeCell ref="T46:U46"/>
    <mergeCell ref="N44:U44"/>
    <mergeCell ref="V44:W44"/>
    <mergeCell ref="X44:Y44"/>
    <mergeCell ref="Z44:AA44"/>
    <mergeCell ref="AB44:AC44"/>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J32"/>
  <sheetViews>
    <sheetView tabSelected="1" topLeftCell="L15" workbookViewId="0">
      <selection activeCell="AF33" sqref="AF33"/>
    </sheetView>
  </sheetViews>
  <sheetFormatPr defaultRowHeight="13.2"/>
  <cols>
    <col min="1" max="1" width="14.109375" customWidth="1"/>
    <col min="2" max="3" width="5" bestFit="1" customWidth="1"/>
    <col min="4" max="4" width="5.109375" bestFit="1" customWidth="1"/>
    <col min="5" max="6" width="5" bestFit="1" customWidth="1"/>
    <col min="7" max="7" width="5.33203125" bestFit="1" customWidth="1"/>
    <col min="8" max="8" width="7.44140625" customWidth="1"/>
    <col min="9" max="9" width="8.88671875" bestFit="1" customWidth="1"/>
    <col min="10" max="10" width="12.44140625" bestFit="1" customWidth="1"/>
    <col min="11" max="11" width="4" customWidth="1"/>
    <col min="12" max="12" width="3.44140625" customWidth="1"/>
    <col min="13" max="13" width="6.44140625" customWidth="1"/>
    <col min="14" max="14" width="2.44140625" customWidth="1"/>
    <col min="15" max="15" width="8" customWidth="1"/>
    <col min="16" max="16" width="2.6640625" customWidth="1"/>
    <col min="17" max="17" width="8" customWidth="1"/>
    <col min="18" max="18" width="9.44140625" customWidth="1"/>
    <col min="19" max="19" width="2" customWidth="1"/>
    <col min="20" max="20" width="10.77734375" customWidth="1"/>
    <col min="21" max="21" width="8.6640625" customWidth="1"/>
    <col min="22" max="22" width="1.33203125" customWidth="1"/>
    <col min="24" max="24" width="10.44140625" bestFit="1" customWidth="1"/>
    <col min="25" max="25" width="9.33203125" bestFit="1" customWidth="1"/>
    <col min="26" max="26" width="13.21875" bestFit="1" customWidth="1"/>
    <col min="28" max="28" width="10.44140625" bestFit="1" customWidth="1"/>
    <col min="36" max="36" width="12.44140625" bestFit="1" customWidth="1"/>
  </cols>
  <sheetData>
    <row r="1" spans="1:27" ht="34.5" customHeight="1">
      <c r="U1" s="551"/>
      <c r="V1" s="551"/>
    </row>
    <row r="2" spans="1:27" ht="16.5" customHeight="1">
      <c r="U2" s="551"/>
      <c r="V2" s="551"/>
    </row>
    <row r="3" spans="1:27" ht="16.5" customHeight="1">
      <c r="U3" s="551"/>
      <c r="V3" s="551"/>
    </row>
    <row r="4" spans="1:27" ht="16.5" customHeight="1">
      <c r="U4" s="551"/>
      <c r="V4" s="551"/>
    </row>
    <row r="5" spans="1:27" ht="16.5" customHeight="1">
      <c r="U5" s="551"/>
      <c r="V5" s="551"/>
    </row>
    <row r="6" spans="1:27" ht="16.5" customHeight="1">
      <c r="U6" s="551"/>
      <c r="V6" s="551"/>
    </row>
    <row r="7" spans="1:27" ht="51" customHeight="1">
      <c r="O7" s="568"/>
      <c r="P7" s="568"/>
      <c r="U7" s="551"/>
      <c r="V7" s="551"/>
    </row>
    <row r="8" spans="1:27" ht="16.5" customHeight="1">
      <c r="U8" s="560"/>
      <c r="V8" s="560"/>
    </row>
    <row r="9" spans="1:27" ht="16.5" customHeight="1">
      <c r="U9" s="560"/>
      <c r="V9" s="560"/>
    </row>
    <row r="10" spans="1:27" ht="16.5" customHeight="1">
      <c r="U10" s="560"/>
      <c r="V10" s="560"/>
    </row>
    <row r="11" spans="1:27" ht="33" customHeight="1">
      <c r="U11" s="552"/>
      <c r="V11" s="552"/>
    </row>
    <row r="12" spans="1:27" ht="48.75" customHeight="1"/>
    <row r="13" spans="1:27" ht="33" customHeight="1">
      <c r="U13" s="552"/>
      <c r="V13" s="552"/>
    </row>
    <row r="14" spans="1:27" ht="44.4" customHeight="1">
      <c r="A14" s="774" t="s">
        <v>1151</v>
      </c>
      <c r="B14" s="774"/>
      <c r="C14" s="774"/>
      <c r="D14" s="774"/>
      <c r="E14" s="774"/>
      <c r="F14" s="774"/>
      <c r="G14" s="774"/>
      <c r="H14" s="774"/>
      <c r="I14" s="774"/>
      <c r="J14" s="774"/>
      <c r="K14" s="774"/>
      <c r="L14" s="774"/>
      <c r="M14" s="774"/>
      <c r="N14" s="774"/>
      <c r="O14" s="774"/>
      <c r="P14" s="774"/>
      <c r="Q14" s="774"/>
      <c r="R14" s="774"/>
      <c r="S14" s="774"/>
      <c r="T14" s="774"/>
      <c r="U14" s="774"/>
    </row>
    <row r="15" spans="1:27" ht="16.5" customHeight="1">
      <c r="A15" s="187" t="s">
        <v>109</v>
      </c>
      <c r="B15" s="187" t="s">
        <v>110</v>
      </c>
      <c r="C15" s="187" t="s">
        <v>111</v>
      </c>
      <c r="D15" s="187" t="s">
        <v>112</v>
      </c>
      <c r="E15" s="187" t="s">
        <v>113</v>
      </c>
      <c r="F15" s="187" t="s">
        <v>114</v>
      </c>
      <c r="G15" s="187" t="s">
        <v>115</v>
      </c>
      <c r="H15" s="187" t="s">
        <v>116</v>
      </c>
      <c r="I15" s="209" t="s">
        <v>117</v>
      </c>
      <c r="J15" s="187" t="s">
        <v>118</v>
      </c>
      <c r="X15" s="184" t="s">
        <v>93</v>
      </c>
      <c r="Y15" s="209" t="s">
        <v>117</v>
      </c>
      <c r="Z15" s="187" t="s">
        <v>118</v>
      </c>
      <c r="AA15" s="187" t="s">
        <v>110</v>
      </c>
    </row>
    <row r="16" spans="1:27" ht="16.5" customHeight="1">
      <c r="A16" s="184" t="s">
        <v>119</v>
      </c>
      <c r="B16" s="185">
        <v>2000</v>
      </c>
      <c r="C16" s="185">
        <v>1500</v>
      </c>
      <c r="D16" s="185">
        <v>300</v>
      </c>
      <c r="E16" s="185">
        <v>1400</v>
      </c>
      <c r="F16" s="185">
        <v>1000</v>
      </c>
      <c r="G16" s="185">
        <v>1400</v>
      </c>
      <c r="H16" s="185">
        <v>7600</v>
      </c>
      <c r="I16" s="185">
        <v>10000</v>
      </c>
      <c r="J16" s="184" t="s">
        <v>120</v>
      </c>
      <c r="N16" s="784" t="s">
        <v>93</v>
      </c>
      <c r="O16" s="785"/>
      <c r="X16" s="184" t="s">
        <v>19</v>
      </c>
    </row>
    <row r="17" spans="1:36" ht="16.5" customHeight="1">
      <c r="A17" s="184" t="s">
        <v>95</v>
      </c>
      <c r="B17" s="185">
        <v>5000</v>
      </c>
      <c r="C17" s="185">
        <v>1200</v>
      </c>
      <c r="D17" s="185">
        <v>500</v>
      </c>
      <c r="E17" s="185">
        <v>1200</v>
      </c>
      <c r="F17" s="185">
        <v>1200</v>
      </c>
      <c r="G17" s="185">
        <v>2800</v>
      </c>
      <c r="H17" s="185">
        <v>11900</v>
      </c>
      <c r="I17" s="185">
        <v>12000</v>
      </c>
      <c r="J17" s="184" t="s">
        <v>120</v>
      </c>
      <c r="N17" s="784" t="s">
        <v>19</v>
      </c>
      <c r="O17" s="785"/>
      <c r="Y17" s="209" t="s">
        <v>117</v>
      </c>
      <c r="Z17" s="187" t="s">
        <v>118</v>
      </c>
      <c r="AB17" s="187" t="s">
        <v>109</v>
      </c>
    </row>
    <row r="18" spans="1:36" ht="16.5" customHeight="1">
      <c r="A18" s="184" t="s">
        <v>93</v>
      </c>
      <c r="B18" s="185">
        <v>3000</v>
      </c>
      <c r="C18" s="185">
        <v>800</v>
      </c>
      <c r="D18" s="185">
        <v>1200</v>
      </c>
      <c r="E18" s="185">
        <v>3000</v>
      </c>
      <c r="F18" s="185">
        <v>1500</v>
      </c>
      <c r="G18" s="185">
        <v>3500</v>
      </c>
      <c r="H18" s="185">
        <v>13000</v>
      </c>
      <c r="I18" s="185">
        <v>18000</v>
      </c>
      <c r="J18" s="184" t="s">
        <v>120</v>
      </c>
      <c r="W18">
        <v>3</v>
      </c>
      <c r="X18" s="184" t="s">
        <v>19</v>
      </c>
      <c r="Y18" cm="1">
        <f t="array" ref="Y18">VLOOKUP(X18,A15:J26,{9},0)</f>
        <v>10000</v>
      </c>
      <c r="Z18" t="str">
        <f t="array" ref="Z18">VLOOKUP(X18,A15:J26,{10},0)</f>
        <v>ACHIEVED</v>
      </c>
      <c r="AB18">
        <v>2000</v>
      </c>
      <c r="AC18">
        <v>2500</v>
      </c>
    </row>
    <row r="19" spans="1:36" ht="16.5" customHeight="1">
      <c r="A19" s="184" t="s">
        <v>19</v>
      </c>
      <c r="B19" s="185">
        <v>1000</v>
      </c>
      <c r="C19" s="185">
        <v>900</v>
      </c>
      <c r="D19" s="185">
        <v>1800</v>
      </c>
      <c r="E19" s="185">
        <v>5000</v>
      </c>
      <c r="F19" s="185">
        <v>1400</v>
      </c>
      <c r="G19" s="185">
        <v>1200</v>
      </c>
      <c r="H19" s="185">
        <v>11300</v>
      </c>
      <c r="I19" s="185">
        <v>10000</v>
      </c>
      <c r="J19" s="184" t="s">
        <v>1137</v>
      </c>
      <c r="X19" s="184" t="s">
        <v>93</v>
      </c>
      <c r="Y19">
        <f t="array" ref="Y19">VLOOKUP(X19,A16:J27,{9,10},0)</f>
        <v>18000</v>
      </c>
      <c r="Z19" t="str">
        <f t="array" ref="Z19">VLOOKUP(X19,A16:J27,{10},0)</f>
        <v>NOT ACHIVED</v>
      </c>
    </row>
    <row r="20" spans="1:36" ht="16.5" customHeight="1">
      <c r="A20" s="184" t="s">
        <v>16</v>
      </c>
      <c r="B20" s="185">
        <v>500</v>
      </c>
      <c r="C20" s="185">
        <v>1000</v>
      </c>
      <c r="D20" s="185">
        <v>2300</v>
      </c>
      <c r="E20" s="185">
        <v>8000</v>
      </c>
      <c r="F20" s="185">
        <v>1700</v>
      </c>
      <c r="G20" s="185">
        <v>1400</v>
      </c>
      <c r="H20" s="185">
        <v>14900</v>
      </c>
      <c r="I20" s="185">
        <v>12000</v>
      </c>
      <c r="J20" s="184" t="s">
        <v>1137</v>
      </c>
      <c r="AA20" s="187" t="s">
        <v>109</v>
      </c>
      <c r="AB20" s="187" t="s">
        <v>110</v>
      </c>
      <c r="AC20" s="187" t="s">
        <v>111</v>
      </c>
      <c r="AD20" s="187" t="s">
        <v>112</v>
      </c>
      <c r="AE20" s="187" t="s">
        <v>113</v>
      </c>
      <c r="AF20" s="187" t="s">
        <v>114</v>
      </c>
      <c r="AG20" s="187" t="s">
        <v>115</v>
      </c>
      <c r="AH20" s="187" t="s">
        <v>116</v>
      </c>
      <c r="AI20" s="209" t="s">
        <v>117</v>
      </c>
      <c r="AJ20" s="187" t="s">
        <v>118</v>
      </c>
    </row>
    <row r="21" spans="1:36" ht="16.5" customHeight="1">
      <c r="A21" s="184" t="s">
        <v>14</v>
      </c>
      <c r="B21" s="185">
        <v>800</v>
      </c>
      <c r="C21" s="185">
        <v>500</v>
      </c>
      <c r="D21" s="185">
        <v>2400</v>
      </c>
      <c r="E21" s="185">
        <v>1900</v>
      </c>
      <c r="F21" s="185">
        <v>1800</v>
      </c>
      <c r="G21" s="185">
        <v>1800</v>
      </c>
      <c r="H21" s="185">
        <v>9200</v>
      </c>
      <c r="I21" s="185">
        <v>10000</v>
      </c>
      <c r="J21" s="184" t="s">
        <v>120</v>
      </c>
      <c r="W21">
        <v>4</v>
      </c>
      <c r="X21" s="187" t="s">
        <v>109</v>
      </c>
      <c r="Y21" s="184" t="s">
        <v>1137</v>
      </c>
      <c r="AA21" s="184" t="s">
        <v>119</v>
      </c>
      <c r="AB21" s="185">
        <v>2000</v>
      </c>
      <c r="AC21" s="185">
        <v>2500</v>
      </c>
      <c r="AD21" s="185">
        <v>300</v>
      </c>
      <c r="AE21" s="185">
        <v>1400</v>
      </c>
      <c r="AF21" s="185">
        <v>1000</v>
      </c>
      <c r="AG21" s="185">
        <v>1400</v>
      </c>
      <c r="AH21" s="185">
        <v>7600</v>
      </c>
      <c r="AI21" s="185">
        <v>10000</v>
      </c>
      <c r="AJ21" s="184" t="s">
        <v>120</v>
      </c>
    </row>
    <row r="22" spans="1:36" ht="16.5" customHeight="1">
      <c r="A22" s="184" t="s">
        <v>121</v>
      </c>
      <c r="B22" s="185">
        <v>1200</v>
      </c>
      <c r="C22" s="185">
        <v>1400</v>
      </c>
      <c r="D22" s="185">
        <v>1500</v>
      </c>
      <c r="E22" s="185">
        <v>700</v>
      </c>
      <c r="F22" s="185">
        <v>2500</v>
      </c>
      <c r="G22" s="185">
        <v>7000</v>
      </c>
      <c r="H22" s="185">
        <v>14300</v>
      </c>
      <c r="I22" s="185">
        <v>12000</v>
      </c>
      <c r="J22" s="184" t="s">
        <v>1137</v>
      </c>
      <c r="Y22">
        <f>COUNTIF(J15:J26,Y21)</f>
        <v>5</v>
      </c>
      <c r="AA22" s="184" t="s">
        <v>95</v>
      </c>
      <c r="AB22" s="185">
        <v>5000</v>
      </c>
      <c r="AC22" s="185">
        <v>1200</v>
      </c>
      <c r="AD22" s="185">
        <v>500</v>
      </c>
      <c r="AE22" s="185">
        <v>1200</v>
      </c>
      <c r="AF22" s="185">
        <v>1200</v>
      </c>
      <c r="AG22" s="185">
        <v>2800</v>
      </c>
      <c r="AH22" s="185">
        <v>11900</v>
      </c>
      <c r="AI22" s="185">
        <v>12000</v>
      </c>
      <c r="AJ22" s="184" t="s">
        <v>120</v>
      </c>
    </row>
    <row r="23" spans="1:36" ht="16.5" customHeight="1">
      <c r="A23" s="184" t="s">
        <v>122</v>
      </c>
      <c r="B23" s="185">
        <v>1500</v>
      </c>
      <c r="C23" s="185">
        <v>1800</v>
      </c>
      <c r="D23" s="185">
        <v>1800</v>
      </c>
      <c r="E23" s="185">
        <v>1800</v>
      </c>
      <c r="F23" s="185">
        <v>300</v>
      </c>
      <c r="G23" s="185">
        <v>1500</v>
      </c>
      <c r="H23" s="185">
        <v>8700</v>
      </c>
      <c r="I23" s="185">
        <v>10000</v>
      </c>
      <c r="J23" s="184" t="s">
        <v>120</v>
      </c>
      <c r="Y23" s="209" t="s">
        <v>117</v>
      </c>
      <c r="Z23" s="187" t="s">
        <v>118</v>
      </c>
      <c r="AA23" s="184" t="s">
        <v>93</v>
      </c>
      <c r="AB23" s="185">
        <v>3000</v>
      </c>
      <c r="AC23" s="185">
        <v>800</v>
      </c>
      <c r="AD23" s="185">
        <v>1200</v>
      </c>
      <c r="AE23" s="185">
        <v>3000</v>
      </c>
      <c r="AF23" s="185">
        <v>1500</v>
      </c>
      <c r="AG23" s="185">
        <v>3500</v>
      </c>
      <c r="AH23" s="185">
        <v>13000</v>
      </c>
      <c r="AI23" s="185">
        <v>18000</v>
      </c>
      <c r="AJ23" s="184" t="s">
        <v>120</v>
      </c>
    </row>
    <row r="24" spans="1:36" ht="16.5" customHeight="1">
      <c r="A24" s="184" t="s">
        <v>123</v>
      </c>
      <c r="B24" s="185">
        <v>1800</v>
      </c>
      <c r="C24" s="185">
        <v>2500</v>
      </c>
      <c r="D24" s="185">
        <v>1700</v>
      </c>
      <c r="E24" s="185">
        <v>1500</v>
      </c>
      <c r="F24" s="185">
        <v>2800</v>
      </c>
      <c r="G24" s="185">
        <v>1800</v>
      </c>
      <c r="H24" s="185">
        <v>12100</v>
      </c>
      <c r="I24" s="185">
        <v>12000</v>
      </c>
      <c r="J24" s="184" t="s">
        <v>1137</v>
      </c>
      <c r="W24">
        <v>1</v>
      </c>
      <c r="X24" s="184" t="s">
        <v>121</v>
      </c>
      <c r="Y24">
        <f t="array" ref="Y24:Z24">VLOOKUP(X24,A15:J26,{9,10},0)</f>
        <v>12000</v>
      </c>
      <c r="Z24" t="str">
        <v>ACHIEVED</v>
      </c>
      <c r="AA24" s="184" t="s">
        <v>19</v>
      </c>
      <c r="AB24" s="185">
        <v>1000</v>
      </c>
      <c r="AC24" s="185">
        <v>900</v>
      </c>
      <c r="AD24" s="185">
        <v>1800</v>
      </c>
      <c r="AE24" s="185">
        <v>5000</v>
      </c>
      <c r="AF24" s="185">
        <v>1400</v>
      </c>
      <c r="AG24" s="185">
        <v>1200</v>
      </c>
      <c r="AH24" s="185">
        <v>11300</v>
      </c>
      <c r="AI24" s="185">
        <v>10000</v>
      </c>
      <c r="AJ24" s="184" t="s">
        <v>1137</v>
      </c>
    </row>
    <row r="25" spans="1:36" ht="16.5" customHeight="1">
      <c r="A25" s="184" t="s">
        <v>124</v>
      </c>
      <c r="B25" s="185">
        <v>200</v>
      </c>
      <c r="C25" s="185">
        <v>3000</v>
      </c>
      <c r="D25" s="185">
        <v>1900</v>
      </c>
      <c r="E25" s="185">
        <v>1200</v>
      </c>
      <c r="F25" s="185">
        <v>1500</v>
      </c>
      <c r="G25" s="185">
        <v>3000</v>
      </c>
      <c r="H25" s="185">
        <v>10800</v>
      </c>
      <c r="I25" s="185">
        <v>10000</v>
      </c>
      <c r="J25" s="184" t="s">
        <v>1137</v>
      </c>
      <c r="AA25" s="184" t="s">
        <v>16</v>
      </c>
      <c r="AB25" s="185">
        <v>500</v>
      </c>
      <c r="AC25" s="185">
        <v>1000</v>
      </c>
      <c r="AD25" s="185">
        <v>2300</v>
      </c>
      <c r="AE25" s="185">
        <v>8000</v>
      </c>
      <c r="AF25" s="185">
        <v>1700</v>
      </c>
      <c r="AG25" s="185">
        <v>1400</v>
      </c>
      <c r="AH25" s="185">
        <v>14900</v>
      </c>
      <c r="AI25" s="185">
        <v>12000</v>
      </c>
      <c r="AJ25" s="184" t="s">
        <v>1137</v>
      </c>
    </row>
    <row r="26" spans="1:36" ht="16.5" customHeight="1">
      <c r="A26" s="184" t="s">
        <v>125</v>
      </c>
      <c r="B26" s="185">
        <v>1600</v>
      </c>
      <c r="C26" s="185">
        <v>1200</v>
      </c>
      <c r="D26" s="185">
        <v>2000</v>
      </c>
      <c r="E26" s="185">
        <v>800</v>
      </c>
      <c r="F26" s="185">
        <v>1700</v>
      </c>
      <c r="G26" s="185">
        <v>800</v>
      </c>
      <c r="H26" s="185">
        <v>8100</v>
      </c>
      <c r="I26" s="185">
        <v>10000</v>
      </c>
      <c r="J26" s="184" t="s">
        <v>120</v>
      </c>
      <c r="AA26" s="184" t="s">
        <v>14</v>
      </c>
      <c r="AB26" s="185">
        <v>800</v>
      </c>
      <c r="AC26" s="185">
        <v>500</v>
      </c>
      <c r="AD26" s="185">
        <v>2400</v>
      </c>
      <c r="AE26" s="185">
        <v>1900</v>
      </c>
      <c r="AF26" s="185">
        <v>1800</v>
      </c>
      <c r="AG26" s="185">
        <v>1800</v>
      </c>
      <c r="AH26" s="185">
        <v>9200</v>
      </c>
      <c r="AI26" s="185">
        <v>10000</v>
      </c>
      <c r="AJ26" s="184" t="s">
        <v>120</v>
      </c>
    </row>
    <row r="27" spans="1:36" ht="23.4" customHeight="1">
      <c r="A27" s="558" t="s">
        <v>1138</v>
      </c>
      <c r="B27" s="558"/>
      <c r="C27" s="558"/>
      <c r="D27" s="558"/>
      <c r="E27" s="558"/>
      <c r="F27" s="558"/>
      <c r="G27" s="558"/>
      <c r="H27" s="558"/>
      <c r="I27" s="558"/>
      <c r="J27" s="558"/>
      <c r="K27" s="558"/>
      <c r="L27" s="558"/>
      <c r="M27" s="558"/>
      <c r="N27" s="548"/>
      <c r="O27" s="548"/>
      <c r="P27" s="558" t="s">
        <v>1152</v>
      </c>
      <c r="Q27" s="558"/>
      <c r="R27" s="558"/>
      <c r="S27" s="558"/>
      <c r="T27" s="558"/>
      <c r="U27" s="558"/>
      <c r="AA27" s="184" t="s">
        <v>121</v>
      </c>
      <c r="AB27" s="185">
        <v>1200</v>
      </c>
      <c r="AC27" s="185">
        <v>1400</v>
      </c>
      <c r="AD27" s="185">
        <v>1500</v>
      </c>
      <c r="AE27" s="185">
        <v>700</v>
      </c>
      <c r="AF27" s="185">
        <v>2500</v>
      </c>
      <c r="AG27" s="185">
        <v>7000</v>
      </c>
      <c r="AH27" s="185">
        <v>14300</v>
      </c>
      <c r="AI27" s="185">
        <v>12000</v>
      </c>
      <c r="AJ27" s="184" t="s">
        <v>1137</v>
      </c>
    </row>
    <row r="28" spans="1:36" ht="16.5" customHeight="1">
      <c r="A28" s="536" t="s">
        <v>1140</v>
      </c>
      <c r="B28" s="536"/>
      <c r="C28" s="536"/>
      <c r="D28" s="536"/>
      <c r="E28" s="536"/>
      <c r="F28" s="536"/>
      <c r="G28" s="536"/>
      <c r="H28" s="536"/>
      <c r="I28" s="536"/>
      <c r="J28" s="560"/>
      <c r="K28" s="560"/>
      <c r="L28" s="560"/>
      <c r="M28" s="560"/>
      <c r="N28" s="560"/>
      <c r="O28" s="560"/>
      <c r="P28" s="536" t="s">
        <v>1153</v>
      </c>
      <c r="Q28" s="536"/>
      <c r="R28" s="536"/>
      <c r="S28" s="536"/>
      <c r="T28" s="560"/>
      <c r="U28" s="560"/>
      <c r="X28">
        <v>6</v>
      </c>
      <c r="Y28" s="187" t="s">
        <v>110</v>
      </c>
      <c r="Z28" s="187" t="s">
        <v>112</v>
      </c>
      <c r="AA28" s="184" t="s">
        <v>122</v>
      </c>
      <c r="AB28" s="185">
        <v>1500</v>
      </c>
      <c r="AC28" s="185">
        <v>1800</v>
      </c>
      <c r="AD28" s="185">
        <v>1800</v>
      </c>
      <c r="AE28" s="185">
        <v>1800</v>
      </c>
      <c r="AF28" s="185">
        <v>300</v>
      </c>
      <c r="AG28" s="185">
        <v>1500</v>
      </c>
      <c r="AH28" s="185">
        <v>8700</v>
      </c>
      <c r="AI28" s="185">
        <v>10000</v>
      </c>
      <c r="AJ28" s="184" t="s">
        <v>120</v>
      </c>
    </row>
    <row r="29" spans="1:36" ht="16.5" customHeight="1">
      <c r="A29" s="536" t="s">
        <v>1142</v>
      </c>
      <c r="B29" s="536"/>
      <c r="C29" s="536"/>
      <c r="D29" s="536"/>
      <c r="E29" s="536"/>
      <c r="F29" s="536"/>
      <c r="G29" s="536"/>
      <c r="H29" s="536"/>
      <c r="I29" s="536"/>
      <c r="J29" s="560"/>
      <c r="K29" s="560"/>
      <c r="L29" s="560"/>
      <c r="M29" s="560"/>
      <c r="N29" s="560"/>
      <c r="O29" s="560"/>
      <c r="P29" s="536" t="s">
        <v>1154</v>
      </c>
      <c r="Q29" s="536"/>
      <c r="R29" s="536"/>
      <c r="S29" s="536"/>
      <c r="T29" s="560"/>
      <c r="U29" s="560"/>
      <c r="Y29" s="206" t="s">
        <v>1236</v>
      </c>
      <c r="Z29" s="206" t="s">
        <v>1237</v>
      </c>
      <c r="AA29" s="184" t="s">
        <v>123</v>
      </c>
      <c r="AB29" s="185">
        <v>1800</v>
      </c>
      <c r="AC29" s="185">
        <v>2500</v>
      </c>
      <c r="AD29" s="185">
        <v>1700</v>
      </c>
      <c r="AE29" s="185">
        <v>1500</v>
      </c>
      <c r="AF29" s="185">
        <v>2800</v>
      </c>
      <c r="AG29" s="185">
        <v>1800</v>
      </c>
      <c r="AH29" s="185">
        <v>12100</v>
      </c>
      <c r="AI29" s="185">
        <v>12000</v>
      </c>
      <c r="AJ29" s="184" t="s">
        <v>1137</v>
      </c>
    </row>
    <row r="30" spans="1:36" ht="16.5" customHeight="1">
      <c r="A30" s="536" t="s">
        <v>1144</v>
      </c>
      <c r="B30" s="536"/>
      <c r="C30" s="536"/>
      <c r="D30" s="536"/>
      <c r="E30" s="536"/>
      <c r="F30" s="536"/>
      <c r="G30" s="536"/>
      <c r="H30" s="536"/>
      <c r="I30" s="536"/>
      <c r="J30" s="536"/>
      <c r="K30" s="536"/>
      <c r="L30" s="536"/>
      <c r="M30" s="536"/>
      <c r="N30" s="560"/>
      <c r="O30" s="560"/>
      <c r="P30" s="536" t="s">
        <v>1155</v>
      </c>
      <c r="Q30" s="536"/>
      <c r="R30" s="536"/>
      <c r="S30" s="536"/>
      <c r="T30" s="560"/>
      <c r="U30" s="560"/>
      <c r="AA30" s="184" t="s">
        <v>124</v>
      </c>
      <c r="AB30" s="185">
        <v>200</v>
      </c>
      <c r="AC30" s="185">
        <v>3000</v>
      </c>
      <c r="AD30" s="185">
        <v>1900</v>
      </c>
      <c r="AE30" s="185">
        <v>1200</v>
      </c>
      <c r="AF30" s="185">
        <v>1500</v>
      </c>
      <c r="AG30" s="185">
        <v>3000</v>
      </c>
      <c r="AH30" s="185">
        <v>10800</v>
      </c>
      <c r="AI30" s="185">
        <v>10000</v>
      </c>
      <c r="AJ30" s="184" t="s">
        <v>1137</v>
      </c>
    </row>
    <row r="31" spans="1:36" ht="33" customHeight="1">
      <c r="A31" s="551" t="s">
        <v>1156</v>
      </c>
      <c r="B31" s="551"/>
      <c r="C31" s="551"/>
      <c r="D31" s="551"/>
      <c r="E31" s="551"/>
      <c r="F31" s="551"/>
      <c r="G31" s="551"/>
      <c r="H31" s="551"/>
      <c r="I31" s="551"/>
      <c r="J31" s="551"/>
      <c r="K31" s="551"/>
      <c r="L31" s="551"/>
      <c r="M31" s="551"/>
      <c r="N31" s="551"/>
      <c r="O31" s="551"/>
      <c r="P31" s="549" t="s">
        <v>1154</v>
      </c>
      <c r="Q31" s="549"/>
      <c r="R31" s="549"/>
      <c r="S31" s="549"/>
      <c r="T31" s="552"/>
      <c r="U31" s="552"/>
      <c r="AA31" s="184" t="s">
        <v>125</v>
      </c>
      <c r="AB31" s="185">
        <v>1600</v>
      </c>
      <c r="AC31" s="185">
        <v>1200</v>
      </c>
      <c r="AD31" s="185">
        <v>2000</v>
      </c>
      <c r="AE31" s="185">
        <v>800</v>
      </c>
      <c r="AF31" s="185">
        <v>1700</v>
      </c>
      <c r="AG31" s="185">
        <v>800</v>
      </c>
      <c r="AH31" s="185">
        <v>8100</v>
      </c>
      <c r="AI31" s="185">
        <v>10000</v>
      </c>
      <c r="AJ31" s="184" t="s">
        <v>120</v>
      </c>
    </row>
    <row r="32" spans="1:36" ht="33" customHeight="1">
      <c r="A32" s="551" t="s">
        <v>1157</v>
      </c>
      <c r="B32" s="551"/>
      <c r="C32" s="551"/>
      <c r="D32" s="551"/>
      <c r="E32" s="551"/>
      <c r="F32" s="551"/>
      <c r="G32" s="551"/>
      <c r="H32" s="551"/>
      <c r="I32" s="551"/>
      <c r="J32" s="551"/>
      <c r="K32" s="551"/>
      <c r="L32" s="551"/>
      <c r="M32" s="551"/>
      <c r="N32" s="552"/>
      <c r="O32" s="552"/>
      <c r="P32" s="549" t="s">
        <v>1158</v>
      </c>
      <c r="Q32" s="549"/>
      <c r="R32" s="549"/>
      <c r="S32" s="549"/>
      <c r="T32" s="549"/>
      <c r="U32" s="549"/>
    </row>
  </sheetData>
  <autoFilter ref="A14:U32" xr:uid="{00000000-0001-0000-1B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36">
    <mergeCell ref="N16:O16"/>
    <mergeCell ref="N17:O17"/>
    <mergeCell ref="A31:O31"/>
    <mergeCell ref="P31:S31"/>
    <mergeCell ref="T31:U31"/>
    <mergeCell ref="A27:M27"/>
    <mergeCell ref="N27:O27"/>
    <mergeCell ref="P27:U27"/>
    <mergeCell ref="A28:I28"/>
    <mergeCell ref="J28:K28"/>
    <mergeCell ref="L28:M28"/>
    <mergeCell ref="N28:O28"/>
    <mergeCell ref="P28:S28"/>
    <mergeCell ref="T28:U28"/>
    <mergeCell ref="A32:M32"/>
    <mergeCell ref="N32:O32"/>
    <mergeCell ref="P32:U32"/>
    <mergeCell ref="A29:I29"/>
    <mergeCell ref="J29:K29"/>
    <mergeCell ref="L29:M29"/>
    <mergeCell ref="N29:O29"/>
    <mergeCell ref="P29:S29"/>
    <mergeCell ref="T29:U29"/>
    <mergeCell ref="A30:M30"/>
    <mergeCell ref="N30:O30"/>
    <mergeCell ref="P30:S30"/>
    <mergeCell ref="T30:U30"/>
    <mergeCell ref="U10:V10"/>
    <mergeCell ref="U11:V11"/>
    <mergeCell ref="U13:V13"/>
    <mergeCell ref="A14:U14"/>
    <mergeCell ref="U1:V6"/>
    <mergeCell ref="O7:P7"/>
    <mergeCell ref="U7:V7"/>
    <mergeCell ref="U8:V8"/>
    <mergeCell ref="U9:V9"/>
  </mergeCells>
  <conditionalFormatting sqref="B16:B26">
    <cfRule type="cellIs" dxfId="1" priority="2" operator="between">
      <formula>"&gt;2000"</formula>
      <formula>"&lt;5000"</formula>
    </cfRule>
  </conditionalFormatting>
  <conditionalFormatting sqref="AB21:AB31">
    <cfRule type="cellIs" dxfId="0" priority="1" operator="between">
      <formula>"&gt;2000"</formula>
      <formula>"&lt;5000"</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33"/>
  <sheetViews>
    <sheetView zoomScale="68" workbookViewId="0">
      <selection activeCell="F4" sqref="F4"/>
    </sheetView>
  </sheetViews>
  <sheetFormatPr defaultRowHeight="13.2"/>
  <cols>
    <col min="1" max="1" width="22.77734375" customWidth="1"/>
    <col min="2" max="2" width="30.109375" customWidth="1"/>
    <col min="3" max="3" width="20.33203125" bestFit="1" customWidth="1"/>
    <col min="4" max="4" width="20.6640625" customWidth="1"/>
    <col min="5" max="5" width="22" customWidth="1"/>
    <col min="6" max="6" width="48.6640625" customWidth="1"/>
    <col min="7" max="7" width="37.44140625" customWidth="1"/>
    <col min="12" max="12" width="15.33203125" bestFit="1" customWidth="1"/>
  </cols>
  <sheetData>
    <row r="1" spans="1:12" ht="21" customHeight="1">
      <c r="A1" s="786" t="s">
        <v>1159</v>
      </c>
      <c r="B1" s="786"/>
      <c r="C1" s="786"/>
      <c r="D1" s="786"/>
      <c r="E1" s="786"/>
      <c r="F1" s="786"/>
    </row>
    <row r="2" spans="1:12" ht="28.5" customHeight="1">
      <c r="A2" s="787" t="s">
        <v>1160</v>
      </c>
      <c r="B2" s="787"/>
      <c r="C2" s="787"/>
      <c r="D2" s="787"/>
      <c r="E2" s="787"/>
      <c r="F2" s="787"/>
    </row>
    <row r="3" spans="1:12" ht="16.5" customHeight="1">
      <c r="A3" s="5" t="s">
        <v>1161</v>
      </c>
      <c r="B3" s="5" t="s">
        <v>1162</v>
      </c>
      <c r="C3" s="114" t="s">
        <v>1163</v>
      </c>
      <c r="D3" s="5" t="s">
        <v>1164</v>
      </c>
      <c r="E3" s="5" t="s">
        <v>1165</v>
      </c>
      <c r="F3" s="528" t="s">
        <v>1321</v>
      </c>
      <c r="G3" s="517">
        <f ca="1">TODAY()</f>
        <v>45601</v>
      </c>
      <c r="H3" s="514">
        <v>16177</v>
      </c>
      <c r="I3">
        <v>44</v>
      </c>
      <c r="J3" t="str">
        <f>IF(I3&gt;20,"adult","child")</f>
        <v>adult</v>
      </c>
      <c r="L3" s="523">
        <f ca="1">TODAY()-B4</f>
        <v>16245</v>
      </c>
    </row>
    <row r="4" spans="1:12" ht="16.5" customHeight="1">
      <c r="A4" s="5" t="s">
        <v>119</v>
      </c>
      <c r="B4" s="29">
        <v>29356</v>
      </c>
      <c r="C4" s="524" t="str">
        <f>TEXT(B4,"dddd")</f>
        <v>Thursday</v>
      </c>
      <c r="D4" s="512" t="str">
        <f>TEXT(B4,"mmmm")</f>
        <v>May</v>
      </c>
      <c r="E4" s="522" t="str">
        <f>TEXT(B4,"yyyy")</f>
        <v>1980</v>
      </c>
      <c r="F4" s="527">
        <f ca="1">TODAY()-B4</f>
        <v>16245</v>
      </c>
      <c r="G4" s="517">
        <f t="shared" ref="G4:G14" ca="1" si="0">TODAY()</f>
        <v>45601</v>
      </c>
      <c r="H4" s="514">
        <v>15715</v>
      </c>
      <c r="I4">
        <v>43</v>
      </c>
      <c r="J4" t="str">
        <f t="shared" ref="J4:J14" si="1">IF(I4&gt;20,"adult","child")</f>
        <v>adult</v>
      </c>
      <c r="L4" s="523">
        <f t="shared" ref="L4:L13" ca="1" si="2">TODAY()-B5</f>
        <v>15783</v>
      </c>
    </row>
    <row r="5" spans="1:12" ht="16.5" customHeight="1">
      <c r="A5" s="5" t="s">
        <v>95</v>
      </c>
      <c r="B5" s="29">
        <v>29818</v>
      </c>
      <c r="C5" s="524" t="str">
        <f t="shared" ref="C5:C14" si="3">TEXT(B5,"dddd")</f>
        <v>Thursday</v>
      </c>
      <c r="D5" s="512" t="str">
        <f t="shared" ref="D5:D14" si="4">TEXT(B5,"mmmm")</f>
        <v>August</v>
      </c>
      <c r="E5" s="522" t="str">
        <f t="shared" ref="E5:E14" si="5">TEXT(B5,"yyyy")</f>
        <v>1981</v>
      </c>
      <c r="F5" s="527">
        <f t="shared" ref="F5:F14" ca="1" si="6">TODAY()-B5</f>
        <v>15783</v>
      </c>
      <c r="G5" s="517">
        <f t="shared" ca="1" si="0"/>
        <v>45601</v>
      </c>
      <c r="H5" s="514">
        <v>7624</v>
      </c>
      <c r="I5">
        <v>20</v>
      </c>
      <c r="J5" t="str">
        <f t="shared" si="1"/>
        <v>child</v>
      </c>
      <c r="L5" s="523">
        <f t="shared" ca="1" si="2"/>
        <v>7692</v>
      </c>
    </row>
    <row r="6" spans="1:12" ht="16.5" customHeight="1">
      <c r="A6" s="5" t="s">
        <v>93</v>
      </c>
      <c r="B6" s="29">
        <v>37909</v>
      </c>
      <c r="C6" s="524" t="str">
        <f t="shared" si="3"/>
        <v>Wednesday</v>
      </c>
      <c r="D6" s="512" t="str">
        <f t="shared" si="4"/>
        <v>October</v>
      </c>
      <c r="E6" s="522" t="str">
        <f t="shared" si="5"/>
        <v>2003</v>
      </c>
      <c r="F6" s="527">
        <f t="shared" ca="1" si="6"/>
        <v>7692</v>
      </c>
      <c r="G6" s="517">
        <f t="shared" ca="1" si="0"/>
        <v>45601</v>
      </c>
      <c r="H6" s="514">
        <v>12515</v>
      </c>
      <c r="I6">
        <v>34</v>
      </c>
      <c r="J6" t="str">
        <f t="shared" si="1"/>
        <v>adult</v>
      </c>
      <c r="L6" s="523">
        <f t="shared" ca="1" si="2"/>
        <v>12583</v>
      </c>
    </row>
    <row r="7" spans="1:12" ht="16.5" customHeight="1">
      <c r="A7" s="5" t="s">
        <v>19</v>
      </c>
      <c r="B7" s="29">
        <v>33018</v>
      </c>
      <c r="C7" s="524" t="str">
        <f t="shared" si="3"/>
        <v>Friday</v>
      </c>
      <c r="D7" s="512" t="str">
        <f t="shared" si="4"/>
        <v>May</v>
      </c>
      <c r="E7" s="522" t="str">
        <f t="shared" si="5"/>
        <v>1990</v>
      </c>
      <c r="F7" s="527">
        <f t="shared" ca="1" si="6"/>
        <v>12583</v>
      </c>
      <c r="G7" s="517">
        <f t="shared" ca="1" si="0"/>
        <v>45601</v>
      </c>
      <c r="H7" s="514">
        <v>11693</v>
      </c>
      <c r="I7">
        <v>32</v>
      </c>
      <c r="J7" t="str">
        <f t="shared" si="1"/>
        <v>adult</v>
      </c>
      <c r="L7" s="523">
        <f t="shared" ca="1" si="2"/>
        <v>11761</v>
      </c>
    </row>
    <row r="8" spans="1:12" ht="16.5" customHeight="1">
      <c r="A8" s="5" t="s">
        <v>16</v>
      </c>
      <c r="B8" s="29">
        <v>33840</v>
      </c>
      <c r="C8" s="524" t="str">
        <f t="shared" si="3"/>
        <v>Monday</v>
      </c>
      <c r="D8" s="512" t="str">
        <f t="shared" si="4"/>
        <v>August</v>
      </c>
      <c r="E8" s="522" t="str">
        <f t="shared" si="5"/>
        <v>1992</v>
      </c>
      <c r="F8" s="527">
        <f t="shared" ca="1" si="6"/>
        <v>11761</v>
      </c>
      <c r="G8" s="517">
        <f t="shared" ca="1" si="0"/>
        <v>45601</v>
      </c>
      <c r="H8" s="514">
        <v>9503</v>
      </c>
      <c r="I8">
        <v>26</v>
      </c>
      <c r="J8" t="str">
        <f t="shared" si="1"/>
        <v>adult</v>
      </c>
      <c r="L8" s="523">
        <f t="shared" ca="1" si="2"/>
        <v>9571</v>
      </c>
    </row>
    <row r="9" spans="1:12" ht="16.5" customHeight="1">
      <c r="A9" s="5" t="s">
        <v>14</v>
      </c>
      <c r="B9" s="29">
        <v>36030</v>
      </c>
      <c r="C9" s="524" t="str">
        <f t="shared" si="3"/>
        <v>Sunday</v>
      </c>
      <c r="D9" s="512" t="str">
        <f t="shared" si="4"/>
        <v>August</v>
      </c>
      <c r="E9" s="522" t="str">
        <f t="shared" si="5"/>
        <v>1998</v>
      </c>
      <c r="F9" s="527">
        <f t="shared" ca="1" si="6"/>
        <v>9571</v>
      </c>
      <c r="G9" s="517">
        <f t="shared" ca="1" si="0"/>
        <v>45601</v>
      </c>
      <c r="H9" s="514">
        <v>16180</v>
      </c>
      <c r="I9">
        <v>44</v>
      </c>
      <c r="J9" t="str">
        <f t="shared" si="1"/>
        <v>adult</v>
      </c>
      <c r="L9" s="523">
        <f t="shared" ca="1" si="2"/>
        <v>16248</v>
      </c>
    </row>
    <row r="10" spans="1:12" ht="16.5" customHeight="1">
      <c r="A10" s="5" t="s">
        <v>121</v>
      </c>
      <c r="B10" s="29">
        <v>29353</v>
      </c>
      <c r="C10" s="524" t="str">
        <f t="shared" si="3"/>
        <v>Monday</v>
      </c>
      <c r="D10" s="512" t="str">
        <f t="shared" si="4"/>
        <v>May</v>
      </c>
      <c r="E10" s="522" t="str">
        <f t="shared" si="5"/>
        <v>1980</v>
      </c>
      <c r="F10" s="527">
        <f t="shared" ca="1" si="6"/>
        <v>16248</v>
      </c>
      <c r="G10" s="517">
        <f t="shared" ca="1" si="0"/>
        <v>45601</v>
      </c>
      <c r="H10" s="514">
        <v>7104</v>
      </c>
      <c r="I10">
        <v>19</v>
      </c>
      <c r="J10" t="str">
        <f t="shared" si="1"/>
        <v>child</v>
      </c>
      <c r="L10" s="523">
        <f t="shared" ca="1" si="2"/>
        <v>7172</v>
      </c>
    </row>
    <row r="11" spans="1:12" ht="16.5" customHeight="1">
      <c r="A11" s="5" t="s">
        <v>122</v>
      </c>
      <c r="B11" s="29">
        <v>38429</v>
      </c>
      <c r="C11" s="524" t="str">
        <f t="shared" si="3"/>
        <v>Friday</v>
      </c>
      <c r="D11" s="512" t="str">
        <f t="shared" si="4"/>
        <v>March</v>
      </c>
      <c r="E11" s="522" t="str">
        <f t="shared" si="5"/>
        <v>2005</v>
      </c>
      <c r="F11" s="527">
        <f t="shared" ca="1" si="6"/>
        <v>7172</v>
      </c>
      <c r="G11" s="517">
        <f t="shared" ca="1" si="0"/>
        <v>45601</v>
      </c>
      <c r="H11" s="514">
        <v>6224</v>
      </c>
      <c r="I11">
        <v>17</v>
      </c>
      <c r="J11" t="str">
        <f t="shared" si="1"/>
        <v>child</v>
      </c>
      <c r="L11" s="523">
        <f t="shared" ca="1" si="2"/>
        <v>6292</v>
      </c>
    </row>
    <row r="12" spans="1:12" ht="16.5" customHeight="1">
      <c r="A12" s="5" t="s">
        <v>123</v>
      </c>
      <c r="B12" s="29">
        <v>39309</v>
      </c>
      <c r="C12" s="524" t="str">
        <f t="shared" si="3"/>
        <v>Wednesday</v>
      </c>
      <c r="D12" s="512" t="str">
        <f t="shared" si="4"/>
        <v>August</v>
      </c>
      <c r="E12" s="522" t="str">
        <f t="shared" si="5"/>
        <v>2007</v>
      </c>
      <c r="F12" s="527">
        <f t="shared" ca="1" si="6"/>
        <v>6292</v>
      </c>
      <c r="G12" s="517">
        <f t="shared" ca="1" si="0"/>
        <v>45601</v>
      </c>
      <c r="H12" s="514">
        <v>5210</v>
      </c>
      <c r="I12">
        <v>14</v>
      </c>
      <c r="J12" t="str">
        <f t="shared" si="1"/>
        <v>child</v>
      </c>
      <c r="L12" s="523">
        <f t="shared" ca="1" si="2"/>
        <v>5278</v>
      </c>
    </row>
    <row r="13" spans="1:12" ht="16.5" customHeight="1">
      <c r="A13" s="5" t="s">
        <v>124</v>
      </c>
      <c r="B13" s="29">
        <v>40323</v>
      </c>
      <c r="C13" s="524" t="str">
        <f t="shared" si="3"/>
        <v>Tuesday</v>
      </c>
      <c r="D13" s="512" t="str">
        <f t="shared" si="4"/>
        <v>May</v>
      </c>
      <c r="E13" s="522" t="str">
        <f t="shared" si="5"/>
        <v>2010</v>
      </c>
      <c r="F13" s="527">
        <f t="shared" ca="1" si="6"/>
        <v>5278</v>
      </c>
      <c r="G13" s="517">
        <f t="shared" ca="1" si="0"/>
        <v>45601</v>
      </c>
      <c r="H13" s="514">
        <v>11327</v>
      </c>
      <c r="I13">
        <v>31</v>
      </c>
      <c r="J13" t="str">
        <f t="shared" si="1"/>
        <v>adult</v>
      </c>
      <c r="L13" s="523">
        <f t="shared" ca="1" si="2"/>
        <v>11395</v>
      </c>
    </row>
    <row r="14" spans="1:12" ht="16.5" customHeight="1">
      <c r="A14" s="5" t="s">
        <v>125</v>
      </c>
      <c r="B14" s="29">
        <v>34206</v>
      </c>
      <c r="C14" s="524" t="str">
        <f t="shared" si="3"/>
        <v>Wednesday</v>
      </c>
      <c r="D14" s="512" t="str">
        <f t="shared" si="4"/>
        <v>August</v>
      </c>
      <c r="E14" s="522" t="str">
        <f t="shared" si="5"/>
        <v>1993</v>
      </c>
      <c r="F14" s="527">
        <f t="shared" ca="1" si="6"/>
        <v>11395</v>
      </c>
      <c r="G14" s="517">
        <f t="shared" ca="1" si="0"/>
        <v>45601</v>
      </c>
      <c r="H14" s="514">
        <v>45533</v>
      </c>
      <c r="I14">
        <v>24</v>
      </c>
      <c r="J14" t="str">
        <f t="shared" si="1"/>
        <v>adult</v>
      </c>
    </row>
    <row r="15" spans="1:12" ht="36" customHeight="1">
      <c r="A15" s="549" t="s">
        <v>1166</v>
      </c>
      <c r="B15" s="549"/>
      <c r="C15" s="549"/>
      <c r="D15" s="549"/>
      <c r="E15" s="549"/>
      <c r="F15" s="549"/>
      <c r="G15">
        <f>COUNTA(A4:A14)</f>
        <v>11</v>
      </c>
      <c r="H15" s="514"/>
    </row>
    <row r="16" spans="1:12" ht="16.5" customHeight="1">
      <c r="A16" s="536" t="s">
        <v>1167</v>
      </c>
      <c r="B16" s="536"/>
      <c r="C16" s="536"/>
      <c r="D16" s="536"/>
      <c r="E16" s="536"/>
      <c r="F16" s="536"/>
      <c r="G16" s="525"/>
      <c r="H16" s="514"/>
      <c r="I16">
        <v>44</v>
      </c>
      <c r="J16">
        <f>SUMIF(A4:A14,E21,I16:I26)</f>
        <v>14</v>
      </c>
      <c r="K16" t="str">
        <f>IF(I16&gt;20,"adult","child")</f>
        <v>adult</v>
      </c>
    </row>
    <row r="17" spans="1:11" ht="16.5" customHeight="1">
      <c r="A17" s="536" t="s">
        <v>1168</v>
      </c>
      <c r="B17" s="536"/>
      <c r="C17" s="536"/>
      <c r="D17" s="536"/>
      <c r="E17" s="536"/>
      <c r="F17" s="536"/>
      <c r="G17" s="525"/>
      <c r="H17" s="514"/>
      <c r="I17">
        <v>43</v>
      </c>
      <c r="K17" t="str">
        <f t="shared" ref="K17:K26" si="7">IF(I17&gt;20,"adult","child")</f>
        <v>adult</v>
      </c>
    </row>
    <row r="18" spans="1:11" ht="16.5" customHeight="1">
      <c r="A18" s="536" t="s">
        <v>1169</v>
      </c>
      <c r="B18" s="536"/>
      <c r="C18" s="536"/>
      <c r="D18" s="536"/>
      <c r="E18" s="536"/>
      <c r="F18" s="536"/>
      <c r="G18" s="525"/>
      <c r="H18" s="514"/>
      <c r="I18">
        <v>21</v>
      </c>
      <c r="K18" t="str">
        <f t="shared" si="7"/>
        <v>adult</v>
      </c>
    </row>
    <row r="19" spans="1:11" ht="16.5" customHeight="1">
      <c r="A19" s="536" t="s">
        <v>1170</v>
      </c>
      <c r="B19" s="536"/>
      <c r="C19" s="536"/>
      <c r="D19" s="536"/>
      <c r="E19" s="536"/>
      <c r="F19" s="536"/>
      <c r="G19" s="525"/>
      <c r="H19" s="514"/>
      <c r="I19">
        <v>34</v>
      </c>
      <c r="K19" t="str">
        <f t="shared" si="7"/>
        <v>adult</v>
      </c>
    </row>
    <row r="20" spans="1:11" ht="14.4">
      <c r="G20" s="525"/>
      <c r="I20">
        <v>32</v>
      </c>
      <c r="K20" t="str">
        <f t="shared" si="7"/>
        <v>adult</v>
      </c>
    </row>
    <row r="21" spans="1:11" ht="14.4">
      <c r="D21" s="206" t="s">
        <v>1326</v>
      </c>
      <c r="E21" s="5" t="s">
        <v>124</v>
      </c>
      <c r="F21" s="514">
        <f ca="1">SUMIF(A4:A14,E21,L3:L13)</f>
        <v>5278</v>
      </c>
      <c r="G21" s="525"/>
      <c r="I21">
        <v>26</v>
      </c>
      <c r="K21" t="str">
        <f t="shared" si="7"/>
        <v>adult</v>
      </c>
    </row>
    <row r="22" spans="1:11" ht="14.4">
      <c r="E22" s="514"/>
      <c r="G22" s="525"/>
      <c r="I22">
        <v>44</v>
      </c>
      <c r="K22" t="str">
        <f t="shared" si="7"/>
        <v>adult</v>
      </c>
    </row>
    <row r="23" spans="1:11" ht="14.4">
      <c r="C23" s="29">
        <f ca="1">TODAY()-B4</f>
        <v>16245</v>
      </c>
      <c r="G23" s="525"/>
      <c r="I23">
        <v>19</v>
      </c>
      <c r="K23" t="str">
        <f t="shared" si="7"/>
        <v>child</v>
      </c>
    </row>
    <row r="24" spans="1:11" ht="14.4">
      <c r="A24" s="206" t="s">
        <v>1325</v>
      </c>
      <c r="B24">
        <f>COUNTA(A4:A14)</f>
        <v>11</v>
      </c>
      <c r="C24" s="29">
        <v>29818</v>
      </c>
      <c r="D24" s="517">
        <f t="shared" ref="D24:D33" ca="1" si="8">TODAY()-C24</f>
        <v>15783</v>
      </c>
      <c r="G24" s="525"/>
      <c r="I24">
        <v>17</v>
      </c>
      <c r="K24" t="str">
        <f t="shared" si="7"/>
        <v>child</v>
      </c>
    </row>
    <row r="25" spans="1:11" ht="14.4">
      <c r="A25" s="206" t="s">
        <v>1323</v>
      </c>
      <c r="B25">
        <f>COUNTIF(I3:I14,"&gt;20")</f>
        <v>8</v>
      </c>
      <c r="C25" s="29">
        <v>37909</v>
      </c>
      <c r="D25" s="517">
        <f t="shared" ca="1" si="8"/>
        <v>7692</v>
      </c>
      <c r="G25" s="525"/>
      <c r="I25">
        <v>14</v>
      </c>
      <c r="K25" t="str">
        <f t="shared" si="7"/>
        <v>child</v>
      </c>
    </row>
    <row r="26" spans="1:11" ht="14.4">
      <c r="A26" s="206" t="s">
        <v>1324</v>
      </c>
      <c r="B26" s="206" t="s">
        <v>1311</v>
      </c>
      <c r="C26" s="29">
        <v>33018</v>
      </c>
      <c r="D26" s="517">
        <f t="shared" ca="1" si="8"/>
        <v>12583</v>
      </c>
      <c r="G26" s="525"/>
      <c r="I26">
        <v>31</v>
      </c>
      <c r="K26" t="str">
        <f t="shared" si="7"/>
        <v>adult</v>
      </c>
    </row>
    <row r="27" spans="1:11" ht="14.4">
      <c r="B27">
        <f>COUNTIF(I3:I14,B26)</f>
        <v>7</v>
      </c>
      <c r="C27" s="29">
        <v>33840</v>
      </c>
      <c r="D27" s="517">
        <f t="shared" ca="1" si="8"/>
        <v>11761</v>
      </c>
      <c r="G27" s="525"/>
    </row>
    <row r="28" spans="1:11" ht="14.4">
      <c r="C28" s="29">
        <v>36030</v>
      </c>
      <c r="D28" s="517">
        <f t="shared" ca="1" si="8"/>
        <v>9571</v>
      </c>
      <c r="G28" s="525"/>
    </row>
    <row r="29" spans="1:11" ht="14.4">
      <c r="C29" s="29">
        <v>29353</v>
      </c>
      <c r="D29" s="517">
        <f t="shared" ca="1" si="8"/>
        <v>16248</v>
      </c>
      <c r="G29" s="525"/>
    </row>
    <row r="30" spans="1:11" ht="14.4">
      <c r="C30" s="29">
        <v>38429</v>
      </c>
      <c r="D30" s="517">
        <f t="shared" ca="1" si="8"/>
        <v>7172</v>
      </c>
    </row>
    <row r="31" spans="1:11" ht="14.4">
      <c r="C31" s="29">
        <v>39309</v>
      </c>
      <c r="D31" s="517">
        <f t="shared" ca="1" si="8"/>
        <v>6292</v>
      </c>
    </row>
    <row r="32" spans="1:11" ht="14.4">
      <c r="C32" s="29">
        <v>40323</v>
      </c>
      <c r="D32" s="517">
        <f t="shared" ca="1" si="8"/>
        <v>5278</v>
      </c>
    </row>
    <row r="33" spans="3:4" ht="14.4">
      <c r="C33" s="29">
        <v>34206</v>
      </c>
      <c r="D33" s="517">
        <f t="shared" ca="1" si="8"/>
        <v>11395</v>
      </c>
    </row>
  </sheetData>
  <mergeCells count="7">
    <mergeCell ref="A17:F17"/>
    <mergeCell ref="A18:F18"/>
    <mergeCell ref="A19:F19"/>
    <mergeCell ref="A1:F1"/>
    <mergeCell ref="A2:F2"/>
    <mergeCell ref="A15:F15"/>
    <mergeCell ref="A16:F16"/>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defaultRowHeight="13.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heetViews>
  <sheetFormatPr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26</vt:lpstr>
      <vt:lpstr>Table 23</vt:lpstr>
      <vt:lpstr>Table 24</vt:lpstr>
      <vt:lpstr>Table 25</vt:lpstr>
      <vt:lpstr>Table 27</vt:lpstr>
      <vt:lpstr>Table 28</vt:lpstr>
      <vt:lpstr>Table 29</vt:lpstr>
      <vt:lpstr>Sheet3</vt:lpstr>
      <vt:lpstr>Sheet4</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Excellent Computer Education(A Professional Training Center)</dc:title>
  <dc:creator>rajesh</dc:creator>
  <cp:lastModifiedBy>Office</cp:lastModifiedBy>
  <dcterms:created xsi:type="dcterms:W3CDTF">2023-07-19T06:23:33Z</dcterms:created>
  <dcterms:modified xsi:type="dcterms:W3CDTF">2024-11-05T10:32:06Z</dcterms:modified>
</cp:coreProperties>
</file>