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620" windowHeight="13170" activeTab="3"/>
  </bookViews>
  <sheets>
    <sheet name="Reference" sheetId="5" r:id="rId1"/>
    <sheet name="Loan Amortization Schedule" sheetId="7" r:id="rId2"/>
    <sheet name="Data" sheetId="1" r:id="rId3"/>
    <sheet name="Input" sheetId="2" r:id="rId4"/>
    <sheet name="Sheet1" sheetId="6" r:id="rId5"/>
  </sheets>
  <externalReferences>
    <externalReference r:id="rId6"/>
    <externalReference r:id="rId7"/>
    <externalReference r:id="rId8"/>
  </externalReferences>
  <definedNames>
    <definedName name="Amortization_Schedule">Reference!$A$3:$B$6</definedName>
    <definedName name="Amortization_Schedule1">Reference!$A$3:$A$6</definedName>
    <definedName name="Amortization_Schedule2">Reference!$A$3:$A$7</definedName>
    <definedName name="Beg_Bal" localSheetId="2">#REF!</definedName>
    <definedName name="Beg_Bal" localSheetId="1">'Loan Amortization Schedule'!$C$18:$C$377</definedName>
    <definedName name="Beg_Bal">#REF!</definedName>
    <definedName name="Beginning_Balance" localSheetId="2">#N/A</definedName>
    <definedName name="Beginning_Balance" localSheetId="3">#N/A</definedName>
    <definedName name="Beginning_Balance">#N/A</definedName>
    <definedName name="Change">IF(Values_Entered,Header_Row+Number_of_Payments,Header_Row)</definedName>
    <definedName name="chart_balance" localSheetId="2">OFFSET(#REF!,2,0,Data!payments,1)</definedName>
    <definedName name="chart_balance" localSheetId="3">OFFSET(#REF!,2,0,payments,1)</definedName>
    <definedName name="chart_balance">OFFSET(#REF!,2,0,payments,1)</definedName>
    <definedName name="chart_balance_noextra" localSheetId="2">OFFSET([1]NoExtra!$G$2,2,0,Data!nper,1)</definedName>
    <definedName name="chart_balance_noextra" localSheetId="3">OFFSET([1]NoExtra!$G$2,2,0,Input!nper,1)</definedName>
    <definedName name="chart_balance_noextra">OFFSET([1]NoExtra!$G$2,2,0,nper,1)</definedName>
    <definedName name="chart_date" localSheetId="2">OFFSET(#REF!,2,0,Data!nper,1)</definedName>
    <definedName name="chart_date" localSheetId="3">OFFSET(#REF!,2,0,Input!nper,1)</definedName>
    <definedName name="chart_date">OFFSET(#REF!,2,0,nper,1)</definedName>
    <definedName name="chart_date_noextra" localSheetId="2">OFFSET([1]NoExtra!$B$2,2,0,Data!nper,1)</definedName>
    <definedName name="chart_date_noextra" localSheetId="3">OFFSET([1]NoExtra!$B$2,2,0,Input!nper,1)</definedName>
    <definedName name="chart_date_noextra">OFFSET([1]NoExtra!$B$2,2,0,nper,1)</definedName>
    <definedName name="chart_nper" localSheetId="2">ROW(OFFSET(#REF!,0,0,Data!nper,1))</definedName>
    <definedName name="chart_nper" localSheetId="3">ROW(OFFSET(#REF!,0,0,Input!nper,1))</definedName>
    <definedName name="chart_nper">ROW(OFFSET(#REF!,0,0,nper,1))</definedName>
    <definedName name="chart_ratehist" localSheetId="2">OFFSET(#REF!,2,0,Data!payments,1)</definedName>
    <definedName name="chart_ratehist" localSheetId="3">OFFSET(#REF!,2,0,payments,1)</definedName>
    <definedName name="chart_ratehist">OFFSET(#REF!,2,0,payments,1)</definedName>
    <definedName name="chart_taxreturned" localSheetId="2">OFFSET(#REF!,2,0,Data!payments,1)</definedName>
    <definedName name="chart_taxreturned" localSheetId="3">OFFSET(#REF!,2,0,payments,1)</definedName>
    <definedName name="chart_taxreturned">OFFSET(#REF!,2,0,payments,1)</definedName>
    <definedName name="compound_period" localSheetId="2">INDEX({2,12},MATCH(#REF!,[0]!compound_periods,0))</definedName>
    <definedName name="compound_period" localSheetId="3">INDEX({2,12},MATCH(#REF!,Input!compound_periods,0))</definedName>
    <definedName name="compound_period">INDEX({2,12},MATCH(#REF!,compound_periods,0))</definedName>
    <definedName name="compound_periods" localSheetId="3">{"Semi-Annually";"Monthly"}</definedName>
    <definedName name="compound_periods">{"Semi-Annually";"Monthly"}</definedName>
    <definedName name="CP" localSheetId="2">INDEX({2,12},MATCH(#REF!,[0]!compound_periods,0))</definedName>
    <definedName name="CP" localSheetId="3">INDEX({2,12},MATCH(#REF!,Input!compound_periods,0))</definedName>
    <definedName name="CP">INDEX({2,12},MATCH(#REF!,compound_periods,0))</definedName>
    <definedName name="Cum_Int">'Loan Amortization Schedule'!$J$18:$J$377</definedName>
    <definedName name="d" localSheetId="2">#REF!</definedName>
    <definedName name="d">#REF!</definedName>
    <definedName name="Data">'Loan Amortization Schedule'!$A$18:$J$377</definedName>
    <definedName name="End_Bal" localSheetId="1">'Loan Amortization Schedule'!$I$18:$I$377</definedName>
    <definedName name="End_Bal">'[2]Loan Amortization Schedule'!$I$18:$I$377</definedName>
    <definedName name="Ending_Balance" localSheetId="2">#N/A</definedName>
    <definedName name="Ending_Balance" localSheetId="3">#N/A</definedName>
    <definedName name="Ending_Balance">#N/A</definedName>
    <definedName name="Extra_Pay" localSheetId="2">#REF!</definedName>
    <definedName name="Extra_Pay" localSheetId="1">'Loan Amortization Schedule'!$E$18:$E$377</definedName>
    <definedName name="Extra_Pay">#REF!</definedName>
    <definedName name="FilingStatus" localSheetId="2">[3]SnapShot!#REF!</definedName>
    <definedName name="FilingStatus">Input!#REF!</definedName>
    <definedName name="fpdate" localSheetId="2">#REF!</definedName>
    <definedName name="fpdate">#REF!</definedName>
    <definedName name="frequency" localSheetId="3">{"Monthly";"Semi-Monthly";"Bi-Weekly";"Weekly";"Acc Bi-Weekly";"Acc Weekly"}</definedName>
    <definedName name="frequency">{"Monthly";"Semi-Monthly";"Bi-Weekly";"Weekly";"Acc Bi-Weekly";"Acc Weekly"}</definedName>
    <definedName name="Full_Print" localSheetId="1">'Loan Amortization Schedule'!$A$1:$J$377</definedName>
    <definedName name="Full_Print">#REF!</definedName>
    <definedName name="Header_Row" localSheetId="1">ROW('Loan Amortization Schedule'!#REF!)</definedName>
    <definedName name="Header_Row">ROW('[2]Loan Amortization Schedule'!$17:$17)</definedName>
    <definedName name="Header_Row_Back">ROW(#REF!)</definedName>
    <definedName name="Int" localSheetId="2">#REF!</definedName>
    <definedName name="Int" localSheetId="1">'Loan Amortization Schedule'!$H$18:$H$377</definedName>
    <definedName name="Int">#REF!</definedName>
    <definedName name="Interest" localSheetId="2">#N/A</definedName>
    <definedName name="Interest" localSheetId="3">#N/A</definedName>
    <definedName name="Interest">#N/A</definedName>
    <definedName name="Interest_Rate" localSheetId="1">'Loan Amortization Schedule'!$D$6</definedName>
    <definedName name="Interest_Rate">'[2]Loan Amortization Schedule'!$D$6</definedName>
    <definedName name="Last_Row" localSheetId="3">IF(Input!Values_Entered,Header_Row+Input!Number_of_Payments,Header_Row)</definedName>
    <definedName name="Last_Row" localSheetId="1">IF('Loan Amortization Schedule'!Values_Entered,'Loan Amortization Schedule'!Header_Row+'Loan Amortization Schedule'!Number_of_Payments,'Loan Amortization Schedule'!Header_Row)</definedName>
    <definedName name="Last_Row">IF(Values_Entered,Header_Row+Number_of_Payments,Header_Row)</definedName>
    <definedName name="Loan_Amount" localSheetId="1">'Loan Amortization Schedule'!$D$5</definedName>
    <definedName name="Loan_Amount">'[2]Loan Amortization Schedule'!$D$5</definedName>
    <definedName name="Loan_Not_Paid" localSheetId="2">#N/A</definedName>
    <definedName name="Loan_Not_Paid" localSheetId="3">#N/A</definedName>
    <definedName name="Loan_Not_Paid">#N/A</definedName>
    <definedName name="Loan_Start" localSheetId="1">'Loan Amortization Schedule'!$D$9</definedName>
    <definedName name="Loan_Start">'[2]Loan Amortization Schedule'!$D$9</definedName>
    <definedName name="Loan_Years" localSheetId="1">'Loan Amortization Schedule'!$D$7</definedName>
    <definedName name="Loan_Years">'[2]Loan Amortization Schedule'!$D$7</definedName>
    <definedName name="Monthly_Payment" localSheetId="2">#N/A</definedName>
    <definedName name="Monthly_Payment" localSheetId="3">#N/A</definedName>
    <definedName name="Monthly_Payment">#N/A</definedName>
    <definedName name="months_per_period" localSheetId="2">INDEX({1,0.5,0.5,0.25,0.5,0.25},MATCH(#REF!,[0]!frequency,0))</definedName>
    <definedName name="months_per_period" localSheetId="3">INDEX({1,0.5,0.5,0.25,0.5,0.25},MATCH(#REF!,Input!frequency,0))</definedName>
    <definedName name="months_per_period">INDEX({1,0.5,0.5,0.25,0.5,0.25},MATCH(#REF!,frequency,0))</definedName>
    <definedName name="MortgageTerm">'[3]Dropdown List'!$A$9:$A$14</definedName>
    <definedName name="MortgageTerm3">'[3]Dropdown List'!$A$9:$A$14</definedName>
    <definedName name="MortgageType">'[3]Dropdown List'!$A$6:$A$7</definedName>
    <definedName name="nper" localSheetId="2">Data!term*Data!periods_per_year</definedName>
    <definedName name="nper" localSheetId="3">term*Input!periods_per_year</definedName>
    <definedName name="nper">term*periods_per_year</definedName>
    <definedName name="Num_Pmt_Per_Year" localSheetId="2">#REF!</definedName>
    <definedName name="Num_Pmt_Per_Year" localSheetId="1">'Loan Amortization Schedule'!$D$8</definedName>
    <definedName name="Num_Pmt_Per_Year">#REF!</definedName>
    <definedName name="Number_of_Payments" localSheetId="3">MATCH(0.01,End_Bal,-1)+1</definedName>
    <definedName name="Number_of_Payments" localSheetId="1">MATCH(0.01,'Loan Amortization Schedule'!End_Bal,-1)+1</definedName>
    <definedName name="Number_of_Payments">MATCH(0.01,End_Bal,-1)+1</definedName>
    <definedName name="Pay_Date">'Loan Amortization Schedule'!$B$18:$B$377</definedName>
    <definedName name="Pay_Num" localSheetId="2">#REF!</definedName>
    <definedName name="Pay_Num" localSheetId="1">'Loan Amortization Schedule'!$A$18:$A$377</definedName>
    <definedName name="Pay_Num">#REF!</definedName>
    <definedName name="payment" localSheetId="2">#REF!</definedName>
    <definedName name="payment">#REF!</definedName>
    <definedName name="Payment_Date" localSheetId="2">#N/A</definedName>
    <definedName name="Payment_Date" localSheetId="3">#N/A</definedName>
    <definedName name="Payment_Date" localSheetId="1">DATE(YEAR('Loan Amortization Schedule'!Loan_Start),MONTH('Loan Amortization Schedule'!Loan_Start)+[0]!Payment_Number,DAY('Loan Amortization Schedule'!Loan_Start))</definedName>
    <definedName name="Payment_Date">#N/A</definedName>
    <definedName name="Payment_Number" localSheetId="2">#N/A</definedName>
    <definedName name="Payment_Number" localSheetId="3">#N/A</definedName>
    <definedName name="Payment_Number">#N/A</definedName>
    <definedName name="payments" localSheetId="2">MAX(#REF!)</definedName>
    <definedName name="payments">MAX(#REF!)</definedName>
    <definedName name="periods_per_year" localSheetId="2">INDEX({12,24,26,52,26,52},MATCH(#REF!,[0]!frequency,0))</definedName>
    <definedName name="periods_per_year" localSheetId="3">INDEX({12,24,26,52,26,52},MATCH(#REF!,Input!frequency,0))</definedName>
    <definedName name="periods_per_year">INDEX({12,24,26,52,26,52},MATCH(#REF!,frequency,0))</definedName>
    <definedName name="ppy" localSheetId="2">Data!periods_per_year</definedName>
    <definedName name="ppy" localSheetId="3">Input!periods_per_year</definedName>
    <definedName name="ppy">periods_per_year</definedName>
    <definedName name="Princ" localSheetId="2">#REF!</definedName>
    <definedName name="Princ" localSheetId="1">'Loan Amortization Schedule'!$G$18:$G$377</definedName>
    <definedName name="Princ">#REF!</definedName>
    <definedName name="Principal" localSheetId="2">#N/A</definedName>
    <definedName name="Principal" localSheetId="3">#N/A</definedName>
    <definedName name="Principal">#N/A</definedName>
    <definedName name="Print_Area_Reset">OFFSET('Loan Amortization Schedule'!Full_Print,0,0,'Loan Amortization Schedule'!Last_Row)</definedName>
    <definedName name="_xlnm.Print_Titles" localSheetId="1">'Loan Amortization Schedule'!$14:$17</definedName>
    <definedName name="Sched_Pay" localSheetId="2">#REF!</definedName>
    <definedName name="Sched_Pay" localSheetId="1">'Loan Amortization Schedule'!$D$18:$D$377</definedName>
    <definedName name="Sched_Pay">#REF!</definedName>
    <definedName name="Scheduled_Extra_Payments" localSheetId="2">#REF!</definedName>
    <definedName name="Scheduled_Extra_Payments" localSheetId="1">'Loan Amortization Schedule'!$D$10</definedName>
    <definedName name="Scheduled_Extra_Payments">#REF!</definedName>
    <definedName name="Scheduled_Interest_Rate">'Loan Amortization Schedule'!$D$6</definedName>
    <definedName name="Scheduled_Monthly_Payment" localSheetId="2">#REF!</definedName>
    <definedName name="Scheduled_Monthly_Payment" localSheetId="1">'Loan Amortization Schedule'!$H$5</definedName>
    <definedName name="Scheduled_Monthly_Payment">#REF!</definedName>
    <definedName name="start_rate" localSheetId="2">#REF!</definedName>
    <definedName name="start_rate">#REF!</definedName>
    <definedName name="TaxStatus">'[3]Dropdown List'!$A$1:$A$4</definedName>
    <definedName name="term" localSheetId="2">#REF!</definedName>
    <definedName name="term">#REF!</definedName>
    <definedName name="Total_Cost">'[3]Rental Prop Amortization'!$E$12</definedName>
    <definedName name="Total_Interest" localSheetId="1">'Loan Amortization Schedule'!$H$9</definedName>
    <definedName name="Total_Interest">#REF!</definedName>
    <definedName name="Total_Pay" localSheetId="2">#REF!</definedName>
    <definedName name="Total_Pay" localSheetId="1">'Loan Amortization Schedule'!$F$18:$F$377</definedName>
    <definedName name="Total_Pay">#REF!</definedName>
    <definedName name="Total_Payment">Scheduled_Payment+Extra_Payment</definedName>
    <definedName name="Values_Entered" localSheetId="3">IF(Loan_Amount*Interest_Rate*Loan_Years*Loan_Start&gt;0,1,0)</definedName>
    <definedName name="Values_Entered" localSheetId="1">IF('Loan Amortization Schedule'!Loan_Amount*'Loan Amortization Schedule'!Interest_Rate*'Loan Amortization Schedule'!Loan_Years*'Loan Amortization Schedule'!Loan_Start&gt;0,1,0)</definedName>
    <definedName name="Values_Entered">IF(Loan_Amount*Interest_Rate*Loan_Years*Loan_Start&gt;0,1,0)</definedName>
    <definedName name="valuevx">42.314159</definedName>
    <definedName name="variable" localSheetId="2">IF(#REF!="Variable Rate",TRUE,FALSE)</definedName>
    <definedName name="variable">IF(#REF!="Variable Rate",TRUE,FALSE)</definedName>
  </definedNames>
  <calcPr calcId="145621"/>
</workbook>
</file>

<file path=xl/calcChain.xml><?xml version="1.0" encoding="utf-8"?>
<calcChain xmlns="http://schemas.openxmlformats.org/spreadsheetml/2006/main">
  <c r="D10" i="7" l="1"/>
  <c r="D7" i="7"/>
  <c r="D6" i="7"/>
  <c r="O26" i="1" l="1"/>
  <c r="O27" i="1" s="1"/>
  <c r="P26" i="1"/>
  <c r="Q26" i="1"/>
  <c r="R26" i="1"/>
  <c r="S26" i="1"/>
  <c r="T26" i="1"/>
  <c r="T27" i="1" s="1"/>
  <c r="U26" i="1"/>
  <c r="U27" i="1" s="1"/>
  <c r="V26" i="1"/>
  <c r="W26" i="1"/>
  <c r="X26" i="1"/>
  <c r="Y26" i="1"/>
  <c r="Z26" i="1"/>
  <c r="AA26" i="1"/>
  <c r="AB26" i="1"/>
  <c r="AC26" i="1"/>
  <c r="AD26" i="1"/>
  <c r="AE26" i="1"/>
  <c r="F26" i="1"/>
  <c r="F27" i="1" s="1"/>
  <c r="G26" i="1"/>
  <c r="H26" i="1"/>
  <c r="H27" i="1" s="1"/>
  <c r="I26" i="1"/>
  <c r="I27" i="1" s="1"/>
  <c r="J26" i="1"/>
  <c r="K26" i="1"/>
  <c r="K27" i="1" s="1"/>
  <c r="L26" i="1"/>
  <c r="L27" i="1" s="1"/>
  <c r="M26" i="1"/>
  <c r="M27" i="1" s="1"/>
  <c r="N26" i="1"/>
  <c r="C26" i="1"/>
  <c r="D26" i="1"/>
  <c r="E26" i="1"/>
  <c r="E27" i="1" s="1"/>
  <c r="B26" i="1"/>
  <c r="B28" i="1" s="1"/>
  <c r="P27" i="1" l="1"/>
  <c r="B27" i="1"/>
  <c r="B29" i="1" s="1"/>
  <c r="B21" i="1" s="1"/>
  <c r="B22" i="1" s="1"/>
  <c r="J27" i="1"/>
  <c r="G27" i="1"/>
  <c r="D27" i="1"/>
  <c r="C27" i="1"/>
  <c r="N27" i="1"/>
  <c r="H11" i="6"/>
  <c r="C5" i="6"/>
  <c r="C28" i="1" l="1"/>
  <c r="C29" i="1" s="1"/>
  <c r="C21" i="1" s="1"/>
  <c r="D5" i="6"/>
  <c r="B14" i="1"/>
  <c r="AC10" i="1"/>
  <c r="AB10" i="1"/>
  <c r="AA10" i="1"/>
  <c r="Z10" i="1"/>
  <c r="Y10" i="1"/>
  <c r="X10" i="1"/>
  <c r="W10" i="1"/>
  <c r="V10" i="1"/>
  <c r="U10" i="1"/>
  <c r="T10" i="1"/>
  <c r="S10" i="1"/>
  <c r="R10" i="1"/>
  <c r="Q10" i="1"/>
  <c r="P10" i="1"/>
  <c r="O10" i="1"/>
  <c r="N10" i="1"/>
  <c r="M10" i="1"/>
  <c r="L10" i="1"/>
  <c r="K10" i="1"/>
  <c r="J10" i="1"/>
  <c r="I10" i="1"/>
  <c r="H10" i="1"/>
  <c r="G10" i="1"/>
  <c r="F10" i="1"/>
  <c r="E10" i="1"/>
  <c r="D10" i="1"/>
  <c r="C10" i="1"/>
  <c r="B10" i="1"/>
  <c r="B34" i="1" s="1"/>
  <c r="D28" i="1" l="1"/>
  <c r="D29" i="1" s="1"/>
  <c r="D21" i="1" s="1"/>
  <c r="E5" i="6"/>
  <c r="F5" i="6" s="1"/>
  <c r="G5" i="6" s="1"/>
  <c r="D6" i="2"/>
  <c r="D5" i="7" s="1"/>
  <c r="H6" i="7" l="1"/>
  <c r="A18" i="7"/>
  <c r="A19" i="7" s="1"/>
  <c r="C18" i="7"/>
  <c r="H5" i="7"/>
  <c r="D11" i="2" s="1"/>
  <c r="E28" i="1"/>
  <c r="E29" i="1" s="1"/>
  <c r="E21" i="1" s="1"/>
  <c r="H5" i="6"/>
  <c r="I5" i="6" s="1"/>
  <c r="D26" i="2"/>
  <c r="A20" i="7" l="1"/>
  <c r="D19" i="7"/>
  <c r="B19" i="7"/>
  <c r="B18" i="7"/>
  <c r="H18" i="7"/>
  <c r="J18" i="7" s="1"/>
  <c r="D18" i="7"/>
  <c r="E18" i="7" s="1"/>
  <c r="F28" i="1"/>
  <c r="F29" i="1" s="1"/>
  <c r="F21" i="1" s="1"/>
  <c r="J5" i="6"/>
  <c r="K5" i="6" s="1"/>
  <c r="E10" i="5"/>
  <c r="E11" i="5" s="1"/>
  <c r="E12" i="5" s="1"/>
  <c r="E13" i="5" s="1"/>
  <c r="F18" i="7" l="1"/>
  <c r="G18" i="7" s="1"/>
  <c r="I18" i="7" s="1"/>
  <c r="C19" i="7" s="1"/>
  <c r="D20" i="7"/>
  <c r="B20" i="7"/>
  <c r="A21" i="7"/>
  <c r="G28" i="1"/>
  <c r="G29" i="1" s="1"/>
  <c r="G21" i="1" s="1"/>
  <c r="L5" i="6"/>
  <c r="B12" i="1"/>
  <c r="B7" i="1"/>
  <c r="C7" i="1" s="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B6" i="1"/>
  <c r="C6" i="1" s="1"/>
  <c r="D6" i="1" s="1"/>
  <c r="E6" i="1" s="1"/>
  <c r="F6" i="1" s="1"/>
  <c r="G6" i="1" s="1"/>
  <c r="H6" i="1" s="1"/>
  <c r="I6" i="1" s="1"/>
  <c r="J6" i="1" s="1"/>
  <c r="K6" i="1" s="1"/>
  <c r="L6" i="1" s="1"/>
  <c r="M6" i="1" s="1"/>
  <c r="N6" i="1" s="1"/>
  <c r="O6" i="1" s="1"/>
  <c r="P6" i="1" s="1"/>
  <c r="Q6" i="1" s="1"/>
  <c r="R6" i="1" s="1"/>
  <c r="S6" i="1" s="1"/>
  <c r="T6" i="1" s="1"/>
  <c r="U6" i="1" s="1"/>
  <c r="V6" i="1" s="1"/>
  <c r="W6" i="1" s="1"/>
  <c r="X6" i="1" s="1"/>
  <c r="Y6" i="1" s="1"/>
  <c r="Z6" i="1" s="1"/>
  <c r="AA6" i="1" s="1"/>
  <c r="AB6" i="1" s="1"/>
  <c r="AC6" i="1" s="1"/>
  <c r="AD6" i="1" s="1"/>
  <c r="AE6" i="1" s="1"/>
  <c r="B5" i="1"/>
  <c r="H19" i="7" l="1"/>
  <c r="J19" i="7" s="1"/>
  <c r="E19" i="7"/>
  <c r="B21" i="7"/>
  <c r="D21" i="7"/>
  <c r="A22" i="7"/>
  <c r="H28" i="1"/>
  <c r="H29" i="1" s="1"/>
  <c r="H21" i="1" s="1"/>
  <c r="M5" i="6"/>
  <c r="N5" i="6" s="1"/>
  <c r="C5" i="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B8" i="1"/>
  <c r="C34" i="1"/>
  <c r="D34" i="1" s="1"/>
  <c r="E34" i="1" s="1"/>
  <c r="F34" i="1" s="1"/>
  <c r="G34" i="1" s="1"/>
  <c r="H34" i="1" s="1"/>
  <c r="I34" i="1" s="1"/>
  <c r="J34" i="1" s="1"/>
  <c r="K34" i="1" s="1"/>
  <c r="L34" i="1" s="1"/>
  <c r="M34" i="1" s="1"/>
  <c r="N34" i="1" s="1"/>
  <c r="O34" i="1" s="1"/>
  <c r="P34" i="1" s="1"/>
  <c r="Q34" i="1" s="1"/>
  <c r="R34" i="1" s="1"/>
  <c r="S34" i="1" s="1"/>
  <c r="T34" i="1" s="1"/>
  <c r="U34" i="1" s="1"/>
  <c r="V34" i="1" s="1"/>
  <c r="W34" i="1" s="1"/>
  <c r="X34" i="1" s="1"/>
  <c r="Y34" i="1" s="1"/>
  <c r="Z34" i="1" s="1"/>
  <c r="AA34" i="1" s="1"/>
  <c r="AB34" i="1" s="1"/>
  <c r="AC34" i="1" s="1"/>
  <c r="AD34" i="1" s="1"/>
  <c r="AE34" i="1" s="1"/>
  <c r="C12" i="1"/>
  <c r="D22" i="7" l="1"/>
  <c r="B22" i="7"/>
  <c r="A23" i="7"/>
  <c r="F19" i="7"/>
  <c r="G19" i="7" s="1"/>
  <c r="I19" i="7" s="1"/>
  <c r="C20" i="7" s="1"/>
  <c r="O5" i="6"/>
  <c r="P5" i="6" s="1"/>
  <c r="Q5" i="6" s="1"/>
  <c r="R5" i="6" s="1"/>
  <c r="S5" i="6" s="1"/>
  <c r="T5" i="6" s="1"/>
  <c r="U5" i="6" s="1"/>
  <c r="V5" i="6" s="1"/>
  <c r="C8" i="1"/>
  <c r="D12" i="1"/>
  <c r="B9" i="1"/>
  <c r="C9" i="1" s="1"/>
  <c r="D9" i="1" s="1"/>
  <c r="E9" i="1" s="1"/>
  <c r="F9" i="1" s="1"/>
  <c r="G9" i="1" s="1"/>
  <c r="H9" i="1" s="1"/>
  <c r="I9" i="1" s="1"/>
  <c r="J9" i="1" s="1"/>
  <c r="K9" i="1" s="1"/>
  <c r="L9" i="1" s="1"/>
  <c r="M9" i="1" s="1"/>
  <c r="N9" i="1" s="1"/>
  <c r="O9" i="1" s="1"/>
  <c r="P9" i="1" s="1"/>
  <c r="Q9" i="1" s="1"/>
  <c r="R9" i="1" s="1"/>
  <c r="S9" i="1" s="1"/>
  <c r="T9" i="1" s="1"/>
  <c r="U9" i="1" s="1"/>
  <c r="V9" i="1" s="1"/>
  <c r="W9" i="1" s="1"/>
  <c r="X9" i="1" s="1"/>
  <c r="Y9" i="1" s="1"/>
  <c r="Z9" i="1" s="1"/>
  <c r="AA9" i="1" s="1"/>
  <c r="AB9" i="1" s="1"/>
  <c r="AC9" i="1" s="1"/>
  <c r="AD9" i="1" s="1"/>
  <c r="AE9" i="1" s="1"/>
  <c r="D23" i="7" l="1"/>
  <c r="B23" i="7"/>
  <c r="A24" i="7"/>
  <c r="E20" i="7"/>
  <c r="F20" i="7" s="1"/>
  <c r="H20" i="7"/>
  <c r="J20" i="7" s="1"/>
  <c r="I28" i="1"/>
  <c r="I29" i="1" s="1"/>
  <c r="I21" i="1" s="1"/>
  <c r="W5" i="6"/>
  <c r="X5" i="6" s="1"/>
  <c r="Y5" i="6" s="1"/>
  <c r="Z5" i="6" s="1"/>
  <c r="E12" i="1"/>
  <c r="D8" i="1"/>
  <c r="D7" i="2"/>
  <c r="G20" i="7" l="1"/>
  <c r="I20" i="7" s="1"/>
  <c r="C21" i="7" s="1"/>
  <c r="H21" i="7" s="1"/>
  <c r="A25" i="7"/>
  <c r="B24" i="7"/>
  <c r="D24" i="7"/>
  <c r="J28" i="1"/>
  <c r="J29" i="1" s="1"/>
  <c r="J21" i="1" s="1"/>
  <c r="F12" i="1"/>
  <c r="E8" i="1"/>
  <c r="E21" i="7" l="1"/>
  <c r="F21" i="7" s="1"/>
  <c r="G21" i="7" s="1"/>
  <c r="D25" i="7"/>
  <c r="A26" i="7"/>
  <c r="B25" i="7"/>
  <c r="J21" i="7"/>
  <c r="G12" i="1"/>
  <c r="F8" i="1"/>
  <c r="A27" i="7" l="1"/>
  <c r="D26" i="7"/>
  <c r="B26" i="7"/>
  <c r="I21" i="7"/>
  <c r="C22" i="7" s="1"/>
  <c r="K28" i="1"/>
  <c r="K29" i="1" s="1"/>
  <c r="K21" i="1" s="1"/>
  <c r="H12" i="1"/>
  <c r="G8" i="1"/>
  <c r="B27" i="7" l="1"/>
  <c r="D27" i="7"/>
  <c r="A28" i="7"/>
  <c r="E22" i="7"/>
  <c r="H22" i="7"/>
  <c r="L28" i="1"/>
  <c r="L29" i="1" s="1"/>
  <c r="L21" i="1" s="1"/>
  <c r="I12" i="1"/>
  <c r="H8" i="1"/>
  <c r="B28" i="7" l="1"/>
  <c r="A29" i="7"/>
  <c r="D28" i="7"/>
  <c r="F22" i="7"/>
  <c r="G22" i="7" s="1"/>
  <c r="J22" i="7"/>
  <c r="M28" i="1"/>
  <c r="M29" i="1" s="1"/>
  <c r="M21" i="1" s="1"/>
  <c r="J12" i="1"/>
  <c r="I8" i="1"/>
  <c r="B29" i="7" l="1"/>
  <c r="D29" i="7"/>
  <c r="A30" i="7"/>
  <c r="I22" i="7"/>
  <c r="C23" i="7" s="1"/>
  <c r="K12" i="1"/>
  <c r="J8" i="1"/>
  <c r="A31" i="7" l="1"/>
  <c r="D30" i="7"/>
  <c r="B30" i="7"/>
  <c r="H23" i="7"/>
  <c r="E23" i="7"/>
  <c r="N28" i="1"/>
  <c r="N29" i="1" s="1"/>
  <c r="L12" i="1"/>
  <c r="K8" i="1"/>
  <c r="A32" i="7" l="1"/>
  <c r="B31" i="7"/>
  <c r="D31" i="7"/>
  <c r="J23" i="7"/>
  <c r="F23" i="7"/>
  <c r="G23" i="7" s="1"/>
  <c r="I23" i="7" s="1"/>
  <c r="C24" i="7" s="1"/>
  <c r="N21" i="1"/>
  <c r="M12" i="1"/>
  <c r="L8" i="1"/>
  <c r="D32" i="7" l="1"/>
  <c r="B32" i="7"/>
  <c r="A33" i="7"/>
  <c r="H24" i="7"/>
  <c r="J24" i="7" s="1"/>
  <c r="E24" i="7"/>
  <c r="N12" i="1"/>
  <c r="M8" i="1"/>
  <c r="D33" i="7" l="1"/>
  <c r="A34" i="7"/>
  <c r="B33" i="7"/>
  <c r="F24" i="7"/>
  <c r="G24" i="7" s="1"/>
  <c r="I24" i="7" s="1"/>
  <c r="C25" i="7" s="1"/>
  <c r="O12" i="1"/>
  <c r="N8" i="1"/>
  <c r="B34" i="7" l="1"/>
  <c r="D34" i="7"/>
  <c r="A35" i="7"/>
  <c r="H25" i="7"/>
  <c r="J25" i="7" s="1"/>
  <c r="E25" i="7"/>
  <c r="P12" i="1"/>
  <c r="O8" i="1"/>
  <c r="D35" i="7" l="1"/>
  <c r="A36" i="7"/>
  <c r="B35" i="7"/>
  <c r="F25" i="7"/>
  <c r="G25" i="7" s="1"/>
  <c r="I25" i="7" s="1"/>
  <c r="C26" i="7" s="1"/>
  <c r="Q12" i="1"/>
  <c r="P8" i="1"/>
  <c r="D36" i="7" l="1"/>
  <c r="B36" i="7"/>
  <c r="A37" i="7"/>
  <c r="H26" i="7"/>
  <c r="J26" i="7" s="1"/>
  <c r="E26" i="7"/>
  <c r="R12" i="1"/>
  <c r="Q8" i="1"/>
  <c r="A38" i="7" l="1"/>
  <c r="B37" i="7"/>
  <c r="D37" i="7"/>
  <c r="F26" i="7"/>
  <c r="G26" i="7" s="1"/>
  <c r="I26" i="7" s="1"/>
  <c r="C27" i="7" s="1"/>
  <c r="S12" i="1"/>
  <c r="R8" i="1"/>
  <c r="D38" i="7" l="1"/>
  <c r="A39" i="7"/>
  <c r="B38" i="7"/>
  <c r="H27" i="7"/>
  <c r="J27" i="7" s="1"/>
  <c r="E27" i="7"/>
  <c r="T12" i="1"/>
  <c r="S8" i="1"/>
  <c r="A40" i="7" l="1"/>
  <c r="D39" i="7"/>
  <c r="B39" i="7"/>
  <c r="F27" i="7"/>
  <c r="G27" i="7" s="1"/>
  <c r="I27" i="7" s="1"/>
  <c r="C28" i="7" s="1"/>
  <c r="U12" i="1"/>
  <c r="T8" i="1"/>
  <c r="B40" i="7" l="1"/>
  <c r="A41" i="7"/>
  <c r="D40" i="7"/>
  <c r="E28" i="7"/>
  <c r="H28" i="7"/>
  <c r="J28" i="7" s="1"/>
  <c r="V12" i="1"/>
  <c r="U8" i="1"/>
  <c r="B41" i="7" l="1"/>
  <c r="D41" i="7"/>
  <c r="A42" i="7"/>
  <c r="F28" i="7"/>
  <c r="G28" i="7" s="1"/>
  <c r="I28" i="7" s="1"/>
  <c r="C29" i="7" s="1"/>
  <c r="W12" i="1"/>
  <c r="V8" i="1"/>
  <c r="B42" i="7" l="1"/>
  <c r="D42" i="7"/>
  <c r="A43" i="7"/>
  <c r="H29" i="7"/>
  <c r="E29" i="7"/>
  <c r="X12" i="1"/>
  <c r="W8" i="1"/>
  <c r="B43" i="7" l="1"/>
  <c r="A44" i="7"/>
  <c r="D43" i="7"/>
  <c r="J29" i="7"/>
  <c r="K4" i="7"/>
  <c r="B4" i="1" s="1"/>
  <c r="F29" i="7"/>
  <c r="G29" i="7" s="1"/>
  <c r="Y12" i="1"/>
  <c r="X8" i="1"/>
  <c r="A45" i="7" l="1"/>
  <c r="B44" i="7"/>
  <c r="D44" i="7"/>
  <c r="I29" i="7"/>
  <c r="L4" i="7"/>
  <c r="B13" i="1" s="1"/>
  <c r="B15" i="1" s="1"/>
  <c r="I4" i="2" s="1"/>
  <c r="B11" i="1"/>
  <c r="B16" i="1" s="1"/>
  <c r="Z12" i="1"/>
  <c r="Y8" i="1"/>
  <c r="A46" i="7" l="1"/>
  <c r="B45" i="7"/>
  <c r="D45" i="7"/>
  <c r="C30" i="7"/>
  <c r="B33" i="1"/>
  <c r="B35" i="1" s="1"/>
  <c r="B19" i="1" s="1"/>
  <c r="AA12" i="1"/>
  <c r="Z8" i="1"/>
  <c r="B46" i="7" l="1"/>
  <c r="D46" i="7"/>
  <c r="A47" i="7"/>
  <c r="B23" i="1"/>
  <c r="V27" i="1" s="1"/>
  <c r="B24" i="1"/>
  <c r="B25" i="1" s="1"/>
  <c r="C20" i="1" s="1"/>
  <c r="H30" i="7"/>
  <c r="E30" i="7"/>
  <c r="F30" i="7" s="1"/>
  <c r="G30" i="7" s="1"/>
  <c r="AB12" i="1"/>
  <c r="AA8" i="1"/>
  <c r="B47" i="7" l="1"/>
  <c r="D47" i="7"/>
  <c r="A48" i="7"/>
  <c r="I30" i="7"/>
  <c r="J30" i="7"/>
  <c r="B30" i="1"/>
  <c r="B31" i="1" s="1"/>
  <c r="B32" i="1" s="1"/>
  <c r="B36" i="1" s="1"/>
  <c r="I3" i="2" s="1"/>
  <c r="C22" i="1"/>
  <c r="AC12" i="1"/>
  <c r="AB8" i="1"/>
  <c r="B48" i="7" l="1"/>
  <c r="A49" i="7"/>
  <c r="D48" i="7"/>
  <c r="I6" i="2"/>
  <c r="I5" i="2"/>
  <c r="C31" i="7"/>
  <c r="AD12" i="1"/>
  <c r="AC8" i="1"/>
  <c r="D49" i="7" l="1"/>
  <c r="A50" i="7"/>
  <c r="B49" i="7"/>
  <c r="E31" i="7"/>
  <c r="F31" i="7" s="1"/>
  <c r="G31" i="7" s="1"/>
  <c r="H31" i="7"/>
  <c r="AE12" i="1"/>
  <c r="AD8" i="1"/>
  <c r="D50" i="7" l="1"/>
  <c r="B50" i="7"/>
  <c r="A51" i="7"/>
  <c r="J31" i="7"/>
  <c r="I31" i="7"/>
  <c r="AE8" i="1"/>
  <c r="A52" i="7" l="1"/>
  <c r="B51" i="7"/>
  <c r="D51" i="7"/>
  <c r="C32" i="7"/>
  <c r="D52" i="7" l="1"/>
  <c r="B52" i="7"/>
  <c r="A53" i="7"/>
  <c r="H32" i="7"/>
  <c r="E32" i="7"/>
  <c r="F32" i="7" s="1"/>
  <c r="G32" i="7" s="1"/>
  <c r="A54" i="7" l="1"/>
  <c r="D53" i="7"/>
  <c r="B53" i="7"/>
  <c r="I32" i="7"/>
  <c r="J32" i="7"/>
  <c r="A55" i="7" l="1"/>
  <c r="B54" i="7"/>
  <c r="D54" i="7"/>
  <c r="C33" i="7"/>
  <c r="A56" i="7" l="1"/>
  <c r="B55" i="7"/>
  <c r="D55" i="7"/>
  <c r="H33" i="7"/>
  <c r="E33" i="7"/>
  <c r="F33" i="7" s="1"/>
  <c r="G33" i="7" s="1"/>
  <c r="O28" i="1"/>
  <c r="O29" i="1" s="1"/>
  <c r="A57" i="7" l="1"/>
  <c r="D56" i="7"/>
  <c r="B56" i="7"/>
  <c r="I33" i="7"/>
  <c r="J33" i="7"/>
  <c r="O21" i="1"/>
  <c r="P28" i="1"/>
  <c r="P29" i="1" s="1"/>
  <c r="A58" i="7" l="1"/>
  <c r="B57" i="7"/>
  <c r="D57" i="7"/>
  <c r="C34" i="7"/>
  <c r="P21" i="1"/>
  <c r="Q28" i="1"/>
  <c r="A59" i="7" l="1"/>
  <c r="B58" i="7"/>
  <c r="D58" i="7"/>
  <c r="H34" i="7"/>
  <c r="E34" i="7"/>
  <c r="F34" i="7" s="1"/>
  <c r="G34" i="7" s="1"/>
  <c r="B59" i="7" l="1"/>
  <c r="D59" i="7"/>
  <c r="A60" i="7"/>
  <c r="J34" i="7"/>
  <c r="I34" i="7"/>
  <c r="B60" i="7" l="1"/>
  <c r="A61" i="7"/>
  <c r="D60" i="7"/>
  <c r="C35" i="7"/>
  <c r="A62" i="7" l="1"/>
  <c r="D61" i="7"/>
  <c r="B61" i="7"/>
  <c r="H35" i="7"/>
  <c r="J35" i="7" s="1"/>
  <c r="E35" i="7"/>
  <c r="F35" i="7" s="1"/>
  <c r="G35" i="7" s="1"/>
  <c r="I35" i="7" s="1"/>
  <c r="C36" i="7" s="1"/>
  <c r="B62" i="7" l="1"/>
  <c r="D62" i="7"/>
  <c r="A63" i="7"/>
  <c r="H36" i="7"/>
  <c r="J36" i="7" s="1"/>
  <c r="E36" i="7"/>
  <c r="F36" i="7" s="1"/>
  <c r="G36" i="7" s="1"/>
  <c r="I36" i="7" s="1"/>
  <c r="C37" i="7" s="1"/>
  <c r="B63" i="7" l="1"/>
  <c r="A64" i="7"/>
  <c r="D63" i="7"/>
  <c r="H37" i="7"/>
  <c r="J37" i="7" s="1"/>
  <c r="E37" i="7"/>
  <c r="F37" i="7" s="1"/>
  <c r="G37" i="7" s="1"/>
  <c r="I37" i="7" s="1"/>
  <c r="C38" i="7" s="1"/>
  <c r="B64" i="7" l="1"/>
  <c r="A65" i="7"/>
  <c r="D64" i="7"/>
  <c r="H38" i="7"/>
  <c r="J38" i="7" s="1"/>
  <c r="E38" i="7"/>
  <c r="F38" i="7" s="1"/>
  <c r="G38" i="7" s="1"/>
  <c r="I38" i="7" s="1"/>
  <c r="C39" i="7" s="1"/>
  <c r="A66" i="7" l="1"/>
  <c r="B65" i="7"/>
  <c r="D65" i="7"/>
  <c r="H39" i="7"/>
  <c r="J39" i="7" s="1"/>
  <c r="E39" i="7"/>
  <c r="F39" i="7" s="1"/>
  <c r="G39" i="7" s="1"/>
  <c r="I39" i="7" s="1"/>
  <c r="C40" i="7" s="1"/>
  <c r="B66" i="7" l="1"/>
  <c r="A67" i="7"/>
  <c r="D66" i="7"/>
  <c r="E40" i="7"/>
  <c r="F40" i="7" s="1"/>
  <c r="H40" i="7"/>
  <c r="J40" i="7" s="1"/>
  <c r="G40" i="7" l="1"/>
  <c r="I40" i="7" s="1"/>
  <c r="C41" i="7" s="1"/>
  <c r="H41" i="7" s="1"/>
  <c r="J41" i="7" s="1"/>
  <c r="B67" i="7"/>
  <c r="A68" i="7"/>
  <c r="D67" i="7"/>
  <c r="E41" i="7" l="1"/>
  <c r="F41" i="7" s="1"/>
  <c r="G41" i="7" s="1"/>
  <c r="L5" i="7" s="1"/>
  <c r="C13" i="1" s="1"/>
  <c r="C15" i="1" s="1"/>
  <c r="J4" i="2" s="1"/>
  <c r="K5" i="7"/>
  <c r="C4" i="1" s="1"/>
  <c r="A69" i="7"/>
  <c r="D68" i="7"/>
  <c r="B68" i="7"/>
  <c r="I41" i="7"/>
  <c r="C11" i="1"/>
  <c r="C16" i="1" s="1"/>
  <c r="A70" i="7" l="1"/>
  <c r="B69" i="7"/>
  <c r="D69" i="7"/>
  <c r="C42" i="7"/>
  <c r="C33" i="1"/>
  <c r="C35" i="1" s="1"/>
  <c r="C19" i="1" s="1"/>
  <c r="A71" i="7" l="1"/>
  <c r="D70" i="7"/>
  <c r="B70" i="7"/>
  <c r="C24" i="1"/>
  <c r="C30" i="1" s="1"/>
  <c r="C31" i="1" s="1"/>
  <c r="C32" i="1" s="1"/>
  <c r="C36" i="1" s="1"/>
  <c r="J3" i="2" s="1"/>
  <c r="C23" i="1"/>
  <c r="H42" i="7"/>
  <c r="E42" i="7"/>
  <c r="F42" i="7" s="1"/>
  <c r="G42" i="7" s="1"/>
  <c r="B71" i="7" l="1"/>
  <c r="D71" i="7"/>
  <c r="A72" i="7"/>
  <c r="J42" i="7"/>
  <c r="J6" i="2"/>
  <c r="J5" i="2"/>
  <c r="I42" i="7"/>
  <c r="W27" i="1"/>
  <c r="C25" i="1"/>
  <c r="D20" i="1" s="1"/>
  <c r="D72" i="7" l="1"/>
  <c r="A73" i="7"/>
  <c r="B72" i="7"/>
  <c r="D22" i="1"/>
  <c r="C43" i="7"/>
  <c r="D73" i="7" l="1"/>
  <c r="B73" i="7"/>
  <c r="A74" i="7"/>
  <c r="H43" i="7"/>
  <c r="E43" i="7"/>
  <c r="F43" i="7" s="1"/>
  <c r="G43" i="7" s="1"/>
  <c r="B74" i="7" l="1"/>
  <c r="D74" i="7"/>
  <c r="A75" i="7"/>
  <c r="I43" i="7"/>
  <c r="J43" i="7"/>
  <c r="A76" i="7" l="1"/>
  <c r="D75" i="7"/>
  <c r="B75" i="7"/>
  <c r="C44" i="7"/>
  <c r="B76" i="7" l="1"/>
  <c r="D76" i="7"/>
  <c r="A77" i="7"/>
  <c r="E44" i="7"/>
  <c r="F44" i="7" s="1"/>
  <c r="G44" i="7" s="1"/>
  <c r="H44" i="7"/>
  <c r="D77" i="7" l="1"/>
  <c r="B77" i="7"/>
  <c r="A78" i="7"/>
  <c r="J44" i="7"/>
  <c r="I44" i="7"/>
  <c r="A79" i="7" l="1"/>
  <c r="D78" i="7"/>
  <c r="B78" i="7"/>
  <c r="C45" i="7"/>
  <c r="D79" i="7" l="1"/>
  <c r="A80" i="7"/>
  <c r="B79" i="7"/>
  <c r="E45" i="7"/>
  <c r="F45" i="7" s="1"/>
  <c r="H45" i="7"/>
  <c r="G45" i="7" l="1"/>
  <c r="D80" i="7"/>
  <c r="B80" i="7"/>
  <c r="A81" i="7"/>
  <c r="J45" i="7"/>
  <c r="I45" i="7"/>
  <c r="D81" i="7" l="1"/>
  <c r="A82" i="7"/>
  <c r="B81" i="7"/>
  <c r="C46" i="7"/>
  <c r="A83" i="7" l="1"/>
  <c r="B82" i="7"/>
  <c r="D82" i="7"/>
  <c r="H46" i="7"/>
  <c r="E46" i="7"/>
  <c r="F46" i="7" s="1"/>
  <c r="G46" i="7" s="1"/>
  <c r="D83" i="7" l="1"/>
  <c r="B83" i="7"/>
  <c r="A84" i="7"/>
  <c r="I46" i="7"/>
  <c r="J46" i="7"/>
  <c r="D84" i="7" l="1"/>
  <c r="B84" i="7"/>
  <c r="A85" i="7"/>
  <c r="C47" i="7"/>
  <c r="A86" i="7" l="1"/>
  <c r="D85" i="7"/>
  <c r="B85" i="7"/>
  <c r="E47" i="7"/>
  <c r="F47" i="7" s="1"/>
  <c r="G47" i="7" s="1"/>
  <c r="I47" i="7" s="1"/>
  <c r="C48" i="7" s="1"/>
  <c r="H47" i="7"/>
  <c r="J47" i="7" s="1"/>
  <c r="A87" i="7" l="1"/>
  <c r="B86" i="7"/>
  <c r="D86" i="7"/>
  <c r="H48" i="7"/>
  <c r="J48" i="7" s="1"/>
  <c r="E48" i="7"/>
  <c r="F48" i="7" s="1"/>
  <c r="G48" i="7" s="1"/>
  <c r="I48" i="7" s="1"/>
  <c r="C49" i="7" s="1"/>
  <c r="B87" i="7" l="1"/>
  <c r="A88" i="7"/>
  <c r="D87" i="7"/>
  <c r="E49" i="7"/>
  <c r="F49" i="7" s="1"/>
  <c r="H49" i="7"/>
  <c r="J49" i="7" s="1"/>
  <c r="G49" i="7" l="1"/>
  <c r="I49" i="7" s="1"/>
  <c r="C50" i="7" s="1"/>
  <c r="H50" i="7" s="1"/>
  <c r="J50" i="7" s="1"/>
  <c r="A89" i="7"/>
  <c r="B88" i="7"/>
  <c r="D88" i="7"/>
  <c r="E50" i="7" l="1"/>
  <c r="F50" i="7" s="1"/>
  <c r="G50" i="7" s="1"/>
  <c r="I50" i="7" s="1"/>
  <c r="C51" i="7" s="1"/>
  <c r="H51" i="7" s="1"/>
  <c r="J51" i="7" s="1"/>
  <c r="B89" i="7"/>
  <c r="A90" i="7"/>
  <c r="D89" i="7"/>
  <c r="E51" i="7" l="1"/>
  <c r="F51" i="7" s="1"/>
  <c r="G51" i="7" s="1"/>
  <c r="I51" i="7" s="1"/>
  <c r="C52" i="7" s="1"/>
  <c r="H52" i="7" s="1"/>
  <c r="J52" i="7" s="1"/>
  <c r="A91" i="7"/>
  <c r="B90" i="7"/>
  <c r="D90" i="7"/>
  <c r="E52" i="7" l="1"/>
  <c r="F52" i="7" s="1"/>
  <c r="G52" i="7" s="1"/>
  <c r="I52" i="7" s="1"/>
  <c r="C53" i="7" s="1"/>
  <c r="D91" i="7"/>
  <c r="A92" i="7"/>
  <c r="B91" i="7"/>
  <c r="H53" i="7" l="1"/>
  <c r="E53" i="7"/>
  <c r="F53" i="7" s="1"/>
  <c r="G53" i="7" s="1"/>
  <c r="L6" i="7" s="1"/>
  <c r="D13" i="1" s="1"/>
  <c r="D92" i="7"/>
  <c r="B92" i="7"/>
  <c r="A93" i="7"/>
  <c r="I53" i="7" l="1"/>
  <c r="K6" i="7"/>
  <c r="D4" i="1" s="1"/>
  <c r="D11" i="1" s="1"/>
  <c r="D16" i="1" s="1"/>
  <c r="J53" i="7"/>
  <c r="A94" i="7"/>
  <c r="D93" i="7"/>
  <c r="B93" i="7"/>
  <c r="C54" i="7"/>
  <c r="D33" i="1"/>
  <c r="D35" i="1" s="1"/>
  <c r="D19" i="1" l="1"/>
  <c r="D15" i="1"/>
  <c r="K4" i="2" s="1"/>
  <c r="D94" i="7"/>
  <c r="A95" i="7"/>
  <c r="B94" i="7"/>
  <c r="D23" i="1"/>
  <c r="D24" i="1"/>
  <c r="E54" i="7"/>
  <c r="F54" i="7" s="1"/>
  <c r="G54" i="7" s="1"/>
  <c r="H54" i="7"/>
  <c r="A96" i="7" l="1"/>
  <c r="D95" i="7"/>
  <c r="B95" i="7"/>
  <c r="J54" i="7"/>
  <c r="D30" i="1"/>
  <c r="D31" i="1" s="1"/>
  <c r="D32" i="1" s="1"/>
  <c r="D36" i="1" s="1"/>
  <c r="K3" i="2" s="1"/>
  <c r="I54" i="7"/>
  <c r="X27" i="1"/>
  <c r="D25" i="1"/>
  <c r="E20" i="1" s="1"/>
  <c r="B96" i="7" l="1"/>
  <c r="D96" i="7"/>
  <c r="A97" i="7"/>
  <c r="E22" i="1"/>
  <c r="C55" i="7"/>
  <c r="K6" i="2"/>
  <c r="K5" i="2"/>
  <c r="D97" i="7" l="1"/>
  <c r="B97" i="7"/>
  <c r="A98" i="7"/>
  <c r="E55" i="7"/>
  <c r="F55" i="7" s="1"/>
  <c r="G55" i="7" s="1"/>
  <c r="H55" i="7"/>
  <c r="B98" i="7" l="1"/>
  <c r="D98" i="7"/>
  <c r="A99" i="7"/>
  <c r="J55" i="7"/>
  <c r="I55" i="7"/>
  <c r="A100" i="7" l="1"/>
  <c r="D99" i="7"/>
  <c r="B99" i="7"/>
  <c r="C56" i="7"/>
  <c r="D100" i="7" l="1"/>
  <c r="B100" i="7"/>
  <c r="A101" i="7"/>
  <c r="H56" i="7"/>
  <c r="E56" i="7"/>
  <c r="F56" i="7" s="1"/>
  <c r="G56" i="7" s="1"/>
  <c r="B101" i="7" l="1"/>
  <c r="A102" i="7"/>
  <c r="D101" i="7"/>
  <c r="I56" i="7"/>
  <c r="J56" i="7"/>
  <c r="B102" i="7" l="1"/>
  <c r="D102" i="7"/>
  <c r="A103" i="7"/>
  <c r="C57" i="7"/>
  <c r="D103" i="7" l="1"/>
  <c r="A104" i="7"/>
  <c r="B103" i="7"/>
  <c r="E57" i="7"/>
  <c r="F57" i="7" s="1"/>
  <c r="G57" i="7" s="1"/>
  <c r="H57" i="7"/>
  <c r="D104" i="7" l="1"/>
  <c r="A105" i="7"/>
  <c r="B104" i="7"/>
  <c r="J57" i="7"/>
  <c r="I57" i="7"/>
  <c r="D105" i="7" l="1"/>
  <c r="B105" i="7"/>
  <c r="A106" i="7"/>
  <c r="C58" i="7"/>
  <c r="D106" i="7" l="1"/>
  <c r="A107" i="7"/>
  <c r="B106" i="7"/>
  <c r="H58" i="7"/>
  <c r="E58" i="7"/>
  <c r="F58" i="7" s="1"/>
  <c r="G58" i="7" s="1"/>
  <c r="A108" i="7" l="1"/>
  <c r="B107" i="7"/>
  <c r="D107" i="7"/>
  <c r="I58" i="7"/>
  <c r="J58" i="7"/>
  <c r="A109" i="7" l="1"/>
  <c r="B108" i="7"/>
  <c r="D108" i="7"/>
  <c r="C59" i="7"/>
  <c r="A110" i="7" l="1"/>
  <c r="D109" i="7"/>
  <c r="B109" i="7"/>
  <c r="H59" i="7"/>
  <c r="J59" i="7" s="1"/>
  <c r="E59" i="7"/>
  <c r="F59" i="7" s="1"/>
  <c r="G59" i="7" s="1"/>
  <c r="I59" i="7" s="1"/>
  <c r="C60" i="7" s="1"/>
  <c r="A111" i="7" l="1"/>
  <c r="B110" i="7"/>
  <c r="D110" i="7"/>
  <c r="E60" i="7"/>
  <c r="F60" i="7" s="1"/>
  <c r="G60" i="7" s="1"/>
  <c r="I60" i="7" s="1"/>
  <c r="C61" i="7" s="1"/>
  <c r="H60" i="7"/>
  <c r="J60" i="7" s="1"/>
  <c r="B111" i="7" l="1"/>
  <c r="A112" i="7"/>
  <c r="D111" i="7"/>
  <c r="H61" i="7"/>
  <c r="J61" i="7" s="1"/>
  <c r="E61" i="7"/>
  <c r="F61" i="7" s="1"/>
  <c r="G61" i="7" s="1"/>
  <c r="I61" i="7" s="1"/>
  <c r="C62" i="7" s="1"/>
  <c r="D112" i="7" l="1"/>
  <c r="A113" i="7"/>
  <c r="B112" i="7"/>
  <c r="H62" i="7"/>
  <c r="J62" i="7" s="1"/>
  <c r="E62" i="7"/>
  <c r="F62" i="7" s="1"/>
  <c r="G62" i="7" s="1"/>
  <c r="I62" i="7" s="1"/>
  <c r="C63" i="7" s="1"/>
  <c r="B113" i="7" l="1"/>
  <c r="D113" i="7"/>
  <c r="A114" i="7"/>
  <c r="E63" i="7"/>
  <c r="F63" i="7" s="1"/>
  <c r="G63" i="7" s="1"/>
  <c r="I63" i="7" s="1"/>
  <c r="C64" i="7" s="1"/>
  <c r="H63" i="7"/>
  <c r="J63" i="7" s="1"/>
  <c r="B114" i="7" l="1"/>
  <c r="D114" i="7"/>
  <c r="A115" i="7"/>
  <c r="H64" i="7"/>
  <c r="J64" i="7" s="1"/>
  <c r="E64" i="7"/>
  <c r="F64" i="7" s="1"/>
  <c r="G64" i="7" s="1"/>
  <c r="I64" i="7" s="1"/>
  <c r="C65" i="7" s="1"/>
  <c r="E65" i="7" s="1"/>
  <c r="B115" i="7" l="1"/>
  <c r="D115" i="7"/>
  <c r="A116" i="7"/>
  <c r="H65" i="7"/>
  <c r="F65" i="7"/>
  <c r="G65" i="7" s="1"/>
  <c r="D116" i="7" l="1"/>
  <c r="B116" i="7"/>
  <c r="A117" i="7"/>
  <c r="I65" i="7"/>
  <c r="L7" i="7"/>
  <c r="E13" i="1" s="1"/>
  <c r="J65" i="7"/>
  <c r="K7" i="7"/>
  <c r="E4" i="1" s="1"/>
  <c r="B117" i="7" l="1"/>
  <c r="A118" i="7"/>
  <c r="D117" i="7"/>
  <c r="E15" i="1"/>
  <c r="L4" i="2" s="1"/>
  <c r="E11" i="1"/>
  <c r="E16" i="1" s="1"/>
  <c r="C66" i="7"/>
  <c r="E33" i="1"/>
  <c r="E35" i="1" s="1"/>
  <c r="D118" i="7" l="1"/>
  <c r="A119" i="7"/>
  <c r="B118" i="7"/>
  <c r="E66" i="7"/>
  <c r="F66" i="7" s="1"/>
  <c r="H66" i="7"/>
  <c r="E19" i="1"/>
  <c r="B119" i="7" l="1"/>
  <c r="A120" i="7"/>
  <c r="D119" i="7"/>
  <c r="G66" i="7"/>
  <c r="E23" i="1"/>
  <c r="E24" i="1"/>
  <c r="J66" i="7"/>
  <c r="I66" i="7"/>
  <c r="B120" i="7" l="1"/>
  <c r="A121" i="7"/>
  <c r="D120" i="7"/>
  <c r="C67" i="7"/>
  <c r="E30" i="1"/>
  <c r="E31" i="1" s="1"/>
  <c r="E32" i="1" s="1"/>
  <c r="E36" i="1" s="1"/>
  <c r="L3" i="2" s="1"/>
  <c r="Y27" i="1"/>
  <c r="E25" i="1"/>
  <c r="F20" i="1" s="1"/>
  <c r="A122" i="7" l="1"/>
  <c r="B121" i="7"/>
  <c r="D121" i="7"/>
  <c r="F22" i="1"/>
  <c r="L6" i="2"/>
  <c r="L5" i="2"/>
  <c r="E67" i="7"/>
  <c r="F67" i="7" s="1"/>
  <c r="G67" i="7" s="1"/>
  <c r="H67" i="7"/>
  <c r="A123" i="7" l="1"/>
  <c r="B122" i="7"/>
  <c r="D122" i="7"/>
  <c r="J67" i="7"/>
  <c r="I67" i="7"/>
  <c r="D123" i="7" l="1"/>
  <c r="A124" i="7"/>
  <c r="B123" i="7"/>
  <c r="C68" i="7"/>
  <c r="D124" i="7" l="1"/>
  <c r="A125" i="7"/>
  <c r="B124" i="7"/>
  <c r="H68" i="7"/>
  <c r="E68" i="7"/>
  <c r="F68" i="7" s="1"/>
  <c r="G68" i="7" s="1"/>
  <c r="D125" i="7" l="1"/>
  <c r="A126" i="7"/>
  <c r="B125" i="7"/>
  <c r="I68" i="7"/>
  <c r="J68" i="7"/>
  <c r="A127" i="7" l="1"/>
  <c r="B126" i="7"/>
  <c r="D126" i="7"/>
  <c r="C69" i="7"/>
  <c r="D127" i="7" l="1"/>
  <c r="A128" i="7"/>
  <c r="B127" i="7"/>
  <c r="H69" i="7"/>
  <c r="E69" i="7"/>
  <c r="F69" i="7" s="1"/>
  <c r="G69" i="7" s="1"/>
  <c r="D128" i="7" l="1"/>
  <c r="B128" i="7"/>
  <c r="A129" i="7"/>
  <c r="I69" i="7"/>
  <c r="J69" i="7"/>
  <c r="B129" i="7" l="1"/>
  <c r="D129" i="7"/>
  <c r="A130" i="7"/>
  <c r="C70" i="7"/>
  <c r="D130" i="7" l="1"/>
  <c r="A131" i="7"/>
  <c r="B130" i="7"/>
  <c r="H70" i="7"/>
  <c r="E70" i="7"/>
  <c r="F70" i="7" s="1"/>
  <c r="G70" i="7" s="1"/>
  <c r="B131" i="7" l="1"/>
  <c r="D131" i="7"/>
  <c r="A132" i="7"/>
  <c r="I70" i="7"/>
  <c r="J70" i="7"/>
  <c r="B132" i="7" l="1"/>
  <c r="D132" i="7"/>
  <c r="A133" i="7"/>
  <c r="C71" i="7"/>
  <c r="A134" i="7" l="1"/>
  <c r="B133" i="7"/>
  <c r="D133" i="7"/>
  <c r="H71" i="7"/>
  <c r="J71" i="7" s="1"/>
  <c r="E71" i="7"/>
  <c r="B134" i="7" l="1"/>
  <c r="A135" i="7"/>
  <c r="D134" i="7"/>
  <c r="F71" i="7"/>
  <c r="G71" i="7" s="1"/>
  <c r="I71" i="7" s="1"/>
  <c r="C72" i="7" s="1"/>
  <c r="B135" i="7" l="1"/>
  <c r="D135" i="7"/>
  <c r="A136" i="7"/>
  <c r="H72" i="7"/>
  <c r="J72" i="7" s="1"/>
  <c r="E72" i="7"/>
  <c r="F72" i="7" s="1"/>
  <c r="G72" i="7" s="1"/>
  <c r="I72" i="7" s="1"/>
  <c r="C73" i="7" s="1"/>
  <c r="B136" i="7" l="1"/>
  <c r="A137" i="7"/>
  <c r="D136" i="7"/>
  <c r="E73" i="7"/>
  <c r="F73" i="7" s="1"/>
  <c r="G73" i="7" s="1"/>
  <c r="I73" i="7" s="1"/>
  <c r="C74" i="7" s="1"/>
  <c r="H73" i="7"/>
  <c r="J73" i="7" s="1"/>
  <c r="A138" i="7" l="1"/>
  <c r="B137" i="7"/>
  <c r="D137" i="7"/>
  <c r="H74" i="7"/>
  <c r="J74" i="7" s="1"/>
  <c r="E74" i="7"/>
  <c r="F74" i="7" s="1"/>
  <c r="G74" i="7" s="1"/>
  <c r="I74" i="7" s="1"/>
  <c r="C75" i="7" s="1"/>
  <c r="D138" i="7" l="1"/>
  <c r="A139" i="7"/>
  <c r="B138" i="7"/>
  <c r="E75" i="7"/>
  <c r="F75" i="7" s="1"/>
  <c r="G75" i="7" s="1"/>
  <c r="I75" i="7" s="1"/>
  <c r="C76" i="7" s="1"/>
  <c r="H75" i="7"/>
  <c r="J75" i="7" s="1"/>
  <c r="D139" i="7" l="1"/>
  <c r="A140" i="7"/>
  <c r="B139" i="7"/>
  <c r="H76" i="7"/>
  <c r="J76" i="7" s="1"/>
  <c r="E76" i="7"/>
  <c r="F76" i="7" s="1"/>
  <c r="G76" i="7" s="1"/>
  <c r="I76" i="7" s="1"/>
  <c r="C77" i="7" s="1"/>
  <c r="A141" i="7" l="1"/>
  <c r="D140" i="7"/>
  <c r="B140" i="7"/>
  <c r="H77" i="7"/>
  <c r="E77" i="7"/>
  <c r="F77" i="7" s="1"/>
  <c r="G77" i="7" s="1"/>
  <c r="B141" i="7" l="1"/>
  <c r="A142" i="7"/>
  <c r="D141" i="7"/>
  <c r="I77" i="7"/>
  <c r="L8" i="7"/>
  <c r="F13" i="1" s="1"/>
  <c r="J77" i="7"/>
  <c r="K8" i="7"/>
  <c r="F4" i="1" s="1"/>
  <c r="B142" i="7" l="1"/>
  <c r="A143" i="7"/>
  <c r="D142" i="7"/>
  <c r="F15" i="1"/>
  <c r="M4" i="2" s="1"/>
  <c r="F11" i="1"/>
  <c r="F16" i="1" s="1"/>
  <c r="C78" i="7"/>
  <c r="F33" i="1"/>
  <c r="F35" i="1" s="1"/>
  <c r="B143" i="7" l="1"/>
  <c r="D143" i="7"/>
  <c r="A144" i="7"/>
  <c r="E78" i="7"/>
  <c r="F78" i="7" s="1"/>
  <c r="G78" i="7" s="1"/>
  <c r="H78" i="7"/>
  <c r="F19" i="1"/>
  <c r="B144" i="7" l="1"/>
  <c r="D144" i="7"/>
  <c r="A145" i="7"/>
  <c r="F23" i="1"/>
  <c r="F24" i="1"/>
  <c r="J78" i="7"/>
  <c r="I78" i="7"/>
  <c r="D145" i="7" l="1"/>
  <c r="A146" i="7"/>
  <c r="B145" i="7"/>
  <c r="F30" i="1"/>
  <c r="F31" i="1" s="1"/>
  <c r="F32" i="1" s="1"/>
  <c r="F36" i="1" s="1"/>
  <c r="M3" i="2" s="1"/>
  <c r="C79" i="7"/>
  <c r="Z27" i="1"/>
  <c r="F25" i="1"/>
  <c r="G20" i="1" s="1"/>
  <c r="A147" i="7" l="1"/>
  <c r="D146" i="7"/>
  <c r="B146" i="7"/>
  <c r="H79" i="7"/>
  <c r="E79" i="7"/>
  <c r="F79" i="7" s="1"/>
  <c r="G79" i="7" s="1"/>
  <c r="G22" i="1"/>
  <c r="M6" i="2"/>
  <c r="M5" i="2"/>
  <c r="A148" i="7" l="1"/>
  <c r="B147" i="7"/>
  <c r="D147" i="7"/>
  <c r="I79" i="7"/>
  <c r="J79" i="7"/>
  <c r="B148" i="7" l="1"/>
  <c r="A149" i="7"/>
  <c r="D148" i="7"/>
  <c r="C80" i="7"/>
  <c r="A150" i="7" l="1"/>
  <c r="B149" i="7"/>
  <c r="D149" i="7"/>
  <c r="H80" i="7"/>
  <c r="E80" i="7"/>
  <c r="F80" i="7" s="1"/>
  <c r="G80" i="7" s="1"/>
  <c r="B150" i="7" l="1"/>
  <c r="A151" i="7"/>
  <c r="D150" i="7"/>
  <c r="I80" i="7"/>
  <c r="J80" i="7"/>
  <c r="A152" i="7" l="1"/>
  <c r="B151" i="7"/>
  <c r="D151" i="7"/>
  <c r="C81" i="7"/>
  <c r="B152" i="7" l="1"/>
  <c r="D152" i="7"/>
  <c r="A153" i="7"/>
  <c r="E81" i="7"/>
  <c r="F81" i="7" s="1"/>
  <c r="G81" i="7" s="1"/>
  <c r="H81" i="7"/>
  <c r="D153" i="7" l="1"/>
  <c r="A154" i="7"/>
  <c r="B153" i="7"/>
  <c r="J81" i="7"/>
  <c r="I81" i="7"/>
  <c r="D154" i="7" l="1"/>
  <c r="A155" i="7"/>
  <c r="B154" i="7"/>
  <c r="C82" i="7"/>
  <c r="B155" i="7" l="1"/>
  <c r="A156" i="7"/>
  <c r="D155" i="7"/>
  <c r="E82" i="7"/>
  <c r="F82" i="7" s="1"/>
  <c r="H82" i="7"/>
  <c r="G82" i="7" l="1"/>
  <c r="A157" i="7"/>
  <c r="B156" i="7"/>
  <c r="D156" i="7"/>
  <c r="J82" i="7"/>
  <c r="I82" i="7"/>
  <c r="D157" i="7" l="1"/>
  <c r="B157" i="7"/>
  <c r="A158" i="7"/>
  <c r="C83" i="7"/>
  <c r="B158" i="7" l="1"/>
  <c r="A159" i="7"/>
  <c r="D158" i="7"/>
  <c r="H83" i="7"/>
  <c r="J83" i="7" s="1"/>
  <c r="E83" i="7"/>
  <c r="F83" i="7" s="1"/>
  <c r="G83" i="7" s="1"/>
  <c r="I83" i="7" s="1"/>
  <c r="C84" i="7" s="1"/>
  <c r="A160" i="7" l="1"/>
  <c r="B159" i="7"/>
  <c r="D159" i="7"/>
  <c r="E84" i="7"/>
  <c r="F84" i="7" s="1"/>
  <c r="G84" i="7" s="1"/>
  <c r="I84" i="7" s="1"/>
  <c r="C85" i="7" s="1"/>
  <c r="H84" i="7"/>
  <c r="J84" i="7" s="1"/>
  <c r="A161" i="7" l="1"/>
  <c r="B160" i="7"/>
  <c r="D160" i="7"/>
  <c r="H85" i="7"/>
  <c r="J85" i="7" s="1"/>
  <c r="E85" i="7"/>
  <c r="A162" i="7" l="1"/>
  <c r="B161" i="7"/>
  <c r="D161" i="7"/>
  <c r="F85" i="7"/>
  <c r="G85" i="7" s="1"/>
  <c r="I85" i="7" s="1"/>
  <c r="C86" i="7" s="1"/>
  <c r="B162" i="7" l="1"/>
  <c r="A163" i="7"/>
  <c r="D162" i="7"/>
  <c r="H86" i="7"/>
  <c r="J86" i="7" s="1"/>
  <c r="E86" i="7"/>
  <c r="D163" i="7" l="1"/>
  <c r="A164" i="7"/>
  <c r="B163" i="7"/>
  <c r="F86" i="7"/>
  <c r="G86" i="7" s="1"/>
  <c r="I86" i="7" s="1"/>
  <c r="C87" i="7" s="1"/>
  <c r="B164" i="7" l="1"/>
  <c r="A165" i="7"/>
  <c r="D164" i="7"/>
  <c r="H87" i="7"/>
  <c r="J87" i="7" s="1"/>
  <c r="E87" i="7"/>
  <c r="F87" i="7" s="1"/>
  <c r="G87" i="7" s="1"/>
  <c r="I87" i="7" s="1"/>
  <c r="C88" i="7" s="1"/>
  <c r="A166" i="7" l="1"/>
  <c r="D165" i="7"/>
  <c r="B165" i="7"/>
  <c r="H88" i="7"/>
  <c r="J88" i="7" s="1"/>
  <c r="E88" i="7"/>
  <c r="F88" i="7" s="1"/>
  <c r="G88" i="7" s="1"/>
  <c r="I88" i="7" s="1"/>
  <c r="C89" i="7" s="1"/>
  <c r="D166" i="7" l="1"/>
  <c r="A167" i="7"/>
  <c r="B166" i="7"/>
  <c r="E89" i="7"/>
  <c r="F89" i="7" s="1"/>
  <c r="G89" i="7" s="1"/>
  <c r="H89" i="7"/>
  <c r="A168" i="7" l="1"/>
  <c r="B167" i="7"/>
  <c r="D167" i="7"/>
  <c r="J89" i="7"/>
  <c r="K9" i="7"/>
  <c r="G4" i="1" s="1"/>
  <c r="I89" i="7"/>
  <c r="L9" i="7"/>
  <c r="G13" i="1" s="1"/>
  <c r="B168" i="7" l="1"/>
  <c r="A169" i="7"/>
  <c r="D168" i="7"/>
  <c r="C90" i="7"/>
  <c r="G33" i="1"/>
  <c r="G35" i="1" s="1"/>
  <c r="G15" i="1"/>
  <c r="N4" i="2" s="1"/>
  <c r="G11" i="1"/>
  <c r="G16" i="1" s="1"/>
  <c r="D169" i="7" l="1"/>
  <c r="A170" i="7"/>
  <c r="B169" i="7"/>
  <c r="G19" i="1"/>
  <c r="H90" i="7"/>
  <c r="E90" i="7"/>
  <c r="F90" i="7" s="1"/>
  <c r="G90" i="7" s="1"/>
  <c r="A171" i="7" l="1"/>
  <c r="B170" i="7"/>
  <c r="D170" i="7"/>
  <c r="J90" i="7"/>
  <c r="I90" i="7"/>
  <c r="G23" i="1"/>
  <c r="G24" i="1"/>
  <c r="B171" i="7" l="1"/>
  <c r="A172" i="7"/>
  <c r="D171" i="7"/>
  <c r="C91" i="7"/>
  <c r="AA27" i="1"/>
  <c r="G25" i="1"/>
  <c r="H20" i="1" s="1"/>
  <c r="G30" i="1"/>
  <c r="G31" i="1" s="1"/>
  <c r="G32" i="1" s="1"/>
  <c r="G36" i="1" s="1"/>
  <c r="N3" i="2" s="1"/>
  <c r="D172" i="7" l="1"/>
  <c r="A173" i="7"/>
  <c r="B172" i="7"/>
  <c r="N5" i="2"/>
  <c r="N6" i="2"/>
  <c r="H22" i="1"/>
  <c r="H91" i="7"/>
  <c r="E91" i="7"/>
  <c r="F91" i="7" s="1"/>
  <c r="G91" i="7" s="1"/>
  <c r="A174" i="7" l="1"/>
  <c r="B173" i="7"/>
  <c r="D173" i="7"/>
  <c r="I91" i="7"/>
  <c r="J91" i="7"/>
  <c r="B174" i="7" l="1"/>
  <c r="D174" i="7"/>
  <c r="A175" i="7"/>
  <c r="C92" i="7"/>
  <c r="D175" i="7" l="1"/>
  <c r="B175" i="7"/>
  <c r="A176" i="7"/>
  <c r="H92" i="7"/>
  <c r="E92" i="7"/>
  <c r="F92" i="7" s="1"/>
  <c r="G92" i="7" s="1"/>
  <c r="A177" i="7" l="1"/>
  <c r="D176" i="7"/>
  <c r="B176" i="7"/>
  <c r="I92" i="7"/>
  <c r="J92" i="7"/>
  <c r="D177" i="7" l="1"/>
  <c r="A178" i="7"/>
  <c r="B177" i="7"/>
  <c r="C93" i="7"/>
  <c r="D178" i="7" l="1"/>
  <c r="A179" i="7"/>
  <c r="B178" i="7"/>
  <c r="H93" i="7"/>
  <c r="E93" i="7"/>
  <c r="F93" i="7" s="1"/>
  <c r="G93" i="7" s="1"/>
  <c r="A180" i="7" l="1"/>
  <c r="B179" i="7"/>
  <c r="D179" i="7"/>
  <c r="I93" i="7"/>
  <c r="J93" i="7"/>
  <c r="A181" i="7" l="1"/>
  <c r="B180" i="7"/>
  <c r="D180" i="7"/>
  <c r="C94" i="7"/>
  <c r="D181" i="7" l="1"/>
  <c r="B181" i="7"/>
  <c r="A182" i="7"/>
  <c r="E94" i="7"/>
  <c r="F94" i="7" s="1"/>
  <c r="G94" i="7" s="1"/>
  <c r="H94" i="7"/>
  <c r="D182" i="7" l="1"/>
  <c r="B182" i="7"/>
  <c r="A183" i="7"/>
  <c r="J94" i="7"/>
  <c r="I94" i="7"/>
  <c r="A184" i="7" l="1"/>
  <c r="B183" i="7"/>
  <c r="D183" i="7"/>
  <c r="C95" i="7"/>
  <c r="A185" i="7" l="1"/>
  <c r="B184" i="7"/>
  <c r="D184" i="7"/>
  <c r="H95" i="7"/>
  <c r="J95" i="7" s="1"/>
  <c r="E95" i="7"/>
  <c r="F95" i="7" s="1"/>
  <c r="G95" i="7" s="1"/>
  <c r="I95" i="7" s="1"/>
  <c r="C96" i="7" s="1"/>
  <c r="A186" i="7" l="1"/>
  <c r="B185" i="7"/>
  <c r="D185" i="7"/>
  <c r="H96" i="7"/>
  <c r="J96" i="7" s="1"/>
  <c r="E96" i="7"/>
  <c r="F96" i="7" s="1"/>
  <c r="G96" i="7" s="1"/>
  <c r="I96" i="7" s="1"/>
  <c r="C97" i="7" s="1"/>
  <c r="B186" i="7" l="1"/>
  <c r="A187" i="7"/>
  <c r="D186" i="7"/>
  <c r="E97" i="7"/>
  <c r="F97" i="7" s="1"/>
  <c r="G97" i="7" s="1"/>
  <c r="I97" i="7" s="1"/>
  <c r="C98" i="7" s="1"/>
  <c r="H97" i="7"/>
  <c r="J97" i="7" s="1"/>
  <c r="D187" i="7" l="1"/>
  <c r="B187" i="7"/>
  <c r="A188" i="7"/>
  <c r="E98" i="7"/>
  <c r="F98" i="7" s="1"/>
  <c r="G98" i="7" s="1"/>
  <c r="I98" i="7" s="1"/>
  <c r="C99" i="7" s="1"/>
  <c r="H98" i="7"/>
  <c r="J98" i="7" s="1"/>
  <c r="A189" i="7" l="1"/>
  <c r="D188" i="7"/>
  <c r="B188" i="7"/>
  <c r="H99" i="7"/>
  <c r="J99" i="7" s="1"/>
  <c r="E99" i="7"/>
  <c r="F99" i="7" s="1"/>
  <c r="G99" i="7" s="1"/>
  <c r="I99" i="7" s="1"/>
  <c r="C100" i="7" s="1"/>
  <c r="B189" i="7" l="1"/>
  <c r="A190" i="7"/>
  <c r="D189" i="7"/>
  <c r="H100" i="7"/>
  <c r="J100" i="7" s="1"/>
  <c r="E100" i="7"/>
  <c r="F100" i="7" s="1"/>
  <c r="G100" i="7" s="1"/>
  <c r="I100" i="7" s="1"/>
  <c r="C101" i="7" s="1"/>
  <c r="D190" i="7" l="1"/>
  <c r="A191" i="7"/>
  <c r="B190" i="7"/>
  <c r="H101" i="7"/>
  <c r="E101" i="7"/>
  <c r="F101" i="7" s="1"/>
  <c r="G101" i="7" s="1"/>
  <c r="A192" i="7" l="1"/>
  <c r="B191" i="7"/>
  <c r="D191" i="7"/>
  <c r="I101" i="7"/>
  <c r="L10" i="7"/>
  <c r="H13" i="1" s="1"/>
  <c r="J101" i="7"/>
  <c r="K10" i="7"/>
  <c r="H4" i="1" s="1"/>
  <c r="A193" i="7" l="1"/>
  <c r="D192" i="7"/>
  <c r="B192" i="7"/>
  <c r="H15" i="1"/>
  <c r="O4" i="2" s="1"/>
  <c r="H11" i="1"/>
  <c r="H16" i="1" s="1"/>
  <c r="C102" i="7"/>
  <c r="H33" i="1"/>
  <c r="H35" i="1" s="1"/>
  <c r="A194" i="7" l="1"/>
  <c r="B193" i="7"/>
  <c r="D193" i="7"/>
  <c r="H102" i="7"/>
  <c r="E102" i="7"/>
  <c r="F102" i="7" s="1"/>
  <c r="G102" i="7" s="1"/>
  <c r="H19" i="1"/>
  <c r="A195" i="7" l="1"/>
  <c r="B194" i="7"/>
  <c r="D194" i="7"/>
  <c r="I102" i="7"/>
  <c r="H23" i="1"/>
  <c r="H24" i="1"/>
  <c r="J102" i="7"/>
  <c r="A196" i="7" l="1"/>
  <c r="B195" i="7"/>
  <c r="D195" i="7"/>
  <c r="AB27" i="1"/>
  <c r="H25" i="1"/>
  <c r="I20" i="1" s="1"/>
  <c r="H30" i="1"/>
  <c r="H31" i="1" s="1"/>
  <c r="H32" i="1" s="1"/>
  <c r="H36" i="1" s="1"/>
  <c r="O3" i="2" s="1"/>
  <c r="C103" i="7"/>
  <c r="D196" i="7" l="1"/>
  <c r="B196" i="7"/>
  <c r="A197" i="7"/>
  <c r="H103" i="7"/>
  <c r="E103" i="7"/>
  <c r="F103" i="7" s="1"/>
  <c r="G103" i="7" s="1"/>
  <c r="O6" i="2"/>
  <c r="O5" i="2"/>
  <c r="I22" i="1"/>
  <c r="B197" i="7" l="1"/>
  <c r="D197" i="7"/>
  <c r="A198" i="7"/>
  <c r="I103" i="7"/>
  <c r="J103" i="7"/>
  <c r="B198" i="7" l="1"/>
  <c r="A199" i="7"/>
  <c r="D198" i="7"/>
  <c r="C104" i="7"/>
  <c r="D199" i="7" l="1"/>
  <c r="B199" i="7"/>
  <c r="A200" i="7"/>
  <c r="E104" i="7"/>
  <c r="F104" i="7" s="1"/>
  <c r="G104" i="7" s="1"/>
  <c r="H104" i="7"/>
  <c r="D200" i="7" l="1"/>
  <c r="A201" i="7"/>
  <c r="B200" i="7"/>
  <c r="J104" i="7"/>
  <c r="I104" i="7"/>
  <c r="A202" i="7" l="1"/>
  <c r="D201" i="7"/>
  <c r="B201" i="7"/>
  <c r="C105" i="7"/>
  <c r="D202" i="7" l="1"/>
  <c r="A203" i="7"/>
  <c r="B202" i="7"/>
  <c r="E105" i="7"/>
  <c r="F105" i="7" s="1"/>
  <c r="G105" i="7" s="1"/>
  <c r="H105" i="7"/>
  <c r="B203" i="7" l="1"/>
  <c r="D203" i="7"/>
  <c r="A204" i="7"/>
  <c r="J105" i="7"/>
  <c r="I105" i="7"/>
  <c r="B204" i="7" l="1"/>
  <c r="A205" i="7"/>
  <c r="D204" i="7"/>
  <c r="C106" i="7"/>
  <c r="B205" i="7" l="1"/>
  <c r="A206" i="7"/>
  <c r="D205" i="7"/>
  <c r="H106" i="7"/>
  <c r="E106" i="7"/>
  <c r="F106" i="7" s="1"/>
  <c r="G106" i="7" s="1"/>
  <c r="B206" i="7" l="1"/>
  <c r="A207" i="7"/>
  <c r="D206" i="7"/>
  <c r="I106" i="7"/>
  <c r="J106" i="7"/>
  <c r="B207" i="7" l="1"/>
  <c r="D207" i="7"/>
  <c r="A208" i="7"/>
  <c r="C107" i="7"/>
  <c r="D208" i="7" l="1"/>
  <c r="B208" i="7"/>
  <c r="A209" i="7"/>
  <c r="H107" i="7"/>
  <c r="J107" i="7" s="1"/>
  <c r="E107" i="7"/>
  <c r="F107" i="7" s="1"/>
  <c r="G107" i="7" s="1"/>
  <c r="I107" i="7" s="1"/>
  <c r="C108" i="7" s="1"/>
  <c r="B209" i="7" l="1"/>
  <c r="D209" i="7"/>
  <c r="A210" i="7"/>
  <c r="H108" i="7"/>
  <c r="J108" i="7" s="1"/>
  <c r="E108" i="7"/>
  <c r="F108" i="7" s="1"/>
  <c r="G108" i="7" s="1"/>
  <c r="I108" i="7" s="1"/>
  <c r="C109" i="7" s="1"/>
  <c r="D210" i="7" l="1"/>
  <c r="B210" i="7"/>
  <c r="A211" i="7"/>
  <c r="H109" i="7"/>
  <c r="J109" i="7" s="1"/>
  <c r="E109" i="7"/>
  <c r="F109" i="7" s="1"/>
  <c r="G109" i="7" s="1"/>
  <c r="I109" i="7" s="1"/>
  <c r="C110" i="7" s="1"/>
  <c r="B211" i="7" l="1"/>
  <c r="D211" i="7"/>
  <c r="A212" i="7"/>
  <c r="H110" i="7"/>
  <c r="J110" i="7" s="1"/>
  <c r="E110" i="7"/>
  <c r="F110" i="7" s="1"/>
  <c r="G110" i="7" s="1"/>
  <c r="I110" i="7" s="1"/>
  <c r="C111" i="7" s="1"/>
  <c r="B212" i="7" l="1"/>
  <c r="A213" i="7"/>
  <c r="D212" i="7"/>
  <c r="E111" i="7"/>
  <c r="F111" i="7" s="1"/>
  <c r="G111" i="7" s="1"/>
  <c r="I111" i="7" s="1"/>
  <c r="C112" i="7" s="1"/>
  <c r="H111" i="7"/>
  <c r="J111" i="7" s="1"/>
  <c r="D213" i="7" l="1"/>
  <c r="B213" i="7"/>
  <c r="A214" i="7"/>
  <c r="H112" i="7"/>
  <c r="J112" i="7" s="1"/>
  <c r="E112" i="7"/>
  <c r="F112" i="7" s="1"/>
  <c r="G112" i="7" s="1"/>
  <c r="I112" i="7" s="1"/>
  <c r="C113" i="7" s="1"/>
  <c r="D214" i="7" l="1"/>
  <c r="A215" i="7"/>
  <c r="B214" i="7"/>
  <c r="H113" i="7"/>
  <c r="E113" i="7"/>
  <c r="F113" i="7" s="1"/>
  <c r="G113" i="7" s="1"/>
  <c r="A216" i="7" l="1"/>
  <c r="B215" i="7"/>
  <c r="D215" i="7"/>
  <c r="I113" i="7"/>
  <c r="L11" i="7"/>
  <c r="I13" i="1" s="1"/>
  <c r="J113" i="7"/>
  <c r="K11" i="7"/>
  <c r="I4" i="1" s="1"/>
  <c r="B216" i="7" l="1"/>
  <c r="A217" i="7"/>
  <c r="D216" i="7"/>
  <c r="I15" i="1"/>
  <c r="P4" i="2" s="1"/>
  <c r="I11" i="1"/>
  <c r="I16" i="1" s="1"/>
  <c r="C114" i="7"/>
  <c r="I33" i="1"/>
  <c r="I35" i="1" s="1"/>
  <c r="D217" i="7" l="1"/>
  <c r="A218" i="7"/>
  <c r="B217" i="7"/>
  <c r="H114" i="7"/>
  <c r="E114" i="7"/>
  <c r="F114" i="7" s="1"/>
  <c r="G114" i="7" s="1"/>
  <c r="I19" i="1"/>
  <c r="B218" i="7" l="1"/>
  <c r="A219" i="7"/>
  <c r="D218" i="7"/>
  <c r="I23" i="1"/>
  <c r="I24" i="1"/>
  <c r="I114" i="7"/>
  <c r="J114" i="7"/>
  <c r="A220" i="7" l="1"/>
  <c r="D219" i="7"/>
  <c r="B219" i="7"/>
  <c r="C115" i="7"/>
  <c r="I30" i="1"/>
  <c r="I31" i="1" s="1"/>
  <c r="I32" i="1" s="1"/>
  <c r="I36" i="1" s="1"/>
  <c r="P3" i="2" s="1"/>
  <c r="AC27" i="1"/>
  <c r="I25" i="1"/>
  <c r="J20" i="1" s="1"/>
  <c r="B220" i="7" l="1"/>
  <c r="D220" i="7"/>
  <c r="A221" i="7"/>
  <c r="J22" i="1"/>
  <c r="P6" i="2"/>
  <c r="P5" i="2"/>
  <c r="H115" i="7"/>
  <c r="E115" i="7"/>
  <c r="F115" i="7" s="1"/>
  <c r="G115" i="7" s="1"/>
  <c r="D221" i="7" l="1"/>
  <c r="B221" i="7"/>
  <c r="A222" i="7"/>
  <c r="I115" i="7"/>
  <c r="J115" i="7"/>
  <c r="D222" i="7" l="1"/>
  <c r="B222" i="7"/>
  <c r="A223" i="7"/>
  <c r="C116" i="7"/>
  <c r="D223" i="7" l="1"/>
  <c r="A224" i="7"/>
  <c r="B223" i="7"/>
  <c r="E116" i="7"/>
  <c r="F116" i="7" s="1"/>
  <c r="H116" i="7"/>
  <c r="G116" i="7" l="1"/>
  <c r="A225" i="7"/>
  <c r="D224" i="7"/>
  <c r="B224" i="7"/>
  <c r="J116" i="7"/>
  <c r="I116" i="7"/>
  <c r="D225" i="7" l="1"/>
  <c r="A226" i="7"/>
  <c r="B225" i="7"/>
  <c r="C117" i="7"/>
  <c r="A227" i="7" l="1"/>
  <c r="B226" i="7"/>
  <c r="D226" i="7"/>
  <c r="H117" i="7"/>
  <c r="E117" i="7"/>
  <c r="F117" i="7" s="1"/>
  <c r="G117" i="7" s="1"/>
  <c r="D227" i="7" l="1"/>
  <c r="B227" i="7"/>
  <c r="A228" i="7"/>
  <c r="I117" i="7"/>
  <c r="J117" i="7"/>
  <c r="A229" i="7" l="1"/>
  <c r="D228" i="7"/>
  <c r="B228" i="7"/>
  <c r="C118" i="7"/>
  <c r="A230" i="7" l="1"/>
  <c r="D229" i="7"/>
  <c r="B229" i="7"/>
  <c r="E118" i="7"/>
  <c r="F118" i="7" s="1"/>
  <c r="G118" i="7" s="1"/>
  <c r="H118" i="7"/>
  <c r="A231" i="7" l="1"/>
  <c r="B230" i="7"/>
  <c r="D230" i="7"/>
  <c r="J118" i="7"/>
  <c r="I118" i="7"/>
  <c r="A232" i="7" l="1"/>
  <c r="D231" i="7"/>
  <c r="B231" i="7"/>
  <c r="C119" i="7"/>
  <c r="D232" i="7" l="1"/>
  <c r="B232" i="7"/>
  <c r="A233" i="7"/>
  <c r="H119" i="7"/>
  <c r="J119" i="7" s="1"/>
  <c r="E119" i="7"/>
  <c r="F119" i="7" s="1"/>
  <c r="G119" i="7" s="1"/>
  <c r="I119" i="7" s="1"/>
  <c r="C120" i="7" s="1"/>
  <c r="B233" i="7" l="1"/>
  <c r="D233" i="7"/>
  <c r="A234" i="7"/>
  <c r="E120" i="7"/>
  <c r="F120" i="7" s="1"/>
  <c r="G120" i="7" s="1"/>
  <c r="I120" i="7" s="1"/>
  <c r="C121" i="7" s="1"/>
  <c r="H120" i="7"/>
  <c r="J120" i="7" s="1"/>
  <c r="B234" i="7" l="1"/>
  <c r="D234" i="7"/>
  <c r="A235" i="7"/>
  <c r="H121" i="7"/>
  <c r="J121" i="7" s="1"/>
  <c r="E121" i="7"/>
  <c r="F121" i="7" s="1"/>
  <c r="G121" i="7" s="1"/>
  <c r="I121" i="7" s="1"/>
  <c r="C122" i="7" s="1"/>
  <c r="B235" i="7" l="1"/>
  <c r="D235" i="7"/>
  <c r="A236" i="7"/>
  <c r="H122" i="7"/>
  <c r="J122" i="7" s="1"/>
  <c r="E122" i="7"/>
  <c r="F122" i="7" s="1"/>
  <c r="G122" i="7" s="1"/>
  <c r="I122" i="7" s="1"/>
  <c r="C123" i="7" s="1"/>
  <c r="B236" i="7" l="1"/>
  <c r="D236" i="7"/>
  <c r="A237" i="7"/>
  <c r="H123" i="7"/>
  <c r="J123" i="7" s="1"/>
  <c r="E123" i="7"/>
  <c r="F123" i="7" s="1"/>
  <c r="G123" i="7" s="1"/>
  <c r="I123" i="7" s="1"/>
  <c r="C124" i="7" s="1"/>
  <c r="D237" i="7" l="1"/>
  <c r="B237" i="7"/>
  <c r="A238" i="7"/>
  <c r="E124" i="7"/>
  <c r="F124" i="7" s="1"/>
  <c r="G124" i="7" s="1"/>
  <c r="I124" i="7" s="1"/>
  <c r="C125" i="7" s="1"/>
  <c r="H124" i="7"/>
  <c r="J124" i="7" s="1"/>
  <c r="B238" i="7" l="1"/>
  <c r="A239" i="7"/>
  <c r="D238" i="7"/>
  <c r="H125" i="7"/>
  <c r="E125" i="7"/>
  <c r="F125" i="7" s="1"/>
  <c r="G125" i="7" s="1"/>
  <c r="A240" i="7" l="1"/>
  <c r="B239" i="7"/>
  <c r="D239" i="7"/>
  <c r="I125" i="7"/>
  <c r="L12" i="7"/>
  <c r="J13" i="1" s="1"/>
  <c r="J125" i="7"/>
  <c r="K12" i="7"/>
  <c r="J4" i="1" s="1"/>
  <c r="D240" i="7" l="1"/>
  <c r="B240" i="7"/>
  <c r="A241" i="7"/>
  <c r="J15" i="1"/>
  <c r="Q4" i="2" s="1"/>
  <c r="J11" i="1"/>
  <c r="J16" i="1" s="1"/>
  <c r="C126" i="7"/>
  <c r="J33" i="1"/>
  <c r="J35" i="1" s="1"/>
  <c r="D241" i="7" l="1"/>
  <c r="B241" i="7"/>
  <c r="A242" i="7"/>
  <c r="H126" i="7"/>
  <c r="E126" i="7"/>
  <c r="F126" i="7" s="1"/>
  <c r="G126" i="7" s="1"/>
  <c r="J19" i="1"/>
  <c r="D242" i="7" l="1"/>
  <c r="A243" i="7"/>
  <c r="B242" i="7"/>
  <c r="J23" i="1"/>
  <c r="J24" i="1"/>
  <c r="I126" i="7"/>
  <c r="J126" i="7"/>
  <c r="B243" i="7" l="1"/>
  <c r="D243" i="7"/>
  <c r="A244" i="7"/>
  <c r="C127" i="7"/>
  <c r="J30" i="1"/>
  <c r="J31" i="1" s="1"/>
  <c r="J32" i="1" s="1"/>
  <c r="J36" i="1" s="1"/>
  <c r="Q3" i="2" s="1"/>
  <c r="AD27" i="1"/>
  <c r="J25" i="1"/>
  <c r="K20" i="1" s="1"/>
  <c r="B244" i="7" l="1"/>
  <c r="A245" i="7"/>
  <c r="D244" i="7"/>
  <c r="K22" i="1"/>
  <c r="Q6" i="2"/>
  <c r="Q5" i="2"/>
  <c r="H127" i="7"/>
  <c r="E127" i="7"/>
  <c r="F127" i="7" s="1"/>
  <c r="G127" i="7" s="1"/>
  <c r="B245" i="7" l="1"/>
  <c r="D245" i="7"/>
  <c r="A246" i="7"/>
  <c r="I127" i="7"/>
  <c r="J127" i="7"/>
  <c r="B246" i="7" l="1"/>
  <c r="A247" i="7"/>
  <c r="D246" i="7"/>
  <c r="C128" i="7"/>
  <c r="D247" i="7" l="1"/>
  <c r="A248" i="7"/>
  <c r="B247" i="7"/>
  <c r="H128" i="7"/>
  <c r="E128" i="7"/>
  <c r="F128" i="7" s="1"/>
  <c r="G128" i="7" s="1"/>
  <c r="A249" i="7" l="1"/>
  <c r="D248" i="7"/>
  <c r="B248" i="7"/>
  <c r="I128" i="7"/>
  <c r="J128" i="7"/>
  <c r="D249" i="7" l="1"/>
  <c r="B249" i="7"/>
  <c r="A250" i="7"/>
  <c r="C129" i="7"/>
  <c r="A251" i="7" l="1"/>
  <c r="B250" i="7"/>
  <c r="D250" i="7"/>
  <c r="H129" i="7"/>
  <c r="E129" i="7"/>
  <c r="F129" i="7" s="1"/>
  <c r="G129" i="7" s="1"/>
  <c r="D251" i="7" l="1"/>
  <c r="B251" i="7"/>
  <c r="A252" i="7"/>
  <c r="I129" i="7"/>
  <c r="J129" i="7"/>
  <c r="B252" i="7" l="1"/>
  <c r="A253" i="7"/>
  <c r="D252" i="7"/>
  <c r="C130" i="7"/>
  <c r="A254" i="7" l="1"/>
  <c r="B253" i="7"/>
  <c r="D253" i="7"/>
  <c r="H130" i="7"/>
  <c r="E130" i="7"/>
  <c r="F130" i="7" s="1"/>
  <c r="G130" i="7" s="1"/>
  <c r="B254" i="7" l="1"/>
  <c r="A255" i="7"/>
  <c r="D254" i="7"/>
  <c r="I130" i="7"/>
  <c r="J130" i="7"/>
  <c r="B255" i="7" l="1"/>
  <c r="A256" i="7"/>
  <c r="D255" i="7"/>
  <c r="C131" i="7"/>
  <c r="B256" i="7" l="1"/>
  <c r="D256" i="7"/>
  <c r="A257" i="7"/>
  <c r="E131" i="7"/>
  <c r="F131" i="7" s="1"/>
  <c r="H131" i="7"/>
  <c r="J131" i="7" s="1"/>
  <c r="G131" i="7" l="1"/>
  <c r="I131" i="7" s="1"/>
  <c r="C132" i="7" s="1"/>
  <c r="H132" i="7" s="1"/>
  <c r="J132" i="7" s="1"/>
  <c r="A258" i="7"/>
  <c r="D257" i="7"/>
  <c r="B257" i="7"/>
  <c r="E132" i="7" l="1"/>
  <c r="F132" i="7" s="1"/>
  <c r="G132" i="7" s="1"/>
  <c r="I132" i="7" s="1"/>
  <c r="C133" i="7" s="1"/>
  <c r="H133" i="7" s="1"/>
  <c r="J133" i="7" s="1"/>
  <c r="D258" i="7"/>
  <c r="A259" i="7"/>
  <c r="B258" i="7"/>
  <c r="E133" i="7" l="1"/>
  <c r="F133" i="7" s="1"/>
  <c r="G133" i="7" s="1"/>
  <c r="I133" i="7" s="1"/>
  <c r="C134" i="7" s="1"/>
  <c r="D259" i="7"/>
  <c r="A260" i="7"/>
  <c r="B259" i="7"/>
  <c r="H134" i="7" l="1"/>
  <c r="J134" i="7" s="1"/>
  <c r="E134" i="7"/>
  <c r="F134" i="7" s="1"/>
  <c r="G134" i="7" s="1"/>
  <c r="I134" i="7" s="1"/>
  <c r="C135" i="7" s="1"/>
  <c r="H135" i="7" s="1"/>
  <c r="J135" i="7" s="1"/>
  <c r="B260" i="7"/>
  <c r="A261" i="7"/>
  <c r="D260" i="7"/>
  <c r="E135" i="7" l="1"/>
  <c r="F135" i="7" s="1"/>
  <c r="G135" i="7" s="1"/>
  <c r="I135" i="7" s="1"/>
  <c r="C136" i="7" s="1"/>
  <c r="E136" i="7" s="1"/>
  <c r="F136" i="7" s="1"/>
  <c r="A262" i="7"/>
  <c r="D261" i="7"/>
  <c r="B261" i="7"/>
  <c r="H136" i="7" l="1"/>
  <c r="J136" i="7" s="1"/>
  <c r="A263" i="7"/>
  <c r="B262" i="7"/>
  <c r="D262" i="7"/>
  <c r="G136" i="7" l="1"/>
  <c r="I136" i="7" s="1"/>
  <c r="C137" i="7" s="1"/>
  <c r="A264" i="7"/>
  <c r="D263" i="7"/>
  <c r="B263" i="7"/>
  <c r="H137" i="7" l="1"/>
  <c r="E137" i="7"/>
  <c r="B264" i="7"/>
  <c r="D264" i="7"/>
  <c r="A265" i="7"/>
  <c r="F137" i="7" l="1"/>
  <c r="G137" i="7" s="1"/>
  <c r="L13" i="7" s="1"/>
  <c r="K13" i="1" s="1"/>
  <c r="J137" i="7"/>
  <c r="K13" i="7"/>
  <c r="K4" i="1" s="1"/>
  <c r="B265" i="7"/>
  <c r="A266" i="7"/>
  <c r="D265" i="7"/>
  <c r="K15" i="1" l="1"/>
  <c r="R4" i="2" s="1"/>
  <c r="K11" i="1"/>
  <c r="K16" i="1" s="1"/>
  <c r="I137" i="7"/>
  <c r="A267" i="7"/>
  <c r="B266" i="7"/>
  <c r="D266" i="7"/>
  <c r="K33" i="1" l="1"/>
  <c r="K35" i="1" s="1"/>
  <c r="K19" i="1" s="1"/>
  <c r="C138" i="7"/>
  <c r="D267" i="7"/>
  <c r="B267" i="7"/>
  <c r="A268" i="7"/>
  <c r="K23" i="1" l="1"/>
  <c r="K24" i="1"/>
  <c r="K30" i="1" s="1"/>
  <c r="K31" i="1" s="1"/>
  <c r="K32" i="1" s="1"/>
  <c r="K36" i="1" s="1"/>
  <c r="R3" i="2" s="1"/>
  <c r="E138" i="7"/>
  <c r="H138" i="7"/>
  <c r="J138" i="7" s="1"/>
  <c r="A269" i="7"/>
  <c r="B268" i="7"/>
  <c r="D268" i="7"/>
  <c r="R6" i="2" l="1"/>
  <c r="R5" i="2"/>
  <c r="S5" i="2" s="1"/>
  <c r="F138" i="7"/>
  <c r="G138" i="7" s="1"/>
  <c r="I138" i="7" s="1"/>
  <c r="C139" i="7" s="1"/>
  <c r="AE27" i="1"/>
  <c r="K25" i="1"/>
  <c r="L20" i="1" s="1"/>
  <c r="L22" i="1" s="1"/>
  <c r="B269" i="7"/>
  <c r="A270" i="7"/>
  <c r="D269" i="7"/>
  <c r="H139" i="7" l="1"/>
  <c r="J139" i="7" s="1"/>
  <c r="E139" i="7"/>
  <c r="B270" i="7"/>
  <c r="A271" i="7"/>
  <c r="D270" i="7"/>
  <c r="F139" i="7" l="1"/>
  <c r="G139" i="7" s="1"/>
  <c r="I139" i="7" s="1"/>
  <c r="C140" i="7" s="1"/>
  <c r="D271" i="7"/>
  <c r="A272" i="7"/>
  <c r="B271" i="7"/>
  <c r="H140" i="7" l="1"/>
  <c r="E140" i="7"/>
  <c r="F140" i="7" s="1"/>
  <c r="G140" i="7" s="1"/>
  <c r="B272" i="7"/>
  <c r="D272" i="7"/>
  <c r="A273" i="7"/>
  <c r="J140" i="7"/>
  <c r="I140" i="7" l="1"/>
  <c r="C141" i="7" s="1"/>
  <c r="D273" i="7"/>
  <c r="B273" i="7"/>
  <c r="A274" i="7"/>
  <c r="D274" i="7" l="1"/>
  <c r="A275" i="7"/>
  <c r="B274" i="7"/>
  <c r="H141" i="7"/>
  <c r="E141" i="7"/>
  <c r="F141" i="7" s="1"/>
  <c r="G141" i="7" s="1"/>
  <c r="D275" i="7" l="1"/>
  <c r="B275" i="7"/>
  <c r="A276" i="7"/>
  <c r="I141" i="7"/>
  <c r="J141" i="7"/>
  <c r="A277" i="7" l="1"/>
  <c r="B276" i="7"/>
  <c r="D276" i="7"/>
  <c r="C142" i="7"/>
  <c r="B277" i="7" l="1"/>
  <c r="D277" i="7"/>
  <c r="A278" i="7"/>
  <c r="E142" i="7"/>
  <c r="F142" i="7" s="1"/>
  <c r="G142" i="7" s="1"/>
  <c r="H142" i="7"/>
  <c r="D278" i="7" l="1"/>
  <c r="B278" i="7"/>
  <c r="A279" i="7"/>
  <c r="J142" i="7"/>
  <c r="I142" i="7"/>
  <c r="B279" i="7" l="1"/>
  <c r="A280" i="7"/>
  <c r="D279" i="7"/>
  <c r="C143" i="7"/>
  <c r="D280" i="7" l="1"/>
  <c r="B280" i="7"/>
  <c r="A281" i="7"/>
  <c r="E143" i="7"/>
  <c r="F143" i="7" s="1"/>
  <c r="H143" i="7"/>
  <c r="J143" i="7" s="1"/>
  <c r="G143" i="7" l="1"/>
  <c r="I143" i="7" s="1"/>
  <c r="C144" i="7" s="1"/>
  <c r="E144" i="7" s="1"/>
  <c r="F144" i="7" s="1"/>
  <c r="B281" i="7"/>
  <c r="D281" i="7"/>
  <c r="A282" i="7"/>
  <c r="H144" i="7" l="1"/>
  <c r="J144" i="7" s="1"/>
  <c r="G144" i="7"/>
  <c r="I144" i="7" s="1"/>
  <c r="C145" i="7" s="1"/>
  <c r="H145" i="7" s="1"/>
  <c r="J145" i="7" s="1"/>
  <c r="D282" i="7"/>
  <c r="B282" i="7"/>
  <c r="A283" i="7"/>
  <c r="E145" i="7"/>
  <c r="F145" i="7" s="1"/>
  <c r="G145" i="7" l="1"/>
  <c r="I145" i="7" s="1"/>
  <c r="C146" i="7" s="1"/>
  <c r="H146" i="7" s="1"/>
  <c r="J146" i="7" s="1"/>
  <c r="A284" i="7"/>
  <c r="D283" i="7"/>
  <c r="B283" i="7"/>
  <c r="E146" i="7"/>
  <c r="F146" i="7" s="1"/>
  <c r="G146" i="7" l="1"/>
  <c r="I146" i="7" s="1"/>
  <c r="C147" i="7" s="1"/>
  <c r="E147" i="7" s="1"/>
  <c r="F147" i="7" s="1"/>
  <c r="G147" i="7" s="1"/>
  <c r="I147" i="7" s="1"/>
  <c r="C148" i="7" s="1"/>
  <c r="D284" i="7"/>
  <c r="A285" i="7"/>
  <c r="B284" i="7"/>
  <c r="H147" i="7"/>
  <c r="J147" i="7" s="1"/>
  <c r="D285" i="7" l="1"/>
  <c r="B285" i="7"/>
  <c r="A286" i="7"/>
  <c r="E148" i="7"/>
  <c r="F148" i="7" s="1"/>
  <c r="H148" i="7"/>
  <c r="J148" i="7" s="1"/>
  <c r="B286" i="7" l="1"/>
  <c r="A287" i="7"/>
  <c r="D286" i="7"/>
  <c r="G148" i="7"/>
  <c r="I148" i="7" s="1"/>
  <c r="C149" i="7" s="1"/>
  <c r="H149" i="7" s="1"/>
  <c r="E149" i="7" l="1"/>
  <c r="F149" i="7" s="1"/>
  <c r="G149" i="7" s="1"/>
  <c r="P4" i="7" s="1"/>
  <c r="L13" i="1" s="1"/>
  <c r="A288" i="7"/>
  <c r="D287" i="7"/>
  <c r="B287" i="7"/>
  <c r="J149" i="7"/>
  <c r="O4" i="7"/>
  <c r="L4" i="1" s="1"/>
  <c r="I149" i="7"/>
  <c r="A289" i="7" l="1"/>
  <c r="D288" i="7"/>
  <c r="B288" i="7"/>
  <c r="C150" i="7"/>
  <c r="L33" i="1"/>
  <c r="L35" i="1" s="1"/>
  <c r="L11" i="1"/>
  <c r="L16" i="1" s="1"/>
  <c r="L15" i="1"/>
  <c r="I10" i="2" s="1"/>
  <c r="D289" i="7" l="1"/>
  <c r="A290" i="7"/>
  <c r="B289" i="7"/>
  <c r="L19" i="1"/>
  <c r="E150" i="7"/>
  <c r="F150" i="7" s="1"/>
  <c r="G150" i="7" s="1"/>
  <c r="H150" i="7"/>
  <c r="A291" i="7" l="1"/>
  <c r="B290" i="7"/>
  <c r="D290" i="7"/>
  <c r="J150" i="7"/>
  <c r="L23" i="1"/>
  <c r="L24" i="1"/>
  <c r="I150" i="7"/>
  <c r="B291" i="7" l="1"/>
  <c r="D291" i="7"/>
  <c r="A292" i="7"/>
  <c r="C151" i="7"/>
  <c r="Q27" i="1"/>
  <c r="Q29" i="1" s="1"/>
  <c r="L25" i="1"/>
  <c r="M20" i="1" s="1"/>
  <c r="L30" i="1"/>
  <c r="L31" i="1" s="1"/>
  <c r="L32" i="1" s="1"/>
  <c r="L36" i="1" s="1"/>
  <c r="I9" i="2" s="1"/>
  <c r="A293" i="7" l="1"/>
  <c r="B292" i="7"/>
  <c r="D292" i="7"/>
  <c r="I12" i="2"/>
  <c r="I11" i="2"/>
  <c r="Q21" i="1"/>
  <c r="R28" i="1"/>
  <c r="M22" i="1"/>
  <c r="H151" i="7"/>
  <c r="E151" i="7"/>
  <c r="F151" i="7" s="1"/>
  <c r="G151" i="7" s="1"/>
  <c r="B293" i="7" l="1"/>
  <c r="D293" i="7"/>
  <c r="A294" i="7"/>
  <c r="J151" i="7"/>
  <c r="I151" i="7"/>
  <c r="B294" i="7" l="1"/>
  <c r="D294" i="7"/>
  <c r="A295" i="7"/>
  <c r="C152" i="7"/>
  <c r="B295" i="7" l="1"/>
  <c r="D295" i="7"/>
  <c r="A296" i="7"/>
  <c r="E152" i="7"/>
  <c r="F152" i="7" s="1"/>
  <c r="H152" i="7"/>
  <c r="G152" i="7" l="1"/>
  <c r="B296" i="7"/>
  <c r="D296" i="7"/>
  <c r="A297" i="7"/>
  <c r="J152" i="7"/>
  <c r="I152" i="7"/>
  <c r="B297" i="7" l="1"/>
  <c r="A298" i="7"/>
  <c r="D297" i="7"/>
  <c r="C153" i="7"/>
  <c r="D298" i="7" l="1"/>
  <c r="A299" i="7"/>
  <c r="B298" i="7"/>
  <c r="H153" i="7"/>
  <c r="E153" i="7"/>
  <c r="F153" i="7" s="1"/>
  <c r="G153" i="7" s="1"/>
  <c r="B299" i="7" l="1"/>
  <c r="D299" i="7"/>
  <c r="A300" i="7"/>
  <c r="I153" i="7"/>
  <c r="J153" i="7"/>
  <c r="A301" i="7" l="1"/>
  <c r="B300" i="7"/>
  <c r="D300" i="7"/>
  <c r="C154" i="7"/>
  <c r="D301" i="7" l="1"/>
  <c r="B301" i="7"/>
  <c r="A302" i="7"/>
  <c r="H154" i="7"/>
  <c r="E154" i="7"/>
  <c r="F154" i="7" s="1"/>
  <c r="G154" i="7" s="1"/>
  <c r="B302" i="7" l="1"/>
  <c r="D302" i="7"/>
  <c r="A303" i="7"/>
  <c r="I154" i="7"/>
  <c r="J154" i="7"/>
  <c r="B303" i="7" l="1"/>
  <c r="D303" i="7"/>
  <c r="A304" i="7"/>
  <c r="C155" i="7"/>
  <c r="A305" i="7" l="1"/>
  <c r="B304" i="7"/>
  <c r="D304" i="7"/>
  <c r="E155" i="7"/>
  <c r="F155" i="7" s="1"/>
  <c r="G155" i="7" s="1"/>
  <c r="I155" i="7" s="1"/>
  <c r="C156" i="7" s="1"/>
  <c r="H155" i="7"/>
  <c r="J155" i="7" s="1"/>
  <c r="B305" i="7" l="1"/>
  <c r="D305" i="7"/>
  <c r="A306" i="7"/>
  <c r="H156" i="7"/>
  <c r="J156" i="7" s="1"/>
  <c r="E156" i="7"/>
  <c r="F156" i="7" s="1"/>
  <c r="G156" i="7" s="1"/>
  <c r="I156" i="7" s="1"/>
  <c r="C157" i="7" s="1"/>
  <c r="B306" i="7" l="1"/>
  <c r="D306" i="7"/>
  <c r="A307" i="7"/>
  <c r="E157" i="7"/>
  <c r="F157" i="7" s="1"/>
  <c r="G157" i="7" s="1"/>
  <c r="I157" i="7" s="1"/>
  <c r="C158" i="7" s="1"/>
  <c r="H157" i="7"/>
  <c r="J157" i="7" s="1"/>
  <c r="D307" i="7" l="1"/>
  <c r="A308" i="7"/>
  <c r="B307" i="7"/>
  <c r="H158" i="7"/>
  <c r="J158" i="7" s="1"/>
  <c r="E158" i="7"/>
  <c r="F158" i="7" s="1"/>
  <c r="G158" i="7" s="1"/>
  <c r="I158" i="7" s="1"/>
  <c r="C159" i="7" s="1"/>
  <c r="A309" i="7" l="1"/>
  <c r="D308" i="7"/>
  <c r="B308" i="7"/>
  <c r="H159" i="7"/>
  <c r="J159" i="7" s="1"/>
  <c r="E159" i="7"/>
  <c r="F159" i="7" s="1"/>
  <c r="G159" i="7" s="1"/>
  <c r="I159" i="7" s="1"/>
  <c r="C160" i="7" s="1"/>
  <c r="B309" i="7" l="1"/>
  <c r="A310" i="7"/>
  <c r="D309" i="7"/>
  <c r="H160" i="7"/>
  <c r="J160" i="7" s="1"/>
  <c r="E160" i="7"/>
  <c r="F160" i="7" s="1"/>
  <c r="G160" i="7" s="1"/>
  <c r="I160" i="7" s="1"/>
  <c r="C161" i="7" s="1"/>
  <c r="A311" i="7" l="1"/>
  <c r="B310" i="7"/>
  <c r="D310" i="7"/>
  <c r="H161" i="7"/>
  <c r="E161" i="7"/>
  <c r="F161" i="7" s="1"/>
  <c r="G161" i="7" s="1"/>
  <c r="D311" i="7" l="1"/>
  <c r="A312" i="7"/>
  <c r="B311" i="7"/>
  <c r="I161" i="7"/>
  <c r="P5" i="7"/>
  <c r="M13" i="1" s="1"/>
  <c r="J161" i="7"/>
  <c r="O5" i="7"/>
  <c r="M4" i="1" s="1"/>
  <c r="D312" i="7" l="1"/>
  <c r="B312" i="7"/>
  <c r="A313" i="7"/>
  <c r="M11" i="1"/>
  <c r="M16" i="1" s="1"/>
  <c r="M15" i="1"/>
  <c r="J10" i="2" s="1"/>
  <c r="C162" i="7"/>
  <c r="M33" i="1"/>
  <c r="M35" i="1" s="1"/>
  <c r="B313" i="7" l="1"/>
  <c r="D313" i="7"/>
  <c r="A314" i="7"/>
  <c r="H162" i="7"/>
  <c r="E162" i="7"/>
  <c r="F162" i="7" s="1"/>
  <c r="G162" i="7" s="1"/>
  <c r="M19" i="1"/>
  <c r="D314" i="7" l="1"/>
  <c r="B314" i="7"/>
  <c r="A315" i="7"/>
  <c r="I162" i="7"/>
  <c r="M23" i="1"/>
  <c r="M24" i="1"/>
  <c r="J162" i="7"/>
  <c r="A316" i="7" l="1"/>
  <c r="B315" i="7"/>
  <c r="D315" i="7"/>
  <c r="R27" i="1"/>
  <c r="R29" i="1" s="1"/>
  <c r="M25" i="1"/>
  <c r="N20" i="1" s="1"/>
  <c r="N22" i="1" s="1"/>
  <c r="M30" i="1"/>
  <c r="M31" i="1" s="1"/>
  <c r="M32" i="1" s="1"/>
  <c r="M36" i="1" s="1"/>
  <c r="J9" i="2" s="1"/>
  <c r="C163" i="7"/>
  <c r="D316" i="7" l="1"/>
  <c r="B316" i="7"/>
  <c r="A317" i="7"/>
  <c r="J12" i="2"/>
  <c r="J11" i="2"/>
  <c r="H163" i="7"/>
  <c r="E163" i="7"/>
  <c r="F163" i="7" s="1"/>
  <c r="G163" i="7" s="1"/>
  <c r="S28" i="1"/>
  <c r="R21" i="1"/>
  <c r="A318" i="7" l="1"/>
  <c r="B317" i="7"/>
  <c r="D317" i="7"/>
  <c r="J163" i="7"/>
  <c r="I163" i="7"/>
  <c r="A319" i="7" l="1"/>
  <c r="D318" i="7"/>
  <c r="B318" i="7"/>
  <c r="C164" i="7"/>
  <c r="A320" i="7" l="1"/>
  <c r="B319" i="7"/>
  <c r="D319" i="7"/>
  <c r="E164" i="7"/>
  <c r="F164" i="7" s="1"/>
  <c r="G164" i="7" s="1"/>
  <c r="H164" i="7"/>
  <c r="D320" i="7" l="1"/>
  <c r="A321" i="7"/>
  <c r="B320" i="7"/>
  <c r="J164" i="7"/>
  <c r="I164" i="7"/>
  <c r="B321" i="7" l="1"/>
  <c r="A322" i="7"/>
  <c r="D321" i="7"/>
  <c r="C165" i="7"/>
  <c r="D322" i="7" l="1"/>
  <c r="B322" i="7"/>
  <c r="A323" i="7"/>
  <c r="H165" i="7"/>
  <c r="E165" i="7"/>
  <c r="F165" i="7" s="1"/>
  <c r="G165" i="7" s="1"/>
  <c r="D323" i="7" l="1"/>
  <c r="A324" i="7"/>
  <c r="B323" i="7"/>
  <c r="I165" i="7"/>
  <c r="J165" i="7"/>
  <c r="B324" i="7" l="1"/>
  <c r="D324" i="7"/>
  <c r="A325" i="7"/>
  <c r="C166" i="7"/>
  <c r="A326" i="7" l="1"/>
  <c r="B325" i="7"/>
  <c r="D325" i="7"/>
  <c r="E166" i="7"/>
  <c r="F166" i="7" s="1"/>
  <c r="G166" i="7" s="1"/>
  <c r="H166" i="7"/>
  <c r="B326" i="7" l="1"/>
  <c r="A327" i="7"/>
  <c r="D326" i="7"/>
  <c r="J166" i="7"/>
  <c r="I166" i="7"/>
  <c r="D327" i="7" l="1"/>
  <c r="B327" i="7"/>
  <c r="A328" i="7"/>
  <c r="C167" i="7"/>
  <c r="D328" i="7" l="1"/>
  <c r="A329" i="7"/>
  <c r="B328" i="7"/>
  <c r="H167" i="7"/>
  <c r="J167" i="7" s="1"/>
  <c r="E167" i="7"/>
  <c r="F167" i="7" s="1"/>
  <c r="G167" i="7" l="1"/>
  <c r="I167" i="7" s="1"/>
  <c r="C168" i="7" s="1"/>
  <c r="H168" i="7" s="1"/>
  <c r="J168" i="7" s="1"/>
  <c r="D329" i="7"/>
  <c r="A330" i="7"/>
  <c r="B329" i="7"/>
  <c r="E168" i="7"/>
  <c r="F168" i="7" s="1"/>
  <c r="G168" i="7" l="1"/>
  <c r="I168" i="7" s="1"/>
  <c r="C169" i="7" s="1"/>
  <c r="E169" i="7" s="1"/>
  <c r="F169" i="7" s="1"/>
  <c r="G169" i="7" s="1"/>
  <c r="I169" i="7" s="1"/>
  <c r="C170" i="7" s="1"/>
  <c r="B330" i="7"/>
  <c r="A331" i="7"/>
  <c r="D330" i="7"/>
  <c r="H169" i="7"/>
  <c r="J169" i="7" s="1"/>
  <c r="D331" i="7" l="1"/>
  <c r="B331" i="7"/>
  <c r="A332" i="7"/>
  <c r="E170" i="7"/>
  <c r="F170" i="7" s="1"/>
  <c r="H170" i="7"/>
  <c r="J170" i="7" s="1"/>
  <c r="D332" i="7" l="1"/>
  <c r="B332" i="7"/>
  <c r="A333" i="7"/>
  <c r="G170" i="7"/>
  <c r="I170" i="7" s="1"/>
  <c r="C171" i="7" s="1"/>
  <c r="A334" i="7" l="1"/>
  <c r="B333" i="7"/>
  <c r="D333" i="7"/>
  <c r="H171" i="7"/>
  <c r="J171" i="7" s="1"/>
  <c r="E171" i="7"/>
  <c r="F171" i="7" s="1"/>
  <c r="G171" i="7" s="1"/>
  <c r="I171" i="7" s="1"/>
  <c r="C172" i="7" s="1"/>
  <c r="A335" i="7" l="1"/>
  <c r="B334" i="7"/>
  <c r="D334" i="7"/>
  <c r="E172" i="7"/>
  <c r="F172" i="7" s="1"/>
  <c r="H172" i="7"/>
  <c r="J172" i="7" s="1"/>
  <c r="B335" i="7" l="1"/>
  <c r="A336" i="7"/>
  <c r="D335" i="7"/>
  <c r="G172" i="7"/>
  <c r="I172" i="7" s="1"/>
  <c r="C173" i="7" s="1"/>
  <c r="H173" i="7" s="1"/>
  <c r="A337" i="7" l="1"/>
  <c r="B336" i="7"/>
  <c r="D336" i="7"/>
  <c r="E173" i="7"/>
  <c r="F173" i="7" s="1"/>
  <c r="G173" i="7" s="1"/>
  <c r="P6" i="7" s="1"/>
  <c r="N13" i="1" s="1"/>
  <c r="J173" i="7"/>
  <c r="O6" i="7"/>
  <c r="N4" i="1" s="1"/>
  <c r="D337" i="7" l="1"/>
  <c r="B337" i="7"/>
  <c r="A338" i="7"/>
  <c r="I173" i="7"/>
  <c r="N11" i="1"/>
  <c r="N16" i="1" s="1"/>
  <c r="N15" i="1"/>
  <c r="K10" i="2" s="1"/>
  <c r="C174" i="7"/>
  <c r="N33" i="1"/>
  <c r="N35" i="1" s="1"/>
  <c r="B338" i="7" l="1"/>
  <c r="A339" i="7"/>
  <c r="D338" i="7"/>
  <c r="E174" i="7"/>
  <c r="F174" i="7" s="1"/>
  <c r="G174" i="7" s="1"/>
  <c r="H174" i="7"/>
  <c r="N19" i="1"/>
  <c r="B339" i="7" l="1"/>
  <c r="A340" i="7"/>
  <c r="D339" i="7"/>
  <c r="N23" i="1"/>
  <c r="S27" i="1" s="1"/>
  <c r="S29" i="1" s="1"/>
  <c r="N24" i="1"/>
  <c r="J174" i="7"/>
  <c r="I174" i="7"/>
  <c r="B340" i="7" l="1"/>
  <c r="D340" i="7"/>
  <c r="A341" i="7"/>
  <c r="N25" i="1"/>
  <c r="O20" i="1" s="1"/>
  <c r="N30" i="1"/>
  <c r="N31" i="1" s="1"/>
  <c r="N32" i="1" s="1"/>
  <c r="N36" i="1" s="1"/>
  <c r="K9" i="2" s="1"/>
  <c r="C175" i="7"/>
  <c r="T28" i="1"/>
  <c r="T29" i="1" s="1"/>
  <c r="S21" i="1"/>
  <c r="A342" i="7" l="1"/>
  <c r="D341" i="7"/>
  <c r="B341" i="7"/>
  <c r="U28" i="1"/>
  <c r="U29" i="1" s="1"/>
  <c r="U21" i="1" s="1"/>
  <c r="T21" i="1"/>
  <c r="E175" i="7"/>
  <c r="F175" i="7" s="1"/>
  <c r="G175" i="7" s="1"/>
  <c r="H175" i="7"/>
  <c r="K12" i="2"/>
  <c r="K11" i="2"/>
  <c r="O22" i="1"/>
  <c r="A343" i="7" l="1"/>
  <c r="D342" i="7"/>
  <c r="B342" i="7"/>
  <c r="J175" i="7"/>
  <c r="I175" i="7"/>
  <c r="D343" i="7" l="1"/>
  <c r="A344" i="7"/>
  <c r="B343" i="7"/>
  <c r="C176" i="7"/>
  <c r="B344" i="7" l="1"/>
  <c r="A345" i="7"/>
  <c r="D344" i="7"/>
  <c r="H176" i="7"/>
  <c r="E176" i="7"/>
  <c r="F176" i="7" s="1"/>
  <c r="G176" i="7" s="1"/>
  <c r="D345" i="7" l="1"/>
  <c r="A346" i="7"/>
  <c r="B345" i="7"/>
  <c r="I176" i="7"/>
  <c r="J176" i="7"/>
  <c r="D346" i="7" l="1"/>
  <c r="B346" i="7"/>
  <c r="A347" i="7"/>
  <c r="C177" i="7"/>
  <c r="B347" i="7" l="1"/>
  <c r="D347" i="7"/>
  <c r="A348" i="7"/>
  <c r="H177" i="7"/>
  <c r="E177" i="7"/>
  <c r="F177" i="7" s="1"/>
  <c r="G177" i="7" s="1"/>
  <c r="B348" i="7" l="1"/>
  <c r="D348" i="7"/>
  <c r="A349" i="7"/>
  <c r="I177" i="7"/>
  <c r="J177" i="7"/>
  <c r="A350" i="7" l="1"/>
  <c r="B349" i="7"/>
  <c r="D349" i="7"/>
  <c r="C178" i="7"/>
  <c r="D350" i="7" l="1"/>
  <c r="A351" i="7"/>
  <c r="B350" i="7"/>
  <c r="E178" i="7"/>
  <c r="F178" i="7" s="1"/>
  <c r="H178" i="7"/>
  <c r="G178" i="7" l="1"/>
  <c r="A352" i="7"/>
  <c r="B351" i="7"/>
  <c r="D351" i="7"/>
  <c r="J178" i="7"/>
  <c r="I178" i="7"/>
  <c r="A353" i="7" l="1"/>
  <c r="B352" i="7"/>
  <c r="D352" i="7"/>
  <c r="C179" i="7"/>
  <c r="D353" i="7" l="1"/>
  <c r="B353" i="7"/>
  <c r="A354" i="7"/>
  <c r="E179" i="7"/>
  <c r="F179" i="7" s="1"/>
  <c r="G179" i="7" s="1"/>
  <c r="I179" i="7" s="1"/>
  <c r="C180" i="7" s="1"/>
  <c r="H179" i="7"/>
  <c r="J179" i="7" s="1"/>
  <c r="A355" i="7" l="1"/>
  <c r="D354" i="7"/>
  <c r="B354" i="7"/>
  <c r="E180" i="7"/>
  <c r="F180" i="7" s="1"/>
  <c r="G180" i="7" s="1"/>
  <c r="I180" i="7" s="1"/>
  <c r="C181" i="7" s="1"/>
  <c r="H180" i="7"/>
  <c r="J180" i="7" s="1"/>
  <c r="D355" i="7" l="1"/>
  <c r="B355" i="7"/>
  <c r="A356" i="7"/>
  <c r="E181" i="7"/>
  <c r="F181" i="7" s="1"/>
  <c r="H181" i="7"/>
  <c r="J181" i="7" s="1"/>
  <c r="G181" i="7" l="1"/>
  <c r="I181" i="7" s="1"/>
  <c r="C182" i="7" s="1"/>
  <c r="H182" i="7" s="1"/>
  <c r="J182" i="7" s="1"/>
  <c r="D356" i="7"/>
  <c r="B356" i="7"/>
  <c r="A357" i="7"/>
  <c r="E182" i="7"/>
  <c r="F182" i="7" s="1"/>
  <c r="G182" i="7" l="1"/>
  <c r="I182" i="7" s="1"/>
  <c r="C183" i="7" s="1"/>
  <c r="E183" i="7" s="1"/>
  <c r="F183" i="7" s="1"/>
  <c r="B357" i="7"/>
  <c r="D357" i="7"/>
  <c r="A358" i="7"/>
  <c r="H183" i="7" l="1"/>
  <c r="J183" i="7" s="1"/>
  <c r="G183" i="7"/>
  <c r="I183" i="7" s="1"/>
  <c r="C184" i="7" s="1"/>
  <c r="E184" i="7" s="1"/>
  <c r="F184" i="7" s="1"/>
  <c r="G184" i="7" s="1"/>
  <c r="I184" i="7" s="1"/>
  <c r="C185" i="7" s="1"/>
  <c r="D358" i="7"/>
  <c r="B358" i="7"/>
  <c r="A359" i="7"/>
  <c r="H184" i="7"/>
  <c r="J184" i="7" s="1"/>
  <c r="A360" i="7" l="1"/>
  <c r="B359" i="7"/>
  <c r="D359" i="7"/>
  <c r="H185" i="7"/>
  <c r="E185" i="7"/>
  <c r="F185" i="7" s="1"/>
  <c r="G185" i="7" s="1"/>
  <c r="A361" i="7" l="1"/>
  <c r="B360" i="7"/>
  <c r="D360" i="7"/>
  <c r="I185" i="7"/>
  <c r="P7" i="7"/>
  <c r="O13" i="1" s="1"/>
  <c r="J185" i="7"/>
  <c r="O7" i="7"/>
  <c r="O4" i="1" s="1"/>
  <c r="B361" i="7" l="1"/>
  <c r="A362" i="7"/>
  <c r="D361" i="7"/>
  <c r="O11" i="1"/>
  <c r="O16" i="1" s="1"/>
  <c r="O15" i="1"/>
  <c r="L10" i="2" s="1"/>
  <c r="C186" i="7"/>
  <c r="O33" i="1"/>
  <c r="O35" i="1" s="1"/>
  <c r="A363" i="7" l="1"/>
  <c r="B362" i="7"/>
  <c r="D362" i="7"/>
  <c r="H186" i="7"/>
  <c r="E186" i="7"/>
  <c r="F186" i="7" s="1"/>
  <c r="G186" i="7" s="1"/>
  <c r="O19" i="1"/>
  <c r="B363" i="7" l="1"/>
  <c r="A364" i="7"/>
  <c r="D363" i="7"/>
  <c r="O23" i="1"/>
  <c r="O24" i="1"/>
  <c r="I186" i="7"/>
  <c r="J186" i="7"/>
  <c r="B364" i="7" l="1"/>
  <c r="A365" i="7"/>
  <c r="D364" i="7"/>
  <c r="C187" i="7"/>
  <c r="O30" i="1"/>
  <c r="O31" i="1" s="1"/>
  <c r="O32" i="1" s="1"/>
  <c r="O36" i="1" s="1"/>
  <c r="L9" i="2" s="1"/>
  <c r="O25" i="1"/>
  <c r="P20" i="1" s="1"/>
  <c r="D365" i="7" l="1"/>
  <c r="A366" i="7"/>
  <c r="B365" i="7"/>
  <c r="L12" i="2"/>
  <c r="L11" i="2"/>
  <c r="P22" i="1"/>
  <c r="E187" i="7"/>
  <c r="F187" i="7" s="1"/>
  <c r="G187" i="7" s="1"/>
  <c r="H187" i="7"/>
  <c r="B366" i="7" l="1"/>
  <c r="D366" i="7"/>
  <c r="A367" i="7"/>
  <c r="J187" i="7"/>
  <c r="I187" i="7"/>
  <c r="D367" i="7" l="1"/>
  <c r="B367" i="7"/>
  <c r="A368" i="7"/>
  <c r="C188" i="7"/>
  <c r="D368" i="7" l="1"/>
  <c r="B368" i="7"/>
  <c r="A369" i="7"/>
  <c r="H188" i="7"/>
  <c r="E188" i="7"/>
  <c r="F188" i="7" s="1"/>
  <c r="G188" i="7" s="1"/>
  <c r="D369" i="7" l="1"/>
  <c r="B369" i="7"/>
  <c r="A370" i="7"/>
  <c r="I188" i="7"/>
  <c r="J188" i="7"/>
  <c r="D370" i="7" l="1"/>
  <c r="B370" i="7"/>
  <c r="A371" i="7"/>
  <c r="C189" i="7"/>
  <c r="A372" i="7" l="1"/>
  <c r="B371" i="7"/>
  <c r="D371" i="7"/>
  <c r="H189" i="7"/>
  <c r="E189" i="7"/>
  <c r="F189" i="7" s="1"/>
  <c r="G189" i="7" s="1"/>
  <c r="A373" i="7" l="1"/>
  <c r="D372" i="7"/>
  <c r="B372" i="7"/>
  <c r="I189" i="7"/>
  <c r="J189" i="7"/>
  <c r="A374" i="7" l="1"/>
  <c r="D373" i="7"/>
  <c r="B373" i="7"/>
  <c r="C190" i="7"/>
  <c r="D374" i="7" l="1"/>
  <c r="A375" i="7"/>
  <c r="B374" i="7"/>
  <c r="E190" i="7"/>
  <c r="F190" i="7" s="1"/>
  <c r="G190" i="7" s="1"/>
  <c r="H190" i="7"/>
  <c r="A376" i="7" l="1"/>
  <c r="D375" i="7"/>
  <c r="B375" i="7"/>
  <c r="J190" i="7"/>
  <c r="I190" i="7"/>
  <c r="A377" i="7" l="1"/>
  <c r="D376" i="7"/>
  <c r="B376" i="7"/>
  <c r="C191" i="7"/>
  <c r="B377" i="7" l="1"/>
  <c r="D377" i="7"/>
  <c r="H191" i="7"/>
  <c r="J191" i="7" s="1"/>
  <c r="E191" i="7"/>
  <c r="F191" i="7" s="1"/>
  <c r="G191" i="7" s="1"/>
  <c r="I191" i="7" s="1"/>
  <c r="C192" i="7" s="1"/>
  <c r="E192" i="7" l="1"/>
  <c r="F192" i="7" s="1"/>
  <c r="G192" i="7" s="1"/>
  <c r="I192" i="7" s="1"/>
  <c r="C193" i="7" s="1"/>
  <c r="H192" i="7"/>
  <c r="J192" i="7" s="1"/>
  <c r="E193" i="7" l="1"/>
  <c r="F193" i="7" s="1"/>
  <c r="G193" i="7" s="1"/>
  <c r="I193" i="7" s="1"/>
  <c r="C194" i="7" s="1"/>
  <c r="H193" i="7"/>
  <c r="J193" i="7" s="1"/>
  <c r="H194" i="7" l="1"/>
  <c r="J194" i="7" s="1"/>
  <c r="E194" i="7"/>
  <c r="F194" i="7" s="1"/>
  <c r="G194" i="7" s="1"/>
  <c r="I194" i="7" s="1"/>
  <c r="C195" i="7" s="1"/>
  <c r="E195" i="7" l="1"/>
  <c r="F195" i="7" s="1"/>
  <c r="G195" i="7" s="1"/>
  <c r="I195" i="7" s="1"/>
  <c r="C196" i="7" s="1"/>
  <c r="H195" i="7"/>
  <c r="J195" i="7" s="1"/>
  <c r="H196" i="7" l="1"/>
  <c r="J196" i="7" s="1"/>
  <c r="E196" i="7"/>
  <c r="F196" i="7" s="1"/>
  <c r="G196" i="7" s="1"/>
  <c r="I196" i="7" s="1"/>
  <c r="C197" i="7" s="1"/>
  <c r="H197" i="7" l="1"/>
  <c r="E197" i="7"/>
  <c r="F197" i="7" s="1"/>
  <c r="G197" i="7" s="1"/>
  <c r="I197" i="7" l="1"/>
  <c r="P8" i="7"/>
  <c r="P13" i="1" s="1"/>
  <c r="J197" i="7"/>
  <c r="O8" i="7"/>
  <c r="P4" i="1" s="1"/>
  <c r="P11" i="1" l="1"/>
  <c r="P16" i="1" s="1"/>
  <c r="P15" i="1"/>
  <c r="M10" i="2" s="1"/>
  <c r="C198" i="7"/>
  <c r="P33" i="1"/>
  <c r="P35" i="1" s="1"/>
  <c r="H198" i="7" l="1"/>
  <c r="E198" i="7"/>
  <c r="F198" i="7" s="1"/>
  <c r="G198" i="7" s="1"/>
  <c r="P19" i="1"/>
  <c r="I198" i="7" l="1"/>
  <c r="P23" i="1"/>
  <c r="P24" i="1"/>
  <c r="P30" i="1" s="1"/>
  <c r="P31" i="1" s="1"/>
  <c r="P32" i="1" s="1"/>
  <c r="P36" i="1" s="1"/>
  <c r="M9" i="2" s="1"/>
  <c r="J198" i="7"/>
  <c r="M12" i="2" l="1"/>
  <c r="M11" i="2"/>
  <c r="P25" i="1"/>
  <c r="Q20" i="1" s="1"/>
  <c r="C199" i="7"/>
  <c r="H199" i="7" l="1"/>
  <c r="E199" i="7"/>
  <c r="F199" i="7" s="1"/>
  <c r="G199" i="7" s="1"/>
  <c r="Q22" i="1"/>
  <c r="I199" i="7" l="1"/>
  <c r="J199" i="7"/>
  <c r="C200" i="7" l="1"/>
  <c r="E200" i="7" l="1"/>
  <c r="F200" i="7" s="1"/>
  <c r="H200" i="7"/>
  <c r="G200" i="7" l="1"/>
  <c r="J200" i="7"/>
  <c r="I200" i="7"/>
  <c r="C201" i="7" l="1"/>
  <c r="E201" i="7" l="1"/>
  <c r="F201" i="7" s="1"/>
  <c r="G201" i="7" s="1"/>
  <c r="H201" i="7"/>
  <c r="J201" i="7" l="1"/>
  <c r="I201" i="7"/>
  <c r="C202" i="7" l="1"/>
  <c r="H202" i="7" l="1"/>
  <c r="E202" i="7"/>
  <c r="F202" i="7" s="1"/>
  <c r="G202" i="7" l="1"/>
  <c r="I202" i="7" s="1"/>
  <c r="J202" i="7"/>
  <c r="C203" i="7" l="1"/>
  <c r="H203" i="7" l="1"/>
  <c r="J203" i="7" s="1"/>
  <c r="E203" i="7"/>
  <c r="F203" i="7" s="1"/>
  <c r="G203" i="7" l="1"/>
  <c r="I203" i="7" s="1"/>
  <c r="C204" i="7" s="1"/>
  <c r="H204" i="7" s="1"/>
  <c r="J204" i="7" s="1"/>
  <c r="E204" i="7" l="1"/>
  <c r="F204" i="7" s="1"/>
  <c r="G204" i="7" s="1"/>
  <c r="I204" i="7" s="1"/>
  <c r="C205" i="7" s="1"/>
  <c r="H205" i="7" s="1"/>
  <c r="J205" i="7" s="1"/>
  <c r="E205" i="7" l="1"/>
  <c r="F205" i="7" s="1"/>
  <c r="G205" i="7" s="1"/>
  <c r="I205" i="7" s="1"/>
  <c r="C206" i="7" s="1"/>
  <c r="E206" i="7" s="1"/>
  <c r="F206" i="7" s="1"/>
  <c r="H206" i="7" l="1"/>
  <c r="J206" i="7" s="1"/>
  <c r="G206" i="7" l="1"/>
  <c r="I206" i="7" s="1"/>
  <c r="C207" i="7" s="1"/>
  <c r="E207" i="7" l="1"/>
  <c r="F207" i="7" s="1"/>
  <c r="G207" i="7" s="1"/>
  <c r="I207" i="7" s="1"/>
  <c r="C208" i="7" s="1"/>
  <c r="H207" i="7"/>
  <c r="J207" i="7" s="1"/>
  <c r="H208" i="7" l="1"/>
  <c r="J208" i="7" s="1"/>
  <c r="E208" i="7"/>
  <c r="F208" i="7" s="1"/>
  <c r="G208" i="7" s="1"/>
  <c r="I208" i="7" s="1"/>
  <c r="C209" i="7" s="1"/>
  <c r="H209" i="7" l="1"/>
  <c r="E209" i="7"/>
  <c r="O9" i="7" l="1"/>
  <c r="Q4" i="1" s="1"/>
  <c r="J209" i="7"/>
  <c r="F209" i="7"/>
  <c r="G209" i="7" s="1"/>
  <c r="P9" i="7" s="1"/>
  <c r="Q13" i="1" s="1"/>
  <c r="I209" i="7"/>
  <c r="C210" i="7" l="1"/>
  <c r="Q33" i="1"/>
  <c r="Q35" i="1" s="1"/>
  <c r="Q15" i="1"/>
  <c r="N10" i="2" s="1"/>
  <c r="Q11" i="1"/>
  <c r="Q16" i="1" s="1"/>
  <c r="Q19" i="1" l="1"/>
  <c r="E210" i="7"/>
  <c r="H210" i="7"/>
  <c r="J210" i="7" s="1"/>
  <c r="F210" i="7" l="1"/>
  <c r="G210" i="7" s="1"/>
  <c r="I210" i="7"/>
  <c r="C211" i="7" s="1"/>
  <c r="E211" i="7" s="1"/>
  <c r="F211" i="7" s="1"/>
  <c r="Q24" i="1"/>
  <c r="Q30" i="1" s="1"/>
  <c r="Q31" i="1" s="1"/>
  <c r="Q32" i="1" s="1"/>
  <c r="Q36" i="1" s="1"/>
  <c r="N9" i="2" s="1"/>
  <c r="Q23" i="1"/>
  <c r="H211" i="7" l="1"/>
  <c r="G211" i="7" s="1"/>
  <c r="I211" i="7" s="1"/>
  <c r="Q25" i="1"/>
  <c r="R20" i="1" s="1"/>
  <c r="R22" i="1" s="1"/>
  <c r="N11" i="2"/>
  <c r="N12" i="2"/>
  <c r="J211" i="7"/>
  <c r="C212" i="7" l="1"/>
  <c r="E212" i="7" l="1"/>
  <c r="H212" i="7"/>
  <c r="J212" i="7" l="1"/>
  <c r="F212" i="7"/>
  <c r="G212" i="7" s="1"/>
  <c r="I212" i="7" s="1"/>
  <c r="C213" i="7" l="1"/>
  <c r="E213" i="7" l="1"/>
  <c r="F213" i="7" s="1"/>
  <c r="G213" i="7" s="1"/>
  <c r="H213" i="7"/>
  <c r="J213" i="7" l="1"/>
  <c r="I213" i="7"/>
  <c r="C214" i="7" l="1"/>
  <c r="H214" i="7" l="1"/>
  <c r="E214" i="7"/>
  <c r="F214" i="7" l="1"/>
  <c r="G214" i="7" s="1"/>
  <c r="I214" i="7" s="1"/>
  <c r="J214" i="7"/>
  <c r="C215" i="7" l="1"/>
  <c r="H215" i="7" l="1"/>
  <c r="J215" i="7" s="1"/>
  <c r="E215" i="7"/>
  <c r="F215" i="7" s="1"/>
  <c r="G215" i="7" l="1"/>
  <c r="I215" i="7" s="1"/>
  <c r="C216" i="7" s="1"/>
  <c r="E216" i="7" s="1"/>
  <c r="F216" i="7" s="1"/>
  <c r="H216" i="7" l="1"/>
  <c r="J216" i="7" s="1"/>
  <c r="G216" i="7" l="1"/>
  <c r="I216" i="7" s="1"/>
  <c r="C217" i="7" s="1"/>
  <c r="E217" i="7" l="1"/>
  <c r="F217" i="7" s="1"/>
  <c r="G217" i="7" s="1"/>
  <c r="I217" i="7" s="1"/>
  <c r="C218" i="7" s="1"/>
  <c r="H217" i="7"/>
  <c r="J217" i="7" s="1"/>
  <c r="E218" i="7" l="1"/>
  <c r="F218" i="7" s="1"/>
  <c r="G218" i="7" s="1"/>
  <c r="I218" i="7" s="1"/>
  <c r="C219" i="7" s="1"/>
  <c r="H218" i="7"/>
  <c r="J218" i="7" s="1"/>
  <c r="H219" i="7" l="1"/>
  <c r="J219" i="7" s="1"/>
  <c r="E219" i="7"/>
  <c r="F219" i="7" s="1"/>
  <c r="G219" i="7" s="1"/>
  <c r="I219" i="7" s="1"/>
  <c r="C220" i="7" s="1"/>
  <c r="E220" i="7" l="1"/>
  <c r="F220" i="7" s="1"/>
  <c r="G220" i="7" s="1"/>
  <c r="I220" i="7" s="1"/>
  <c r="C221" i="7" s="1"/>
  <c r="H220" i="7"/>
  <c r="J220" i="7" s="1"/>
  <c r="E221" i="7" l="1"/>
  <c r="H221" i="7"/>
  <c r="J221" i="7" l="1"/>
  <c r="O10" i="7"/>
  <c r="R4" i="1" s="1"/>
  <c r="F221" i="7"/>
  <c r="G221" i="7" s="1"/>
  <c r="P10" i="7" s="1"/>
  <c r="R13" i="1" s="1"/>
  <c r="I221" i="7" l="1"/>
  <c r="R15" i="1"/>
  <c r="O10" i="2" s="1"/>
  <c r="R11" i="1"/>
  <c r="R16" i="1" s="1"/>
  <c r="C222" i="7" l="1"/>
  <c r="R33" i="1"/>
  <c r="R35" i="1" s="1"/>
  <c r="R19" i="1" s="1"/>
  <c r="R23" i="1" l="1"/>
  <c r="R24" i="1"/>
  <c r="R30" i="1" s="1"/>
  <c r="R31" i="1" s="1"/>
  <c r="R32" i="1" s="1"/>
  <c r="R36" i="1" s="1"/>
  <c r="O9" i="2" s="1"/>
  <c r="H222" i="7"/>
  <c r="J222" i="7" s="1"/>
  <c r="E222" i="7"/>
  <c r="F222" i="7" l="1"/>
  <c r="G222" i="7" s="1"/>
  <c r="I222" i="7" s="1"/>
  <c r="C223" i="7" s="1"/>
  <c r="O12" i="2"/>
  <c r="O11" i="2"/>
  <c r="R25" i="1"/>
  <c r="S20" i="1" s="1"/>
  <c r="S22" i="1" s="1"/>
  <c r="H223" i="7" l="1"/>
  <c r="J223" i="7" s="1"/>
  <c r="E223" i="7"/>
  <c r="F223" i="7" l="1"/>
  <c r="G223" i="7" s="1"/>
  <c r="I223" i="7"/>
  <c r="C224" i="7" s="1"/>
  <c r="H224" i="7" s="1"/>
  <c r="E224" i="7" l="1"/>
  <c r="F224" i="7" s="1"/>
  <c r="G224" i="7" s="1"/>
  <c r="I224" i="7" s="1"/>
  <c r="J224" i="7"/>
  <c r="C225" i="7" l="1"/>
  <c r="H225" i="7" l="1"/>
  <c r="E225" i="7"/>
  <c r="F225" i="7" s="1"/>
  <c r="G225" i="7" s="1"/>
  <c r="I225" i="7" l="1"/>
  <c r="J225" i="7"/>
  <c r="C226" i="7" l="1"/>
  <c r="E226" i="7" l="1"/>
  <c r="F226" i="7" s="1"/>
  <c r="G226" i="7" s="1"/>
  <c r="H226" i="7"/>
  <c r="J226" i="7" l="1"/>
  <c r="I226" i="7"/>
  <c r="C227" i="7" l="1"/>
  <c r="E227" i="7" l="1"/>
  <c r="F227" i="7" s="1"/>
  <c r="H227" i="7"/>
  <c r="J227" i="7" s="1"/>
  <c r="G227" i="7" l="1"/>
  <c r="I227" i="7" s="1"/>
  <c r="C228" i="7" s="1"/>
  <c r="E228" i="7" s="1"/>
  <c r="F228" i="7" s="1"/>
  <c r="H228" i="7" l="1"/>
  <c r="J228" i="7" s="1"/>
  <c r="G228" i="7" l="1"/>
  <c r="I228" i="7" s="1"/>
  <c r="C229" i="7" s="1"/>
  <c r="E229" i="7" l="1"/>
  <c r="F229" i="7" s="1"/>
  <c r="G229" i="7" s="1"/>
  <c r="I229" i="7" s="1"/>
  <c r="C230" i="7" s="1"/>
  <c r="H229" i="7"/>
  <c r="J229" i="7" s="1"/>
  <c r="H230" i="7" l="1"/>
  <c r="J230" i="7" s="1"/>
  <c r="E230" i="7"/>
  <c r="F230" i="7" s="1"/>
  <c r="G230" i="7" s="1"/>
  <c r="I230" i="7" s="1"/>
  <c r="C231" i="7" s="1"/>
  <c r="H231" i="7" l="1"/>
  <c r="J231" i="7" s="1"/>
  <c r="E231" i="7"/>
  <c r="F231" i="7" s="1"/>
  <c r="G231" i="7" s="1"/>
  <c r="I231" i="7" s="1"/>
  <c r="C232" i="7" s="1"/>
  <c r="H232" i="7" l="1"/>
  <c r="J232" i="7" s="1"/>
  <c r="E232" i="7"/>
  <c r="F232" i="7" s="1"/>
  <c r="G232" i="7" s="1"/>
  <c r="I232" i="7" s="1"/>
  <c r="C233" i="7" s="1"/>
  <c r="E233" i="7" l="1"/>
  <c r="F233" i="7" s="1"/>
  <c r="G233" i="7" s="1"/>
  <c r="P11" i="7" s="1"/>
  <c r="S13" i="1" s="1"/>
  <c r="H233" i="7"/>
  <c r="I233" i="7" l="1"/>
  <c r="J233" i="7"/>
  <c r="O11" i="7"/>
  <c r="S4" i="1" s="1"/>
  <c r="S11" i="1" s="1"/>
  <c r="S16" i="1" s="1"/>
  <c r="C234" i="7"/>
  <c r="S33" i="1"/>
  <c r="S35" i="1" s="1"/>
  <c r="S19" i="1" l="1"/>
  <c r="S15" i="1"/>
  <c r="P10" i="2" s="1"/>
  <c r="S23" i="1"/>
  <c r="S24" i="1"/>
  <c r="S30" i="1" s="1"/>
  <c r="S31" i="1" s="1"/>
  <c r="S32" i="1" s="1"/>
  <c r="S36" i="1" s="1"/>
  <c r="P9" i="2" s="1"/>
  <c r="E234" i="7"/>
  <c r="H234" i="7"/>
  <c r="P12" i="2" l="1"/>
  <c r="P11" i="2"/>
  <c r="F234" i="7"/>
  <c r="G234" i="7" s="1"/>
  <c r="I234" i="7" s="1"/>
  <c r="J234" i="7"/>
  <c r="S25" i="1"/>
  <c r="T20" i="1" s="1"/>
  <c r="T22" i="1" l="1"/>
  <c r="C235" i="7"/>
  <c r="E235" i="7" l="1"/>
  <c r="H235" i="7"/>
  <c r="J235" i="7" l="1"/>
  <c r="F235" i="7"/>
  <c r="G235" i="7" s="1"/>
  <c r="I235" i="7" s="1"/>
  <c r="C236" i="7" l="1"/>
  <c r="E236" i="7" l="1"/>
  <c r="F236" i="7" s="1"/>
  <c r="H236" i="7"/>
  <c r="G236" i="7" l="1"/>
  <c r="J236" i="7"/>
  <c r="I236" i="7"/>
  <c r="C237" i="7" l="1"/>
  <c r="E237" i="7" l="1"/>
  <c r="F237" i="7" s="1"/>
  <c r="G237" i="7" s="1"/>
  <c r="I237" i="7" s="1"/>
  <c r="H237" i="7"/>
  <c r="J237" i="7" l="1"/>
  <c r="C238" i="7"/>
  <c r="E238" i="7" l="1"/>
  <c r="F238" i="7" s="1"/>
  <c r="H238" i="7"/>
  <c r="G238" i="7" l="1"/>
  <c r="I238" i="7" s="1"/>
  <c r="C239" i="7" s="1"/>
  <c r="J238" i="7"/>
  <c r="E239" i="7" l="1"/>
  <c r="F239" i="7" s="1"/>
  <c r="G239" i="7" s="1"/>
  <c r="I239" i="7" s="1"/>
  <c r="C240" i="7" s="1"/>
  <c r="H239" i="7"/>
  <c r="J239" i="7" s="1"/>
  <c r="E240" i="7" l="1"/>
  <c r="H240" i="7"/>
  <c r="J240" i="7" s="1"/>
  <c r="F240" i="7" l="1"/>
  <c r="G240" i="7" s="1"/>
  <c r="I240" i="7" s="1"/>
  <c r="C241" i="7" s="1"/>
  <c r="E241" i="7" l="1"/>
  <c r="F241" i="7" s="1"/>
  <c r="G241" i="7" s="1"/>
  <c r="I241" i="7" s="1"/>
  <c r="C242" i="7" s="1"/>
  <c r="H241" i="7"/>
  <c r="J241" i="7" s="1"/>
  <c r="H242" i="7" l="1"/>
  <c r="J242" i="7" s="1"/>
  <c r="E242" i="7"/>
  <c r="F242" i="7" s="1"/>
  <c r="G242" i="7" s="1"/>
  <c r="I242" i="7" s="1"/>
  <c r="C243" i="7" s="1"/>
  <c r="H243" i="7" l="1"/>
  <c r="J243" i="7" s="1"/>
  <c r="E243" i="7"/>
  <c r="F243" i="7" s="1"/>
  <c r="G243" i="7" s="1"/>
  <c r="I243" i="7" s="1"/>
  <c r="C244" i="7" s="1"/>
  <c r="E244" i="7" l="1"/>
  <c r="F244" i="7" s="1"/>
  <c r="G244" i="7" s="1"/>
  <c r="I244" i="7" s="1"/>
  <c r="C245" i="7" s="1"/>
  <c r="H244" i="7"/>
  <c r="J244" i="7" s="1"/>
  <c r="H245" i="7" l="1"/>
  <c r="E245" i="7"/>
  <c r="F245" i="7" s="1"/>
  <c r="G245" i="7" s="1"/>
  <c r="I245" i="7" l="1"/>
  <c r="P12" i="7"/>
  <c r="T13" i="1" s="1"/>
  <c r="J245" i="7"/>
  <c r="O12" i="7"/>
  <c r="T4" i="1" s="1"/>
  <c r="T11" i="1" l="1"/>
  <c r="T16" i="1" s="1"/>
  <c r="T15" i="1"/>
  <c r="Q10" i="2" s="1"/>
  <c r="C246" i="7"/>
  <c r="T33" i="1"/>
  <c r="T35" i="1" s="1"/>
  <c r="H246" i="7" l="1"/>
  <c r="E246" i="7"/>
  <c r="F246" i="7" s="1"/>
  <c r="G246" i="7" s="1"/>
  <c r="T19" i="1"/>
  <c r="T23" i="1" l="1"/>
  <c r="T24" i="1"/>
  <c r="T30" i="1" s="1"/>
  <c r="T31" i="1" s="1"/>
  <c r="T32" i="1" s="1"/>
  <c r="T36" i="1" s="1"/>
  <c r="Q9" i="2" s="1"/>
  <c r="I246" i="7"/>
  <c r="J246" i="7"/>
  <c r="Q12" i="2" l="1"/>
  <c r="Q11" i="2"/>
  <c r="C247" i="7"/>
  <c r="T25" i="1"/>
  <c r="U20" i="1" s="1"/>
  <c r="U22" i="1" l="1"/>
  <c r="H247" i="7"/>
  <c r="E247" i="7"/>
  <c r="F247" i="7" s="1"/>
  <c r="G247" i="7" s="1"/>
  <c r="I247" i="7" l="1"/>
  <c r="J247" i="7"/>
  <c r="C248" i="7" l="1"/>
  <c r="E248" i="7" l="1"/>
  <c r="F248" i="7" s="1"/>
  <c r="H248" i="7"/>
  <c r="G248" i="7" l="1"/>
  <c r="J248" i="7"/>
  <c r="I248" i="7"/>
  <c r="C249" i="7" l="1"/>
  <c r="H249" i="7" l="1"/>
  <c r="E249" i="7"/>
  <c r="F249" i="7" s="1"/>
  <c r="G249" i="7" s="1"/>
  <c r="I249" i="7" l="1"/>
  <c r="J249" i="7"/>
  <c r="C250" i="7" l="1"/>
  <c r="E250" i="7" l="1"/>
  <c r="F250" i="7" s="1"/>
  <c r="H250" i="7"/>
  <c r="G250" i="7" l="1"/>
  <c r="J250" i="7"/>
  <c r="I250" i="7"/>
  <c r="C251" i="7" l="1"/>
  <c r="E251" i="7" l="1"/>
  <c r="F251" i="7" s="1"/>
  <c r="G251" i="7" s="1"/>
  <c r="I251" i="7" s="1"/>
  <c r="C252" i="7" s="1"/>
  <c r="H251" i="7"/>
  <c r="J251" i="7" s="1"/>
  <c r="H252" i="7" l="1"/>
  <c r="J252" i="7" s="1"/>
  <c r="E252" i="7"/>
  <c r="F252" i="7" s="1"/>
  <c r="G252" i="7" l="1"/>
  <c r="I252" i="7" s="1"/>
  <c r="C253" i="7" s="1"/>
  <c r="E253" i="7" s="1"/>
  <c r="H253" i="7" l="1"/>
  <c r="J253" i="7" s="1"/>
  <c r="F253" i="7"/>
  <c r="G253" i="7" l="1"/>
  <c r="I253" i="7" s="1"/>
  <c r="C254" i="7" s="1"/>
  <c r="E254" i="7" s="1"/>
  <c r="F254" i="7" s="1"/>
  <c r="H254" i="7" l="1"/>
  <c r="J254" i="7" s="1"/>
  <c r="G254" i="7"/>
  <c r="I254" i="7" s="1"/>
  <c r="C255" i="7" s="1"/>
  <c r="H255" i="7" s="1"/>
  <c r="J255" i="7" s="1"/>
  <c r="E255" i="7" l="1"/>
  <c r="F255" i="7" s="1"/>
  <c r="G255" i="7" s="1"/>
  <c r="I255" i="7" s="1"/>
  <c r="C256" i="7" s="1"/>
  <c r="E256" i="7" s="1"/>
  <c r="H256" i="7" l="1"/>
  <c r="J256" i="7" s="1"/>
  <c r="F256" i="7"/>
  <c r="G256" i="7" s="1"/>
  <c r="I256" i="7" s="1"/>
  <c r="C257" i="7" s="1"/>
  <c r="H257" i="7" l="1"/>
  <c r="E257" i="7"/>
  <c r="F257" i="7" s="1"/>
  <c r="G257" i="7" s="1"/>
  <c r="I257" i="7" l="1"/>
  <c r="P13" i="7"/>
  <c r="U13" i="1" s="1"/>
  <c r="J257" i="7"/>
  <c r="O13" i="7"/>
  <c r="U4" i="1" s="1"/>
  <c r="U11" i="1" l="1"/>
  <c r="U16" i="1" s="1"/>
  <c r="U15" i="1"/>
  <c r="R10" i="2" s="1"/>
  <c r="C258" i="7"/>
  <c r="U33" i="1"/>
  <c r="U35" i="1" s="1"/>
  <c r="H258" i="7" l="1"/>
  <c r="E258" i="7"/>
  <c r="F258" i="7" s="1"/>
  <c r="G258" i="7" s="1"/>
  <c r="U19" i="1"/>
  <c r="I258" i="7" l="1"/>
  <c r="U23" i="1"/>
  <c r="U24" i="1"/>
  <c r="V28" i="1" s="1"/>
  <c r="V29" i="1" s="1"/>
  <c r="V21" i="1" s="1"/>
  <c r="J258" i="7"/>
  <c r="U25" i="1" l="1"/>
  <c r="V20" i="1" s="1"/>
  <c r="V22" i="1" s="1"/>
  <c r="U30" i="1"/>
  <c r="U31" i="1" s="1"/>
  <c r="U32" i="1" s="1"/>
  <c r="U36" i="1" s="1"/>
  <c r="R9" i="2" s="1"/>
  <c r="C259" i="7"/>
  <c r="H259" i="7" l="1"/>
  <c r="E259" i="7"/>
  <c r="F259" i="7" s="1"/>
  <c r="G259" i="7" s="1"/>
  <c r="R12" i="2"/>
  <c r="R11" i="2"/>
  <c r="S11" i="2" s="1"/>
  <c r="I259" i="7" l="1"/>
  <c r="J259" i="7"/>
  <c r="C260" i="7" l="1"/>
  <c r="H260" i="7" l="1"/>
  <c r="E260" i="7"/>
  <c r="F260" i="7" s="1"/>
  <c r="G260" i="7" s="1"/>
  <c r="I260" i="7" l="1"/>
  <c r="J260" i="7"/>
  <c r="C261" i="7" l="1"/>
  <c r="E261" i="7" l="1"/>
  <c r="F261" i="7" s="1"/>
  <c r="G261" i="7" s="1"/>
  <c r="H261" i="7"/>
  <c r="J261" i="7" l="1"/>
  <c r="I261" i="7"/>
  <c r="C262" i="7" l="1"/>
  <c r="E262" i="7" l="1"/>
  <c r="F262" i="7" s="1"/>
  <c r="H262" i="7"/>
  <c r="G262" i="7" l="1"/>
  <c r="J262" i="7"/>
  <c r="I262" i="7"/>
  <c r="C263" i="7" l="1"/>
  <c r="E263" i="7" l="1"/>
  <c r="F263" i="7" s="1"/>
  <c r="G263" i="7" s="1"/>
  <c r="I263" i="7" s="1"/>
  <c r="C264" i="7" s="1"/>
  <c r="H263" i="7"/>
  <c r="J263" i="7" s="1"/>
  <c r="H264" i="7" l="1"/>
  <c r="J264" i="7" s="1"/>
  <c r="E264" i="7"/>
  <c r="F264" i="7" s="1"/>
  <c r="G264" i="7" s="1"/>
  <c r="I264" i="7" s="1"/>
  <c r="C265" i="7" s="1"/>
  <c r="H265" i="7" l="1"/>
  <c r="J265" i="7" s="1"/>
  <c r="E265" i="7"/>
  <c r="F265" i="7" s="1"/>
  <c r="G265" i="7" s="1"/>
  <c r="I265" i="7" s="1"/>
  <c r="C266" i="7" s="1"/>
  <c r="H266" i="7" l="1"/>
  <c r="J266" i="7" s="1"/>
  <c r="E266" i="7"/>
  <c r="F266" i="7" s="1"/>
  <c r="G266" i="7" s="1"/>
  <c r="I266" i="7" s="1"/>
  <c r="C267" i="7" s="1"/>
  <c r="E267" i="7" l="1"/>
  <c r="F267" i="7" s="1"/>
  <c r="H267" i="7"/>
  <c r="J267" i="7" s="1"/>
  <c r="G267" i="7" l="1"/>
  <c r="I267" i="7" s="1"/>
  <c r="C268" i="7" s="1"/>
  <c r="E268" i="7" s="1"/>
  <c r="F268" i="7" s="1"/>
  <c r="H268" i="7" l="1"/>
  <c r="J268" i="7" s="1"/>
  <c r="G268" i="7"/>
  <c r="I268" i="7" s="1"/>
  <c r="C269" i="7" s="1"/>
  <c r="H269" i="7" s="1"/>
  <c r="E269" i="7" l="1"/>
  <c r="F269" i="7" s="1"/>
  <c r="G269" i="7" s="1"/>
  <c r="I269" i="7" s="1"/>
  <c r="J269" i="7"/>
  <c r="S4" i="7"/>
  <c r="V4" i="1" s="1"/>
  <c r="T4" i="7" l="1"/>
  <c r="V13" i="1" s="1"/>
  <c r="V15" i="1" s="1"/>
  <c r="I16" i="2" s="1"/>
  <c r="V11" i="1"/>
  <c r="V16" i="1" s="1"/>
  <c r="C270" i="7"/>
  <c r="V33" i="1"/>
  <c r="V35" i="1" s="1"/>
  <c r="H270" i="7" l="1"/>
  <c r="E270" i="7"/>
  <c r="F270" i="7" s="1"/>
  <c r="G270" i="7" s="1"/>
  <c r="V19" i="1"/>
  <c r="V23" i="1" l="1"/>
  <c r="V24" i="1"/>
  <c r="I270" i="7"/>
  <c r="J270" i="7"/>
  <c r="V25" i="1" l="1"/>
  <c r="W20" i="1" s="1"/>
  <c r="W28" i="1"/>
  <c r="W29" i="1" s="1"/>
  <c r="W21" i="1" s="1"/>
  <c r="W22" i="1" s="1"/>
  <c r="V30" i="1"/>
  <c r="V31" i="1" s="1"/>
  <c r="V32" i="1" s="1"/>
  <c r="V36" i="1" s="1"/>
  <c r="I15" i="2" s="1"/>
  <c r="C271" i="7"/>
  <c r="H271" i="7" l="1"/>
  <c r="E271" i="7"/>
  <c r="F271" i="7" s="1"/>
  <c r="G271" i="7" s="1"/>
  <c r="I17" i="2"/>
  <c r="I18" i="2"/>
  <c r="I271" i="7" l="1"/>
  <c r="J271" i="7"/>
  <c r="C272" i="7" l="1"/>
  <c r="H272" i="7" l="1"/>
  <c r="E272" i="7"/>
  <c r="F272" i="7" s="1"/>
  <c r="G272" i="7" s="1"/>
  <c r="I272" i="7" l="1"/>
  <c r="J272" i="7"/>
  <c r="C273" i="7" l="1"/>
  <c r="H273" i="7" l="1"/>
  <c r="E273" i="7"/>
  <c r="F273" i="7" s="1"/>
  <c r="G273" i="7" s="1"/>
  <c r="I273" i="7" l="1"/>
  <c r="J273" i="7"/>
  <c r="C274" i="7" l="1"/>
  <c r="H274" i="7" l="1"/>
  <c r="E274" i="7"/>
  <c r="F274" i="7" s="1"/>
  <c r="G274" i="7" s="1"/>
  <c r="I274" i="7" l="1"/>
  <c r="J274" i="7"/>
  <c r="C275" i="7" l="1"/>
  <c r="H275" i="7" l="1"/>
  <c r="J275" i="7" s="1"/>
  <c r="E275" i="7"/>
  <c r="F275" i="7" s="1"/>
  <c r="G275" i="7" s="1"/>
  <c r="I275" i="7" s="1"/>
  <c r="C276" i="7" s="1"/>
  <c r="H276" i="7" l="1"/>
  <c r="J276" i="7" s="1"/>
  <c r="E276" i="7"/>
  <c r="F276" i="7" s="1"/>
  <c r="G276" i="7" l="1"/>
  <c r="I276" i="7" s="1"/>
  <c r="C277" i="7" s="1"/>
  <c r="H277" i="7" s="1"/>
  <c r="J277" i="7" s="1"/>
  <c r="E277" i="7" l="1"/>
  <c r="F277" i="7" s="1"/>
  <c r="G277" i="7" s="1"/>
  <c r="I277" i="7" s="1"/>
  <c r="C278" i="7" s="1"/>
  <c r="E278" i="7" s="1"/>
  <c r="F278" i="7" s="1"/>
  <c r="H278" i="7" l="1"/>
  <c r="J278" i="7" s="1"/>
  <c r="G278" i="7" l="1"/>
  <c r="I278" i="7" s="1"/>
  <c r="C279" i="7" s="1"/>
  <c r="E279" i="7" l="1"/>
  <c r="F279" i="7" s="1"/>
  <c r="G279" i="7" s="1"/>
  <c r="I279" i="7" s="1"/>
  <c r="C280" i="7" s="1"/>
  <c r="H279" i="7"/>
  <c r="J279" i="7" s="1"/>
  <c r="H280" i="7" l="1"/>
  <c r="J280" i="7" s="1"/>
  <c r="E280" i="7"/>
  <c r="F280" i="7" s="1"/>
  <c r="G280" i="7" s="1"/>
  <c r="I280" i="7" s="1"/>
  <c r="C281" i="7" s="1"/>
  <c r="H281" i="7" l="1"/>
  <c r="E281" i="7"/>
  <c r="S5" i="7" l="1"/>
  <c r="W4" i="1" s="1"/>
  <c r="J281" i="7"/>
  <c r="F281" i="7"/>
  <c r="G281" i="7" s="1"/>
  <c r="T5" i="7" s="1"/>
  <c r="W13" i="1" s="1"/>
  <c r="I281" i="7" l="1"/>
  <c r="W15" i="1"/>
  <c r="J16" i="2" s="1"/>
  <c r="W11" i="1"/>
  <c r="W16" i="1" s="1"/>
  <c r="W33" i="1" l="1"/>
  <c r="W35" i="1" s="1"/>
  <c r="W19" i="1" s="1"/>
  <c r="C282" i="7"/>
  <c r="W24" i="1" l="1"/>
  <c r="X28" i="1" s="1"/>
  <c r="X29" i="1" s="1"/>
  <c r="X21" i="1" s="1"/>
  <c r="W23" i="1"/>
  <c r="E282" i="7"/>
  <c r="H282" i="7"/>
  <c r="J282" i="7" s="1"/>
  <c r="W25" i="1" l="1"/>
  <c r="X20" i="1" s="1"/>
  <c r="X22" i="1"/>
  <c r="F282" i="7"/>
  <c r="G282" i="7" s="1"/>
  <c r="I282" i="7" s="1"/>
  <c r="C283" i="7" s="1"/>
  <c r="W30" i="1"/>
  <c r="W31" i="1" s="1"/>
  <c r="W32" i="1" s="1"/>
  <c r="W36" i="1" s="1"/>
  <c r="J15" i="2" s="1"/>
  <c r="E283" i="7" l="1"/>
  <c r="F283" i="7" s="1"/>
  <c r="H283" i="7"/>
  <c r="J283" i="7" s="1"/>
  <c r="J17" i="2"/>
  <c r="J18" i="2"/>
  <c r="G283" i="7" l="1"/>
  <c r="I283" i="7" s="1"/>
  <c r="C284" i="7" s="1"/>
  <c r="E284" i="7" s="1"/>
  <c r="F284" i="7" s="1"/>
  <c r="H284" i="7" l="1"/>
  <c r="G284" i="7" s="1"/>
  <c r="I284" i="7" s="1"/>
  <c r="J284" i="7"/>
  <c r="C285" i="7" l="1"/>
  <c r="H285" i="7" l="1"/>
  <c r="E285" i="7"/>
  <c r="F285" i="7" s="1"/>
  <c r="G285" i="7" s="1"/>
  <c r="I285" i="7" l="1"/>
  <c r="J285" i="7"/>
  <c r="C286" i="7" l="1"/>
  <c r="E286" i="7" l="1"/>
  <c r="F286" i="7" s="1"/>
  <c r="H286" i="7"/>
  <c r="G286" i="7" l="1"/>
  <c r="I286" i="7" s="1"/>
  <c r="C287" i="7" s="1"/>
  <c r="J286" i="7"/>
  <c r="H287" i="7" l="1"/>
  <c r="J287" i="7" s="1"/>
  <c r="E287" i="7"/>
  <c r="F287" i="7" s="1"/>
  <c r="G287" i="7" s="1"/>
  <c r="I287" i="7" s="1"/>
  <c r="C288" i="7" s="1"/>
  <c r="H288" i="7" l="1"/>
  <c r="J288" i="7" s="1"/>
  <c r="E288" i="7"/>
  <c r="F288" i="7" s="1"/>
  <c r="G288" i="7" s="1"/>
  <c r="I288" i="7" s="1"/>
  <c r="C289" i="7" s="1"/>
  <c r="H289" i="7" l="1"/>
  <c r="J289" i="7" s="1"/>
  <c r="E289" i="7"/>
  <c r="F289" i="7" s="1"/>
  <c r="G289" i="7" s="1"/>
  <c r="I289" i="7" s="1"/>
  <c r="C290" i="7" s="1"/>
  <c r="E290" i="7" l="1"/>
  <c r="F290" i="7" s="1"/>
  <c r="G290" i="7" s="1"/>
  <c r="I290" i="7" s="1"/>
  <c r="C291" i="7" s="1"/>
  <c r="H290" i="7"/>
  <c r="J290" i="7" s="1"/>
  <c r="E291" i="7" l="1"/>
  <c r="F291" i="7" s="1"/>
  <c r="H291" i="7"/>
  <c r="J291" i="7" s="1"/>
  <c r="G291" i="7" l="1"/>
  <c r="I291" i="7" s="1"/>
  <c r="C292" i="7" s="1"/>
  <c r="H292" i="7" s="1"/>
  <c r="J292" i="7" s="1"/>
  <c r="E292" i="7" l="1"/>
  <c r="F292" i="7" s="1"/>
  <c r="G292" i="7" s="1"/>
  <c r="I292" i="7" s="1"/>
  <c r="C293" i="7" s="1"/>
  <c r="H293" i="7" s="1"/>
  <c r="E293" i="7" l="1"/>
  <c r="F293" i="7" s="1"/>
  <c r="G293" i="7" s="1"/>
  <c r="I293" i="7" s="1"/>
  <c r="J293" i="7"/>
  <c r="S6" i="7"/>
  <c r="X4" i="1" s="1"/>
  <c r="T6" i="7" l="1"/>
  <c r="X13" i="1" s="1"/>
  <c r="X11" i="1"/>
  <c r="X16" i="1" s="1"/>
  <c r="X15" i="1"/>
  <c r="K16" i="2" s="1"/>
  <c r="C294" i="7"/>
  <c r="X33" i="1"/>
  <c r="X35" i="1" s="1"/>
  <c r="H294" i="7" l="1"/>
  <c r="E294" i="7"/>
  <c r="F294" i="7" s="1"/>
  <c r="G294" i="7" s="1"/>
  <c r="X19" i="1"/>
  <c r="X23" i="1" l="1"/>
  <c r="X24" i="1"/>
  <c r="Y28" i="1" s="1"/>
  <c r="Y29" i="1" s="1"/>
  <c r="Y21" i="1" s="1"/>
  <c r="I294" i="7"/>
  <c r="J294" i="7"/>
  <c r="C295" i="7" l="1"/>
  <c r="X30" i="1"/>
  <c r="X31" i="1" s="1"/>
  <c r="X32" i="1" s="1"/>
  <c r="X36" i="1" s="1"/>
  <c r="K15" i="2" s="1"/>
  <c r="X25" i="1"/>
  <c r="Y20" i="1" s="1"/>
  <c r="K17" i="2" l="1"/>
  <c r="K18" i="2"/>
  <c r="Y22" i="1"/>
  <c r="E295" i="7"/>
  <c r="F295" i="7" s="1"/>
  <c r="G295" i="7" s="1"/>
  <c r="H295" i="7"/>
  <c r="J295" i="7" l="1"/>
  <c r="I295" i="7"/>
  <c r="C296" i="7" l="1"/>
  <c r="H296" i="7" l="1"/>
  <c r="E296" i="7"/>
  <c r="F296" i="7" s="1"/>
  <c r="G296" i="7" s="1"/>
  <c r="I296" i="7" l="1"/>
  <c r="J296" i="7"/>
  <c r="C297" i="7" l="1"/>
  <c r="H297" i="7" l="1"/>
  <c r="E297" i="7"/>
  <c r="F297" i="7" s="1"/>
  <c r="G297" i="7" s="1"/>
  <c r="I297" i="7" l="1"/>
  <c r="J297" i="7"/>
  <c r="C298" i="7" l="1"/>
  <c r="H298" i="7" l="1"/>
  <c r="E298" i="7"/>
  <c r="F298" i="7" s="1"/>
  <c r="G298" i="7" s="1"/>
  <c r="I298" i="7" l="1"/>
  <c r="J298" i="7"/>
  <c r="C299" i="7" l="1"/>
  <c r="E299" i="7" l="1"/>
  <c r="F299" i="7" s="1"/>
  <c r="G299" i="7" s="1"/>
  <c r="I299" i="7" s="1"/>
  <c r="C300" i="7" s="1"/>
  <c r="H299" i="7"/>
  <c r="J299" i="7" s="1"/>
  <c r="E300" i="7" l="1"/>
  <c r="F300" i="7" s="1"/>
  <c r="H300" i="7"/>
  <c r="J300" i="7" s="1"/>
  <c r="G300" i="7" l="1"/>
  <c r="I300" i="7" s="1"/>
  <c r="C301" i="7" s="1"/>
  <c r="H301" i="7" s="1"/>
  <c r="J301" i="7" s="1"/>
  <c r="E301" i="7" l="1"/>
  <c r="F301" i="7" s="1"/>
  <c r="G301" i="7" s="1"/>
  <c r="I301" i="7" s="1"/>
  <c r="C302" i="7" s="1"/>
  <c r="H302" i="7" l="1"/>
  <c r="J302" i="7" s="1"/>
  <c r="E302" i="7"/>
  <c r="F302" i="7" s="1"/>
  <c r="G302" i="7" s="1"/>
  <c r="I302" i="7" s="1"/>
  <c r="C303" i="7" s="1"/>
  <c r="H303" i="7" s="1"/>
  <c r="J303" i="7" s="1"/>
  <c r="E303" i="7" l="1"/>
  <c r="F303" i="7" s="1"/>
  <c r="G303" i="7" s="1"/>
  <c r="I303" i="7" s="1"/>
  <c r="C304" i="7" s="1"/>
  <c r="H304" i="7" s="1"/>
  <c r="J304" i="7" s="1"/>
  <c r="E304" i="7" l="1"/>
  <c r="F304" i="7" s="1"/>
  <c r="G304" i="7" s="1"/>
  <c r="I304" i="7" s="1"/>
  <c r="C305" i="7" s="1"/>
  <c r="H305" i="7" s="1"/>
  <c r="E305" i="7" l="1"/>
  <c r="F305" i="7" s="1"/>
  <c r="G305" i="7" s="1"/>
  <c r="T7" i="7" s="1"/>
  <c r="Y13" i="1" s="1"/>
  <c r="J305" i="7"/>
  <c r="S7" i="7"/>
  <c r="Y4" i="1" s="1"/>
  <c r="I305" i="7" l="1"/>
  <c r="Y11" i="1"/>
  <c r="Y16" i="1" s="1"/>
  <c r="Y15" i="1"/>
  <c r="L16" i="2" s="1"/>
  <c r="C306" i="7"/>
  <c r="Y33" i="1"/>
  <c r="Y35" i="1" s="1"/>
  <c r="E306" i="7" l="1"/>
  <c r="F306" i="7" s="1"/>
  <c r="H306" i="7"/>
  <c r="Y19" i="1"/>
  <c r="G306" i="7" l="1"/>
  <c r="Y23" i="1"/>
  <c r="Y24" i="1"/>
  <c r="J306" i="7"/>
  <c r="I306" i="7"/>
  <c r="C307" i="7" l="1"/>
  <c r="Y30" i="1"/>
  <c r="Y31" i="1" s="1"/>
  <c r="Y32" i="1" s="1"/>
  <c r="Y36" i="1" s="1"/>
  <c r="L15" i="2" s="1"/>
  <c r="Z28" i="1"/>
  <c r="Z29" i="1" s="1"/>
  <c r="Z21" i="1" s="1"/>
  <c r="Y25" i="1"/>
  <c r="Z20" i="1" s="1"/>
  <c r="Z22" i="1" l="1"/>
  <c r="L17" i="2"/>
  <c r="L18" i="2"/>
  <c r="E307" i="7"/>
  <c r="F307" i="7" s="1"/>
  <c r="G307" i="7" s="1"/>
  <c r="H307" i="7"/>
  <c r="J307" i="7" l="1"/>
  <c r="I307" i="7"/>
  <c r="C308" i="7" l="1"/>
  <c r="H308" i="7" l="1"/>
  <c r="E308" i="7"/>
  <c r="F308" i="7" s="1"/>
  <c r="G308" i="7" s="1"/>
  <c r="I308" i="7" l="1"/>
  <c r="J308" i="7"/>
  <c r="C309" i="7" l="1"/>
  <c r="E309" i="7" l="1"/>
  <c r="F309" i="7" s="1"/>
  <c r="H309" i="7"/>
  <c r="G309" i="7" l="1"/>
  <c r="J309" i="7"/>
  <c r="I309" i="7"/>
  <c r="C310" i="7" l="1"/>
  <c r="E310" i="7" l="1"/>
  <c r="H310" i="7"/>
  <c r="J310" i="7" l="1"/>
  <c r="F310" i="7"/>
  <c r="G310" i="7" s="1"/>
  <c r="I310" i="7" s="1"/>
  <c r="C311" i="7" l="1"/>
  <c r="H311" i="7" l="1"/>
  <c r="J311" i="7" s="1"/>
  <c r="E311" i="7"/>
  <c r="F311" i="7" l="1"/>
  <c r="G311" i="7" s="1"/>
  <c r="I311" i="7" s="1"/>
  <c r="C312" i="7" s="1"/>
  <c r="E312" i="7" l="1"/>
  <c r="F312" i="7" s="1"/>
  <c r="G312" i="7" s="1"/>
  <c r="I312" i="7" s="1"/>
  <c r="C313" i="7" s="1"/>
  <c r="H312" i="7"/>
  <c r="J312" i="7" s="1"/>
  <c r="E313" i="7" l="1"/>
  <c r="F313" i="7" s="1"/>
  <c r="G313" i="7" s="1"/>
  <c r="I313" i="7" s="1"/>
  <c r="C314" i="7" s="1"/>
  <c r="H313" i="7"/>
  <c r="J313" i="7" s="1"/>
  <c r="H314" i="7" l="1"/>
  <c r="J314" i="7" s="1"/>
  <c r="E314" i="7"/>
  <c r="F314" i="7" s="1"/>
  <c r="G314" i="7" s="1"/>
  <c r="I314" i="7" s="1"/>
  <c r="C315" i="7" s="1"/>
  <c r="H315" i="7" l="1"/>
  <c r="J315" i="7" s="1"/>
  <c r="E315" i="7"/>
  <c r="F315" i="7" s="1"/>
  <c r="G315" i="7" s="1"/>
  <c r="I315" i="7" s="1"/>
  <c r="C316" i="7" s="1"/>
  <c r="H316" i="7" l="1"/>
  <c r="J316" i="7" s="1"/>
  <c r="E316" i="7"/>
  <c r="F316" i="7" s="1"/>
  <c r="G316" i="7" s="1"/>
  <c r="I316" i="7" s="1"/>
  <c r="C317" i="7" s="1"/>
  <c r="H317" i="7" l="1"/>
  <c r="E317" i="7"/>
  <c r="F317" i="7" s="1"/>
  <c r="G317" i="7" s="1"/>
  <c r="I317" i="7" l="1"/>
  <c r="T8" i="7"/>
  <c r="Z13" i="1" s="1"/>
  <c r="J317" i="7"/>
  <c r="S8" i="7"/>
  <c r="Z4" i="1" s="1"/>
  <c r="Z15" i="1" l="1"/>
  <c r="M16" i="2" s="1"/>
  <c r="Z11" i="1"/>
  <c r="Z16" i="1" s="1"/>
  <c r="C318" i="7"/>
  <c r="Z33" i="1"/>
  <c r="Z35" i="1" s="1"/>
  <c r="H318" i="7" l="1"/>
  <c r="E318" i="7"/>
  <c r="F318" i="7" s="1"/>
  <c r="G318" i="7" s="1"/>
  <c r="Z19" i="1"/>
  <c r="Z23" i="1" l="1"/>
  <c r="Z24" i="1"/>
  <c r="I318" i="7"/>
  <c r="J318" i="7"/>
  <c r="C319" i="7" l="1"/>
  <c r="Z30" i="1"/>
  <c r="Z31" i="1" s="1"/>
  <c r="Z32" i="1" s="1"/>
  <c r="Z36" i="1" s="1"/>
  <c r="M15" i="2" s="1"/>
  <c r="AA28" i="1"/>
  <c r="AA29" i="1" s="1"/>
  <c r="AA21" i="1" s="1"/>
  <c r="Z25" i="1"/>
  <c r="AA20" i="1" s="1"/>
  <c r="M18" i="2" l="1"/>
  <c r="M17" i="2"/>
  <c r="AA22" i="1"/>
  <c r="H319" i="7"/>
  <c r="E319" i="7"/>
  <c r="F319" i="7" s="1"/>
  <c r="G319" i="7" s="1"/>
  <c r="J319" i="7" l="1"/>
  <c r="I319" i="7"/>
  <c r="C320" i="7" l="1"/>
  <c r="E320" i="7" l="1"/>
  <c r="F320" i="7" s="1"/>
  <c r="G320" i="7" s="1"/>
  <c r="H320" i="7"/>
  <c r="J320" i="7" l="1"/>
  <c r="I320" i="7"/>
  <c r="C321" i="7" l="1"/>
  <c r="E321" i="7" l="1"/>
  <c r="F321" i="7" s="1"/>
  <c r="G321" i="7" s="1"/>
  <c r="H321" i="7"/>
  <c r="J321" i="7" l="1"/>
  <c r="I321" i="7"/>
  <c r="C322" i="7" l="1"/>
  <c r="H322" i="7" l="1"/>
  <c r="E322" i="7"/>
  <c r="F322" i="7" s="1"/>
  <c r="G322" i="7" s="1"/>
  <c r="I322" i="7" l="1"/>
  <c r="J322" i="7"/>
  <c r="C323" i="7" l="1"/>
  <c r="E323" i="7" l="1"/>
  <c r="F323" i="7" s="1"/>
  <c r="H323" i="7"/>
  <c r="J323" i="7" s="1"/>
  <c r="G323" i="7" l="1"/>
  <c r="I323" i="7" s="1"/>
  <c r="C324" i="7" s="1"/>
  <c r="H324" i="7" s="1"/>
  <c r="J324" i="7" s="1"/>
  <c r="E324" i="7" l="1"/>
  <c r="F324" i="7" s="1"/>
  <c r="G324" i="7" s="1"/>
  <c r="I324" i="7" s="1"/>
  <c r="C325" i="7" s="1"/>
  <c r="H325" i="7" s="1"/>
  <c r="J325" i="7" s="1"/>
  <c r="E325" i="7" l="1"/>
  <c r="F325" i="7" s="1"/>
  <c r="G325" i="7" s="1"/>
  <c r="I325" i="7" s="1"/>
  <c r="C326" i="7" s="1"/>
  <c r="H326" i="7" s="1"/>
  <c r="J326" i="7" s="1"/>
  <c r="E326" i="7" l="1"/>
  <c r="F326" i="7" s="1"/>
  <c r="G326" i="7" s="1"/>
  <c r="I326" i="7" s="1"/>
  <c r="C327" i="7" s="1"/>
  <c r="E327" i="7" s="1"/>
  <c r="F327" i="7" s="1"/>
  <c r="H327" i="7" l="1"/>
  <c r="J327" i="7" s="1"/>
  <c r="G327" i="7" l="1"/>
  <c r="I327" i="7" s="1"/>
  <c r="C328" i="7" s="1"/>
  <c r="H328" i="7" l="1"/>
  <c r="J328" i="7" s="1"/>
  <c r="E328" i="7"/>
  <c r="F328" i="7" s="1"/>
  <c r="G328" i="7" s="1"/>
  <c r="I328" i="7" s="1"/>
  <c r="C329" i="7" s="1"/>
  <c r="E329" i="7" s="1"/>
  <c r="F329" i="7" s="1"/>
  <c r="H329" i="7" l="1"/>
  <c r="J329" i="7" l="1"/>
  <c r="S9" i="7"/>
  <c r="AA4" i="1" s="1"/>
  <c r="G329" i="7"/>
  <c r="T9" i="7" l="1"/>
  <c r="AA13" i="1" s="1"/>
  <c r="I329" i="7"/>
  <c r="AA11" i="1"/>
  <c r="AA16" i="1" s="1"/>
  <c r="AA15" i="1"/>
  <c r="N16" i="2" s="1"/>
  <c r="AA33" i="1" l="1"/>
  <c r="AA35" i="1" s="1"/>
  <c r="AA19" i="1" s="1"/>
  <c r="C330" i="7"/>
  <c r="E330" i="7" l="1"/>
  <c r="H330" i="7"/>
  <c r="J330" i="7" s="1"/>
  <c r="AA24" i="1"/>
  <c r="AB28" i="1" s="1"/>
  <c r="AB29" i="1" s="1"/>
  <c r="AB21" i="1" s="1"/>
  <c r="AA23" i="1"/>
  <c r="AA25" i="1" l="1"/>
  <c r="AB20" i="1" s="1"/>
  <c r="AB22" i="1" s="1"/>
  <c r="F330" i="7"/>
  <c r="G330" i="7" s="1"/>
  <c r="I330" i="7" s="1"/>
  <c r="C331" i="7" s="1"/>
  <c r="AA30" i="1"/>
  <c r="AA31" i="1" s="1"/>
  <c r="AA32" i="1" s="1"/>
  <c r="AA36" i="1" s="1"/>
  <c r="N15" i="2" s="1"/>
  <c r="E331" i="7" l="1"/>
  <c r="F331" i="7" s="1"/>
  <c r="H331" i="7"/>
  <c r="N18" i="2"/>
  <c r="N17" i="2"/>
  <c r="J331" i="7"/>
  <c r="G331" i="7" l="1"/>
  <c r="I331" i="7"/>
  <c r="C332" i="7" s="1"/>
  <c r="E332" i="7" l="1"/>
  <c r="H332" i="7"/>
  <c r="J332" i="7" l="1"/>
  <c r="F332" i="7"/>
  <c r="G332" i="7" s="1"/>
  <c r="I332" i="7" s="1"/>
  <c r="C333" i="7" l="1"/>
  <c r="H333" i="7" l="1"/>
  <c r="E333" i="7"/>
  <c r="F333" i="7" s="1"/>
  <c r="G333" i="7" s="1"/>
  <c r="I333" i="7" l="1"/>
  <c r="J333" i="7"/>
  <c r="C334" i="7" l="1"/>
  <c r="E334" i="7" l="1"/>
  <c r="F334" i="7" s="1"/>
  <c r="H334" i="7"/>
  <c r="G334" i="7" l="1"/>
  <c r="I334" i="7" s="1"/>
  <c r="C335" i="7" s="1"/>
  <c r="J334" i="7"/>
  <c r="E335" i="7" l="1"/>
  <c r="F335" i="7" s="1"/>
  <c r="G335" i="7" s="1"/>
  <c r="I335" i="7" s="1"/>
  <c r="C336" i="7" s="1"/>
  <c r="H335" i="7"/>
  <c r="J335" i="7" s="1"/>
  <c r="H336" i="7" l="1"/>
  <c r="J336" i="7" s="1"/>
  <c r="E336" i="7"/>
  <c r="F336" i="7" s="1"/>
  <c r="G336" i="7" s="1"/>
  <c r="I336" i="7" s="1"/>
  <c r="C337" i="7" s="1"/>
  <c r="E337" i="7" l="1"/>
  <c r="F337" i="7" s="1"/>
  <c r="G337" i="7" s="1"/>
  <c r="I337" i="7" s="1"/>
  <c r="C338" i="7" s="1"/>
  <c r="H337" i="7"/>
  <c r="J337" i="7" s="1"/>
  <c r="E338" i="7" l="1"/>
  <c r="H338" i="7"/>
  <c r="J338" i="7" s="1"/>
  <c r="F338" i="7" l="1"/>
  <c r="G338" i="7" s="1"/>
  <c r="I338" i="7" s="1"/>
  <c r="C339" i="7" s="1"/>
  <c r="H339" i="7" l="1"/>
  <c r="J339" i="7" s="1"/>
  <c r="E339" i="7"/>
  <c r="F339" i="7" s="1"/>
  <c r="G339" i="7" s="1"/>
  <c r="I339" i="7" s="1"/>
  <c r="C340" i="7" s="1"/>
  <c r="H340" i="7" l="1"/>
  <c r="J340" i="7" s="1"/>
  <c r="E340" i="7"/>
  <c r="F340" i="7" s="1"/>
  <c r="G340" i="7" s="1"/>
  <c r="I340" i="7" s="1"/>
  <c r="C341" i="7" s="1"/>
  <c r="E341" i="7" l="1"/>
  <c r="F341" i="7" s="1"/>
  <c r="H341" i="7"/>
  <c r="G341" i="7" l="1"/>
  <c r="J341" i="7"/>
  <c r="S10" i="7"/>
  <c r="AB4" i="1" s="1"/>
  <c r="I341" i="7"/>
  <c r="T10" i="7"/>
  <c r="AB13" i="1" s="1"/>
  <c r="C342" i="7" l="1"/>
  <c r="AB33" i="1"/>
  <c r="AB35" i="1" s="1"/>
  <c r="AB11" i="1"/>
  <c r="AB16" i="1" s="1"/>
  <c r="AB15" i="1"/>
  <c r="O16" i="2" s="1"/>
  <c r="AB19" i="1" l="1"/>
  <c r="E342" i="7"/>
  <c r="H342" i="7"/>
  <c r="J342" i="7" l="1"/>
  <c r="AB23" i="1"/>
  <c r="AB24" i="1"/>
  <c r="F342" i="7"/>
  <c r="G342" i="7" s="1"/>
  <c r="I342" i="7" s="1"/>
  <c r="C343" i="7" l="1"/>
  <c r="AB25" i="1"/>
  <c r="AC20" i="1" s="1"/>
  <c r="AB30" i="1"/>
  <c r="AB31" i="1" s="1"/>
  <c r="AB32" i="1" s="1"/>
  <c r="AB36" i="1" s="1"/>
  <c r="O15" i="2" s="1"/>
  <c r="AC28" i="1"/>
  <c r="AC29" i="1" s="1"/>
  <c r="AC21" i="1" s="1"/>
  <c r="AC22" i="1" s="1"/>
  <c r="O18" i="2" l="1"/>
  <c r="O17" i="2"/>
  <c r="E343" i="7"/>
  <c r="F343" i="7" s="1"/>
  <c r="H343" i="7"/>
  <c r="G343" i="7" l="1"/>
  <c r="I343" i="7"/>
  <c r="J343" i="7"/>
  <c r="C344" i="7" l="1"/>
  <c r="H344" i="7" l="1"/>
  <c r="E344" i="7"/>
  <c r="F344" i="7" s="1"/>
  <c r="G344" i="7" s="1"/>
  <c r="I344" i="7" l="1"/>
  <c r="J344" i="7"/>
  <c r="C345" i="7" l="1"/>
  <c r="E345" i="7" l="1"/>
  <c r="F345" i="7" s="1"/>
  <c r="H345" i="7"/>
  <c r="G345" i="7" l="1"/>
  <c r="J345" i="7"/>
  <c r="I345" i="7"/>
  <c r="C346" i="7" l="1"/>
  <c r="H346" i="7" l="1"/>
  <c r="E346" i="7"/>
  <c r="F346" i="7" s="1"/>
  <c r="G346" i="7" s="1"/>
  <c r="I346" i="7" s="1"/>
  <c r="C347" i="7" l="1"/>
  <c r="J346" i="7"/>
  <c r="E347" i="7" l="1"/>
  <c r="F347" i="7" s="1"/>
  <c r="G347" i="7" s="1"/>
  <c r="I347" i="7" s="1"/>
  <c r="C348" i="7" s="1"/>
  <c r="H347" i="7"/>
  <c r="J347" i="7" s="1"/>
  <c r="H348" i="7" l="1"/>
  <c r="J348" i="7" s="1"/>
  <c r="E348" i="7"/>
  <c r="F348" i="7" s="1"/>
  <c r="G348" i="7" s="1"/>
  <c r="I348" i="7" s="1"/>
  <c r="C349" i="7" s="1"/>
  <c r="H349" i="7" l="1"/>
  <c r="J349" i="7" s="1"/>
  <c r="E349" i="7"/>
  <c r="F349" i="7" l="1"/>
  <c r="G349" i="7" s="1"/>
  <c r="I349" i="7" s="1"/>
  <c r="C350" i="7" s="1"/>
  <c r="H350" i="7" l="1"/>
  <c r="J350" i="7" s="1"/>
  <c r="E350" i="7"/>
  <c r="F350" i="7" s="1"/>
  <c r="G350" i="7" s="1"/>
  <c r="I350" i="7" s="1"/>
  <c r="C351" i="7" s="1"/>
  <c r="H351" i="7" l="1"/>
  <c r="J351" i="7" s="1"/>
  <c r="E351" i="7"/>
  <c r="F351" i="7" s="1"/>
  <c r="G351" i="7" s="1"/>
  <c r="I351" i="7" s="1"/>
  <c r="C352" i="7" s="1"/>
  <c r="E352" i="7" l="1"/>
  <c r="F352" i="7" s="1"/>
  <c r="G352" i="7" s="1"/>
  <c r="I352" i="7" s="1"/>
  <c r="C353" i="7" s="1"/>
  <c r="H352" i="7"/>
  <c r="J352" i="7" s="1"/>
  <c r="E353" i="7" l="1"/>
  <c r="F353" i="7" s="1"/>
  <c r="G353" i="7" s="1"/>
  <c r="H353" i="7"/>
  <c r="J353" i="7" l="1"/>
  <c r="S11" i="7"/>
  <c r="AC4" i="1" s="1"/>
  <c r="I353" i="7"/>
  <c r="T11" i="7"/>
  <c r="AC13" i="1" s="1"/>
  <c r="C354" i="7" l="1"/>
  <c r="AC33" i="1"/>
  <c r="AC35" i="1" s="1"/>
  <c r="AC11" i="1"/>
  <c r="AC16" i="1" s="1"/>
  <c r="AC15" i="1"/>
  <c r="P16" i="2" s="1"/>
  <c r="AC19" i="1" l="1"/>
  <c r="H354" i="7"/>
  <c r="E354" i="7"/>
  <c r="F354" i="7" s="1"/>
  <c r="G354" i="7" s="1"/>
  <c r="J354" i="7" l="1"/>
  <c r="I354" i="7"/>
  <c r="AC23" i="1"/>
  <c r="AC24" i="1"/>
  <c r="AC25" i="1" l="1"/>
  <c r="AD20" i="1" s="1"/>
  <c r="C355" i="7"/>
  <c r="AC30" i="1"/>
  <c r="AC31" i="1" s="1"/>
  <c r="AC32" i="1" s="1"/>
  <c r="AC36" i="1" s="1"/>
  <c r="P15" i="2" s="1"/>
  <c r="AD28" i="1"/>
  <c r="AD29" i="1" s="1"/>
  <c r="AD21" i="1" s="1"/>
  <c r="H355" i="7" l="1"/>
  <c r="E355" i="7"/>
  <c r="F355" i="7" s="1"/>
  <c r="G355" i="7" s="1"/>
  <c r="P17" i="2"/>
  <c r="P18" i="2"/>
  <c r="AD22" i="1"/>
  <c r="I355" i="7" l="1"/>
  <c r="J355" i="7"/>
  <c r="C356" i="7" l="1"/>
  <c r="E356" i="7" l="1"/>
  <c r="F356" i="7" s="1"/>
  <c r="H356" i="7"/>
  <c r="G356" i="7" l="1"/>
  <c r="J356" i="7"/>
  <c r="I356" i="7"/>
  <c r="C357" i="7" l="1"/>
  <c r="H357" i="7" l="1"/>
  <c r="E357" i="7"/>
  <c r="F357" i="7" s="1"/>
  <c r="G357" i="7" s="1"/>
  <c r="I357" i="7" l="1"/>
  <c r="J357" i="7"/>
  <c r="C358" i="7" l="1"/>
  <c r="H358" i="7" l="1"/>
  <c r="E358" i="7"/>
  <c r="F358" i="7" s="1"/>
  <c r="G358" i="7" s="1"/>
  <c r="I358" i="7" l="1"/>
  <c r="J358" i="7"/>
  <c r="C359" i="7" l="1"/>
  <c r="H359" i="7" l="1"/>
  <c r="J359" i="7" s="1"/>
  <c r="E359" i="7"/>
  <c r="F359" i="7" s="1"/>
  <c r="G359" i="7" s="1"/>
  <c r="I359" i="7" s="1"/>
  <c r="C360" i="7" s="1"/>
  <c r="H360" i="7" l="1"/>
  <c r="J360" i="7" s="1"/>
  <c r="E360" i="7"/>
  <c r="F360" i="7" s="1"/>
  <c r="G360" i="7" s="1"/>
  <c r="I360" i="7" s="1"/>
  <c r="C361" i="7" s="1"/>
  <c r="H361" i="7" l="1"/>
  <c r="J361" i="7" s="1"/>
  <c r="E361" i="7"/>
  <c r="F361" i="7" s="1"/>
  <c r="G361" i="7" l="1"/>
  <c r="I361" i="7" s="1"/>
  <c r="C362" i="7" s="1"/>
  <c r="H362" i="7" s="1"/>
  <c r="J362" i="7" s="1"/>
  <c r="E362" i="7" l="1"/>
  <c r="F362" i="7" s="1"/>
  <c r="G362" i="7" s="1"/>
  <c r="I362" i="7" s="1"/>
  <c r="C363" i="7" s="1"/>
  <c r="E363" i="7" l="1"/>
  <c r="F363" i="7" s="1"/>
  <c r="H363" i="7"/>
  <c r="J363" i="7" s="1"/>
  <c r="G363" i="7" l="1"/>
  <c r="I363" i="7" s="1"/>
  <c r="C364" i="7" s="1"/>
  <c r="E364" i="7" s="1"/>
  <c r="F364" i="7" s="1"/>
  <c r="H364" i="7" l="1"/>
  <c r="J364" i="7" s="1"/>
  <c r="G364" i="7" l="1"/>
  <c r="I364" i="7" s="1"/>
  <c r="C365" i="7" s="1"/>
  <c r="E365" i="7" l="1"/>
  <c r="F365" i="7" s="1"/>
  <c r="H365" i="7"/>
  <c r="J365" i="7" l="1"/>
  <c r="S12" i="7"/>
  <c r="AD4" i="1" s="1"/>
  <c r="G365" i="7"/>
  <c r="T12" i="7" l="1"/>
  <c r="AD13" i="1" s="1"/>
  <c r="I365" i="7"/>
  <c r="AD15" i="1"/>
  <c r="Q16" i="2" s="1"/>
  <c r="AD11" i="1"/>
  <c r="AD16" i="1" s="1"/>
  <c r="C366" i="7" l="1"/>
  <c r="AD33" i="1"/>
  <c r="AD35" i="1" s="1"/>
  <c r="AD19" i="1" s="1"/>
  <c r="AD24" i="1" l="1"/>
  <c r="AE28" i="1" s="1"/>
  <c r="AE29" i="1" s="1"/>
  <c r="AE21" i="1" s="1"/>
  <c r="AD23" i="1"/>
  <c r="H366" i="7"/>
  <c r="J366" i="7" s="1"/>
  <c r="E366" i="7"/>
  <c r="F366" i="7" s="1"/>
  <c r="G366" i="7" s="1"/>
  <c r="I366" i="7" s="1"/>
  <c r="C367" i="7" s="1"/>
  <c r="AD25" i="1" l="1"/>
  <c r="AE20" i="1" s="1"/>
  <c r="AE22" i="1" s="1"/>
  <c r="AD30" i="1"/>
  <c r="AD31" i="1" s="1"/>
  <c r="AD32" i="1" s="1"/>
  <c r="AD36" i="1" s="1"/>
  <c r="Q15" i="2" s="1"/>
  <c r="E367" i="7"/>
  <c r="F367" i="7" s="1"/>
  <c r="G367" i="7" s="1"/>
  <c r="H367" i="7"/>
  <c r="Q17" i="2" l="1"/>
  <c r="Q18" i="2"/>
  <c r="J367" i="7"/>
  <c r="I367" i="7"/>
  <c r="C368" i="7" l="1"/>
  <c r="H368" i="7" l="1"/>
  <c r="E368" i="7"/>
  <c r="F368" i="7" s="1"/>
  <c r="G368" i="7" s="1"/>
  <c r="I368" i="7" l="1"/>
  <c r="J368" i="7"/>
  <c r="C369" i="7" l="1"/>
  <c r="H369" i="7" l="1"/>
  <c r="E369" i="7"/>
  <c r="F369" i="7" s="1"/>
  <c r="G369" i="7" s="1"/>
  <c r="I369" i="7" l="1"/>
  <c r="J369" i="7"/>
  <c r="C370" i="7" l="1"/>
  <c r="H370" i="7" l="1"/>
  <c r="E370" i="7"/>
  <c r="F370" i="7" l="1"/>
  <c r="G370" i="7" s="1"/>
  <c r="I370" i="7" s="1"/>
  <c r="J370" i="7"/>
  <c r="C371" i="7" l="1"/>
  <c r="E371" i="7" l="1"/>
  <c r="F371" i="7" s="1"/>
  <c r="G371" i="7" s="1"/>
  <c r="I371" i="7" s="1"/>
  <c r="C372" i="7" s="1"/>
  <c r="H371" i="7"/>
  <c r="J371" i="7" s="1"/>
  <c r="H372" i="7" l="1"/>
  <c r="E372" i="7"/>
  <c r="F372" i="7" l="1"/>
  <c r="G372" i="7" s="1"/>
  <c r="I372" i="7" s="1"/>
  <c r="C373" i="7" s="1"/>
  <c r="J372" i="7"/>
  <c r="H373" i="7" l="1"/>
  <c r="E373" i="7"/>
  <c r="F373" i="7" l="1"/>
  <c r="G373" i="7" s="1"/>
  <c r="I373" i="7" s="1"/>
  <c r="C374" i="7" s="1"/>
  <c r="J373" i="7"/>
  <c r="E374" i="7" l="1"/>
  <c r="H374" i="7"/>
  <c r="J374" i="7" l="1"/>
  <c r="F374" i="7"/>
  <c r="G374" i="7" s="1"/>
  <c r="I374" i="7" s="1"/>
  <c r="C375" i="7" s="1"/>
  <c r="H375" i="7" l="1"/>
  <c r="J375" i="7" s="1"/>
  <c r="E375" i="7"/>
  <c r="F375" i="7" s="1"/>
  <c r="G375" i="7" s="1"/>
  <c r="I375" i="7" s="1"/>
  <c r="C376" i="7" s="1"/>
  <c r="H376" i="7" l="1"/>
  <c r="J376" i="7" s="1"/>
  <c r="E376" i="7"/>
  <c r="F376" i="7" s="1"/>
  <c r="G376" i="7" s="1"/>
  <c r="I376" i="7" s="1"/>
  <c r="C377" i="7" s="1"/>
  <c r="E377" i="7" l="1"/>
  <c r="H377" i="7"/>
  <c r="J377" i="7" l="1"/>
  <c r="S13" i="7"/>
  <c r="AE4" i="1" s="1"/>
  <c r="H9" i="7"/>
  <c r="F377" i="7"/>
  <c r="G377" i="7" s="1"/>
  <c r="H8" i="7"/>
  <c r="D14" i="2" s="1"/>
  <c r="I377" i="7" l="1"/>
  <c r="T13" i="7"/>
  <c r="AE13" i="1" s="1"/>
  <c r="AE11" i="1"/>
  <c r="AE16" i="1" s="1"/>
  <c r="AE15" i="1"/>
  <c r="R16" i="2" s="1"/>
  <c r="H7" i="7" l="1"/>
  <c r="D13" i="2" s="1"/>
  <c r="AE33" i="1"/>
  <c r="AE35" i="1" s="1"/>
  <c r="AE19" i="1" s="1"/>
  <c r="AE23" i="1" l="1"/>
  <c r="AE24" i="1"/>
  <c r="AE30" i="1" s="1"/>
  <c r="AE31" i="1" s="1"/>
  <c r="AE32" i="1" s="1"/>
  <c r="AE36" i="1" s="1"/>
  <c r="R15" i="2" s="1"/>
  <c r="R17" i="2" l="1"/>
  <c r="S17" i="2" s="1"/>
  <c r="R18" i="2"/>
  <c r="AE25" i="1"/>
</calcChain>
</file>

<file path=xl/comments1.xml><?xml version="1.0" encoding="utf-8"?>
<comments xmlns="http://schemas.openxmlformats.org/spreadsheetml/2006/main">
  <authors>
    <author>Nick Sundstrom</author>
  </authors>
  <commentList>
    <comment ref="D3" authorId="0">
      <text>
        <r>
          <rPr>
            <sz val="8"/>
            <color indexed="81"/>
            <rFont val="Tahoma"/>
            <family val="2"/>
          </rPr>
          <t xml:space="preserve">Used to calculate depecriation. Equals   Purchase price - Land Value + CapEx.  Closing costs are calculated in automatically
</t>
        </r>
      </text>
    </comment>
    <comment ref="D24" authorId="0">
      <text>
        <r>
          <rPr>
            <b/>
            <sz val="8"/>
            <color indexed="81"/>
            <rFont val="Tahoma"/>
            <family val="2"/>
          </rPr>
          <t>Nick Sundstrom:</t>
        </r>
        <r>
          <rPr>
            <sz val="8"/>
            <color indexed="81"/>
            <rFont val="Tahoma"/>
            <family val="2"/>
          </rPr>
          <t xml:space="preserve">
Deductible expenses, repairs, etc.</t>
        </r>
      </text>
    </comment>
    <comment ref="D26" authorId="0">
      <text>
        <r>
          <rPr>
            <b/>
            <sz val="8"/>
            <color indexed="81"/>
            <rFont val="Tahoma"/>
            <family val="2"/>
          </rPr>
          <t>Simple Straightline over 27.5 years.  Assumes zero capital expenditures and a $0 salvage value</t>
        </r>
      </text>
    </comment>
  </commentList>
</comments>
</file>

<file path=xl/sharedStrings.xml><?xml version="1.0" encoding="utf-8"?>
<sst xmlns="http://schemas.openxmlformats.org/spreadsheetml/2006/main" count="152" uniqueCount="132">
  <si>
    <t>Debt Ratio</t>
  </si>
  <si>
    <t>Average Basis</t>
  </si>
  <si>
    <t>Average Debt</t>
  </si>
  <si>
    <t>Cash Gain/Loss:</t>
  </si>
  <si>
    <t>Principal Payments:</t>
  </si>
  <si>
    <t>Rental Income:</t>
  </si>
  <si>
    <t>Total Deductible Expenses:</t>
  </si>
  <si>
    <t>Depreciation</t>
  </si>
  <si>
    <t>Expenses/Repairs:</t>
  </si>
  <si>
    <t>Property Mgmt</t>
  </si>
  <si>
    <t>Insurance Paid:</t>
  </si>
  <si>
    <t>HOA Fees Paid:</t>
  </si>
  <si>
    <t>Taxes Paid:</t>
  </si>
  <si>
    <t>Interest Paid:</t>
  </si>
  <si>
    <t>Rental Property Info</t>
  </si>
  <si>
    <t>Trust and Estate Rates</t>
  </si>
  <si>
    <t>Investment Property Info</t>
  </si>
  <si>
    <t>Purchase Price:</t>
  </si>
  <si>
    <t>Down Payment:</t>
  </si>
  <si>
    <t>Loan Amount:</t>
  </si>
  <si>
    <t>Loan to Value:</t>
  </si>
  <si>
    <t>Fixed</t>
  </si>
  <si>
    <t>Rate:</t>
  </si>
  <si>
    <t>Annual Tax:</t>
  </si>
  <si>
    <t>Annual Tax Increase:</t>
  </si>
  <si>
    <t>Annual Insurance:</t>
  </si>
  <si>
    <t>Annual Ins Increase:</t>
  </si>
  <si>
    <t>Annual HOA:</t>
  </si>
  <si>
    <t>Annual HOA Increase:</t>
  </si>
  <si>
    <t>Annual Depreciation:</t>
  </si>
  <si>
    <t>Monthly Rental Income:</t>
  </si>
  <si>
    <t>Annual Rent Increase:</t>
  </si>
  <si>
    <t>Year 1</t>
  </si>
  <si>
    <t>Year 2</t>
  </si>
  <si>
    <t>Year 3</t>
  </si>
  <si>
    <t xml:space="preserve">Year 4 </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</si>
  <si>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</si>
  <si>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</si>
  <si>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</si>
  <si>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</si>
  <si>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</si>
  <si>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</si>
  <si>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</si>
  <si>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</si>
  <si>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</si>
  <si>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</si>
  <si>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</si>
  <si>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</si>
  <si>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</si>
  <si>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</si>
  <si>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</si>
  <si>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</si>
  <si>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</si>
  <si>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</si>
  <si>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</si>
  <si>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</si>
  <si>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</si>
  <si>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Enter values</t>
  </si>
  <si>
    <t>Interest</t>
  </si>
  <si>
    <t>Principal</t>
  </si>
  <si>
    <t>Loan amount</t>
  </si>
  <si>
    <t>Annual interest rate</t>
  </si>
  <si>
    <t>Loan period in years</t>
  </si>
  <si>
    <t>Start date of loan</t>
  </si>
  <si>
    <t>Total interest</t>
  </si>
  <si>
    <t>Payment Date</t>
  </si>
  <si>
    <t>Beginning Balance</t>
  </si>
  <si>
    <t>Ending Balance</t>
  </si>
  <si>
    <t>Year 26</t>
  </si>
  <si>
    <t>Year 27</t>
  </si>
  <si>
    <t>Year 28</t>
  </si>
  <si>
    <t>Year 29</t>
  </si>
  <si>
    <t>Year 30</t>
  </si>
  <si>
    <t>Amortization Schedule</t>
  </si>
  <si>
    <t>Amortization Schedule:</t>
  </si>
  <si>
    <t>Loan Type:</t>
  </si>
  <si>
    <t>Taxable Gain/Loss:</t>
  </si>
  <si>
    <t>Unrelated Business Income Tax Owed:</t>
  </si>
  <si>
    <t>Property Mgmt Rate:</t>
  </si>
  <si>
    <t>UBIT Owed:</t>
  </si>
  <si>
    <t>Dwelling Value</t>
  </si>
  <si>
    <t>Effective Tax Rate:</t>
  </si>
  <si>
    <t>Total Income</t>
  </si>
  <si>
    <t>Years 1-10</t>
  </si>
  <si>
    <t>Years 11-20</t>
  </si>
  <si>
    <t>Years 21-30</t>
  </si>
  <si>
    <t>Mortgage Closing Costs:</t>
  </si>
  <si>
    <t>UBIT</t>
  </si>
  <si>
    <t>Annual Misc Exps:</t>
  </si>
  <si>
    <t>Annual Misc Exps Increase:</t>
  </si>
  <si>
    <t>Calculator does not factor in vacancy</t>
  </si>
  <si>
    <t>Closing Costs - Expense*:</t>
  </si>
  <si>
    <t>Closing Costs - Add to Basis*:</t>
  </si>
  <si>
    <t>See here for closing cost breakdown</t>
  </si>
  <si>
    <t>Operating Income:</t>
  </si>
  <si>
    <t>Income Net of Tax:</t>
  </si>
  <si>
    <t>Year</t>
  </si>
  <si>
    <t>Net Income</t>
  </si>
  <si>
    <t>Taxable Income</t>
  </si>
  <si>
    <t>Less NOL Loss</t>
  </si>
  <si>
    <t>Remaining NOL</t>
  </si>
  <si>
    <t>Add: Losses</t>
  </si>
  <si>
    <t>Less: NOL Used</t>
  </si>
  <si>
    <t>Gross Unrelated Debt Financed Income</t>
  </si>
  <si>
    <t>Adjusted Gross UDFI</t>
  </si>
  <si>
    <t>NOL Carryforward Balance</t>
  </si>
  <si>
    <t>CarryForward years</t>
  </si>
  <si>
    <t>Switch</t>
  </si>
  <si>
    <t>NOL Lost without Used</t>
  </si>
  <si>
    <t>Sum of Amount Used</t>
  </si>
  <si>
    <t>Amount Lost</t>
  </si>
  <si>
    <t>Year:</t>
  </si>
  <si>
    <t>Income Subject to UBIT After Deduction</t>
  </si>
  <si>
    <t>Cumulative Interest</t>
  </si>
  <si>
    <t>Total Payment</t>
  </si>
  <si>
    <t>Extra Payment</t>
  </si>
  <si>
    <t>Scheduled Payment</t>
  </si>
  <si>
    <t>PmtNo.</t>
  </si>
  <si>
    <t>Lender name:</t>
  </si>
  <si>
    <t>Optional extra payments</t>
  </si>
  <si>
    <t>Total early payments</t>
  </si>
  <si>
    <t>Number of payments per year</t>
  </si>
  <si>
    <t>Actual number of payments</t>
  </si>
  <si>
    <t>Scheduled number of payments</t>
  </si>
  <si>
    <t>Scheduled payment</t>
  </si>
  <si>
    <t>Loan summary</t>
  </si>
  <si>
    <t>Loan Amortization Schedule</t>
  </si>
  <si>
    <t xml:space="preserve">Interest </t>
  </si>
  <si>
    <t>Monthly P&amp;I Payment:</t>
  </si>
  <si>
    <t>Monthly Extra Payment</t>
  </si>
  <si>
    <t>Decrease in No. of PMTs</t>
  </si>
  <si>
    <t>Total Early PMTs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</si>
</sst>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_(&quot;$&quot;* #,##0_);_(&quot;$&quot;* \(#,##0\);_(&quot;$&quot;* &quot;-&quot;??_);_(@_)"/>
    <numFmt numFmtId="166" formatCode="0_);[Red]\(0\)"/>
    <numFmt numFmtId="167" formatCode="0_)"/>
    <numFmt numFmtId="168" formatCode="0.00?%_)"/>
  </numFmts>
  <fonts count="28"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u/>
      <sz val="11"/>
      <color theme="1"/>
      <name val="Calibri"/>
      <family val="2"/>
      <scheme val="minor"/>
    </font>
    <font>
      <i/>
      <sz val="11"/>
      <color theme="1"/>
      <name val="Calibri"/>
      <family val="2"/>
      <scheme val="minor"/>
    </font>
    <font>
      <sz val="10"/>
      <name val="Arial"/>
      <family val="2"/>
    </font>
    <font>
      <sz val="10"/>
      <name val="Tahoma"/>
      <family val="2"/>
    </font>
    <font>
      <sz val="11"/>
      <name val="Aharoni"/>
      <charset val="177"/>
    </font>
    <font>
      <b/>
      <sz val="11"/>
      <color rgb="FF00B050"/>
      <name val="Calibri"/>
      <family val="2"/>
      <scheme val="minor"/>
    </font>
    <font>
      <sz val="11"/>
      <color theme="1"/>
      <name val="Aharoni"/>
      <charset val="177"/>
    </font>
    <font>
      <b/>
      <sz val="11"/>
      <color theme="1"/>
      <name val="Aharoni"/>
      <charset val="177"/>
    </font>
    <font>
      <b/>
      <sz val="8"/>
      <color indexed="81"/>
      <name val="Tahoma"/>
      <family val="2"/>
    </font>
    <font>
      <sz val="8"/>
      <color indexed="81"/>
      <name val="Tahoma"/>
      <family val="2"/>
    </font>
    <font>
      <b/>
      <u/>
      <sz val="11"/>
      <color theme="1"/>
      <name val="Aharoni"/>
      <charset val="177"/>
    </font>
    <font>
      <sz val="10"/>
      <color theme="1"/>
      <name val="Aharoni"/>
      <charset val="177"/>
    </font>
    <font>
      <sz val="9"/>
      <color theme="1"/>
      <name val="Aharoni"/>
      <charset val="177"/>
    </font>
    <font>
      <u/>
      <sz val="11"/>
      <color theme="10"/>
      <name val="Calibri"/>
      <family val="2"/>
      <scheme val="minor"/>
    </font>
    <font>
      <sz val="10"/>
      <name val="Arial"/>
      <family val="2"/>
    </font>
    <font>
      <sz val="10"/>
      <color indexed="23"/>
      <name val="Arial"/>
      <family val="2"/>
    </font>
    <font>
      <b/>
      <sz val="10"/>
      <name val="Arial"/>
      <family val="2"/>
    </font>
    <font>
      <b/>
      <sz val="10"/>
      <name val="Century Gothic"/>
      <family val="2"/>
    </font>
    <font>
      <sz val="10"/>
      <name val="Century Gothic"/>
      <family val="2"/>
    </font>
    <font>
      <sz val="9"/>
      <name val="Century Gothic"/>
      <family val="2"/>
    </font>
    <font>
      <b/>
      <sz val="18"/>
      <name val="Century Gothic"/>
      <family val="2"/>
    </font>
    <font>
      <u/>
      <sz val="10"/>
      <name val="Century Gothic"/>
      <family val="2"/>
    </font>
    <font>
      <u/>
      <sz val="10"/>
      <name val="Arial"/>
      <family val="2"/>
    </font>
  </fonts>
  <fills count="11">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9">
    <border>
      <left/>
      <right/>
      <top/>
      <bottom/>
      <diagonal/>
    </border>
    <border>
      <left style="medium">
        <color indexed="64"/>
      </left>
      <right/>
      <top style="medium">
        <color indexed="64"/>
      </top>
      <bottom/>
      <diagonal/>
    </border>
    <border>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right/>
      <top style="medium">
        <color indexed="64"/>
      </top>
      <bottom/>
      <diagonal/>
    </border>
    <border>
      <left/>
      <right/>
      <top/>
      <bottom style="hair">
        <color indexed="16"/>
      </bottom>
      <diagonal/>
    </border>
    <border>
      <left/>
      <right/>
      <top style="hair">
        <color indexed="16"/>
      </top>
      <bottom/>
      <diagonal/>
    </border>
    <border>
      <left/>
      <right style="hair">
        <color indexed="16"/>
      </right>
      <top style="hair">
        <color indexed="16"/>
      </top>
      <bottom/>
      <diagonal/>
    </border>
    <border>
      <left style="hair">
        <color indexed="16"/>
      </left>
      <right/>
      <top style="hair">
        <color indexed="16"/>
      </top>
      <bottom/>
      <diagonal/>
    </border>
    <border>
      <left style="hair">
        <color indexed="16"/>
      </left>
      <right style="hair">
        <color indexed="16"/>
      </right>
      <top style="hair">
        <color indexed="16"/>
      </top>
      <bottom style="hair">
        <color indexed="16"/>
      </bottom>
      <diagonal/>
    </border>
    <border>
      <left style="hair">
        <color indexed="16"/>
      </left>
      <right/>
      <top/>
      <bottom style="hair">
        <color indexed="16"/>
      </bottom>
      <diagonal/>
    </border>
    <border>
      <left style="hair">
        <color indexed="16"/>
      </left>
      <right style="hair">
        <color indexed="16"/>
      </right>
      <top/>
      <bottom style="hair">
        <color indexed="16"/>
      </bottom>
      <diagonal/>
    </border>
    <border>
      <left style="hair">
        <color indexed="16"/>
      </left>
      <right/>
      <top/>
      <bottom/>
      <diagonal/>
    </border>
    <border>
      <left/>
      <right style="hair">
        <color indexed="16"/>
      </right>
      <top style="hair">
        <color indexed="16"/>
      </top>
      <bottom style="hair">
        <color indexed="16"/>
      </bottom>
      <diagonal/>
    </border>
    <border>
      <left/>
      <right/>
      <top style="hair">
        <color indexed="16"/>
      </top>
      <bottom style="hair">
        <color indexed="16"/>
      </bottom>
      <diagonal/>
    </border>
    <border>
      <left style="hair">
        <color indexed="16"/>
      </left>
      <right/>
      <top style="hair">
        <color indexed="16"/>
      </top>
      <bottom style="hair">
        <color indexed="16"/>
      </bottom>
      <diagonal/>
    </border>
  </borders>
  <cellStyleXfs count="11">
    <xf numFmtId="0" fontId="0" fillId="0" borderId="0"/>
    <xf numFmtId="44" fontId="1" fillId="0" borderId="0" applyFont="0" applyFill="0" applyBorder="0" applyAlignment="0" applyProtection="0"/>
    <xf numFmtId="9"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8" fillId="0" borderId="0"/>
    <xf numFmtId="9" fontId="7" fillId="0" borderId="0" applyFont="0" applyFill="0" applyBorder="0" applyAlignment="0" applyProtection="0"/>
    <xf numFmtId="0" fontId="18" fillId="0" borderId="0" applyNumberFormat="0" applyFill="0" applyBorder="0" applyAlignment="0" applyProtection="0"/>
    <xf numFmtId="0" fontId="19" fillId="0" borderId="0"/>
    <xf numFmtId="44" fontId="19" fillId="0" borderId="0" applyFont="0" applyFill="0" applyBorder="0" applyAlignment="0" applyProtection="0"/>
  </cellStyleXfs>
  <cellXfs count="247">
    <xf numFmtId="0" fontId="0" fillId="0" borderId="0" xfId="0"/>
    <xf numFmtId="0" fontId="2" fillId="0" borderId="0" xfId="0" applyFont="1" applyBorder="1" applyAlignment="1">
      <alignment horizontal="right"/>
    </xf>
    <xf numFmtId="0" fontId="2" fillId="0" borderId="0" xfId="0" applyFont="1" applyBorder="1"/>
    <xf numFmtId="9" fontId="0" fillId="0" borderId="0" xfId="2" applyFont="1" applyAlignment="1">
      <alignment horizontal="center"/>
    </xf>
    <xf numFmtId="44" fontId="0" fillId="0" borderId="0" xfId="0" applyNumberFormat="1" applyBorder="1"/>
    <xf numFmtId="10" fontId="0" fillId="0" borderId="0" xfId="2" applyNumberFormat="1" applyFont="1" applyBorder="1"/>
    <xf numFmtId="44" fontId="2" fillId="0" borderId="0" xfId="1" applyFont="1" applyBorder="1"/>
    <xf numFmtId="44" fontId="2" fillId="0" borderId="0" xfId="2" applyNumberFormat="1" applyFont="1" applyBorder="1"/>
    <xf numFmtId="44" fontId="2" fillId="0" borderId="0" xfId="0" applyNumberFormat="1" applyFont="1" applyBorder="1"/>
    <xf numFmtId="44" fontId="0" fillId="0" borderId="0" xfId="1" applyFont="1"/>
    <xf numFmtId="0" fontId="0" fillId="0" borderId="0" xfId="0" applyBorder="1"/>
    <xf numFmtId="0" fontId="2" fillId="0" borderId="0" xfId="0" applyFont="1" applyBorder="1" applyAlignment="1">
      <alignment horizontal="left"/>
    </xf>
    <xf numFmtId="44" fontId="0" fillId="0" borderId="0" xfId="0" applyNumberFormat="1"/>
    <xf numFmtId="0" fontId="5" fillId="0" borderId="0" xfId="0" applyFont="1" applyAlignment="1">
      <alignment horizontal="center"/>
    </xf>
    <xf numFmtId="44" fontId="0" fillId="0" borderId="0" xfId="1" applyFont="1" applyBorder="1"/>
    <xf numFmtId="1" fontId="6" fillId="0" borderId="0" xfId="0" applyNumberFormat="1" applyFont="1" applyBorder="1"/>
    <xf numFmtId="0" fontId="6" fillId="0" borderId="0" xfId="1" applyNumberFormat="1" applyFont="1" applyBorder="1"/>
    <xf numFmtId="44" fontId="6" fillId="0" borderId="0" xfId="1" applyFont="1" applyBorder="1"/>
    <xf numFmtId="9" fontId="6" fillId="0" borderId="0" xfId="2" applyFont="1" applyBorder="1"/>
    <xf numFmtId="0" fontId="6" fillId="0" borderId="0" xfId="0" applyFont="1" applyBorder="1"/>
    <xf numFmtId="164" fontId="0" fillId="0" borderId="0" xfId="0" applyNumberFormat="1"/>
    <xf numFmtId="0" fontId="0" fillId="0" borderId="0" xfId="0" applyFill="1" applyBorder="1"/>
    <xf numFmtId="9" fontId="0" fillId="0" borderId="0" xfId="0" applyNumberFormat="1"/>
    <xf numFmtId="0" fontId="9" fillId="0" borderId="0" xfId="0" applyFont="1" applyFill="1" applyBorder="1"/>
    <xf numFmtId="0" fontId="3" fillId="0" borderId="0" xfId="0" applyFont="1" applyFill="1" applyBorder="1"/>
    <xf numFmtId="6" fontId="3" fillId="0" borderId="0" xfId="0" applyNumberFormat="1" applyFont="1" applyFill="1" applyBorder="1"/>
    <xf numFmtId="6" fontId="10" fillId="0" borderId="0" xfId="0" applyNumberFormat="1" applyFont="1" applyFill="1" applyBorder="1"/>
    <xf numFmtId="6" fontId="0" fillId="0" borderId="0" xfId="0" applyNumberFormat="1" applyFill="1" applyBorder="1"/>
    <xf numFmtId="0" fontId="10" fillId="0" borderId="0" xfId="0" applyFont="1" applyFill="1" applyBorder="1"/>
    <xf numFmtId="0" fontId="2" fillId="0" borderId="0" xfId="0" applyFont="1" applyBorder="1" applyAlignment="1"/>
    <xf numFmtId="10" fontId="0" fillId="0" borderId="0" xfId="0" applyNumberFormat="1" applyFill="1" applyBorder="1"/>
    <xf numFmtId="44" fontId="0" fillId="0" borderId="0" xfId="1" applyFont="1" applyFill="1" applyBorder="1" applyAlignment="1">
      <alignment horizontal="center"/>
    </xf>
    <xf numFmtId="0" fontId="0" fillId="0" borderId="0" xfId="0" applyBorder="1" applyAlignment="1">
      <alignment horizontal="right"/>
    </xf>
    <xf numFmtId="10" fontId="0" fillId="0" borderId="0" xfId="2" applyNumberFormat="1" applyFont="1" applyFill="1" applyBorder="1"/>
    <xf numFmtId="0" fontId="11" fillId="0" borderId="0" xfId="0" applyFont="1" applyFill="1" applyBorder="1" applyAlignment="1"/>
    <xf numFmtId="0" fontId="0" fillId="0" borderId="0" xfId="0" applyAlignment="1"/>
    <xf numFmtId="8" fontId="0" fillId="0" borderId="0" xfId="0" applyNumberFormat="1"/>
    <xf numFmtId="0" fontId="11" fillId="0" borderId="0" xfId="0" applyFont="1" applyFill="1" applyBorder="1" applyAlignment="1">
      <alignment horizontal="right"/>
    </xf>
    <xf numFmtId="0" fontId="0" fillId="0" borderId="19" xfId="0" applyFill="1" applyBorder="1" applyAlignment="1">
      <alignment horizontal="right"/>
    </xf>
    <xf numFmtId="0" fontId="2" fillId="0" borderId="19" xfId="0" applyFont="1" applyFill="1" applyBorder="1" applyAlignment="1">
      <alignment horizontal="right"/>
    </xf>
    <xf numFmtId="0" fontId="2" fillId="0" borderId="14" xfId="0" applyFont="1" applyFill="1" applyBorder="1" applyAlignment="1">
      <alignment horizontal="right"/>
    </xf>
    <xf numFmtId="0" fontId="4" fillId="0" borderId="15" xfId="0" applyFont="1" applyFill="1" applyBorder="1" applyAlignment="1">
      <alignment horizontal="right"/>
    </xf>
    <xf numFmtId="0" fontId="2" fillId="0" borderId="15" xfId="0" applyFont="1" applyBorder="1" applyAlignment="1">
      <alignment horizontal="right"/>
    </xf>
    <xf numFmtId="10" fontId="0" fillId="0" borderId="8" xfId="2" applyNumberFormat="1" applyFont="1" applyBorder="1"/>
    <xf numFmtId="0" fontId="2" fillId="0" borderId="23" xfId="0" applyFont="1" applyBorder="1" applyAlignment="1">
      <alignment horizontal="right"/>
    </xf>
    <xf numFmtId="44" fontId="0" fillId="0" borderId="16" xfId="1" applyFont="1" applyBorder="1"/>
    <xf numFmtId="44" fontId="0" fillId="0" borderId="24" xfId="1" applyFont="1" applyBorder="1"/>
    <xf numFmtId="8" fontId="0" fillId="0" borderId="0" xfId="0" applyNumberFormat="1" applyBorder="1"/>
    <xf numFmtId="0" fontId="0" fillId="0" borderId="0" xfId="2" applyNumberFormat="1" applyFont="1" applyBorder="1"/>
    <xf numFmtId="0" fontId="0" fillId="5" borderId="25" xfId="0" applyFill="1" applyBorder="1" applyAlignment="1">
      <alignment horizontal="right"/>
    </xf>
    <xf numFmtId="44" fontId="0" fillId="5" borderId="0" xfId="0" applyNumberFormat="1" applyFill="1" applyBorder="1"/>
    <xf numFmtId="44" fontId="0" fillId="5" borderId="26" xfId="0" applyNumberFormat="1" applyFill="1" applyBorder="1"/>
    <xf numFmtId="0" fontId="2" fillId="5" borderId="25" xfId="0" applyFont="1" applyFill="1" applyBorder="1" applyAlignment="1">
      <alignment horizontal="right"/>
    </xf>
    <xf numFmtId="0" fontId="0" fillId="5" borderId="0" xfId="0" applyFill="1" applyBorder="1"/>
    <xf numFmtId="0" fontId="0" fillId="5" borderId="26" xfId="0" applyFill="1" applyBorder="1"/>
    <xf numFmtId="0" fontId="11" fillId="5" borderId="0" xfId="0" applyFont="1" applyFill="1" applyBorder="1" applyAlignment="1"/>
    <xf numFmtId="10" fontId="2" fillId="5" borderId="0" xfId="2" applyNumberFormat="1" applyFont="1" applyFill="1" applyBorder="1"/>
    <xf numFmtId="10" fontId="2" fillId="5" borderId="26" xfId="2" applyNumberFormat="1" applyFont="1" applyFill="1" applyBorder="1"/>
    <xf numFmtId="10" fontId="2" fillId="5" borderId="28" xfId="2" applyNumberFormat="1" applyFont="1" applyFill="1" applyBorder="1"/>
    <xf numFmtId="10" fontId="2" fillId="5" borderId="29" xfId="2" applyNumberFormat="1" applyFont="1" applyFill="1" applyBorder="1"/>
    <xf numFmtId="0" fontId="2" fillId="4" borderId="30" xfId="0" applyFont="1" applyFill="1" applyBorder="1" applyAlignment="1">
      <alignment horizontal="center"/>
    </xf>
    <xf numFmtId="0" fontId="15" fillId="5" borderId="2" xfId="0" applyFont="1" applyFill="1" applyBorder="1" applyAlignment="1">
      <alignment horizontal="right"/>
    </xf>
    <xf numFmtId="0" fontId="2" fillId="4" borderId="32" xfId="0" applyFont="1" applyFill="1" applyBorder="1" applyAlignment="1">
      <alignment horizontal="center"/>
    </xf>
    <xf numFmtId="0" fontId="2" fillId="4" borderId="33" xfId="0" applyFont="1" applyFill="1" applyBorder="1" applyAlignment="1">
      <alignment horizontal="center"/>
    </xf>
    <xf numFmtId="0" fontId="2" fillId="4" borderId="13" xfId="0" applyFont="1" applyFill="1" applyBorder="1" applyAlignment="1">
      <alignment horizontal="center"/>
    </xf>
    <xf numFmtId="0" fontId="12" fillId="5" borderId="2" xfId="0" applyFont="1" applyFill="1" applyBorder="1" applyAlignment="1">
      <alignment horizontal="right"/>
    </xf>
    <xf numFmtId="0" fontId="11" fillId="5" borderId="2" xfId="0" applyFont="1" applyFill="1" applyBorder="1" applyAlignment="1">
      <alignment horizontal="right"/>
    </xf>
    <xf numFmtId="0" fontId="11" fillId="0" borderId="0" xfId="0" applyFont="1" applyFill="1" applyBorder="1" applyAlignment="1">
      <alignment horizontal="right"/>
    </xf>
    <xf numFmtId="0" fontId="2" fillId="0" borderId="0" xfId="0" applyFont="1" applyFill="1" applyBorder="1" applyAlignment="1">
      <alignment horizontal="right"/>
    </xf>
    <xf numFmtId="0" fontId="2" fillId="0" borderId="0" xfId="0" applyFont="1" applyFill="1" applyBorder="1" applyAlignment="1">
      <alignment horizontal="center"/>
    </xf>
    <xf numFmtId="44" fontId="0" fillId="0" borderId="0" xfId="0" applyNumberFormat="1" applyFill="1" applyBorder="1"/>
    <xf numFmtId="44" fontId="2" fillId="0" borderId="0" xfId="0" applyNumberFormat="1" applyFont="1" applyFill="1" applyBorder="1"/>
    <xf numFmtId="10" fontId="2" fillId="0" borderId="0" xfId="2" applyNumberFormat="1" applyFont="1" applyFill="1" applyBorder="1"/>
    <xf numFmtId="0" fontId="12" fillId="0" borderId="0" xfId="0" applyFont="1" applyFill="1" applyBorder="1" applyAlignment="1">
      <alignment horizontal="right"/>
    </xf>
    <xf numFmtId="0" fontId="0" fillId="0" borderId="0" xfId="0" applyFill="1" applyBorder="1" applyAlignment="1">
      <alignment horizontal="right"/>
    </xf>
    <xf numFmtId="0" fontId="15" fillId="0" borderId="0" xfId="0" applyFont="1" applyFill="1" applyBorder="1" applyAlignment="1">
      <alignment horizontal="right"/>
    </xf>
    <xf numFmtId="44" fontId="0" fillId="0" borderId="0" xfId="1" applyFont="1" applyFill="1" applyBorder="1"/>
    <xf numFmtId="0" fontId="17" fillId="3" borderId="25" xfId="0" applyFont="1" applyFill="1" applyBorder="1" applyAlignment="1">
      <alignment horizontal="right"/>
    </xf>
    <xf numFmtId="165" fontId="0" fillId="5" borderId="0" xfId="0" applyNumberFormat="1" applyFill="1" applyBorder="1"/>
    <xf numFmtId="165" fontId="0" fillId="5" borderId="26" xfId="0" applyNumberFormat="1" applyFill="1" applyBorder="1"/>
    <xf numFmtId="165" fontId="2" fillId="5" borderId="0" xfId="0" applyNumberFormat="1" applyFont="1" applyFill="1" applyBorder="1"/>
    <xf numFmtId="165" fontId="2" fillId="5" borderId="26" xfId="0" applyNumberFormat="1" applyFont="1" applyFill="1" applyBorder="1"/>
    <xf numFmtId="165" fontId="0" fillId="5" borderId="0" xfId="1" applyNumberFormat="1" applyFont="1" applyFill="1" applyBorder="1"/>
    <xf numFmtId="165" fontId="0" fillId="5" borderId="26" xfId="1" applyNumberFormat="1" applyFont="1" applyFill="1" applyBorder="1"/>
    <xf numFmtId="0" fontId="5" fillId="0" borderId="0" xfId="0" applyFont="1" applyAlignment="1">
      <alignment horizontal="left"/>
    </xf>
    <xf numFmtId="0" fontId="5" fillId="0" borderId="0" xfId="0" applyFont="1" applyBorder="1" applyAlignment="1">
      <alignment horizontal="left"/>
    </xf>
    <xf numFmtId="0" fontId="16" fillId="3" borderId="0" xfId="0" applyFont="1" applyFill="1" applyBorder="1" applyAlignment="1">
      <alignment horizontal="right"/>
    </xf>
    <xf numFmtId="0" fontId="0" fillId="0" borderId="0" xfId="0" applyFill="1" applyBorder="1" applyAlignment="1"/>
    <xf numFmtId="44" fontId="0" fillId="0" borderId="0" xfId="1" applyFont="1" applyFill="1" applyBorder="1" applyAlignment="1"/>
    <xf numFmtId="0" fontId="0" fillId="0" borderId="0" xfId="0" applyAlignment="1">
      <alignment wrapText="1"/>
    </xf>
    <xf numFmtId="0" fontId="0" fillId="6" borderId="0" xfId="0" applyFill="1"/>
    <xf numFmtId="0" fontId="0" fillId="0" borderId="0" xfId="0" applyFill="1"/>
    <xf numFmtId="0" fontId="0" fillId="6" borderId="0" xfId="0" applyFill="1" applyAlignment="1">
      <alignment wrapText="1"/>
    </xf>
    <xf numFmtId="166" fontId="0" fillId="0" borderId="0" xfId="0" applyNumberFormat="1"/>
    <xf numFmtId="166" fontId="0" fillId="6" borderId="0" xfId="0" applyNumberFormat="1" applyFill="1"/>
    <xf numFmtId="0" fontId="0" fillId="0" borderId="0" xfId="0" applyNumberFormat="1" applyBorder="1" applyAlignment="1">
      <alignment horizontal="right"/>
    </xf>
    <xf numFmtId="0" fontId="0" fillId="0" borderId="0" xfId="1" applyNumberFormat="1" applyFont="1" applyBorder="1" applyAlignment="1">
      <alignment horizontal="center"/>
    </xf>
    <xf numFmtId="0" fontId="0" fillId="0" borderId="0" xfId="0" applyNumberFormat="1" applyAlignment="1">
      <alignment horizontal="center"/>
    </xf>
    <xf numFmtId="0" fontId="2" fillId="0" borderId="0" xfId="0" applyNumberFormat="1" applyFont="1" applyBorder="1" applyAlignment="1">
      <alignment horizontal="center"/>
    </xf>
    <xf numFmtId="0" fontId="4" fillId="0" borderId="35" xfId="0" applyNumberFormat="1" applyFont="1" applyFill="1" applyBorder="1" applyAlignment="1">
      <alignment horizontal="right"/>
    </xf>
    <xf numFmtId="0" fontId="0" fillId="0" borderId="0" xfId="0" applyNumberFormat="1" applyFill="1"/>
    <xf numFmtId="0" fontId="0" fillId="0" borderId="10" xfId="0" applyBorder="1" applyAlignment="1">
      <alignment horizontal="right"/>
    </xf>
    <xf numFmtId="0" fontId="0" fillId="0" borderId="10" xfId="0" applyBorder="1" applyAlignment="1">
      <alignment horizontal="center"/>
    </xf>
    <xf numFmtId="0" fontId="0" fillId="0" borderId="1" xfId="0" applyBorder="1" applyAlignment="1">
      <alignment horizontal="center"/>
    </xf>
    <xf numFmtId="165" fontId="0" fillId="0" borderId="18" xfId="1" applyNumberFormat="1" applyFont="1" applyBorder="1"/>
    <xf numFmtId="165" fontId="0" fillId="0" borderId="11" xfId="1" applyNumberFormat="1" applyFont="1" applyBorder="1"/>
    <xf numFmtId="165" fontId="0" fillId="0" borderId="18" xfId="0" applyNumberFormat="1" applyBorder="1"/>
    <xf numFmtId="165" fontId="0" fillId="0" borderId="11" xfId="0" applyNumberFormat="1" applyBorder="1"/>
    <xf numFmtId="165" fontId="4" fillId="0" borderId="18" xfId="1" applyNumberFormat="1" applyFont="1" applyBorder="1"/>
    <xf numFmtId="165" fontId="4" fillId="0" borderId="14" xfId="1" applyNumberFormat="1" applyFont="1" applyBorder="1"/>
    <xf numFmtId="165" fontId="3" fillId="0" borderId="21" xfId="2" applyNumberFormat="1" applyFont="1" applyFill="1" applyBorder="1"/>
    <xf numFmtId="165" fontId="3" fillId="0" borderId="22" xfId="2" applyNumberFormat="1" applyFont="1" applyFill="1" applyBorder="1"/>
    <xf numFmtId="165" fontId="3" fillId="0" borderId="7" xfId="2" applyNumberFormat="1" applyFont="1" applyFill="1" applyBorder="1"/>
    <xf numFmtId="165" fontId="3" fillId="0" borderId="8" xfId="0" applyNumberFormat="1" applyFont="1" applyFill="1" applyBorder="1"/>
    <xf numFmtId="165" fontId="3" fillId="0" borderId="12" xfId="0" applyNumberFormat="1" applyFont="1" applyFill="1" applyBorder="1"/>
    <xf numFmtId="0" fontId="11" fillId="3" borderId="25" xfId="0" applyFont="1" applyFill="1" applyBorder="1" applyAlignment="1">
      <alignment horizontal="right"/>
    </xf>
    <xf numFmtId="0" fontId="11" fillId="3" borderId="0" xfId="0" applyFont="1" applyFill="1" applyBorder="1" applyAlignment="1">
      <alignment horizontal="right"/>
    </xf>
    <xf numFmtId="0" fontId="7" fillId="0" borderId="0" xfId="9" applyFont="1" applyBorder="1"/>
    <xf numFmtId="0" fontId="7" fillId="0" borderId="0" xfId="9" applyFont="1" applyBorder="1" applyAlignment="1">
      <alignment horizontal="center"/>
    </xf>
    <xf numFmtId="0" fontId="7" fillId="0" borderId="0" xfId="9" applyFont="1" applyBorder="1" applyAlignment="1">
      <alignment horizontal="left"/>
    </xf>
    <xf numFmtId="0" fontId="7" fillId="0" borderId="0" xfId="9" applyFont="1"/>
    <xf numFmtId="0" fontId="7" fillId="0" borderId="0" xfId="9" applyFont="1" applyAlignment="1">
      <alignment horizontal="left"/>
    </xf>
    <xf numFmtId="39" fontId="20" fillId="7" borderId="0" xfId="10" applyNumberFormat="1" applyFont="1" applyFill="1" applyBorder="1" applyAlignment="1">
      <alignment horizontal="right"/>
    </xf>
    <xf numFmtId="43" fontId="20" fillId="7" borderId="0" xfId="10" applyNumberFormat="1" applyFont="1" applyFill="1" applyBorder="1" applyAlignment="1">
      <alignment horizontal="right"/>
    </xf>
    <xf numFmtId="14" fontId="20" fillId="7" borderId="0" xfId="9" applyNumberFormat="1" applyFont="1" applyFill="1" applyBorder="1" applyAlignment="1">
      <alignment horizontal="right"/>
    </xf>
    <xf numFmtId="0" fontId="20" fillId="7" borderId="0" xfId="9" applyFont="1" applyFill="1" applyBorder="1" applyAlignment="1">
      <alignment horizontal="left"/>
    </xf>
    <xf numFmtId="0" fontId="7" fillId="0" borderId="0" xfId="9" applyFont="1" applyBorder="1" applyAlignment="1">
      <alignment wrapText="1"/>
    </xf>
    <xf numFmtId="44" fontId="20" fillId="7" borderId="0" xfId="10" applyFont="1" applyFill="1" applyBorder="1" applyAlignment="1">
      <alignment horizontal="right"/>
    </xf>
    <xf numFmtId="0" fontId="21" fillId="7" borderId="38" xfId="9" applyFont="1" applyFill="1" applyBorder="1" applyAlignment="1" applyProtection="1">
      <alignment horizontal="left" wrapText="1" indent="3"/>
    </xf>
    <xf numFmtId="0" fontId="21" fillId="7" borderId="38" xfId="9" applyFont="1" applyFill="1" applyBorder="1" applyAlignment="1" applyProtection="1">
      <alignment horizontal="left" wrapText="1" indent="2"/>
    </xf>
    <xf numFmtId="0" fontId="19" fillId="7" borderId="38" xfId="9" applyFill="1" applyBorder="1" applyAlignment="1">
      <alignment horizontal="left"/>
    </xf>
    <xf numFmtId="0" fontId="22" fillId="7" borderId="0" xfId="9" applyFont="1" applyFill="1" applyBorder="1" applyAlignment="1" applyProtection="1">
      <alignment horizontal="right" wrapText="1"/>
    </xf>
    <xf numFmtId="0" fontId="22" fillId="7" borderId="0" xfId="9" applyFont="1" applyFill="1" applyBorder="1" applyAlignment="1" applyProtection="1">
      <alignment horizontal="left" wrapText="1"/>
    </xf>
    <xf numFmtId="0" fontId="23" fillId="7" borderId="0" xfId="9" applyFont="1" applyFill="1" applyBorder="1"/>
    <xf numFmtId="0" fontId="23" fillId="7" borderId="0" xfId="9" applyFont="1" applyFill="1" applyBorder="1" applyAlignment="1">
      <alignment horizontal="left"/>
    </xf>
    <xf numFmtId="0" fontId="23" fillId="7" borderId="38" xfId="9" applyFont="1" applyFill="1" applyBorder="1"/>
    <xf numFmtId="0" fontId="23" fillId="7" borderId="38" xfId="9" applyFont="1" applyFill="1" applyBorder="1" applyAlignment="1">
      <alignment horizontal="left"/>
    </xf>
    <xf numFmtId="0" fontId="23" fillId="7" borderId="39" xfId="9" applyFont="1" applyFill="1" applyBorder="1" applyAlignment="1" applyProtection="1">
      <alignment horizontal="left"/>
      <protection locked="0"/>
    </xf>
    <xf numFmtId="0" fontId="22" fillId="7" borderId="0" xfId="9" applyFont="1" applyFill="1" applyBorder="1" applyAlignment="1">
      <alignment horizontal="right"/>
    </xf>
    <xf numFmtId="0" fontId="23" fillId="7" borderId="0" xfId="9" applyFont="1" applyFill="1"/>
    <xf numFmtId="44" fontId="23" fillId="8" borderId="42" xfId="10" applyFont="1" applyFill="1" applyBorder="1" applyAlignment="1" applyProtection="1">
      <alignment horizontal="right"/>
      <protection locked="0"/>
    </xf>
    <xf numFmtId="0" fontId="24" fillId="7" borderId="38" xfId="9" applyFont="1" applyFill="1" applyBorder="1" applyAlignment="1">
      <alignment horizontal="right"/>
    </xf>
    <xf numFmtId="0" fontId="24" fillId="7" borderId="43" xfId="9" applyFont="1" applyFill="1" applyBorder="1" applyAlignment="1">
      <alignment horizontal="left"/>
    </xf>
    <xf numFmtId="44" fontId="23" fillId="7" borderId="0" xfId="10" applyFont="1" applyFill="1" applyBorder="1" applyAlignment="1">
      <alignment horizontal="right"/>
    </xf>
    <xf numFmtId="44" fontId="23" fillId="8" borderId="44" xfId="10" applyFont="1" applyFill="1" applyBorder="1" applyAlignment="1">
      <alignment horizontal="right"/>
    </xf>
    <xf numFmtId="14" fontId="23" fillId="8" borderId="42" xfId="9" applyNumberFormat="1" applyFont="1" applyFill="1" applyBorder="1" applyAlignment="1" applyProtection="1">
      <alignment horizontal="right"/>
      <protection locked="0"/>
    </xf>
    <xf numFmtId="0" fontId="24" fillId="7" borderId="0" xfId="9" applyFont="1" applyFill="1" applyBorder="1" applyAlignment="1">
      <alignment horizontal="right"/>
    </xf>
    <xf numFmtId="0" fontId="24" fillId="7" borderId="45" xfId="9" applyFont="1" applyFill="1" applyBorder="1" applyAlignment="1">
      <alignment horizontal="left"/>
    </xf>
    <xf numFmtId="167" fontId="23" fillId="8" borderId="42" xfId="9" applyNumberFormat="1" applyFont="1" applyFill="1" applyBorder="1" applyAlignment="1" applyProtection="1">
      <alignment horizontal="right"/>
      <protection locked="0"/>
    </xf>
    <xf numFmtId="167" fontId="23" fillId="7" borderId="0" xfId="9" applyNumberFormat="1" applyFont="1" applyFill="1" applyBorder="1" applyAlignment="1">
      <alignment horizontal="right"/>
    </xf>
    <xf numFmtId="167" fontId="23" fillId="8" borderId="42" xfId="9" applyNumberFormat="1" applyFont="1" applyFill="1" applyBorder="1" applyAlignment="1">
      <alignment horizontal="right"/>
    </xf>
    <xf numFmtId="168" fontId="23" fillId="8" borderId="42" xfId="9" applyNumberFormat="1" applyFont="1" applyFill="1" applyBorder="1" applyAlignment="1" applyProtection="1">
      <alignment horizontal="right"/>
      <protection locked="0"/>
    </xf>
    <xf numFmtId="44" fontId="23" fillId="8" borderId="44" xfId="10" applyFont="1" applyFill="1" applyBorder="1" applyAlignment="1" applyProtection="1">
      <alignment horizontal="right"/>
      <protection locked="0"/>
    </xf>
    <xf numFmtId="0" fontId="22" fillId="7" borderId="0" xfId="9" applyFont="1" applyFill="1" applyBorder="1" applyAlignment="1">
      <alignment horizontal="center"/>
    </xf>
    <xf numFmtId="165" fontId="4" fillId="9" borderId="15" xfId="1" applyNumberFormat="1" applyFont="1" applyFill="1" applyBorder="1" applyAlignment="1">
      <alignment horizontal="right"/>
    </xf>
    <xf numFmtId="165" fontId="3" fillId="9" borderId="8" xfId="1" applyNumberFormat="1" applyFont="1" applyFill="1" applyBorder="1"/>
    <xf numFmtId="165" fontId="0" fillId="9" borderId="0" xfId="1" applyNumberFormat="1" applyFont="1" applyFill="1"/>
    <xf numFmtId="0" fontId="4" fillId="9" borderId="15" xfId="0" applyNumberFormat="1" applyFont="1" applyFill="1" applyBorder="1" applyAlignment="1">
      <alignment horizontal="right"/>
    </xf>
    <xf numFmtId="165" fontId="3" fillId="9" borderId="8" xfId="2" applyNumberFormat="1" applyFont="1" applyFill="1" applyBorder="1"/>
    <xf numFmtId="0" fontId="0" fillId="9" borderId="0" xfId="0" applyNumberFormat="1" applyFill="1"/>
    <xf numFmtId="0" fontId="4" fillId="9" borderId="15" xfId="0" applyFont="1" applyFill="1" applyBorder="1" applyAlignment="1">
      <alignment horizontal="right"/>
    </xf>
    <xf numFmtId="0" fontId="0" fillId="9" borderId="0" xfId="0" applyFill="1"/>
    <xf numFmtId="0" fontId="20" fillId="7" borderId="6" xfId="9" applyFont="1" applyFill="1" applyBorder="1" applyAlignment="1">
      <alignment horizontal="left"/>
    </xf>
    <xf numFmtId="14" fontId="20" fillId="7" borderId="6" xfId="9" applyNumberFormat="1" applyFont="1" applyFill="1" applyBorder="1" applyAlignment="1">
      <alignment horizontal="right"/>
    </xf>
    <xf numFmtId="39" fontId="20" fillId="7" borderId="6" xfId="10" applyNumberFormat="1" applyFont="1" applyFill="1" applyBorder="1" applyAlignment="1">
      <alignment horizontal="right"/>
    </xf>
    <xf numFmtId="43" fontId="20" fillId="7" borderId="6" xfId="10" applyNumberFormat="1" applyFont="1" applyFill="1" applyBorder="1" applyAlignment="1">
      <alignment horizontal="right"/>
    </xf>
    <xf numFmtId="0" fontId="23" fillId="7" borderId="0" xfId="9" applyFont="1" applyFill="1" applyBorder="1" applyAlignment="1">
      <alignment horizontal="right"/>
    </xf>
    <xf numFmtId="0" fontId="23" fillId="7" borderId="0" xfId="9" applyNumberFormat="1" applyFont="1" applyFill="1" applyBorder="1" applyAlignment="1">
      <alignment horizontal="right"/>
    </xf>
    <xf numFmtId="0" fontId="23" fillId="7" borderId="38" xfId="9" applyFont="1" applyFill="1" applyBorder="1" applyAlignment="1">
      <alignment horizontal="right"/>
    </xf>
    <xf numFmtId="39" fontId="7" fillId="0" borderId="0" xfId="9" applyNumberFormat="1" applyFont="1" applyBorder="1"/>
    <xf numFmtId="44" fontId="7" fillId="0" borderId="0" xfId="9" applyNumberFormat="1" applyFont="1" applyBorder="1"/>
    <xf numFmtId="0" fontId="26" fillId="7" borderId="0" xfId="9" applyFont="1" applyFill="1" applyBorder="1" applyAlignment="1">
      <alignment horizontal="center"/>
    </xf>
    <xf numFmtId="0" fontId="27" fillId="0" borderId="0" xfId="9" applyFont="1" applyBorder="1" applyAlignment="1">
      <alignment horizontal="center"/>
    </xf>
    <xf numFmtId="165" fontId="0" fillId="0" borderId="18" xfId="1" applyNumberFormat="1" applyFont="1" applyFill="1" applyBorder="1"/>
    <xf numFmtId="165" fontId="0" fillId="0" borderId="18" xfId="0" applyNumberFormat="1" applyFill="1" applyBorder="1"/>
    <xf numFmtId="165" fontId="0" fillId="0" borderId="11" xfId="0" applyNumberFormat="1" applyFill="1" applyBorder="1"/>
    <xf numFmtId="0" fontId="0" fillId="0" borderId="0" xfId="0" applyAlignment="1">
      <alignment horizontal="center"/>
    </xf>
    <xf numFmtId="0" fontId="23" fillId="7" borderId="41" xfId="9" applyFont="1" applyFill="1" applyBorder="1" applyAlignment="1" applyProtection="1">
      <alignment horizontal="left"/>
      <protection locked="0"/>
    </xf>
    <xf numFmtId="0" fontId="23" fillId="7" borderId="40" xfId="9" applyFont="1" applyFill="1" applyBorder="1" applyAlignment="1" applyProtection="1">
      <alignment horizontal="left"/>
      <protection locked="0"/>
    </xf>
    <xf numFmtId="0" fontId="22" fillId="7" borderId="48" xfId="9" applyFont="1" applyFill="1" applyBorder="1" applyAlignment="1">
      <alignment horizontal="right"/>
    </xf>
    <xf numFmtId="0" fontId="22" fillId="7" borderId="47" xfId="9" applyFont="1" applyFill="1" applyBorder="1" applyAlignment="1">
      <alignment horizontal="right"/>
    </xf>
    <xf numFmtId="0" fontId="22" fillId="7" borderId="46" xfId="9" applyFont="1" applyFill="1" applyBorder="1" applyAlignment="1">
      <alignment horizontal="right"/>
    </xf>
    <xf numFmtId="0" fontId="25" fillId="7" borderId="0" xfId="9" applyFont="1" applyFill="1" applyBorder="1" applyAlignment="1">
      <alignment horizontal="left"/>
    </xf>
    <xf numFmtId="0" fontId="23" fillId="0" borderId="0" xfId="9" applyFont="1" applyAlignment="1">
      <alignment horizontal="left"/>
    </xf>
    <xf numFmtId="0" fontId="2" fillId="0" borderId="0" xfId="0" applyFont="1" applyBorder="1" applyAlignment="1">
      <alignment horizontal="center"/>
    </xf>
    <xf numFmtId="0" fontId="11" fillId="3" borderId="25" xfId="0" applyFont="1" applyFill="1" applyBorder="1" applyAlignment="1">
      <alignment horizontal="right"/>
    </xf>
    <xf numFmtId="0" fontId="11" fillId="3" borderId="0" xfId="0" applyFont="1" applyFill="1" applyBorder="1" applyAlignment="1">
      <alignment horizontal="right"/>
    </xf>
    <xf numFmtId="10" fontId="0" fillId="3" borderId="15" xfId="2" applyNumberFormat="1" applyFont="1" applyFill="1" applyBorder="1" applyAlignment="1" applyProtection="1">
      <alignment horizontal="center"/>
      <protection locked="0"/>
    </xf>
    <xf numFmtId="10" fontId="0" fillId="3" borderId="12" xfId="2" applyNumberFormat="1" applyFont="1" applyFill="1" applyBorder="1" applyAlignment="1" applyProtection="1">
      <alignment horizontal="center"/>
      <protection locked="0"/>
    </xf>
    <xf numFmtId="0" fontId="11" fillId="0" borderId="0" xfId="0" applyFont="1" applyFill="1" applyBorder="1" applyAlignment="1">
      <alignment horizontal="right"/>
    </xf>
    <xf numFmtId="164" fontId="0" fillId="0" borderId="0" xfId="2" applyNumberFormat="1" applyFont="1" applyFill="1" applyBorder="1" applyAlignment="1">
      <alignment horizontal="center"/>
    </xf>
    <xf numFmtId="0" fontId="9" fillId="3" borderId="27" xfId="0" applyFont="1" applyFill="1" applyBorder="1" applyAlignment="1">
      <alignment horizontal="right"/>
    </xf>
    <xf numFmtId="0" fontId="9" fillId="3" borderId="28" xfId="0" applyFont="1" applyFill="1" applyBorder="1" applyAlignment="1">
      <alignment horizontal="right"/>
    </xf>
    <xf numFmtId="10" fontId="0" fillId="3" borderId="23" xfId="2" applyNumberFormat="1" applyFont="1" applyFill="1" applyBorder="1" applyAlignment="1" applyProtection="1">
      <alignment horizontal="center"/>
      <protection locked="0"/>
    </xf>
    <xf numFmtId="10" fontId="0" fillId="3" borderId="17" xfId="2" applyNumberFormat="1" applyFont="1" applyFill="1" applyBorder="1" applyAlignment="1" applyProtection="1">
      <alignment horizontal="center"/>
      <protection locked="0"/>
    </xf>
    <xf numFmtId="0" fontId="9" fillId="3" borderId="25" xfId="0" applyFont="1" applyFill="1" applyBorder="1" applyAlignment="1">
      <alignment horizontal="right"/>
    </xf>
    <xf numFmtId="0" fontId="9" fillId="3" borderId="0" xfId="0" applyFont="1" applyFill="1" applyBorder="1" applyAlignment="1">
      <alignment horizontal="right"/>
    </xf>
    <xf numFmtId="44" fontId="0" fillId="3" borderId="15" xfId="1" applyFont="1" applyFill="1" applyBorder="1" applyAlignment="1">
      <alignment horizontal="center"/>
    </xf>
    <xf numFmtId="44" fontId="0" fillId="3" borderId="12" xfId="1" applyFont="1" applyFill="1" applyBorder="1" applyAlignment="1">
      <alignment horizontal="center"/>
    </xf>
    <xf numFmtId="10" fontId="0" fillId="3" borderId="11" xfId="2" applyNumberFormat="1" applyFont="1" applyFill="1" applyBorder="1" applyAlignment="1" applyProtection="1">
      <alignment horizontal="center"/>
      <protection locked="0"/>
    </xf>
    <xf numFmtId="10" fontId="0" fillId="3" borderId="13" xfId="2" applyNumberFormat="1" applyFont="1" applyFill="1" applyBorder="1" applyAlignment="1" applyProtection="1">
      <alignment horizontal="center"/>
      <protection locked="0"/>
    </xf>
    <xf numFmtId="8" fontId="0" fillId="4" borderId="15" xfId="1" applyNumberFormat="1" applyFont="1" applyFill="1" applyBorder="1" applyAlignment="1">
      <alignment horizontal="center"/>
    </xf>
    <xf numFmtId="44" fontId="0" fillId="4" borderId="12" xfId="1" applyFont="1" applyFill="1" applyBorder="1" applyAlignment="1">
      <alignment horizontal="center"/>
    </xf>
    <xf numFmtId="44" fontId="0" fillId="3" borderId="15" xfId="1" applyFont="1" applyFill="1" applyBorder="1" applyAlignment="1" applyProtection="1">
      <alignment horizontal="center"/>
      <protection locked="0"/>
    </xf>
    <xf numFmtId="44" fontId="0" fillId="3" borderId="12" xfId="1" applyFont="1" applyFill="1" applyBorder="1" applyAlignment="1" applyProtection="1">
      <alignment horizontal="center"/>
      <protection locked="0"/>
    </xf>
    <xf numFmtId="0" fontId="18" fillId="0" borderId="0" xfId="8" applyFill="1" applyBorder="1" applyAlignment="1">
      <alignment horizontal="center"/>
    </xf>
    <xf numFmtId="0" fontId="12" fillId="5" borderId="27" xfId="0" applyFont="1" applyFill="1" applyBorder="1" applyAlignment="1">
      <alignment horizontal="right"/>
    </xf>
    <xf numFmtId="0" fontId="12" fillId="5" borderId="34" xfId="0" applyFont="1" applyFill="1" applyBorder="1" applyAlignment="1">
      <alignment horizontal="right"/>
    </xf>
    <xf numFmtId="0" fontId="12" fillId="2" borderId="5" xfId="0" applyFont="1" applyFill="1" applyBorder="1" applyAlignment="1">
      <alignment horizontal="center"/>
    </xf>
    <xf numFmtId="0" fontId="12" fillId="2" borderId="4" xfId="0" applyFont="1" applyFill="1" applyBorder="1" applyAlignment="1">
      <alignment horizontal="center"/>
    </xf>
    <xf numFmtId="0" fontId="12" fillId="2" borderId="3" xfId="0" applyFont="1" applyFill="1" applyBorder="1" applyAlignment="1">
      <alignment horizontal="center"/>
    </xf>
    <xf numFmtId="44" fontId="2" fillId="3" borderId="20" xfId="1" applyFont="1" applyFill="1" applyBorder="1" applyAlignment="1" applyProtection="1">
      <alignment horizontal="center"/>
      <protection locked="0"/>
    </xf>
    <xf numFmtId="44" fontId="2" fillId="3" borderId="22" xfId="1" applyFont="1" applyFill="1" applyBorder="1" applyAlignment="1" applyProtection="1">
      <alignment horizontal="center"/>
      <protection locked="0"/>
    </xf>
    <xf numFmtId="0" fontId="0" fillId="3" borderId="15" xfId="0" applyFill="1" applyBorder="1" applyAlignment="1" applyProtection="1">
      <alignment horizontal="center"/>
      <protection locked="0"/>
    </xf>
    <xf numFmtId="0" fontId="0" fillId="3" borderId="12" xfId="0" applyFill="1" applyBorder="1" applyAlignment="1" applyProtection="1">
      <alignment horizontal="center"/>
      <protection locked="0"/>
    </xf>
    <xf numFmtId="44" fontId="2" fillId="3" borderId="35" xfId="1" applyFont="1" applyFill="1" applyBorder="1" applyAlignment="1" applyProtection="1">
      <alignment horizontal="center"/>
      <protection locked="0"/>
    </xf>
    <xf numFmtId="44" fontId="2" fillId="3" borderId="9" xfId="1" applyFont="1" applyFill="1" applyBorder="1" applyAlignment="1" applyProtection="1">
      <alignment horizontal="center"/>
      <protection locked="0"/>
    </xf>
    <xf numFmtId="10" fontId="0" fillId="4" borderId="11" xfId="2" applyNumberFormat="1" applyFont="1" applyFill="1" applyBorder="1" applyAlignment="1">
      <alignment horizontal="center"/>
    </xf>
    <xf numFmtId="10" fontId="0" fillId="4" borderId="13" xfId="2" applyNumberFormat="1" applyFont="1" applyFill="1" applyBorder="1" applyAlignment="1">
      <alignment horizontal="center"/>
    </xf>
    <xf numFmtId="44" fontId="0" fillId="4" borderId="15" xfId="1" applyFont="1" applyFill="1" applyBorder="1" applyAlignment="1">
      <alignment horizontal="center"/>
    </xf>
    <xf numFmtId="0" fontId="16" fillId="3" borderId="25" xfId="0" applyFont="1" applyFill="1" applyBorder="1" applyAlignment="1">
      <alignment horizontal="right"/>
    </xf>
    <xf numFmtId="0" fontId="16" fillId="3" borderId="0" xfId="0" applyFont="1" applyFill="1" applyBorder="1" applyAlignment="1">
      <alignment horizontal="right"/>
    </xf>
    <xf numFmtId="44" fontId="0" fillId="3" borderId="11" xfId="1" applyFont="1" applyFill="1" applyBorder="1" applyAlignment="1" applyProtection="1">
      <alignment horizontal="center"/>
      <protection locked="0"/>
    </xf>
    <xf numFmtId="44" fontId="0" fillId="3" borderId="13" xfId="1" applyFont="1" applyFill="1" applyBorder="1" applyAlignment="1" applyProtection="1">
      <alignment horizontal="center"/>
      <protection locked="0"/>
    </xf>
    <xf numFmtId="0" fontId="0" fillId="10" borderId="11" xfId="1" applyNumberFormat="1" applyFont="1" applyFill="1" applyBorder="1" applyAlignment="1" applyProtection="1">
      <alignment horizontal="center"/>
      <protection locked="0"/>
    </xf>
    <xf numFmtId="0" fontId="0" fillId="10" borderId="13" xfId="1" applyNumberFormat="1" applyFont="1" applyFill="1" applyBorder="1" applyAlignment="1" applyProtection="1">
      <alignment horizontal="center"/>
      <protection locked="0"/>
    </xf>
    <xf numFmtId="44" fontId="0" fillId="10" borderId="11" xfId="1" applyFont="1" applyFill="1" applyBorder="1" applyAlignment="1" applyProtection="1">
      <alignment horizontal="center"/>
      <protection locked="0"/>
    </xf>
    <xf numFmtId="44" fontId="0" fillId="10" borderId="13" xfId="1" applyFont="1" applyFill="1" applyBorder="1" applyAlignment="1" applyProtection="1">
      <alignment horizontal="center"/>
      <protection locked="0"/>
    </xf>
    <xf numFmtId="44" fontId="2" fillId="3" borderId="15" xfId="1" applyFont="1" applyFill="1" applyBorder="1" applyAlignment="1" applyProtection="1">
      <alignment horizontal="center"/>
      <protection locked="0"/>
    </xf>
    <xf numFmtId="44" fontId="2" fillId="3" borderId="12" xfId="1" applyFont="1" applyFill="1" applyBorder="1" applyAlignment="1" applyProtection="1">
      <alignment horizontal="center"/>
      <protection locked="0"/>
    </xf>
    <xf numFmtId="0" fontId="12" fillId="5" borderId="25" xfId="0" applyFont="1" applyFill="1" applyBorder="1" applyAlignment="1">
      <alignment horizontal="right"/>
    </xf>
    <xf numFmtId="0" fontId="12" fillId="5" borderId="2" xfId="0" applyFont="1" applyFill="1" applyBorder="1" applyAlignment="1">
      <alignment horizontal="right"/>
    </xf>
    <xf numFmtId="0" fontId="5" fillId="5" borderId="1" xfId="0" applyFont="1" applyFill="1" applyBorder="1" applyAlignment="1">
      <alignment horizontal="right"/>
    </xf>
    <xf numFmtId="0" fontId="5" fillId="5" borderId="31" xfId="0" applyFont="1" applyFill="1" applyBorder="1" applyAlignment="1">
      <alignment horizontal="right"/>
    </xf>
    <xf numFmtId="0" fontId="11" fillId="5" borderId="25" xfId="0" applyFont="1" applyFill="1" applyBorder="1" applyAlignment="1">
      <alignment horizontal="right"/>
    </xf>
    <xf numFmtId="0" fontId="11" fillId="5" borderId="2" xfId="0" applyFont="1" applyFill="1" applyBorder="1" applyAlignment="1">
      <alignment horizontal="right"/>
    </xf>
    <xf numFmtId="0" fontId="2" fillId="5" borderId="0" xfId="0" applyFont="1" applyFill="1" applyBorder="1" applyAlignment="1">
      <alignment horizontal="center"/>
    </xf>
    <xf numFmtId="0" fontId="2" fillId="5" borderId="26" xfId="0" applyFont="1" applyFill="1" applyBorder="1" applyAlignment="1">
      <alignment horizontal="center"/>
    </xf>
    <xf numFmtId="165" fontId="2" fillId="5" borderId="28" xfId="0" applyNumberFormat="1" applyFont="1" applyFill="1" applyBorder="1" applyAlignment="1">
      <alignment horizontal="center"/>
    </xf>
    <xf numFmtId="165" fontId="2" fillId="5" borderId="29" xfId="0" applyNumberFormat="1" applyFont="1" applyFill="1" applyBorder="1" applyAlignment="1">
      <alignment horizontal="center"/>
    </xf>
    <xf numFmtId="0" fontId="2" fillId="4" borderId="37" xfId="0" applyFont="1" applyFill="1" applyBorder="1" applyAlignment="1">
      <alignment horizontal="center"/>
    </xf>
    <xf numFmtId="0" fontId="2" fillId="4" borderId="36" xfId="0" applyFont="1" applyFill="1" applyBorder="1" applyAlignment="1">
      <alignment horizontal="center"/>
    </xf>
    <xf numFmtId="0" fontId="12" fillId="0" borderId="0" xfId="0" applyFont="1" applyFill="1" applyBorder="1" applyAlignment="1">
      <alignment horizontal="right"/>
    </xf>
    <xf numFmtId="0" fontId="2" fillId="0" borderId="0" xfId="0" applyFont="1" applyFill="1" applyBorder="1" applyAlignment="1">
      <alignment horizontal="center"/>
    </xf>
    <xf numFmtId="44" fontId="2" fillId="0" borderId="0" xfId="0" applyNumberFormat="1" applyFont="1" applyFill="1" applyBorder="1" applyAlignment="1">
      <alignment horizontal="center"/>
    </xf>
    <xf numFmtId="165" fontId="7" fillId="0" borderId="8" xfId="5" applyNumberFormat="1" applyBorder="1"/>
    <xf numFmtId="165" fontId="3" fillId="0" borderId="8" xfId="2" applyNumberFormat="1" applyFont="1" applyFill="1" applyBorder="1"/>
  </cellXfs>
  <cellStyles count="11">
    <cellStyle name="Currency" xfId="1" builtinId="4"/>
    <cellStyle name="Currency 2" xfId="3"/>
    <cellStyle name="Currency 3" xfId="4"/>
    <cellStyle name="Currency 4" xfId="10"/>
    <cellStyle name="Hyperlink" xfId="8" builtinId="8"/>
    <cellStyle name="Normal" xfId="0" builtinId="0"/>
    <cellStyle name="Normal 2" xfId="5"/>
    <cellStyle name="Normal 3" xfId="6"/>
    <cellStyle name="Normal 4" xfId="9"/>
    <cellStyle name="Percent" xfId="2" builtinId="5"/>
    <cellStyle name="Percent 2" xfId="7"/>
  </cellStyles>
  <dxfs count="7">
    <dxf>
      <font>
        <color rgb="FF9C0006"/>
      </font>
    </dxf>
    <dxf>
      <font>
        <condense val="0"/>
        <extend val="0"/>
        <color auto="1"/>
      </font>
      <fill>
        <patternFill>
          <bgColor indexed="26"/>
        </patternFill>
      </fill>
    </dxf>
    <dxf>
      <font>
        <condense val="0"/>
        <extend val="0"/>
        <color auto="1"/>
      </font>
      <fill>
        <patternFill patternType="solid">
          <bgColor indexed="26"/>
        </patternFill>
      </fill>
      <border>
        <left/>
        <right/>
        <top/>
        <bottom style="thin">
          <color indexed="22"/>
        </bottom>
      </border>
    </dxf>
    <dxf>
      <font>
        <condense val="0"/>
        <extend val="0"/>
        <color indexed="9"/>
      </font>
      <fill>
        <patternFill patternType="solid">
          <bgColor indexed="9"/>
        </patternFill>
      </fill>
    </dxf>
    <dxf>
      <font>
        <condense val="0"/>
        <extend val="0"/>
        <color auto="1"/>
      </font>
      <fill>
        <patternFill>
          <bgColor indexed="26"/>
        </patternFill>
      </fill>
    </dxf>
    <dxf>
      <font>
        <condense val="0"/>
        <extend val="0"/>
        <color auto="1"/>
      </font>
      <fill>
        <patternFill patternType="solid">
          <bgColor indexed="26"/>
        </patternFill>
      </fill>
      <border>
        <left/>
        <right/>
        <top/>
        <bottom style="thin">
          <color indexed="22"/>
        </bottom>
      </border>
    </dxf>
    <dxf>
      <font>
        <condense val="0"/>
        <extend val="0"/>
        <color indexed="9"/>
      </font>
      <fill>
        <patternFill patternType="solid">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mortgage-calculato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sundstrom/Inv%20Prop%20Workshe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RA%20Case%20Stu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tgageCalculator"/>
      <sheetName val="NoExtra"/>
    </sheetNames>
    <sheetDataSet>
      <sheetData sheetId="0"/>
      <sheetData sheetId="1">
        <row r="2">
          <cell r="B2" t="str">
            <v>Date</v>
          </cell>
          <cell r="G2" t="str">
            <v>Balance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 Amortization Schedule"/>
      <sheetName val="Breakeven Worksheet"/>
    </sheetNames>
    <sheetDataSet>
      <sheetData sheetId="0">
        <row r="5">
          <cell r="D5">
            <v>124999.99</v>
          </cell>
        </row>
        <row r="6">
          <cell r="D6">
            <v>0.1</v>
          </cell>
        </row>
        <row r="7">
          <cell r="D7">
            <v>30</v>
          </cell>
        </row>
        <row r="9">
          <cell r="D9">
            <v>40940</v>
          </cell>
        </row>
        <row r="17">
          <cell r="A17">
            <v>0</v>
          </cell>
          <cell r="B17">
            <v>0</v>
          </cell>
          <cell r="C17">
            <v>0</v>
          </cell>
          <cell r="D17">
            <v>0</v>
          </cell>
          <cell r="E17">
            <v>0</v>
          </cell>
          <cell r="F17">
            <v>0</v>
          </cell>
          <cell r="G17">
            <v>0</v>
          </cell>
          <cell r="H17">
            <v>0</v>
          </cell>
          <cell r="I17">
            <v>0</v>
          </cell>
          <cell r="J17">
            <v>0</v>
          </cell>
        </row>
        <row r="18">
          <cell r="I18">
            <v>124944.69220847949</v>
          </cell>
        </row>
        <row r="19">
          <cell r="I19">
            <v>124888.93360202965</v>
          </cell>
        </row>
        <row r="20">
          <cell r="I20">
            <v>124832.71034052606</v>
          </cell>
        </row>
        <row r="21">
          <cell r="I21">
            <v>124776.01855184327</v>
          </cell>
        </row>
        <row r="22">
          <cell r="I22">
            <v>124718.85433158813</v>
          </cell>
        </row>
        <row r="23">
          <cell r="I23">
            <v>124661.21374283085</v>
          </cell>
        </row>
        <row r="24">
          <cell r="I24">
            <v>124603.09281583394</v>
          </cell>
        </row>
        <row r="25">
          <cell r="I25">
            <v>124544.48754777871</v>
          </cell>
        </row>
        <row r="26">
          <cell r="I26">
            <v>124485.3939024897</v>
          </cell>
        </row>
        <row r="27">
          <cell r="I27">
            <v>124425.80781015661</v>
          </cell>
        </row>
        <row r="28">
          <cell r="I28">
            <v>124365.72516705407</v>
          </cell>
        </row>
        <row r="29">
          <cell r="I29">
            <v>124305.14183525901</v>
          </cell>
        </row>
        <row r="30">
          <cell r="I30">
            <v>124244.05364236566</v>
          </cell>
        </row>
        <row r="31">
          <cell r="I31">
            <v>124182.45638119819</v>
          </cell>
        </row>
        <row r="32">
          <cell r="I32">
            <v>124120.34580952101</v>
          </cell>
        </row>
        <row r="33">
          <cell r="I33">
            <v>124057.71764974651</v>
          </cell>
        </row>
        <row r="34">
          <cell r="I34">
            <v>123994.56758864055</v>
          </cell>
        </row>
        <row r="35">
          <cell r="I35">
            <v>123930.89127702538</v>
          </cell>
        </row>
        <row r="36">
          <cell r="I36">
            <v>123866.68432948008</v>
          </cell>
        </row>
        <row r="37">
          <cell r="I37">
            <v>123801.94232403857</v>
          </cell>
        </row>
        <row r="38">
          <cell r="I38">
            <v>123736.66080188505</v>
          </cell>
        </row>
        <row r="39">
          <cell r="I39">
            <v>123670.83526704692</v>
          </cell>
        </row>
        <row r="40">
          <cell r="I40">
            <v>123604.46118608513</v>
          </cell>
        </row>
        <row r="41">
          <cell r="I41">
            <v>123537.53398778199</v>
          </cell>
        </row>
        <row r="42">
          <cell r="I42">
            <v>123470.04906282634</v>
          </cell>
        </row>
        <row r="43">
          <cell r="I43">
            <v>123402.00176349605</v>
          </cell>
        </row>
        <row r="44">
          <cell r="I44">
            <v>123333.38740333801</v>
          </cell>
        </row>
        <row r="45">
          <cell r="I45">
            <v>123264.20125684532</v>
          </cell>
        </row>
        <row r="46">
          <cell r="I46">
            <v>123194.43855913186</v>
          </cell>
        </row>
        <row r="47">
          <cell r="I47">
            <v>123124.09450560411</v>
          </cell>
        </row>
        <row r="48">
          <cell r="I48">
            <v>123053.1642516303</v>
          </cell>
        </row>
        <row r="49">
          <cell r="I49">
            <v>122981.64291220671</v>
          </cell>
        </row>
        <row r="50">
          <cell r="I50">
            <v>122909.52556162125</v>
          </cell>
        </row>
        <row r="51">
          <cell r="I51">
            <v>122836.80723311426</v>
          </cell>
        </row>
        <row r="52">
          <cell r="I52">
            <v>122763.48291853638</v>
          </cell>
        </row>
        <row r="53">
          <cell r="I53">
            <v>122689.54756800368</v>
          </cell>
        </row>
        <row r="54">
          <cell r="I54">
            <v>122614.99608954987</v>
          </cell>
        </row>
        <row r="55">
          <cell r="I55">
            <v>122539.82334877561</v>
          </cell>
        </row>
        <row r="56">
          <cell r="I56">
            <v>122464.0241684949</v>
          </cell>
        </row>
        <row r="57">
          <cell r="I57">
            <v>122387.59332837851</v>
          </cell>
        </row>
        <row r="58">
          <cell r="I58">
            <v>122310.52556459449</v>
          </cell>
        </row>
        <row r="59">
          <cell r="I59">
            <v>122232.81556944559</v>
          </cell>
        </row>
        <row r="60">
          <cell r="I60">
            <v>122154.4579910038</v>
          </cell>
        </row>
        <row r="61">
          <cell r="I61">
            <v>122075.44743274165</v>
          </cell>
        </row>
        <row r="62">
          <cell r="I62">
            <v>121995.77845316066</v>
          </cell>
        </row>
        <row r="63">
          <cell r="I63">
            <v>121915.44556541649</v>
          </cell>
        </row>
        <row r="64">
          <cell r="I64">
            <v>121834.44323694112</v>
          </cell>
        </row>
        <row r="65">
          <cell r="I65">
            <v>121752.76588906179</v>
          </cell>
        </row>
        <row r="66">
          <cell r="I66">
            <v>121670.4078966168</v>
          </cell>
        </row>
        <row r="67">
          <cell r="I67">
            <v>121587.36358756811</v>
          </cell>
        </row>
        <row r="68">
          <cell r="I68">
            <v>121503.62724261066</v>
          </cell>
        </row>
        <row r="69">
          <cell r="I69">
            <v>121419.19309477857</v>
          </cell>
        </row>
        <row r="70">
          <cell r="I70">
            <v>121334.05532904789</v>
          </cell>
        </row>
        <row r="71">
          <cell r="I71">
            <v>121248.20808193611</v>
          </cell>
        </row>
        <row r="72">
          <cell r="I72">
            <v>121161.6454410984</v>
          </cell>
        </row>
        <row r="73">
          <cell r="I73">
            <v>121074.36144492037</v>
          </cell>
        </row>
        <row r="74">
          <cell r="I74">
            <v>120986.35008210753</v>
          </cell>
        </row>
        <row r="75">
          <cell r="I75">
            <v>120897.60529127125</v>
          </cell>
        </row>
        <row r="76">
          <cell r="I76">
            <v>120808.12096051134</v>
          </cell>
        </row>
        <row r="77">
          <cell r="I77">
            <v>120717.8909269951</v>
          </cell>
        </row>
        <row r="78">
          <cell r="I78">
            <v>120626.90897653288</v>
          </cell>
        </row>
        <row r="79">
          <cell r="I79">
            <v>120535.16884315015</v>
          </cell>
        </row>
        <row r="80">
          <cell r="I80">
            <v>120442.6642086559</v>
          </cell>
        </row>
        <row r="81">
          <cell r="I81">
            <v>120349.38870220752</v>
          </cell>
        </row>
        <row r="82">
          <cell r="I82">
            <v>120255.33589987208</v>
          </cell>
        </row>
        <row r="83">
          <cell r="I83">
            <v>120160.49932418384</v>
          </cell>
        </row>
        <row r="84">
          <cell r="I84">
            <v>120064.8724436982</v>
          </cell>
        </row>
        <row r="85">
          <cell r="I85">
            <v>119968.44867254184</v>
          </cell>
        </row>
        <row r="86">
          <cell r="I86">
            <v>119871.22136995918</v>
          </cell>
        </row>
        <row r="87">
          <cell r="I87">
            <v>119773.183839855</v>
          </cell>
        </row>
        <row r="88">
          <cell r="I88">
            <v>119674.32933033329</v>
          </cell>
        </row>
        <row r="89">
          <cell r="I89">
            <v>119574.65103323222</v>
          </cell>
        </row>
        <row r="90">
          <cell r="I90">
            <v>119474.14208365532</v>
          </cell>
        </row>
        <row r="91">
          <cell r="I91">
            <v>119372.7955594986</v>
          </cell>
        </row>
        <row r="92">
          <cell r="I92">
            <v>119270.60448097391</v>
          </cell>
        </row>
        <row r="93">
          <cell r="I93">
            <v>119167.56181012819</v>
          </cell>
        </row>
        <row r="94">
          <cell r="I94">
            <v>119063.66045035874</v>
          </cell>
        </row>
        <row r="95">
          <cell r="I95">
            <v>118958.89324592456</v>
          </cell>
        </row>
        <row r="96">
          <cell r="I96">
            <v>118853.25298145342</v>
          </cell>
        </row>
        <row r="97">
          <cell r="I97">
            <v>118746.73238144502</v>
          </cell>
        </row>
        <row r="98">
          <cell r="I98">
            <v>118639.32410976989</v>
          </cell>
        </row>
        <row r="99">
          <cell r="I99">
            <v>118531.02076916413</v>
          </cell>
        </row>
        <row r="100">
          <cell r="I100">
            <v>118421.81490071998</v>
          </cell>
        </row>
        <row r="101">
          <cell r="I101">
            <v>118311.69898337215</v>
          </cell>
        </row>
        <row r="102">
          <cell r="I102">
            <v>118200.66543337973</v>
          </cell>
        </row>
        <row r="103">
          <cell r="I103">
            <v>118088.70660380405</v>
          </cell>
        </row>
        <row r="104">
          <cell r="I104">
            <v>117975.81478398191</v>
          </cell>
        </row>
        <row r="105">
          <cell r="I105">
            <v>117861.98219899459</v>
          </cell>
        </row>
        <row r="106">
          <cell r="I106">
            <v>117747.20100913238</v>
          </cell>
        </row>
        <row r="107">
          <cell r="I107">
            <v>117631.46330935464</v>
          </cell>
        </row>
        <row r="108">
          <cell r="I108">
            <v>117514.76112874542</v>
          </cell>
        </row>
        <row r="109">
          <cell r="I109">
            <v>117397.08642996446</v>
          </cell>
        </row>
        <row r="110">
          <cell r="I110">
            <v>117278.43110869365</v>
          </cell>
        </row>
        <row r="111">
          <cell r="I111">
            <v>117158.78699307892</v>
          </cell>
        </row>
        <row r="112">
          <cell r="I112">
            <v>117038.1458431674</v>
          </cell>
        </row>
        <row r="113">
          <cell r="I113">
            <v>116916.49935033995</v>
          </cell>
        </row>
        <row r="114">
          <cell r="I114">
            <v>116793.83913673894</v>
          </cell>
        </row>
        <row r="115">
          <cell r="I115">
            <v>116670.15675469126</v>
          </cell>
        </row>
        <row r="116">
          <cell r="I116">
            <v>116545.44368612651</v>
          </cell>
        </row>
        <row r="117">
          <cell r="I117">
            <v>116419.69134199039</v>
          </cell>
        </row>
        <row r="118">
          <cell r="I118">
            <v>116292.89106165314</v>
          </cell>
        </row>
        <row r="119">
          <cell r="I119">
            <v>116165.03411231306</v>
          </cell>
        </row>
        <row r="120">
          <cell r="I120">
            <v>116036.11168839516</v>
          </cell>
        </row>
        <row r="121">
          <cell r="I121">
            <v>115906.11491094461</v>
          </cell>
        </row>
        <row r="122">
          <cell r="I122">
            <v>115775.0348270153</v>
          </cell>
        </row>
        <row r="123">
          <cell r="I123">
            <v>115642.86240905325</v>
          </cell>
        </row>
        <row r="124">
          <cell r="I124">
            <v>115509.58855427486</v>
          </cell>
        </row>
        <row r="125">
          <cell r="I125">
            <v>115375.20408403997</v>
          </cell>
        </row>
        <row r="126">
          <cell r="I126">
            <v>115239.6997432198</v>
          </cell>
        </row>
        <row r="127">
          <cell r="I127">
            <v>115103.06619955946</v>
          </cell>
        </row>
        <row r="128">
          <cell r="I128">
            <v>114965.29404303528</v>
          </cell>
        </row>
        <row r="129">
          <cell r="I129">
            <v>114826.37378520673</v>
          </cell>
        </row>
        <row r="130">
          <cell r="I130">
            <v>114686.29585856294</v>
          </cell>
        </row>
        <row r="131">
          <cell r="I131">
            <v>114545.05061586379</v>
          </cell>
        </row>
        <row r="132">
          <cell r="I132">
            <v>114402.62832947548</v>
          </cell>
        </row>
        <row r="133">
          <cell r="I133">
            <v>114259.01919070061</v>
          </cell>
        </row>
        <row r="134">
          <cell r="I134">
            <v>114114.2133091026</v>
          </cell>
        </row>
        <row r="135">
          <cell r="I135">
            <v>113968.20071182461</v>
          </cell>
        </row>
        <row r="136">
          <cell r="I136">
            <v>113820.97134290265</v>
          </cell>
        </row>
        <row r="137">
          <cell r="I137">
            <v>113672.51506257299</v>
          </cell>
        </row>
        <row r="138">
          <cell r="I138">
            <v>113522.82164657392</v>
          </cell>
        </row>
        <row r="139">
          <cell r="I139">
            <v>113371.88078544154</v>
          </cell>
        </row>
        <row r="140">
          <cell r="I140">
            <v>113219.68208379971</v>
          </cell>
        </row>
        <row r="141">
          <cell r="I141">
            <v>113066.21505964419</v>
          </cell>
        </row>
        <row r="142">
          <cell r="I142">
            <v>112911.46914362072</v>
          </cell>
        </row>
        <row r="143">
          <cell r="I143">
            <v>112755.43367829705</v>
          </cell>
        </row>
        <row r="144">
          <cell r="I144">
            <v>112598.09791742901</v>
          </cell>
        </row>
        <row r="145">
          <cell r="I145">
            <v>112439.45102522041</v>
          </cell>
        </row>
        <row r="146">
          <cell r="I146">
            <v>112279.48207557673</v>
          </cell>
        </row>
        <row r="147">
          <cell r="I147">
            <v>112118.1800513527</v>
          </cell>
        </row>
        <row r="148">
          <cell r="I148">
            <v>111955.53384359347</v>
          </cell>
        </row>
        <row r="149">
          <cell r="I149">
            <v>111791.53225076957</v>
          </cell>
        </row>
        <row r="150">
          <cell r="I150">
            <v>111626.16397800547</v>
          </cell>
        </row>
        <row r="151">
          <cell r="I151">
            <v>111459.41763630167</v>
          </cell>
        </row>
        <row r="152">
          <cell r="I152">
            <v>111291.28174175034</v>
          </cell>
        </row>
        <row r="153">
          <cell r="I153">
            <v>111121.74471474442</v>
          </cell>
        </row>
        <row r="154">
          <cell r="I154">
            <v>110950.79487918012</v>
          </cell>
        </row>
        <row r="155">
          <cell r="I155">
            <v>110778.42046165277</v>
          </cell>
        </row>
        <row r="156">
          <cell r="I156">
            <v>110604.60959064604</v>
          </cell>
        </row>
        <row r="157">
          <cell r="I157">
            <v>110429.35029571425</v>
          </cell>
        </row>
        <row r="158">
          <cell r="I158">
            <v>110252.63050665802</v>
          </cell>
        </row>
        <row r="159">
          <cell r="I159">
            <v>110074.438052693</v>
          </cell>
        </row>
        <row r="160">
          <cell r="I160">
            <v>109894.76066161161</v>
          </cell>
        </row>
        <row r="161">
          <cell r="I161">
            <v>109713.58595893787</v>
          </cell>
        </row>
        <row r="162">
          <cell r="I162">
            <v>109530.90146707518</v>
          </cell>
        </row>
        <row r="163">
          <cell r="I163">
            <v>109346.69460444697</v>
          </cell>
        </row>
        <row r="164">
          <cell r="I164">
            <v>109160.95268463019</v>
          </cell>
        </row>
        <row r="165">
          <cell r="I165">
            <v>108973.6629154816</v>
          </cell>
        </row>
        <row r="166">
          <cell r="I166">
            <v>108784.81239825678</v>
          </cell>
        </row>
        <row r="167">
          <cell r="I167">
            <v>108594.38812672174</v>
          </cell>
        </row>
        <row r="168">
          <cell r="I168">
            <v>108402.37698625724</v>
          </cell>
        </row>
        <row r="169">
          <cell r="I169">
            <v>108208.76575295554</v>
          </cell>
        </row>
        <row r="170">
          <cell r="I170">
            <v>108013.54109270967</v>
          </cell>
        </row>
        <row r="171">
          <cell r="I171">
            <v>107816.68956029507</v>
          </cell>
        </row>
        <row r="172">
          <cell r="I172">
            <v>107618.19759844369</v>
          </cell>
        </row>
        <row r="173">
          <cell r="I173">
            <v>107418.05153691021</v>
          </cell>
        </row>
        <row r="174">
          <cell r="I174">
            <v>107216.23759153062</v>
          </cell>
        </row>
        <row r="175">
          <cell r="I175">
            <v>107012.74186327287</v>
          </cell>
        </row>
        <row r="176">
          <cell r="I176">
            <v>106807.55033727964</v>
          </cell>
        </row>
        <row r="177">
          <cell r="I177">
            <v>106600.64888190312</v>
          </cell>
        </row>
        <row r="178">
          <cell r="I178">
            <v>106392.02324773181</v>
          </cell>
        </row>
        <row r="179">
          <cell r="I179">
            <v>106181.65906660906</v>
          </cell>
        </row>
        <row r="180">
          <cell r="I180">
            <v>105969.54185064363</v>
          </cell>
        </row>
        <row r="181">
          <cell r="I181">
            <v>105755.65699121181</v>
          </cell>
        </row>
        <row r="182">
          <cell r="I182">
            <v>105539.98975795141</v>
          </cell>
        </row>
        <row r="183">
          <cell r="I183">
            <v>105322.52529774715</v>
          </cell>
        </row>
        <row r="184">
          <cell r="I184">
            <v>105103.24863370787</v>
          </cell>
        </row>
        <row r="185">
          <cell r="I185">
            <v>104882.14466413493</v>
          </cell>
        </row>
        <row r="186">
          <cell r="I186">
            <v>104659.19816148221</v>
          </cell>
        </row>
        <row r="187">
          <cell r="I187">
            <v>104434.3937713074</v>
          </cell>
        </row>
        <row r="188">
          <cell r="I188">
            <v>104207.71601121445</v>
          </cell>
        </row>
        <row r="189">
          <cell r="I189">
            <v>103979.14926978739</v>
          </cell>
        </row>
        <row r="190">
          <cell r="I190">
            <v>103748.67780551511</v>
          </cell>
        </row>
        <row r="191">
          <cell r="I191">
            <v>103516.28574570722</v>
          </cell>
        </row>
        <row r="192">
          <cell r="I192">
            <v>103281.95708540094</v>
          </cell>
        </row>
        <row r="193">
          <cell r="I193">
            <v>103045.67568625876</v>
          </cell>
        </row>
        <row r="194">
          <cell r="I194">
            <v>102807.42527545708</v>
          </cell>
        </row>
        <row r="195">
          <cell r="I195">
            <v>102567.18944456537</v>
          </cell>
        </row>
        <row r="196">
          <cell r="I196">
            <v>102324.95164841625</v>
          </cell>
        </row>
        <row r="197">
          <cell r="I197">
            <v>102080.69520396588</v>
          </cell>
        </row>
        <row r="198">
          <cell r="I198">
            <v>101834.40328914509</v>
          </cell>
        </row>
        <row r="199">
          <cell r="I199">
            <v>101586.05894170079</v>
          </cell>
        </row>
        <row r="200">
          <cell r="I200">
            <v>101335.64505802779</v>
          </cell>
        </row>
        <row r="201">
          <cell r="I201">
            <v>101083.14439199085</v>
          </cell>
        </row>
        <row r="202">
          <cell r="I202">
            <v>100828.53955373693</v>
          </cell>
        </row>
        <row r="203">
          <cell r="I203">
            <v>100571.81300849757</v>
          </cell>
        </row>
        <row r="204">
          <cell r="I204">
            <v>100312.94707538121</v>
          </cell>
        </row>
        <row r="205">
          <cell r="I205">
            <v>100051.92392615553</v>
          </cell>
        </row>
        <row r="206">
          <cell r="I206">
            <v>99788.725584019659</v>
          </cell>
        </row>
        <row r="207">
          <cell r="I207">
            <v>99523.333922365986</v>
          </cell>
        </row>
        <row r="208">
          <cell r="I208">
            <v>99255.730663531867</v>
          </cell>
        </row>
        <row r="209">
          <cell r="I209">
            <v>98985.897377540794</v>
          </cell>
        </row>
        <row r="210">
          <cell r="I210">
            <v>98713.815480833131</v>
          </cell>
        </row>
        <row r="211">
          <cell r="I211">
            <v>98439.466234986234</v>
          </cell>
        </row>
        <row r="212">
          <cell r="I212">
            <v>98162.83074542394</v>
          </cell>
        </row>
        <row r="213">
          <cell r="I213">
            <v>97883.889960115295</v>
          </cell>
        </row>
        <row r="214">
          <cell r="I214">
            <v>97602.624668262419</v>
          </cell>
        </row>
        <row r="215">
          <cell r="I215">
            <v>97319.015498977431</v>
          </cell>
        </row>
        <row r="216">
          <cell r="I216">
            <v>97033.042919948406</v>
          </cell>
        </row>
        <row r="217">
          <cell r="I217">
            <v>96744.687236094134</v>
          </cell>
        </row>
        <row r="218">
          <cell r="I218">
            <v>96453.928588207738</v>
          </cell>
        </row>
        <row r="219">
          <cell r="I219">
            <v>96160.746951588968</v>
          </cell>
        </row>
        <row r="220">
          <cell r="I220">
            <v>95865.122134665027</v>
          </cell>
        </row>
        <row r="221">
          <cell r="I221">
            <v>95567.033777600067</v>
          </cell>
        </row>
        <row r="222">
          <cell r="I222">
            <v>95266.461350892889</v>
          </cell>
        </row>
        <row r="223">
          <cell r="I223">
            <v>94963.384153963154</v>
          </cell>
        </row>
        <row r="224">
          <cell r="I224">
            <v>94657.781313725674</v>
          </cell>
        </row>
        <row r="225">
          <cell r="I225">
            <v>94349.631783152887</v>
          </cell>
        </row>
        <row r="226">
          <cell r="I226">
            <v>94038.914339825322</v>
          </cell>
        </row>
        <row r="227">
          <cell r="I227">
            <v>93725.607584470024</v>
          </cell>
        </row>
        <row r="228">
          <cell r="I228">
            <v>93409.689939486765</v>
          </cell>
        </row>
        <row r="229">
          <cell r="I229">
            <v>93091.139647461983</v>
          </cell>
        </row>
        <row r="230">
          <cell r="I230">
            <v>92769.934769670319</v>
          </cell>
        </row>
        <row r="231">
          <cell r="I231">
            <v>92446.053184563731</v>
          </cell>
        </row>
        <row r="232">
          <cell r="I232">
            <v>92119.472586247924</v>
          </cell>
        </row>
        <row r="233">
          <cell r="I233">
            <v>91790.170482946152</v>
          </cell>
        </row>
        <row r="234">
          <cell r="I234">
            <v>91458.124195450189</v>
          </cell>
        </row>
        <row r="235">
          <cell r="I235">
            <v>91123.310855558433</v>
          </cell>
        </row>
        <row r="236">
          <cell r="I236">
            <v>90785.707404500907</v>
          </cell>
        </row>
        <row r="237">
          <cell r="I237">
            <v>90445.290591351237</v>
          </cell>
        </row>
        <row r="238">
          <cell r="I238">
            <v>90102.036971425317</v>
          </cell>
        </row>
        <row r="239">
          <cell r="I239">
            <v>89755.922904666688</v>
          </cell>
        </row>
        <row r="240">
          <cell r="I240">
            <v>89406.924554018406</v>
          </cell>
        </row>
        <row r="241">
          <cell r="I241">
            <v>89055.017883781387</v>
          </cell>
        </row>
        <row r="242">
          <cell r="I242">
            <v>88700.178657959055</v>
          </cell>
        </row>
        <row r="243">
          <cell r="I243">
            <v>88342.382438588204</v>
          </cell>
        </row>
        <row r="244">
          <cell r="I244">
            <v>87981.604584055924</v>
          </cell>
        </row>
        <row r="245">
          <cell r="I245">
            <v>87617.820247402546</v>
          </cell>
        </row>
        <row r="246">
          <cell r="I246">
            <v>87251.004374610391</v>
          </cell>
        </row>
        <row r="247">
          <cell r="I247">
            <v>86881.131702878309</v>
          </cell>
        </row>
        <row r="248">
          <cell r="I248">
            <v>86508.176758881789</v>
          </cell>
        </row>
        <row r="249">
          <cell r="I249">
            <v>86132.11385701863</v>
          </cell>
        </row>
        <row r="250">
          <cell r="I250">
            <v>85752.917097639947</v>
          </cell>
        </row>
        <row r="251">
          <cell r="I251">
            <v>85370.560365266443</v>
          </cell>
        </row>
        <row r="252">
          <cell r="I252">
            <v>84985.017326789821</v>
          </cell>
        </row>
        <row r="253">
          <cell r="I253">
            <v>84596.261429659222</v>
          </cell>
        </row>
        <row r="254">
          <cell r="I254">
            <v>84204.265900052545</v>
          </cell>
        </row>
        <row r="255">
          <cell r="I255">
            <v>83809.003741032473</v>
          </cell>
        </row>
        <row r="256">
          <cell r="I256">
            <v>83410.447730687229</v>
          </cell>
        </row>
        <row r="257">
          <cell r="I257">
            <v>83008.570420255783</v>
          </cell>
        </row>
        <row r="258">
          <cell r="I258">
            <v>82603.344132237413</v>
          </cell>
        </row>
        <row r="259">
          <cell r="I259">
            <v>82194.740958485549</v>
          </cell>
        </row>
        <row r="260">
          <cell r="I260">
            <v>81782.732758285754</v>
          </cell>
        </row>
        <row r="261">
          <cell r="I261">
            <v>81367.291156417632</v>
          </cell>
        </row>
        <row r="262">
          <cell r="I262">
            <v>80948.387541200602</v>
          </cell>
        </row>
        <row r="263">
          <cell r="I263">
            <v>80525.993062523426</v>
          </cell>
        </row>
        <row r="264">
          <cell r="I264">
            <v>80100.078629857278</v>
          </cell>
        </row>
        <row r="265">
          <cell r="I265">
            <v>79670.614910252247</v>
          </cell>
        </row>
        <row r="266">
          <cell r="I266">
            <v>79237.572326317168</v>
          </cell>
        </row>
        <row r="267">
          <cell r="I267">
            <v>78800.921054182632</v>
          </cell>
        </row>
        <row r="268">
          <cell r="I268">
            <v>78360.631021446985</v>
          </cell>
        </row>
        <row r="269">
          <cell r="I269">
            <v>77916.671905105206</v>
          </cell>
        </row>
        <row r="270">
          <cell r="I270">
            <v>77469.013129460582</v>
          </cell>
        </row>
        <row r="271">
          <cell r="I271">
            <v>77017.623864018911</v>
          </cell>
        </row>
        <row r="272">
          <cell r="I272">
            <v>76562.473021365222</v>
          </cell>
        </row>
        <row r="273">
          <cell r="I273">
            <v>76103.52925502276</v>
          </cell>
        </row>
        <row r="274">
          <cell r="I274">
            <v>75640.760957294115</v>
          </cell>
        </row>
        <row r="275">
          <cell r="I275">
            <v>75174.136257084392</v>
          </cell>
        </row>
        <row r="276">
          <cell r="I276">
            <v>74703.623017706253</v>
          </cell>
        </row>
        <row r="277">
          <cell r="I277">
            <v>74229.188834666624</v>
          </cell>
        </row>
        <row r="278">
          <cell r="I278">
            <v>73750.801033435011</v>
          </cell>
        </row>
        <row r="279">
          <cell r="I279">
            <v>73268.426667193125</v>
          </cell>
        </row>
        <row r="280">
          <cell r="I280">
            <v>72782.032514565886</v>
          </cell>
        </row>
        <row r="281">
          <cell r="I281">
            <v>72291.585077333424</v>
          </cell>
        </row>
        <row r="282">
          <cell r="I282">
            <v>71797.050578124021</v>
          </cell>
        </row>
        <row r="283">
          <cell r="I283">
            <v>71298.394958087883</v>
          </cell>
        </row>
        <row r="284">
          <cell r="I284">
            <v>70795.583874551434</v>
          </cell>
        </row>
        <row r="285">
          <cell r="I285">
            <v>70288.582698652186</v>
          </cell>
        </row>
        <row r="286">
          <cell r="I286">
            <v>69777.356512953775</v>
          </cell>
        </row>
        <row r="287">
          <cell r="I287">
            <v>69261.870109041221</v>
          </cell>
        </row>
        <row r="288">
          <cell r="I288">
            <v>68742.087985096063</v>
          </cell>
        </row>
        <row r="289">
          <cell r="I289">
            <v>68217.974343451351</v>
          </cell>
        </row>
        <row r="290">
          <cell r="I290">
            <v>67689.49308812627</v>
          </cell>
        </row>
        <row r="291">
          <cell r="I291">
            <v>67156.607822340142</v>
          </cell>
        </row>
        <row r="292">
          <cell r="I292">
            <v>66619.281846005804</v>
          </cell>
        </row>
        <row r="293">
          <cell r="I293">
            <v>66077.478153202013</v>
          </cell>
        </row>
        <row r="294">
          <cell r="I294">
            <v>65531.159429624859</v>
          </cell>
        </row>
        <row r="295">
          <cell r="I295">
            <v>64980.288050017894</v>
          </cell>
        </row>
        <row r="296">
          <cell r="I296">
            <v>64424.826075580866</v>
          </cell>
        </row>
        <row r="297">
          <cell r="I297">
            <v>63864.735251356862</v>
          </cell>
        </row>
        <row r="298">
          <cell r="I298">
            <v>63299.977003597662</v>
          </cell>
        </row>
        <row r="299">
          <cell r="I299">
            <v>62730.512437107136</v>
          </cell>
        </row>
        <row r="300">
          <cell r="I300">
            <v>62156.302332562518</v>
          </cell>
        </row>
        <row r="301">
          <cell r="I301">
            <v>61577.307143813363</v>
          </cell>
        </row>
        <row r="302">
          <cell r="I302">
            <v>60993.486995157968</v>
          </cell>
        </row>
        <row r="303">
          <cell r="I303">
            <v>60404.801678597112</v>
          </cell>
        </row>
        <row r="304">
          <cell r="I304">
            <v>59811.21065106491</v>
          </cell>
        </row>
        <row r="305">
          <cell r="I305">
            <v>59212.673031636608</v>
          </cell>
        </row>
        <row r="306">
          <cell r="I306">
            <v>58609.147598713069</v>
          </cell>
        </row>
        <row r="307">
          <cell r="I307">
            <v>58000.592787181835</v>
          </cell>
        </row>
        <row r="308">
          <cell r="I308">
            <v>57386.966685554507</v>
          </cell>
        </row>
        <row r="309">
          <cell r="I309">
            <v>56768.227033080286</v>
          </cell>
        </row>
        <row r="310">
          <cell r="I310">
            <v>56144.331216835446</v>
          </cell>
        </row>
        <row r="311">
          <cell r="I311">
            <v>55515.236268788569</v>
          </cell>
        </row>
        <row r="312">
          <cell r="I312">
            <v>54880.898862841299</v>
          </cell>
        </row>
        <row r="313">
          <cell r="I313">
            <v>54241.275311844467</v>
          </cell>
        </row>
        <row r="314">
          <cell r="I314">
            <v>53596.321564589329</v>
          </cell>
        </row>
        <row r="315">
          <cell r="I315">
            <v>52945.99320277373</v>
          </cell>
        </row>
        <row r="316">
          <cell r="I316">
            <v>52290.245437943006</v>
          </cell>
        </row>
        <row r="317">
          <cell r="I317">
            <v>51629.033108405354</v>
          </cell>
        </row>
        <row r="318">
          <cell r="I318">
            <v>50962.31067612156</v>
          </cell>
        </row>
        <row r="319">
          <cell r="I319">
            <v>50290.032223568734</v>
          </cell>
        </row>
        <row r="320">
          <cell r="I320">
            <v>49612.151450577963</v>
          </cell>
        </row>
        <row r="321">
          <cell r="I321">
            <v>48928.621671145607</v>
          </cell>
        </row>
        <row r="322">
          <cell r="I322">
            <v>48239.395810217982</v>
          </cell>
        </row>
        <row r="323">
          <cell r="I323">
            <v>47544.426400449287</v>
          </cell>
        </row>
        <row r="324">
          <cell r="I324">
            <v>46843.665578932523</v>
          </cell>
        </row>
        <row r="325">
          <cell r="I325">
            <v>46137.065083903122</v>
          </cell>
        </row>
        <row r="326">
          <cell r="I326">
            <v>45424.576251415143</v>
          </cell>
        </row>
        <row r="327">
          <cell r="I327">
            <v>44706.150011989761</v>
          </cell>
        </row>
        <row r="328">
          <cell r="I328">
            <v>43981.736887235835</v>
          </cell>
        </row>
        <row r="329">
          <cell r="I329">
            <v>43251.28698644229</v>
          </cell>
        </row>
        <row r="330">
          <cell r="I330">
            <v>42514.750003142137</v>
          </cell>
        </row>
        <row r="331">
          <cell r="I331">
            <v>41772.075211647811</v>
          </cell>
        </row>
        <row r="332">
          <cell r="I332">
            <v>41023.211463557702</v>
          </cell>
        </row>
        <row r="333">
          <cell r="I333">
            <v>40268.107184233508</v>
          </cell>
        </row>
        <row r="334">
          <cell r="I334">
            <v>39506.710369248278</v>
          </cell>
        </row>
        <row r="335">
          <cell r="I335">
            <v>38738.968580804838</v>
          </cell>
        </row>
        <row r="336">
          <cell r="I336">
            <v>37964.828944124369</v>
          </cell>
        </row>
        <row r="337">
          <cell r="I337">
            <v>37184.238143804898</v>
          </cell>
        </row>
        <row r="338">
          <cell r="I338">
            <v>36397.14242014943</v>
          </cell>
        </row>
        <row r="339">
          <cell r="I339">
            <v>35603.487565463503</v>
          </cell>
        </row>
        <row r="340">
          <cell r="I340">
            <v>34803.218920321859</v>
          </cell>
        </row>
        <row r="341">
          <cell r="I341">
            <v>33996.281369804034</v>
          </cell>
        </row>
        <row r="342">
          <cell r="I342">
            <v>33182.619339698562</v>
          </cell>
        </row>
        <row r="343">
          <cell r="I343">
            <v>32362.176792675542</v>
          </cell>
        </row>
        <row r="344">
          <cell r="I344">
            <v>31534.897224427332</v>
          </cell>
        </row>
        <row r="345">
          <cell r="I345">
            <v>30700.72365977705</v>
          </cell>
        </row>
        <row r="346">
          <cell r="I346">
            <v>29859.598648754683</v>
          </cell>
        </row>
        <row r="347">
          <cell r="I347">
            <v>29011.464262640464</v>
          </cell>
        </row>
        <row r="348">
          <cell r="I348">
            <v>28156.262089975295</v>
          </cell>
        </row>
        <row r="349">
          <cell r="I349">
            <v>27293.933232537915</v>
          </cell>
        </row>
        <row r="350">
          <cell r="I350">
            <v>26424.418301288555</v>
          </cell>
        </row>
        <row r="351">
          <cell r="I351">
            <v>25547.657412278786</v>
          </cell>
        </row>
        <row r="352">
          <cell r="I352">
            <v>24663.590182527267</v>
          </cell>
        </row>
        <row r="353">
          <cell r="I353">
            <v>23772.155725861154</v>
          </cell>
        </row>
        <row r="354">
          <cell r="I354">
            <v>22873.292648722821</v>
          </cell>
        </row>
        <row r="355">
          <cell r="I355">
            <v>21966.939045941672</v>
          </cell>
        </row>
        <row r="356">
          <cell r="I356">
            <v>21053.032496470678</v>
          </cell>
        </row>
        <row r="357">
          <cell r="I357">
            <v>20131.510059087424</v>
          </cell>
        </row>
        <row r="358">
          <cell r="I358">
            <v>19202.308268059311</v>
          </cell>
        </row>
        <row r="359">
          <cell r="I359">
            <v>18265.363128772631</v>
          </cell>
        </row>
        <row r="360">
          <cell r="I360">
            <v>17320.610113325227</v>
          </cell>
        </row>
        <row r="361">
          <cell r="I361">
            <v>16367.98415608243</v>
          </cell>
        </row>
        <row r="362">
          <cell r="I362">
            <v>15407.419649195941</v>
          </cell>
        </row>
        <row r="363">
          <cell r="I363">
            <v>14438.850438085399</v>
          </cell>
        </row>
        <row r="364">
          <cell r="I364">
            <v>13462.209816882269</v>
          </cell>
        </row>
        <row r="365">
          <cell r="I365">
            <v>12477.430523835779</v>
          </cell>
        </row>
        <row r="366">
          <cell r="I366">
            <v>11484.444736680569</v>
          </cell>
        </row>
        <row r="367">
          <cell r="I367">
            <v>10483.184067965733</v>
          </cell>
        </row>
        <row r="368">
          <cell r="I368">
            <v>9473.5795603449387</v>
          </cell>
        </row>
        <row r="369">
          <cell r="I369">
            <v>8455.5616818273047</v>
          </cell>
        </row>
        <row r="370">
          <cell r="I370">
            <v>7429.0603209886904</v>
          </cell>
        </row>
        <row r="371">
          <cell r="I371">
            <v>6394.0047821430881</v>
          </cell>
        </row>
        <row r="372">
          <cell r="I372">
            <v>5350.3237804737728</v>
          </cell>
        </row>
        <row r="373">
          <cell r="I373">
            <v>4297.9454371238789</v>
          </cell>
        </row>
        <row r="374">
          <cell r="I374">
            <v>3236.7972742460697</v>
          </cell>
        </row>
        <row r="375">
          <cell r="I375">
            <v>2166.8062100109455</v>
          </cell>
        </row>
        <row r="376">
          <cell r="I376">
            <v>1087.8985535738618</v>
          </cell>
        </row>
        <row r="377">
          <cell r="I377">
            <v>0</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ropdown List"/>
      <sheetName val="Rental Prop Amortization"/>
      <sheetName val="Data_Calcs"/>
      <sheetName val="SnapShot"/>
      <sheetName val="Sheet2"/>
    </sheetNames>
    <sheetDataSet>
      <sheetData sheetId="0" refreshError="1"/>
      <sheetData sheetId="1">
        <row r="1">
          <cell r="A1" t="str">
            <v>Single</v>
          </cell>
        </row>
        <row r="2">
          <cell r="A2" t="str">
            <v>Head Of Household</v>
          </cell>
        </row>
        <row r="3">
          <cell r="A3" t="str">
            <v>Married, Jointly</v>
          </cell>
        </row>
        <row r="4">
          <cell r="A4" t="str">
            <v>Married, Separately</v>
          </cell>
        </row>
        <row r="6">
          <cell r="A6" t="str">
            <v>Fixed</v>
          </cell>
        </row>
        <row r="7">
          <cell r="A7" t="str">
            <v>ARM</v>
          </cell>
        </row>
        <row r="9">
          <cell r="A9">
            <v>30</v>
          </cell>
        </row>
        <row r="10">
          <cell r="A10">
            <v>25</v>
          </cell>
        </row>
        <row r="11">
          <cell r="A11">
            <v>20</v>
          </cell>
        </row>
        <row r="12">
          <cell r="A12">
            <v>15</v>
          </cell>
        </row>
        <row r="13">
          <cell r="A13">
            <v>10</v>
          </cell>
        </row>
        <row r="14">
          <cell r="A14">
            <v>8</v>
          </cell>
        </row>
      </sheetData>
      <sheetData sheetId="2">
        <row r="12">
          <cell r="E12">
            <v>174386.50451055699</v>
          </cell>
        </row>
      </sheetData>
      <sheetData sheetId="3" refreshError="1"/>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taxslayerpro.com/kb/50596/closing-cost-deduction" TargetMode="External"/><Relationship Id="rId1" Type="http://schemas.openxmlformats.org/officeDocument/2006/relationships/hyperlink" Target="https://www.taxslayerpro.com/kb/50596/closing-cost-deductio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workbookViewId="0">
      <selection activeCell="B11" sqref="B11"/>
    </sheetView>
  </sheetViews>
  <sheetFormatPr defaultRowHeight="15" x14ac:dyDescent="0.25"/>
  <cols>
    <col min="2" max="2" width="13.42578125" customWidth="1"/>
    <col min="5" max="5" width="13.42578125" customWidth="1"/>
  </cols>
  <sheetData>
    <row r="2" spans="1:5" x14ac:dyDescent="0.25">
      <c r="A2" s="176" t="s">
        <v>73</v>
      </c>
      <c r="B2" s="176"/>
    </row>
    <row r="3" spans="1:5" x14ac:dyDescent="0.25">
      <c r="A3" s="35">
        <v>30</v>
      </c>
      <c r="B3" s="35"/>
    </row>
    <row r="4" spans="1:5" x14ac:dyDescent="0.25">
      <c r="A4" s="35">
        <v>25</v>
      </c>
      <c r="B4" s="35"/>
    </row>
    <row r="5" spans="1:5" x14ac:dyDescent="0.25">
      <c r="A5" s="35">
        <v>20</v>
      </c>
      <c r="B5" s="35"/>
    </row>
    <row r="6" spans="1:5" x14ac:dyDescent="0.25">
      <c r="A6" s="35">
        <v>15</v>
      </c>
      <c r="B6" s="35"/>
    </row>
    <row r="7" spans="1:5" x14ac:dyDescent="0.25">
      <c r="A7" s="35">
        <v>10</v>
      </c>
    </row>
    <row r="9" spans="1:5" x14ac:dyDescent="0.25">
      <c r="A9" s="176" t="s">
        <v>15</v>
      </c>
      <c r="B9" s="176"/>
      <c r="C9" s="176"/>
      <c r="D9" s="176"/>
      <c r="E9" s="176"/>
    </row>
    <row r="10" spans="1:5" x14ac:dyDescent="0.25">
      <c r="B10">
        <v>0</v>
      </c>
      <c r="C10">
        <v>2550</v>
      </c>
      <c r="D10" s="22">
        <v>0.15</v>
      </c>
      <c r="E10" s="9">
        <f>D10*C10</f>
        <v>382.5</v>
      </c>
    </row>
    <row r="11" spans="1:5" x14ac:dyDescent="0.25">
      <c r="B11">
        <v>2550</v>
      </c>
      <c r="C11">
        <v>5950</v>
      </c>
      <c r="D11" s="22">
        <v>0.25</v>
      </c>
      <c r="E11" s="9">
        <f>(D11*(C11-B11)+E10)</f>
        <v>1232.5</v>
      </c>
    </row>
    <row r="12" spans="1:5" x14ac:dyDescent="0.25">
      <c r="B12">
        <v>5950</v>
      </c>
      <c r="C12">
        <v>9050</v>
      </c>
      <c r="D12" s="22">
        <v>0.28000000000000003</v>
      </c>
      <c r="E12" s="9">
        <f>(D12*(C12-B12)+E11)</f>
        <v>2100.5</v>
      </c>
    </row>
    <row r="13" spans="1:5" x14ac:dyDescent="0.25">
      <c r="B13">
        <v>9050</v>
      </c>
      <c r="C13">
        <v>12400</v>
      </c>
      <c r="D13" s="22">
        <v>0.33</v>
      </c>
      <c r="E13" s="9">
        <f>(D13*(C13-B13)+E12)</f>
        <v>3206</v>
      </c>
    </row>
    <row r="14" spans="1:5" x14ac:dyDescent="0.25">
      <c r="B14">
        <v>12400</v>
      </c>
      <c r="D14" s="20">
        <v>0.39600000000000002</v>
      </c>
    </row>
  </sheetData>
  <sheetProtection password="C74A" sheet="1" objects="1" scenarios="1"/>
  <mergeCells count="2">
    <mergeCell ref="A2:B2"/>
    <mergeCell ref="A9:E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8"/>
  <sheetViews>
    <sheetView showGridLines="0" zoomScaleNormal="100" workbookViewId="0">
      <pane ySplit="17" topLeftCell="A309" activePane="bottomLeft" state="frozenSplit"/>
      <selection pane="bottomLeft" activeCell="D11" sqref="D11"/>
    </sheetView>
  </sheetViews>
  <sheetFormatPr defaultRowHeight="12.75" x14ac:dyDescent="0.2"/>
  <cols>
    <col min="1" max="1" width="4.7109375" style="119" customWidth="1"/>
    <col min="2" max="2" width="13.28515625" style="118" customWidth="1"/>
    <col min="3" max="3" width="15.42578125" style="118" customWidth="1"/>
    <col min="4" max="4" width="14" style="118" customWidth="1"/>
    <col min="5" max="5" width="12.140625" style="118" customWidth="1"/>
    <col min="6" max="6" width="14.42578125" style="118" customWidth="1"/>
    <col min="7" max="7" width="14.140625" style="118" customWidth="1"/>
    <col min="8" max="9" width="13.5703125" style="118" customWidth="1"/>
    <col min="10" max="10" width="13" style="118" customWidth="1"/>
    <col min="11" max="11" width="9.140625" style="117"/>
    <col min="12" max="12" width="10.28515625" style="117" bestFit="1" customWidth="1"/>
    <col min="13" max="14" width="9.140625" style="117"/>
    <col min="15" max="15" width="10.7109375" style="117" bestFit="1" customWidth="1"/>
    <col min="16" max="16384" width="9.140625" style="117"/>
  </cols>
  <sheetData>
    <row r="1" spans="1:21" ht="24" customHeight="1" x14ac:dyDescent="0.3">
      <c r="A1" s="182" t="s">
        <v>126</v>
      </c>
      <c r="B1" s="183"/>
      <c r="C1" s="183"/>
      <c r="D1" s="183"/>
      <c r="E1" s="134"/>
      <c r="F1" s="134"/>
      <c r="G1" s="134"/>
      <c r="H1" s="134"/>
      <c r="I1" s="134"/>
      <c r="J1" s="134"/>
    </row>
    <row r="2" spans="1:21" ht="3" customHeight="1" x14ac:dyDescent="0.25">
      <c r="A2" s="136"/>
      <c r="B2" s="135"/>
      <c r="C2" s="135"/>
      <c r="D2" s="135"/>
      <c r="E2" s="135"/>
      <c r="F2" s="135"/>
      <c r="G2" s="135"/>
      <c r="H2" s="135"/>
      <c r="I2" s="135"/>
      <c r="J2" s="135"/>
    </row>
    <row r="3" spans="1:21" ht="20.25" customHeight="1" x14ac:dyDescent="0.25">
      <c r="A3" s="134"/>
      <c r="B3" s="133"/>
      <c r="C3" s="133"/>
      <c r="D3" s="133"/>
      <c r="E3" s="133"/>
      <c r="F3" s="133"/>
      <c r="G3" s="133"/>
      <c r="H3" s="133"/>
      <c r="I3" s="133"/>
      <c r="J3" s="171" t="s">
        <v>96</v>
      </c>
      <c r="K3" s="172" t="s">
        <v>58</v>
      </c>
      <c r="L3" s="172" t="s">
        <v>59</v>
      </c>
      <c r="M3" s="172"/>
      <c r="N3" s="172" t="s">
        <v>96</v>
      </c>
      <c r="O3" s="172" t="s">
        <v>127</v>
      </c>
      <c r="P3" s="172" t="s">
        <v>59</v>
      </c>
      <c r="Q3" s="172"/>
      <c r="R3" s="172" t="s">
        <v>96</v>
      </c>
      <c r="S3" s="172" t="s">
        <v>127</v>
      </c>
      <c r="T3" s="172" t="s">
        <v>59</v>
      </c>
    </row>
    <row r="4" spans="1:21" ht="14.25" customHeight="1" x14ac:dyDescent="0.25">
      <c r="A4" s="134"/>
      <c r="B4" s="179" t="s">
        <v>57</v>
      </c>
      <c r="C4" s="180"/>
      <c r="D4" s="181"/>
      <c r="E4" s="134"/>
      <c r="F4" s="179" t="s">
        <v>125</v>
      </c>
      <c r="G4" s="180"/>
      <c r="H4" s="181"/>
      <c r="I4" s="153"/>
      <c r="J4" s="166">
        <v>1</v>
      </c>
      <c r="K4" s="169">
        <f>SUM(H18:H29)</f>
        <v>4966.4941305781886</v>
      </c>
      <c r="L4" s="170">
        <f>SUM(G18:G29)</f>
        <v>1475.3653455674805</v>
      </c>
      <c r="M4" s="169"/>
      <c r="N4" s="117">
        <v>11</v>
      </c>
      <c r="O4" s="169">
        <f>SUM(H138:H149)</f>
        <v>4011.9187394329219</v>
      </c>
      <c r="P4" s="169">
        <f>SUM(G138:G149)</f>
        <v>2429.9407367127469</v>
      </c>
      <c r="Q4" s="169"/>
      <c r="R4" s="117">
        <v>21</v>
      </c>
      <c r="S4" s="169">
        <f>SUM(H258:H269)</f>
        <v>2439.7240039552557</v>
      </c>
      <c r="T4" s="169">
        <f>SUM(G258:G269)</f>
        <v>4002.1354721904127</v>
      </c>
      <c r="U4" s="169"/>
    </row>
    <row r="5" spans="1:21" ht="14.25" x14ac:dyDescent="0.3">
      <c r="A5" s="134"/>
      <c r="B5" s="147"/>
      <c r="C5" s="146" t="s">
        <v>60</v>
      </c>
      <c r="D5" s="152">
        <f>Input!D6</f>
        <v>100000</v>
      </c>
      <c r="E5" s="134"/>
      <c r="F5" s="147"/>
      <c r="G5" s="146" t="s">
        <v>124</v>
      </c>
      <c r="H5" s="144">
        <f>IF(Values_Entered,-PMT(Interest_Rate/Num_Pmt_Per_Year,Loan_Years*Num_Pmt_Per_Year,Loan_Amount),"")</f>
        <v>536.82162301213907</v>
      </c>
      <c r="I5" s="143"/>
      <c r="J5" s="166">
        <v>2</v>
      </c>
      <c r="K5" s="169">
        <f>SUM(H30:H41)</f>
        <v>4891.0116394300167</v>
      </c>
      <c r="L5" s="169">
        <f>SUM(G30:G41)</f>
        <v>1550.8478367156533</v>
      </c>
      <c r="M5" s="169"/>
      <c r="N5" s="117">
        <v>12</v>
      </c>
      <c r="O5" s="169">
        <f>SUM(H150:H161)</f>
        <v>3887.5983596025617</v>
      </c>
      <c r="P5" s="169">
        <f>SUM(G150:G161)</f>
        <v>2554.2611165431076</v>
      </c>
      <c r="Q5" s="169"/>
      <c r="R5" s="117">
        <v>22</v>
      </c>
      <c r="S5" s="169">
        <f>SUM(H270:H281)</f>
        <v>2234.9671576181872</v>
      </c>
      <c r="T5" s="169">
        <f>SUM(G270:G281)</f>
        <v>4206.8923185274816</v>
      </c>
      <c r="U5" s="169"/>
    </row>
    <row r="6" spans="1:21" ht="14.25" x14ac:dyDescent="0.3">
      <c r="A6" s="134"/>
      <c r="B6" s="147"/>
      <c r="C6" s="146" t="s">
        <v>61</v>
      </c>
      <c r="D6" s="151">
        <f>Input!D10</f>
        <v>0.05</v>
      </c>
      <c r="E6" s="134"/>
      <c r="F6" s="147"/>
      <c r="G6" s="146" t="s">
        <v>123</v>
      </c>
      <c r="H6" s="150">
        <f>IF(Values_Entered,Loan_Years*Num_Pmt_Per_Year,"")</f>
        <v>360</v>
      </c>
      <c r="I6" s="149"/>
      <c r="J6" s="167">
        <v>3</v>
      </c>
      <c r="K6" s="169">
        <f>SUM(H42:H53)</f>
        <v>4811.6673207778631</v>
      </c>
      <c r="L6" s="169">
        <f>SUM(G42:G53)</f>
        <v>1630.1921553678062</v>
      </c>
      <c r="M6" s="169"/>
      <c r="N6" s="117">
        <v>13</v>
      </c>
      <c r="O6" s="169">
        <f>SUM(H162:H173)</f>
        <v>3756.9175131947022</v>
      </c>
      <c r="P6" s="169">
        <f>SUM(G162:G173)</f>
        <v>2684.9419629509666</v>
      </c>
      <c r="Q6" s="169"/>
      <c r="R6" s="117">
        <v>23</v>
      </c>
      <c r="S6" s="169">
        <f>SUM(H282:H293)</f>
        <v>2019.7345624182365</v>
      </c>
      <c r="T6" s="169">
        <f>SUM(G282:G293)</f>
        <v>4422.1249137274317</v>
      </c>
      <c r="U6" s="169"/>
    </row>
    <row r="7" spans="1:21" ht="14.25" x14ac:dyDescent="0.3">
      <c r="A7" s="134"/>
      <c r="B7" s="147"/>
      <c r="C7" s="146" t="s">
        <v>62</v>
      </c>
      <c r="D7" s="148">
        <f>Input!D9</f>
        <v>30</v>
      </c>
      <c r="E7" s="134"/>
      <c r="F7" s="147"/>
      <c r="G7" s="146" t="s">
        <v>122</v>
      </c>
      <c r="H7" s="150">
        <f>IF(Values_Entered,Number_of_Payments,"")</f>
        <v>360</v>
      </c>
      <c r="I7" s="149"/>
      <c r="J7" s="167">
        <v>4</v>
      </c>
      <c r="K7" s="169">
        <f>SUM(H54:H65)</f>
        <v>4728.2635961973328</v>
      </c>
      <c r="L7" s="169">
        <f>SUM(G54:G65)</f>
        <v>1713.5958799483365</v>
      </c>
      <c r="M7" s="169"/>
      <c r="N7" s="117">
        <v>14</v>
      </c>
      <c r="O7" s="169">
        <f>SUM(H174:H185)</f>
        <v>3619.5507866678254</v>
      </c>
      <c r="P7" s="169">
        <f>SUM(G174:G185)</f>
        <v>2822.3086894778435</v>
      </c>
      <c r="Q7" s="169"/>
      <c r="R7" s="117">
        <v>24</v>
      </c>
      <c r="S7" s="169">
        <f>SUM(H294:H305)</f>
        <v>1793.4902591618452</v>
      </c>
      <c r="T7" s="169">
        <f>SUM(G294:G305)</f>
        <v>4648.3692169838232</v>
      </c>
      <c r="U7" s="169"/>
    </row>
    <row r="8" spans="1:21" ht="14.25" x14ac:dyDescent="0.3">
      <c r="A8" s="134"/>
      <c r="B8" s="147"/>
      <c r="C8" s="146" t="s">
        <v>121</v>
      </c>
      <c r="D8" s="148">
        <v>12</v>
      </c>
      <c r="E8" s="134"/>
      <c r="F8" s="147"/>
      <c r="G8" s="146" t="s">
        <v>120</v>
      </c>
      <c r="H8" s="144">
        <f>IF(Values_Entered,SUMIF(Beg_Bal,"&gt;0",Extra_Pay),"")</f>
        <v>0</v>
      </c>
      <c r="I8" s="143"/>
      <c r="J8" s="167">
        <v>5</v>
      </c>
      <c r="K8" s="169">
        <f>SUM(H66:H77)</f>
        <v>4640.5927787768569</v>
      </c>
      <c r="L8" s="169">
        <f>SUM(G66:G77)</f>
        <v>1801.2666973688122</v>
      </c>
      <c r="M8" s="169"/>
      <c r="N8" s="117">
        <v>15</v>
      </c>
      <c r="O8" s="169">
        <f>SUM(H186:H197)</f>
        <v>3475.1561177060325</v>
      </c>
      <c r="P8" s="169">
        <f>SUM(G186:G197)</f>
        <v>2966.7033584396368</v>
      </c>
      <c r="Q8" s="169"/>
      <c r="R8" s="117">
        <v>25</v>
      </c>
      <c r="S8" s="169">
        <f>SUM(H306:H317)</f>
        <v>1555.6708679659264</v>
      </c>
      <c r="T8" s="169">
        <f>SUM(G306:G317)</f>
        <v>4886.1886081797429</v>
      </c>
      <c r="U8" s="169"/>
    </row>
    <row r="9" spans="1:21" ht="14.25" x14ac:dyDescent="0.3">
      <c r="A9" s="134"/>
      <c r="B9" s="147"/>
      <c r="C9" s="146" t="s">
        <v>63</v>
      </c>
      <c r="D9" s="145">
        <v>42370</v>
      </c>
      <c r="E9" s="134"/>
      <c r="F9" s="142"/>
      <c r="G9" s="141" t="s">
        <v>64</v>
      </c>
      <c r="H9" s="144">
        <f>IF(Values_Entered,SUMIF(Beg_Bal,"&gt;0",Int),"")</f>
        <v>93255.784284370049</v>
      </c>
      <c r="I9" s="143"/>
      <c r="J9" s="167">
        <v>6</v>
      </c>
      <c r="K9" s="169">
        <f>SUM(H78:H89)</f>
        <v>4548.4365559483067</v>
      </c>
      <c r="L9" s="169">
        <f>SUM(G78:G89)</f>
        <v>1893.4229201973617</v>
      </c>
      <c r="M9" s="169"/>
      <c r="N9" s="117">
        <v>16</v>
      </c>
      <c r="O9" s="169">
        <f>SUM(H198:H209)</f>
        <v>3323.3739434361491</v>
      </c>
      <c r="P9" s="169">
        <f>SUM(G198:G209)</f>
        <v>3118.4855327095197</v>
      </c>
      <c r="Q9" s="169"/>
      <c r="R9" s="117">
        <v>26</v>
      </c>
      <c r="S9" s="169">
        <f>SUM(H318:H329)</f>
        <v>1305.6841853633468</v>
      </c>
      <c r="T9" s="169">
        <f>SUM(G318:G329)</f>
        <v>5136.1752907823229</v>
      </c>
      <c r="U9" s="169"/>
    </row>
    <row r="10" spans="1:21" ht="14.25" x14ac:dyDescent="0.3">
      <c r="A10" s="134"/>
      <c r="B10" s="142"/>
      <c r="C10" s="141" t="s">
        <v>119</v>
      </c>
      <c r="D10" s="140">
        <f>Input!D12</f>
        <v>0</v>
      </c>
      <c r="E10" s="134"/>
      <c r="F10" s="133"/>
      <c r="G10" s="133"/>
      <c r="H10" s="133"/>
      <c r="I10" s="133"/>
      <c r="J10" s="167">
        <v>7</v>
      </c>
      <c r="K10" s="169">
        <f>SUM(H90:H101)</f>
        <v>4451.5654458582367</v>
      </c>
      <c r="L10" s="169">
        <f>SUM(G90:G101)</f>
        <v>1990.294030287432</v>
      </c>
      <c r="M10" s="169"/>
      <c r="N10" s="117">
        <v>17</v>
      </c>
      <c r="O10" s="169">
        <f>SUM(H210:H221)</f>
        <v>3163.826305066003</v>
      </c>
      <c r="P10" s="169">
        <f>SUM(G210:G221)</f>
        <v>3278.0331710796659</v>
      </c>
      <c r="Q10" s="169"/>
      <c r="R10" s="117">
        <v>27</v>
      </c>
      <c r="S10" s="169">
        <f>SUM(H330:H341)</f>
        <v>1042.9077096336603</v>
      </c>
      <c r="T10" s="169">
        <f>SUM(G330:G341)</f>
        <v>5398.9517665120084</v>
      </c>
      <c r="U10" s="169"/>
    </row>
    <row r="11" spans="1:21" ht="13.5" x14ac:dyDescent="0.25">
      <c r="A11" s="134"/>
      <c r="B11" s="133"/>
      <c r="C11" s="133"/>
      <c r="D11" s="133"/>
      <c r="E11" s="133"/>
      <c r="F11" s="133"/>
      <c r="G11" s="133"/>
      <c r="H11" s="133"/>
      <c r="I11" s="133"/>
      <c r="J11" s="166">
        <v>8</v>
      </c>
      <c r="K11" s="169">
        <f>SUM(H102:H113)</f>
        <v>4349.7382259260485</v>
      </c>
      <c r="L11" s="169">
        <f>SUM(G102:G113)</f>
        <v>2092.1212502196204</v>
      </c>
      <c r="M11" s="169"/>
      <c r="N11" s="117">
        <v>18</v>
      </c>
      <c r="O11" s="169">
        <f>SUM(H222:H233)</f>
        <v>2996.1159067142912</v>
      </c>
      <c r="P11" s="169">
        <f>SUM(G222:G233)</f>
        <v>3445.7435694313772</v>
      </c>
      <c r="Q11" s="169"/>
      <c r="R11" s="117">
        <v>28</v>
      </c>
      <c r="S11" s="169">
        <f>SUM(H342:H353)</f>
        <v>766.68709068696955</v>
      </c>
      <c r="T11" s="169">
        <f>SUM(G342:G353)</f>
        <v>5675.172385458699</v>
      </c>
      <c r="U11" s="169"/>
    </row>
    <row r="12" spans="1:21" ht="13.5" x14ac:dyDescent="0.25">
      <c r="A12" s="134"/>
      <c r="B12" s="138" t="s">
        <v>118</v>
      </c>
      <c r="C12" s="177"/>
      <c r="D12" s="178"/>
      <c r="E12" s="139"/>
      <c r="F12" s="133"/>
      <c r="G12" s="133"/>
      <c r="H12" s="133"/>
      <c r="I12" s="133"/>
      <c r="J12" s="166">
        <v>9</v>
      </c>
      <c r="K12" s="169">
        <f>SUM(H114:H125)</f>
        <v>4242.7013321661079</v>
      </c>
      <c r="L12" s="169">
        <f>SUM(G114:G125)</f>
        <v>2199.1581439795614</v>
      </c>
      <c r="M12" s="169"/>
      <c r="N12" s="117">
        <v>19</v>
      </c>
      <c r="O12" s="169">
        <f>SUM(H234:H245)</f>
        <v>2819.8251260884035</v>
      </c>
      <c r="P12" s="169">
        <f>SUM(G234:G245)</f>
        <v>3622.0343500572653</v>
      </c>
      <c r="Q12" s="169"/>
      <c r="R12" s="117">
        <v>29</v>
      </c>
      <c r="S12" s="169">
        <f>SUM(H354:H365)</f>
        <v>476.33450064089925</v>
      </c>
      <c r="T12" s="169">
        <f>SUM(G354:G365)</f>
        <v>5965.5249755047698</v>
      </c>
      <c r="U12" s="169"/>
    </row>
    <row r="13" spans="1:21" ht="13.5" x14ac:dyDescent="0.25">
      <c r="A13" s="134"/>
      <c r="B13" s="138"/>
      <c r="C13" s="137"/>
      <c r="D13" s="137"/>
      <c r="E13" s="133"/>
      <c r="F13" s="133"/>
      <c r="G13" s="133"/>
      <c r="H13" s="133"/>
      <c r="I13" s="133"/>
      <c r="J13" s="166">
        <v>10</v>
      </c>
      <c r="K13" s="169">
        <f>SUM(H126:H137)</f>
        <v>4130.1882277780451</v>
      </c>
      <c r="L13" s="169">
        <f>SUM(G126:G137)</f>
        <v>2311.6712483676242</v>
      </c>
      <c r="M13" s="169"/>
      <c r="N13" s="117">
        <v>20</v>
      </c>
      <c r="O13" s="169">
        <f>SUM(H246:H257)</f>
        <v>2634.5149745466438</v>
      </c>
      <c r="P13" s="169">
        <f>SUM(G246:G257)</f>
        <v>3807.3445015990255</v>
      </c>
      <c r="Q13" s="169"/>
      <c r="R13" s="117">
        <v>30</v>
      </c>
      <c r="S13" s="169">
        <f>SUM(H366:H377)</f>
        <v>171.12692103319526</v>
      </c>
      <c r="T13" s="169">
        <f>SUM(G366:G377)</f>
        <v>6268.5050794983472</v>
      </c>
      <c r="U13" s="169"/>
    </row>
    <row r="14" spans="1:21" ht="6" customHeight="1" x14ac:dyDescent="0.25">
      <c r="A14" s="136"/>
      <c r="B14" s="135"/>
      <c r="C14" s="135"/>
      <c r="D14" s="135"/>
      <c r="E14" s="135"/>
      <c r="F14" s="135"/>
      <c r="G14" s="135"/>
      <c r="H14" s="135"/>
      <c r="I14" s="135"/>
      <c r="J14" s="168"/>
    </row>
    <row r="15" spans="1:21" ht="3.75" customHeight="1" x14ac:dyDescent="0.25">
      <c r="A15" s="134"/>
      <c r="B15" s="133"/>
      <c r="C15" s="133"/>
      <c r="D15" s="133"/>
      <c r="E15" s="133"/>
      <c r="F15" s="133"/>
      <c r="G15" s="133"/>
      <c r="H15" s="133"/>
      <c r="I15" s="133"/>
      <c r="J15" s="133"/>
    </row>
    <row r="16" spans="1:21" s="126" customFormat="1" ht="28.5" customHeight="1" x14ac:dyDescent="0.2">
      <c r="A16" s="132" t="s">
        <v>117</v>
      </c>
      <c r="B16" s="131" t="s">
        <v>65</v>
      </c>
      <c r="C16" s="131" t="s">
        <v>66</v>
      </c>
      <c r="D16" s="131" t="s">
        <v>116</v>
      </c>
      <c r="E16" s="131" t="s">
        <v>115</v>
      </c>
      <c r="F16" s="131" t="s">
        <v>114</v>
      </c>
      <c r="G16" s="131" t="s">
        <v>59</v>
      </c>
      <c r="H16" s="131" t="s">
        <v>58</v>
      </c>
      <c r="I16" s="131" t="s">
        <v>67</v>
      </c>
      <c r="J16" s="131" t="s">
        <v>113</v>
      </c>
    </row>
    <row r="17" spans="1:11" s="126" customFormat="1" ht="6" customHeight="1" x14ac:dyDescent="0.2">
      <c r="A17" s="130"/>
      <c r="B17" s="129"/>
      <c r="C17" s="129"/>
      <c r="D17" s="129"/>
      <c r="E17" s="129"/>
      <c r="F17" s="129"/>
      <c r="G17" s="129"/>
      <c r="H17" s="129"/>
      <c r="I17" s="129"/>
      <c r="J17" s="128"/>
    </row>
    <row r="18" spans="1:11" s="126" customFormat="1" x14ac:dyDescent="0.2">
      <c r="A18" s="125">
        <f>IF(Values_Entered,1,"")</f>
        <v>1</v>
      </c>
      <c r="B18" s="124">
        <f t="shared" ref="B18:B81" si="0">IF(Pay_Num&lt;&gt;"",DATE(YEAR(Loan_Start),MONTH(Loan_Start)+(Pay_Num)*12/Num_Pmt_Per_Year,DAY(Loan_Start)),"")</f>
        <v>42401</v>
      </c>
      <c r="C18" s="127">
        <f>IF(Values_Entered,Loan_Amount,"")</f>
        <v>100000</v>
      </c>
      <c r="D18" s="127">
        <f t="shared" ref="D18:D81" si="1">IF(Pay_Num&lt;&gt;"",Scheduled_Monthly_Payment,"")</f>
        <v>536.82162301213907</v>
      </c>
      <c r="E18" s="127">
        <f t="shared" ref="E18:E81" si="2">IF(AND(Pay_Num&lt;&gt;"",Sched_Pay+Scheduled_Extra_Payments&lt;Beg_Bal),Scheduled_Extra_Payments,IF(AND(Pay_Num&lt;&gt;"",Beg_Bal-Sched_Pay&gt;0),Beg_Bal-Sched_Pay,IF(Pay_Num&lt;&gt;"",0,"")))</f>
        <v>0</v>
      </c>
      <c r="F18" s="127">
        <f t="shared" ref="F18:F81" si="3">IF(AND(Pay_Num&lt;&gt;"",Sched_Pay+Extra_Pay&lt;Beg_Bal),Sched_Pay+Extra_Pay,IF(Pay_Num&lt;&gt;"",Beg_Bal,""))</f>
        <v>536.82162301213907</v>
      </c>
      <c r="G18" s="127">
        <f t="shared" ref="G18:G81" si="4">IF(Pay_Num&lt;&gt;"",Total_Pay-Int,"")</f>
        <v>120.15495634547239</v>
      </c>
      <c r="H18" s="127">
        <f>IF(Pay_Num&lt;&gt;"",Beg_Bal*(Interest_Rate/Num_Pmt_Per_Year),"")</f>
        <v>416.66666666666669</v>
      </c>
      <c r="I18" s="127">
        <f t="shared" ref="I18:I81" si="5">IF(AND(Pay_Num&lt;&gt;"",Sched_Pay+Extra_Pay&lt;Beg_Bal),Beg_Bal-Princ,IF(Pay_Num&lt;&gt;"",0,""))</f>
        <v>99879.845043654524</v>
      </c>
      <c r="J18" s="127">
        <f>SUM($H$18:$H18)</f>
        <v>416.66666666666669</v>
      </c>
      <c r="K18" s="126">
        <v>1</v>
      </c>
    </row>
    <row r="19" spans="1:11" s="126" customFormat="1" ht="12.75" customHeight="1" x14ac:dyDescent="0.2">
      <c r="A19" s="125">
        <f>IF(Values_Entered,A18+1,"")</f>
        <v>2</v>
      </c>
      <c r="B19" s="124">
        <f t="shared" si="0"/>
        <v>42430</v>
      </c>
      <c r="C19" s="122">
        <f t="shared" ref="C19:C82" si="6">IF(Pay_Num&lt;&gt;"",I18,"")</f>
        <v>99879.845043654524</v>
      </c>
      <c r="D19" s="122">
        <f t="shared" si="1"/>
        <v>536.82162301213907</v>
      </c>
      <c r="E19" s="123">
        <f t="shared" si="2"/>
        <v>0</v>
      </c>
      <c r="F19" s="122">
        <f t="shared" si="3"/>
        <v>536.82162301213907</v>
      </c>
      <c r="G19" s="122">
        <f t="shared" si="4"/>
        <v>120.65560199691186</v>
      </c>
      <c r="H19" s="122">
        <f t="shared" ref="H19:H82" si="7">IF(Pay_Num&lt;&gt;"",Beg_Bal*Interest_Rate/Num_Pmt_Per_Year,"")</f>
        <v>416.16602101522722</v>
      </c>
      <c r="I19" s="122">
        <f t="shared" si="5"/>
        <v>99759.189441657611</v>
      </c>
      <c r="J19" s="122">
        <f>SUM($H$18:$H19)</f>
        <v>832.83268768189396</v>
      </c>
    </row>
    <row r="20" spans="1:11" s="126" customFormat="1" ht="12.75" customHeight="1" x14ac:dyDescent="0.2">
      <c r="A20" s="125">
        <f>IF(Values_Entered,A19+1,"")</f>
        <v>3</v>
      </c>
      <c r="B20" s="124">
        <f t="shared" si="0"/>
        <v>42461</v>
      </c>
      <c r="C20" s="122">
        <f t="shared" si="6"/>
        <v>99759.189441657611</v>
      </c>
      <c r="D20" s="122">
        <f t="shared" si="1"/>
        <v>536.82162301213907</v>
      </c>
      <c r="E20" s="123">
        <f t="shared" si="2"/>
        <v>0</v>
      </c>
      <c r="F20" s="122">
        <f t="shared" si="3"/>
        <v>536.82162301213907</v>
      </c>
      <c r="G20" s="122">
        <f t="shared" si="4"/>
        <v>121.15833367189902</v>
      </c>
      <c r="H20" s="122">
        <f t="shared" si="7"/>
        <v>415.66328934024006</v>
      </c>
      <c r="I20" s="122">
        <f t="shared" si="5"/>
        <v>99638.031107985706</v>
      </c>
      <c r="J20" s="122">
        <f>SUM($H$18:$H20)</f>
        <v>1248.495977022134</v>
      </c>
    </row>
    <row r="21" spans="1:11" s="126" customFormat="1" x14ac:dyDescent="0.2">
      <c r="A21" s="125">
        <f>IF(Values_Entered,A20+1,"")</f>
        <v>4</v>
      </c>
      <c r="B21" s="124">
        <f t="shared" si="0"/>
        <v>42491</v>
      </c>
      <c r="C21" s="122">
        <f t="shared" si="6"/>
        <v>99638.031107985706</v>
      </c>
      <c r="D21" s="122">
        <f t="shared" si="1"/>
        <v>536.82162301213907</v>
      </c>
      <c r="E21" s="123">
        <f t="shared" si="2"/>
        <v>0</v>
      </c>
      <c r="F21" s="122">
        <f t="shared" si="3"/>
        <v>536.82162301213907</v>
      </c>
      <c r="G21" s="122">
        <f t="shared" si="4"/>
        <v>121.66316006219859</v>
      </c>
      <c r="H21" s="122">
        <f t="shared" si="7"/>
        <v>415.15846294994049</v>
      </c>
      <c r="I21" s="122">
        <f t="shared" si="5"/>
        <v>99516.367947923514</v>
      </c>
      <c r="J21" s="122">
        <f>SUM($H$18:$H21)</f>
        <v>1663.6544399720744</v>
      </c>
    </row>
    <row r="22" spans="1:11" s="126" customFormat="1" x14ac:dyDescent="0.2">
      <c r="A22" s="125">
        <f>IF(Values_Entered,A21+1,"")</f>
        <v>5</v>
      </c>
      <c r="B22" s="124">
        <f t="shared" si="0"/>
        <v>42522</v>
      </c>
      <c r="C22" s="122">
        <f t="shared" si="6"/>
        <v>99516.367947923514</v>
      </c>
      <c r="D22" s="122">
        <f t="shared" si="1"/>
        <v>536.82162301213907</v>
      </c>
      <c r="E22" s="123">
        <f t="shared" si="2"/>
        <v>0</v>
      </c>
      <c r="F22" s="122">
        <f t="shared" si="3"/>
        <v>536.82162301213907</v>
      </c>
      <c r="G22" s="122">
        <f t="shared" si="4"/>
        <v>122.17008989579108</v>
      </c>
      <c r="H22" s="122">
        <f t="shared" si="7"/>
        <v>414.65153311634799</v>
      </c>
      <c r="I22" s="122">
        <f t="shared" si="5"/>
        <v>99394.197858027721</v>
      </c>
      <c r="J22" s="122">
        <f>SUM($H$18:$H22)</f>
        <v>2078.3059730884224</v>
      </c>
    </row>
    <row r="23" spans="1:11" x14ac:dyDescent="0.2">
      <c r="A23" s="125">
        <f>IF(Values_Entered,A22+1,"")</f>
        <v>6</v>
      </c>
      <c r="B23" s="124">
        <f t="shared" si="0"/>
        <v>42552</v>
      </c>
      <c r="C23" s="122">
        <f t="shared" si="6"/>
        <v>99394.197858027721</v>
      </c>
      <c r="D23" s="122">
        <f t="shared" si="1"/>
        <v>536.82162301213907</v>
      </c>
      <c r="E23" s="123">
        <f t="shared" si="2"/>
        <v>0</v>
      </c>
      <c r="F23" s="122">
        <f t="shared" si="3"/>
        <v>536.82162301213907</v>
      </c>
      <c r="G23" s="122">
        <f t="shared" si="4"/>
        <v>122.67913193702356</v>
      </c>
      <c r="H23" s="122">
        <f t="shared" si="7"/>
        <v>414.14249107511552</v>
      </c>
      <c r="I23" s="122">
        <f t="shared" si="5"/>
        <v>99271.518726090697</v>
      </c>
      <c r="J23" s="122">
        <f>SUM($H$18:$H23)</f>
        <v>2492.4484641635381</v>
      </c>
    </row>
    <row r="24" spans="1:11" x14ac:dyDescent="0.2">
      <c r="A24" s="125">
        <f>IF(Values_Entered,A23+1,"")</f>
        <v>7</v>
      </c>
      <c r="B24" s="124">
        <f t="shared" si="0"/>
        <v>42583</v>
      </c>
      <c r="C24" s="122">
        <f t="shared" si="6"/>
        <v>99271.518726090697</v>
      </c>
      <c r="D24" s="122">
        <f t="shared" si="1"/>
        <v>536.82162301213907</v>
      </c>
      <c r="E24" s="123">
        <f t="shared" si="2"/>
        <v>0</v>
      </c>
      <c r="F24" s="122">
        <f t="shared" si="3"/>
        <v>536.82162301213907</v>
      </c>
      <c r="G24" s="122">
        <f t="shared" si="4"/>
        <v>123.1902949867611</v>
      </c>
      <c r="H24" s="122">
        <f t="shared" si="7"/>
        <v>413.63132802537797</v>
      </c>
      <c r="I24" s="122">
        <f t="shared" si="5"/>
        <v>99148.328431103932</v>
      </c>
      <c r="J24" s="122">
        <f>SUM($H$18:$H24)</f>
        <v>2906.0797921889161</v>
      </c>
    </row>
    <row r="25" spans="1:11" x14ac:dyDescent="0.2">
      <c r="A25" s="125">
        <f>IF(Values_Entered,A24+1,"")</f>
        <v>8</v>
      </c>
      <c r="B25" s="124">
        <f t="shared" si="0"/>
        <v>42614</v>
      </c>
      <c r="C25" s="122">
        <f t="shared" si="6"/>
        <v>99148.328431103932</v>
      </c>
      <c r="D25" s="122">
        <f t="shared" si="1"/>
        <v>536.82162301213907</v>
      </c>
      <c r="E25" s="123">
        <f t="shared" si="2"/>
        <v>0</v>
      </c>
      <c r="F25" s="122">
        <f t="shared" si="3"/>
        <v>536.82162301213907</v>
      </c>
      <c r="G25" s="122">
        <f t="shared" si="4"/>
        <v>123.7035878825393</v>
      </c>
      <c r="H25" s="122">
        <f t="shared" si="7"/>
        <v>413.11803512959978</v>
      </c>
      <c r="I25" s="122">
        <f t="shared" si="5"/>
        <v>99024.624843221391</v>
      </c>
      <c r="J25" s="122">
        <f>SUM($H$18:$H25)</f>
        <v>3319.1978273185159</v>
      </c>
    </row>
    <row r="26" spans="1:11" x14ac:dyDescent="0.2">
      <c r="A26" s="125">
        <f>IF(Values_Entered,A25+1,"")</f>
        <v>9</v>
      </c>
      <c r="B26" s="124">
        <f t="shared" si="0"/>
        <v>42644</v>
      </c>
      <c r="C26" s="122">
        <f t="shared" si="6"/>
        <v>99024.624843221391</v>
      </c>
      <c r="D26" s="122">
        <f t="shared" si="1"/>
        <v>536.82162301213907</v>
      </c>
      <c r="E26" s="123">
        <f t="shared" si="2"/>
        <v>0</v>
      </c>
      <c r="F26" s="122">
        <f t="shared" si="3"/>
        <v>536.82162301213907</v>
      </c>
      <c r="G26" s="122">
        <f t="shared" si="4"/>
        <v>124.21901949871659</v>
      </c>
      <c r="H26" s="122">
        <f t="shared" si="7"/>
        <v>412.60260351342248</v>
      </c>
      <c r="I26" s="122">
        <f t="shared" si="5"/>
        <v>98900.405823722671</v>
      </c>
      <c r="J26" s="122">
        <f>SUM($H$18:$H26)</f>
        <v>3731.8004308319382</v>
      </c>
    </row>
    <row r="27" spans="1:11" x14ac:dyDescent="0.2">
      <c r="A27" s="125">
        <f>IF(Values_Entered,A26+1,"")</f>
        <v>10</v>
      </c>
      <c r="B27" s="124">
        <f t="shared" si="0"/>
        <v>42675</v>
      </c>
      <c r="C27" s="122">
        <f t="shared" si="6"/>
        <v>98900.405823722671</v>
      </c>
      <c r="D27" s="122">
        <f t="shared" si="1"/>
        <v>536.82162301213907</v>
      </c>
      <c r="E27" s="123">
        <f t="shared" si="2"/>
        <v>0</v>
      </c>
      <c r="F27" s="122">
        <f t="shared" si="3"/>
        <v>536.82162301213907</v>
      </c>
      <c r="G27" s="122">
        <f t="shared" si="4"/>
        <v>124.73659874662786</v>
      </c>
      <c r="H27" s="122">
        <f t="shared" si="7"/>
        <v>412.08502426551121</v>
      </c>
      <c r="I27" s="122">
        <f t="shared" si="5"/>
        <v>98775.669224976038</v>
      </c>
      <c r="J27" s="122">
        <f>SUM($H$18:$H27)</f>
        <v>4143.8854550974493</v>
      </c>
    </row>
    <row r="28" spans="1:11" x14ac:dyDescent="0.2">
      <c r="A28" s="125">
        <f>IF(Values_Entered,A27+1,"")</f>
        <v>11</v>
      </c>
      <c r="B28" s="124">
        <f t="shared" si="0"/>
        <v>42705</v>
      </c>
      <c r="C28" s="122">
        <f t="shared" si="6"/>
        <v>98775.669224976038</v>
      </c>
      <c r="D28" s="122">
        <f t="shared" si="1"/>
        <v>536.82162301213907</v>
      </c>
      <c r="E28" s="123">
        <f t="shared" si="2"/>
        <v>0</v>
      </c>
      <c r="F28" s="122">
        <f t="shared" si="3"/>
        <v>536.82162301213907</v>
      </c>
      <c r="G28" s="122">
        <f t="shared" si="4"/>
        <v>125.2563345747389</v>
      </c>
      <c r="H28" s="122">
        <f t="shared" si="7"/>
        <v>411.56528843740017</v>
      </c>
      <c r="I28" s="122">
        <f t="shared" si="5"/>
        <v>98650.412890401305</v>
      </c>
      <c r="J28" s="122">
        <f>SUM($H$18:$H28)</f>
        <v>4555.4507435348496</v>
      </c>
    </row>
    <row r="29" spans="1:11" x14ac:dyDescent="0.2">
      <c r="A29" s="162">
        <f>IF(Values_Entered,A28+1,"")</f>
        <v>12</v>
      </c>
      <c r="B29" s="163">
        <f t="shared" si="0"/>
        <v>42736</v>
      </c>
      <c r="C29" s="164">
        <f t="shared" si="6"/>
        <v>98650.412890401305</v>
      </c>
      <c r="D29" s="164">
        <f t="shared" si="1"/>
        <v>536.82162301213907</v>
      </c>
      <c r="E29" s="165">
        <f t="shared" si="2"/>
        <v>0</v>
      </c>
      <c r="F29" s="164">
        <f t="shared" si="3"/>
        <v>536.82162301213907</v>
      </c>
      <c r="G29" s="164">
        <f t="shared" si="4"/>
        <v>125.77823596880029</v>
      </c>
      <c r="H29" s="164">
        <f t="shared" si="7"/>
        <v>411.04338704333878</v>
      </c>
      <c r="I29" s="164">
        <f t="shared" si="5"/>
        <v>98524.634654432506</v>
      </c>
      <c r="J29" s="164">
        <f>SUM($H$18:$H29)</f>
        <v>4966.4941305781886</v>
      </c>
    </row>
    <row r="30" spans="1:11" x14ac:dyDescent="0.2">
      <c r="A30" s="125">
        <f>IF(Values_Entered,A29+1,"")</f>
        <v>13</v>
      </c>
      <c r="B30" s="124">
        <f t="shared" si="0"/>
        <v>42767</v>
      </c>
      <c r="C30" s="122">
        <f t="shared" si="6"/>
        <v>98524.634654432506</v>
      </c>
      <c r="D30" s="122">
        <f t="shared" si="1"/>
        <v>536.82162301213907</v>
      </c>
      <c r="E30" s="123">
        <f t="shared" si="2"/>
        <v>0</v>
      </c>
      <c r="F30" s="122">
        <f t="shared" si="3"/>
        <v>536.82162301213907</v>
      </c>
      <c r="G30" s="122">
        <f t="shared" si="4"/>
        <v>126.30231195200355</v>
      </c>
      <c r="H30" s="122">
        <f t="shared" si="7"/>
        <v>410.51931106013552</v>
      </c>
      <c r="I30" s="122">
        <f t="shared" si="5"/>
        <v>98398.332342480498</v>
      </c>
      <c r="J30" s="122">
        <f>SUM($H$18:$H30)</f>
        <v>5377.0134416383244</v>
      </c>
      <c r="K30" s="117">
        <v>2</v>
      </c>
    </row>
    <row r="31" spans="1:11" x14ac:dyDescent="0.2">
      <c r="A31" s="125">
        <f>IF(Values_Entered,A30+1,"")</f>
        <v>14</v>
      </c>
      <c r="B31" s="124">
        <f t="shared" si="0"/>
        <v>42795</v>
      </c>
      <c r="C31" s="122">
        <f t="shared" si="6"/>
        <v>98398.332342480498</v>
      </c>
      <c r="D31" s="122">
        <f t="shared" si="1"/>
        <v>536.82162301213907</v>
      </c>
      <c r="E31" s="123">
        <f t="shared" si="2"/>
        <v>0</v>
      </c>
      <c r="F31" s="122">
        <f t="shared" si="3"/>
        <v>536.82162301213907</v>
      </c>
      <c r="G31" s="122">
        <f t="shared" si="4"/>
        <v>126.82857158513701</v>
      </c>
      <c r="H31" s="122">
        <f t="shared" si="7"/>
        <v>409.99305142700206</v>
      </c>
      <c r="I31" s="122">
        <f t="shared" si="5"/>
        <v>98271.503770895361</v>
      </c>
      <c r="J31" s="122">
        <f>SUM($H$18:$H31)</f>
        <v>5787.0064930653261</v>
      </c>
    </row>
    <row r="32" spans="1:11" x14ac:dyDescent="0.2">
      <c r="A32" s="125">
        <f>IF(Values_Entered,A31+1,"")</f>
        <v>15</v>
      </c>
      <c r="B32" s="124">
        <f t="shared" si="0"/>
        <v>42826</v>
      </c>
      <c r="C32" s="122">
        <f t="shared" si="6"/>
        <v>98271.503770895361</v>
      </c>
      <c r="D32" s="122">
        <f t="shared" si="1"/>
        <v>536.82162301213907</v>
      </c>
      <c r="E32" s="123">
        <f t="shared" si="2"/>
        <v>0</v>
      </c>
      <c r="F32" s="122">
        <f t="shared" si="3"/>
        <v>536.82162301213907</v>
      </c>
      <c r="G32" s="122">
        <f t="shared" si="4"/>
        <v>127.35702396674174</v>
      </c>
      <c r="H32" s="122">
        <f t="shared" si="7"/>
        <v>409.46459904539734</v>
      </c>
      <c r="I32" s="122">
        <f t="shared" si="5"/>
        <v>98144.146746928614</v>
      </c>
      <c r="J32" s="122">
        <f>SUM($H$18:$H32)</f>
        <v>6196.4710921107235</v>
      </c>
    </row>
    <row r="33" spans="1:11" x14ac:dyDescent="0.2">
      <c r="A33" s="125">
        <f>IF(Values_Entered,A32+1,"")</f>
        <v>16</v>
      </c>
      <c r="B33" s="124">
        <f t="shared" si="0"/>
        <v>42856</v>
      </c>
      <c r="C33" s="122">
        <f t="shared" si="6"/>
        <v>98144.146746928614</v>
      </c>
      <c r="D33" s="122">
        <f t="shared" si="1"/>
        <v>536.82162301213907</v>
      </c>
      <c r="E33" s="123">
        <f t="shared" si="2"/>
        <v>0</v>
      </c>
      <c r="F33" s="122">
        <f t="shared" si="3"/>
        <v>536.82162301213907</v>
      </c>
      <c r="G33" s="122">
        <f t="shared" si="4"/>
        <v>127.88767823326981</v>
      </c>
      <c r="H33" s="122">
        <f t="shared" si="7"/>
        <v>408.93394477886926</v>
      </c>
      <c r="I33" s="122">
        <f t="shared" si="5"/>
        <v>98016.259068695348</v>
      </c>
      <c r="J33" s="122">
        <f>SUM($H$18:$H33)</f>
        <v>6605.4050368895923</v>
      </c>
    </row>
    <row r="34" spans="1:11" x14ac:dyDescent="0.2">
      <c r="A34" s="125">
        <f>IF(Values_Entered,A33+1,"")</f>
        <v>17</v>
      </c>
      <c r="B34" s="124">
        <f t="shared" si="0"/>
        <v>42887</v>
      </c>
      <c r="C34" s="122">
        <f t="shared" si="6"/>
        <v>98016.259068695348</v>
      </c>
      <c r="D34" s="122">
        <f t="shared" si="1"/>
        <v>536.82162301213907</v>
      </c>
      <c r="E34" s="123">
        <f t="shared" si="2"/>
        <v>0</v>
      </c>
      <c r="F34" s="122">
        <f t="shared" si="3"/>
        <v>536.82162301213907</v>
      </c>
      <c r="G34" s="122">
        <f t="shared" si="4"/>
        <v>128.42054355924182</v>
      </c>
      <c r="H34" s="122">
        <f t="shared" si="7"/>
        <v>408.40107945289725</v>
      </c>
      <c r="I34" s="122">
        <f t="shared" si="5"/>
        <v>97887.838525136103</v>
      </c>
      <c r="J34" s="122">
        <f>SUM($H$18:$H34)</f>
        <v>7013.80611634249</v>
      </c>
    </row>
    <row r="35" spans="1:11" x14ac:dyDescent="0.2">
      <c r="A35" s="125">
        <f>IF(Values_Entered,A34+1,"")</f>
        <v>18</v>
      </c>
      <c r="B35" s="124">
        <f t="shared" si="0"/>
        <v>42917</v>
      </c>
      <c r="C35" s="122">
        <f t="shared" si="6"/>
        <v>97887.838525136103</v>
      </c>
      <c r="D35" s="122">
        <f t="shared" si="1"/>
        <v>536.82162301213907</v>
      </c>
      <c r="E35" s="123">
        <f t="shared" si="2"/>
        <v>0</v>
      </c>
      <c r="F35" s="122">
        <f t="shared" si="3"/>
        <v>536.82162301213907</v>
      </c>
      <c r="G35" s="122">
        <f t="shared" si="4"/>
        <v>128.95562915740533</v>
      </c>
      <c r="H35" s="122">
        <f t="shared" si="7"/>
        <v>407.86599385473374</v>
      </c>
      <c r="I35" s="122">
        <f t="shared" si="5"/>
        <v>97758.882895978692</v>
      </c>
      <c r="J35" s="122">
        <f>SUM($H$18:$H35)</f>
        <v>7421.6721101972234</v>
      </c>
    </row>
    <row r="36" spans="1:11" x14ac:dyDescent="0.2">
      <c r="A36" s="125">
        <f>IF(Values_Entered,A35+1,"")</f>
        <v>19</v>
      </c>
      <c r="B36" s="124">
        <f t="shared" si="0"/>
        <v>42948</v>
      </c>
      <c r="C36" s="122">
        <f t="shared" si="6"/>
        <v>97758.882895978692</v>
      </c>
      <c r="D36" s="122">
        <f t="shared" si="1"/>
        <v>536.82162301213907</v>
      </c>
      <c r="E36" s="123">
        <f t="shared" si="2"/>
        <v>0</v>
      </c>
      <c r="F36" s="122">
        <f t="shared" si="3"/>
        <v>536.82162301213907</v>
      </c>
      <c r="G36" s="122">
        <f t="shared" si="4"/>
        <v>129.49294427889453</v>
      </c>
      <c r="H36" s="122">
        <f t="shared" si="7"/>
        <v>407.32867873324454</v>
      </c>
      <c r="I36" s="122">
        <f t="shared" si="5"/>
        <v>97629.389951699792</v>
      </c>
      <c r="J36" s="122">
        <f>SUM($H$18:$H36)</f>
        <v>7829.0007889304679</v>
      </c>
    </row>
    <row r="37" spans="1:11" x14ac:dyDescent="0.2">
      <c r="A37" s="125">
        <f>IF(Values_Entered,A36+1,"")</f>
        <v>20</v>
      </c>
      <c r="B37" s="124">
        <f t="shared" si="0"/>
        <v>42979</v>
      </c>
      <c r="C37" s="122">
        <f t="shared" si="6"/>
        <v>97629.389951699792</v>
      </c>
      <c r="D37" s="122">
        <f t="shared" si="1"/>
        <v>536.82162301213907</v>
      </c>
      <c r="E37" s="123">
        <f t="shared" si="2"/>
        <v>0</v>
      </c>
      <c r="F37" s="122">
        <f t="shared" si="3"/>
        <v>536.82162301213907</v>
      </c>
      <c r="G37" s="122">
        <f t="shared" si="4"/>
        <v>130.03249821338994</v>
      </c>
      <c r="H37" s="122">
        <f t="shared" si="7"/>
        <v>406.78912479874913</v>
      </c>
      <c r="I37" s="122">
        <f t="shared" si="5"/>
        <v>97499.357453486402</v>
      </c>
      <c r="J37" s="122">
        <f>SUM($H$18:$H37)</f>
        <v>8235.789913729217</v>
      </c>
    </row>
    <row r="38" spans="1:11" x14ac:dyDescent="0.2">
      <c r="A38" s="125">
        <f>IF(Values_Entered,A37+1,"")</f>
        <v>21</v>
      </c>
      <c r="B38" s="124">
        <f t="shared" si="0"/>
        <v>43009</v>
      </c>
      <c r="C38" s="122">
        <f t="shared" si="6"/>
        <v>97499.357453486402</v>
      </c>
      <c r="D38" s="122">
        <f t="shared" si="1"/>
        <v>536.82162301213907</v>
      </c>
      <c r="E38" s="123">
        <f t="shared" si="2"/>
        <v>0</v>
      </c>
      <c r="F38" s="122">
        <f t="shared" si="3"/>
        <v>536.82162301213907</v>
      </c>
      <c r="G38" s="122">
        <f t="shared" si="4"/>
        <v>130.57430028927905</v>
      </c>
      <c r="H38" s="122">
        <f t="shared" si="7"/>
        <v>406.24732272286002</v>
      </c>
      <c r="I38" s="122">
        <f t="shared" si="5"/>
        <v>97368.783153197117</v>
      </c>
      <c r="J38" s="122">
        <f>SUM($H$18:$H38)</f>
        <v>8642.0372364520772</v>
      </c>
    </row>
    <row r="39" spans="1:11" x14ac:dyDescent="0.2">
      <c r="A39" s="125">
        <f>IF(Values_Entered,A38+1,"")</f>
        <v>22</v>
      </c>
      <c r="B39" s="124">
        <f t="shared" si="0"/>
        <v>43040</v>
      </c>
      <c r="C39" s="122">
        <f t="shared" si="6"/>
        <v>97368.783153197117</v>
      </c>
      <c r="D39" s="122">
        <f t="shared" si="1"/>
        <v>536.82162301213907</v>
      </c>
      <c r="E39" s="123">
        <f t="shared" si="2"/>
        <v>0</v>
      </c>
      <c r="F39" s="122">
        <f t="shared" si="3"/>
        <v>536.82162301213907</v>
      </c>
      <c r="G39" s="122">
        <f t="shared" si="4"/>
        <v>131.11835987381772</v>
      </c>
      <c r="H39" s="122">
        <f t="shared" si="7"/>
        <v>405.70326313832135</v>
      </c>
      <c r="I39" s="122">
        <f t="shared" si="5"/>
        <v>97237.664793323303</v>
      </c>
      <c r="J39" s="122">
        <f>SUM($H$18:$H39)</f>
        <v>9047.740499590398</v>
      </c>
    </row>
    <row r="40" spans="1:11" x14ac:dyDescent="0.2">
      <c r="A40" s="125">
        <f>IF(Values_Entered,A39+1,"")</f>
        <v>23</v>
      </c>
      <c r="B40" s="124">
        <f t="shared" si="0"/>
        <v>43070</v>
      </c>
      <c r="C40" s="122">
        <f t="shared" si="6"/>
        <v>97237.664793323303</v>
      </c>
      <c r="D40" s="122">
        <f t="shared" si="1"/>
        <v>536.82162301213907</v>
      </c>
      <c r="E40" s="123">
        <f t="shared" si="2"/>
        <v>0</v>
      </c>
      <c r="F40" s="122">
        <f t="shared" si="3"/>
        <v>536.82162301213907</v>
      </c>
      <c r="G40" s="122">
        <f t="shared" si="4"/>
        <v>131.66468637329194</v>
      </c>
      <c r="H40" s="122">
        <f t="shared" si="7"/>
        <v>405.15693663884713</v>
      </c>
      <c r="I40" s="122">
        <f t="shared" si="5"/>
        <v>97106.000106950014</v>
      </c>
      <c r="J40" s="122">
        <f>SUM($H$18:$H40)</f>
        <v>9452.8974362292447</v>
      </c>
    </row>
    <row r="41" spans="1:11" x14ac:dyDescent="0.2">
      <c r="A41" s="162">
        <f>IF(Values_Entered,A40+1,"")</f>
        <v>24</v>
      </c>
      <c r="B41" s="163">
        <f t="shared" si="0"/>
        <v>43101</v>
      </c>
      <c r="C41" s="164">
        <f t="shared" si="6"/>
        <v>97106.000106950014</v>
      </c>
      <c r="D41" s="164">
        <f t="shared" si="1"/>
        <v>536.82162301213907</v>
      </c>
      <c r="E41" s="165">
        <f t="shared" si="2"/>
        <v>0</v>
      </c>
      <c r="F41" s="164">
        <f t="shared" si="3"/>
        <v>536.82162301213907</v>
      </c>
      <c r="G41" s="164">
        <f t="shared" si="4"/>
        <v>132.21328923318066</v>
      </c>
      <c r="H41" s="164">
        <f t="shared" si="7"/>
        <v>404.60833377895841</v>
      </c>
      <c r="I41" s="164">
        <f t="shared" si="5"/>
        <v>96973.786817716827</v>
      </c>
      <c r="J41" s="164">
        <f>SUM($H$18:$H41)</f>
        <v>9857.5057700082034</v>
      </c>
    </row>
    <row r="42" spans="1:11" x14ac:dyDescent="0.2">
      <c r="A42" s="125">
        <f>IF(Values_Entered,A41+1,"")</f>
        <v>25</v>
      </c>
      <c r="B42" s="124">
        <f t="shared" si="0"/>
        <v>43132</v>
      </c>
      <c r="C42" s="122">
        <f t="shared" si="6"/>
        <v>96973.786817716827</v>
      </c>
      <c r="D42" s="122">
        <f t="shared" si="1"/>
        <v>536.82162301213907</v>
      </c>
      <c r="E42" s="123">
        <f t="shared" si="2"/>
        <v>0</v>
      </c>
      <c r="F42" s="122">
        <f t="shared" si="3"/>
        <v>536.82162301213907</v>
      </c>
      <c r="G42" s="122">
        <f t="shared" si="4"/>
        <v>132.76417793831894</v>
      </c>
      <c r="H42" s="122">
        <f t="shared" si="7"/>
        <v>404.05744507382013</v>
      </c>
      <c r="I42" s="122">
        <f t="shared" si="5"/>
        <v>96841.022639778515</v>
      </c>
      <c r="J42" s="122">
        <f>SUM($H$18:$H42)</f>
        <v>10261.563215082024</v>
      </c>
      <c r="K42" s="117">
        <v>3</v>
      </c>
    </row>
    <row r="43" spans="1:11" x14ac:dyDescent="0.2">
      <c r="A43" s="125">
        <f>IF(Values_Entered,A42+1,"")</f>
        <v>26</v>
      </c>
      <c r="B43" s="124">
        <f t="shared" si="0"/>
        <v>43160</v>
      </c>
      <c r="C43" s="122">
        <f t="shared" si="6"/>
        <v>96841.022639778515</v>
      </c>
      <c r="D43" s="122">
        <f t="shared" si="1"/>
        <v>536.82162301213907</v>
      </c>
      <c r="E43" s="123">
        <f t="shared" si="2"/>
        <v>0</v>
      </c>
      <c r="F43" s="122">
        <f t="shared" si="3"/>
        <v>536.82162301213907</v>
      </c>
      <c r="G43" s="122">
        <f t="shared" si="4"/>
        <v>133.31736201306194</v>
      </c>
      <c r="H43" s="122">
        <f t="shared" si="7"/>
        <v>403.50426099907713</v>
      </c>
      <c r="I43" s="122">
        <f t="shared" si="5"/>
        <v>96707.705277765461</v>
      </c>
      <c r="J43" s="122">
        <f>SUM($H$18:$H43)</f>
        <v>10665.067476081102</v>
      </c>
    </row>
    <row r="44" spans="1:11" x14ac:dyDescent="0.2">
      <c r="A44" s="125">
        <f>IF(Values_Entered,A43+1,"")</f>
        <v>27</v>
      </c>
      <c r="B44" s="124">
        <f t="shared" si="0"/>
        <v>43191</v>
      </c>
      <c r="C44" s="122">
        <f t="shared" si="6"/>
        <v>96707.705277765461</v>
      </c>
      <c r="D44" s="122">
        <f t="shared" si="1"/>
        <v>536.82162301213907</v>
      </c>
      <c r="E44" s="123">
        <f t="shared" si="2"/>
        <v>0</v>
      </c>
      <c r="F44" s="122">
        <f t="shared" si="3"/>
        <v>536.82162301213907</v>
      </c>
      <c r="G44" s="122">
        <f t="shared" si="4"/>
        <v>133.87285102144961</v>
      </c>
      <c r="H44" s="122">
        <f t="shared" si="7"/>
        <v>402.94877199068947</v>
      </c>
      <c r="I44" s="122">
        <f t="shared" si="5"/>
        <v>96573.832426744018</v>
      </c>
      <c r="J44" s="122">
        <f>SUM($H$18:$H44)</f>
        <v>11068.016248071792</v>
      </c>
    </row>
    <row r="45" spans="1:11" x14ac:dyDescent="0.2">
      <c r="A45" s="125">
        <f>IF(Values_Entered,A44+1,"")</f>
        <v>28</v>
      </c>
      <c r="B45" s="124">
        <f t="shared" si="0"/>
        <v>43221</v>
      </c>
      <c r="C45" s="122">
        <f t="shared" si="6"/>
        <v>96573.832426744018</v>
      </c>
      <c r="D45" s="122">
        <f t="shared" si="1"/>
        <v>536.82162301213907</v>
      </c>
      <c r="E45" s="123">
        <f t="shared" si="2"/>
        <v>0</v>
      </c>
      <c r="F45" s="122">
        <f t="shared" si="3"/>
        <v>536.82162301213907</v>
      </c>
      <c r="G45" s="122">
        <f t="shared" si="4"/>
        <v>134.4306545673723</v>
      </c>
      <c r="H45" s="122">
        <f t="shared" si="7"/>
        <v>402.39096844476677</v>
      </c>
      <c r="I45" s="122">
        <f t="shared" si="5"/>
        <v>96439.401772176643</v>
      </c>
      <c r="J45" s="122">
        <f>SUM($H$18:$H45)</f>
        <v>11470.407216516558</v>
      </c>
    </row>
    <row r="46" spans="1:11" x14ac:dyDescent="0.2">
      <c r="A46" s="125">
        <f>IF(Values_Entered,A45+1,"")</f>
        <v>29</v>
      </c>
      <c r="B46" s="124">
        <f t="shared" si="0"/>
        <v>43252</v>
      </c>
      <c r="C46" s="122">
        <f t="shared" si="6"/>
        <v>96439.401772176643</v>
      </c>
      <c r="D46" s="122">
        <f t="shared" si="1"/>
        <v>536.82162301213907</v>
      </c>
      <c r="E46" s="123">
        <f t="shared" si="2"/>
        <v>0</v>
      </c>
      <c r="F46" s="122">
        <f t="shared" si="3"/>
        <v>536.82162301213907</v>
      </c>
      <c r="G46" s="122">
        <f t="shared" si="4"/>
        <v>134.99078229473639</v>
      </c>
      <c r="H46" s="122">
        <f t="shared" si="7"/>
        <v>401.83084071740268</v>
      </c>
      <c r="I46" s="122">
        <f t="shared" si="5"/>
        <v>96304.410989881901</v>
      </c>
      <c r="J46" s="122">
        <f>SUM($H$18:$H46)</f>
        <v>11872.238057233961</v>
      </c>
    </row>
    <row r="47" spans="1:11" x14ac:dyDescent="0.2">
      <c r="A47" s="125">
        <f>IF(Values_Entered,A46+1,"")</f>
        <v>30</v>
      </c>
      <c r="B47" s="124">
        <f t="shared" si="0"/>
        <v>43282</v>
      </c>
      <c r="C47" s="122">
        <f t="shared" si="6"/>
        <v>96304.410989881901</v>
      </c>
      <c r="D47" s="122">
        <f t="shared" si="1"/>
        <v>536.82162301213907</v>
      </c>
      <c r="E47" s="123">
        <f t="shared" si="2"/>
        <v>0</v>
      </c>
      <c r="F47" s="122">
        <f t="shared" si="3"/>
        <v>536.82162301213907</v>
      </c>
      <c r="G47" s="122">
        <f t="shared" si="4"/>
        <v>135.55324388763114</v>
      </c>
      <c r="H47" s="122">
        <f t="shared" si="7"/>
        <v>401.26837912450793</v>
      </c>
      <c r="I47" s="122">
        <f t="shared" si="5"/>
        <v>96168.857745994275</v>
      </c>
      <c r="J47" s="122">
        <f>SUM($H$18:$H47)</f>
        <v>12273.506436358468</v>
      </c>
    </row>
    <row r="48" spans="1:11" x14ac:dyDescent="0.2">
      <c r="A48" s="125">
        <f>IF(Values_Entered,A47+1,"")</f>
        <v>31</v>
      </c>
      <c r="B48" s="124">
        <f t="shared" si="0"/>
        <v>43313</v>
      </c>
      <c r="C48" s="122">
        <f t="shared" si="6"/>
        <v>96168.857745994275</v>
      </c>
      <c r="D48" s="122">
        <f t="shared" si="1"/>
        <v>536.82162301213907</v>
      </c>
      <c r="E48" s="123">
        <f t="shared" si="2"/>
        <v>0</v>
      </c>
      <c r="F48" s="122">
        <f t="shared" si="3"/>
        <v>536.82162301213907</v>
      </c>
      <c r="G48" s="122">
        <f t="shared" si="4"/>
        <v>136.11804907049623</v>
      </c>
      <c r="H48" s="122">
        <f t="shared" si="7"/>
        <v>400.70357394164284</v>
      </c>
      <c r="I48" s="122">
        <f t="shared" si="5"/>
        <v>96032.739696923774</v>
      </c>
      <c r="J48" s="122">
        <f>SUM($H$18:$H48)</f>
        <v>12674.21001030011</v>
      </c>
    </row>
    <row r="49" spans="1:11" x14ac:dyDescent="0.2">
      <c r="A49" s="125">
        <f>IF(Values_Entered,A48+1,"")</f>
        <v>32</v>
      </c>
      <c r="B49" s="124">
        <f t="shared" si="0"/>
        <v>43344</v>
      </c>
      <c r="C49" s="122">
        <f t="shared" si="6"/>
        <v>96032.739696923774</v>
      </c>
      <c r="D49" s="122">
        <f t="shared" si="1"/>
        <v>536.82162301213907</v>
      </c>
      <c r="E49" s="123">
        <f t="shared" si="2"/>
        <v>0</v>
      </c>
      <c r="F49" s="122">
        <f t="shared" si="3"/>
        <v>536.82162301213907</v>
      </c>
      <c r="G49" s="122">
        <f t="shared" si="4"/>
        <v>136.68520760829</v>
      </c>
      <c r="H49" s="122">
        <f t="shared" si="7"/>
        <v>400.13641540384907</v>
      </c>
      <c r="I49" s="122">
        <f t="shared" si="5"/>
        <v>95896.054489315487</v>
      </c>
      <c r="J49" s="122">
        <f>SUM($H$18:$H49)</f>
        <v>13074.34642570396</v>
      </c>
    </row>
    <row r="50" spans="1:11" x14ac:dyDescent="0.2">
      <c r="A50" s="125">
        <f>IF(Values_Entered,A49+1,"")</f>
        <v>33</v>
      </c>
      <c r="B50" s="124">
        <f t="shared" si="0"/>
        <v>43374</v>
      </c>
      <c r="C50" s="122">
        <f t="shared" si="6"/>
        <v>95896.054489315487</v>
      </c>
      <c r="D50" s="122">
        <f t="shared" si="1"/>
        <v>536.82162301213907</v>
      </c>
      <c r="E50" s="123">
        <f t="shared" si="2"/>
        <v>0</v>
      </c>
      <c r="F50" s="122">
        <f t="shared" si="3"/>
        <v>536.82162301213907</v>
      </c>
      <c r="G50" s="122">
        <f t="shared" si="4"/>
        <v>137.25472930665791</v>
      </c>
      <c r="H50" s="122">
        <f t="shared" si="7"/>
        <v>399.56689370548116</v>
      </c>
      <c r="I50" s="122">
        <f t="shared" si="5"/>
        <v>95758.799760008827</v>
      </c>
      <c r="J50" s="122">
        <f>SUM($H$18:$H50)</f>
        <v>13473.913319409441</v>
      </c>
    </row>
    <row r="51" spans="1:11" x14ac:dyDescent="0.2">
      <c r="A51" s="125">
        <f>IF(Values_Entered,A50+1,"")</f>
        <v>34</v>
      </c>
      <c r="B51" s="124">
        <f t="shared" si="0"/>
        <v>43405</v>
      </c>
      <c r="C51" s="122">
        <f t="shared" si="6"/>
        <v>95758.799760008827</v>
      </c>
      <c r="D51" s="122">
        <f t="shared" si="1"/>
        <v>536.82162301213907</v>
      </c>
      <c r="E51" s="123">
        <f t="shared" si="2"/>
        <v>0</v>
      </c>
      <c r="F51" s="122">
        <f t="shared" si="3"/>
        <v>536.82162301213907</v>
      </c>
      <c r="G51" s="122">
        <f t="shared" si="4"/>
        <v>137.82662401210229</v>
      </c>
      <c r="H51" s="122">
        <f t="shared" si="7"/>
        <v>398.99499900003678</v>
      </c>
      <c r="I51" s="122">
        <f t="shared" si="5"/>
        <v>95620.973135996726</v>
      </c>
      <c r="J51" s="122">
        <f>SUM($H$18:$H51)</f>
        <v>13872.908318409478</v>
      </c>
    </row>
    <row r="52" spans="1:11" x14ac:dyDescent="0.2">
      <c r="A52" s="125">
        <f>IF(Values_Entered,A51+1,"")</f>
        <v>35</v>
      </c>
      <c r="B52" s="124">
        <f t="shared" si="0"/>
        <v>43435</v>
      </c>
      <c r="C52" s="122">
        <f t="shared" si="6"/>
        <v>95620.973135996726</v>
      </c>
      <c r="D52" s="122">
        <f t="shared" si="1"/>
        <v>536.82162301213907</v>
      </c>
      <c r="E52" s="123">
        <f t="shared" si="2"/>
        <v>0</v>
      </c>
      <c r="F52" s="122">
        <f t="shared" si="3"/>
        <v>536.82162301213907</v>
      </c>
      <c r="G52" s="122">
        <f t="shared" si="4"/>
        <v>138.40090161215267</v>
      </c>
      <c r="H52" s="122">
        <f t="shared" si="7"/>
        <v>398.42072139998641</v>
      </c>
      <c r="I52" s="122">
        <f t="shared" si="5"/>
        <v>95482.57223438457</v>
      </c>
      <c r="J52" s="122">
        <f>SUM($H$18:$H52)</f>
        <v>14271.329039809465</v>
      </c>
    </row>
    <row r="53" spans="1:11" x14ac:dyDescent="0.2">
      <c r="A53" s="162">
        <f>IF(Values_Entered,A52+1,"")</f>
        <v>36</v>
      </c>
      <c r="B53" s="163">
        <f t="shared" si="0"/>
        <v>43466</v>
      </c>
      <c r="C53" s="164">
        <f t="shared" si="6"/>
        <v>95482.57223438457</v>
      </c>
      <c r="D53" s="164">
        <f t="shared" si="1"/>
        <v>536.82162301213907</v>
      </c>
      <c r="E53" s="165">
        <f t="shared" si="2"/>
        <v>0</v>
      </c>
      <c r="F53" s="164">
        <f t="shared" si="3"/>
        <v>536.82162301213907</v>
      </c>
      <c r="G53" s="164">
        <f t="shared" si="4"/>
        <v>138.9775720355367</v>
      </c>
      <c r="H53" s="164">
        <f t="shared" si="7"/>
        <v>397.84405097660238</v>
      </c>
      <c r="I53" s="164">
        <f t="shared" si="5"/>
        <v>95343.594662349031</v>
      </c>
      <c r="J53" s="164">
        <f>SUM($H$18:$H53)</f>
        <v>14669.173090786067</v>
      </c>
    </row>
    <row r="54" spans="1:11" x14ac:dyDescent="0.2">
      <c r="A54" s="125">
        <f>IF(Values_Entered,A53+1,"")</f>
        <v>37</v>
      </c>
      <c r="B54" s="124">
        <f t="shared" si="0"/>
        <v>43497</v>
      </c>
      <c r="C54" s="122">
        <f t="shared" si="6"/>
        <v>95343.594662349031</v>
      </c>
      <c r="D54" s="122">
        <f t="shared" si="1"/>
        <v>536.82162301213907</v>
      </c>
      <c r="E54" s="123">
        <f t="shared" si="2"/>
        <v>0</v>
      </c>
      <c r="F54" s="122">
        <f t="shared" si="3"/>
        <v>536.82162301213907</v>
      </c>
      <c r="G54" s="122">
        <f t="shared" si="4"/>
        <v>139.55664525235142</v>
      </c>
      <c r="H54" s="122">
        <f t="shared" si="7"/>
        <v>397.26497775978766</v>
      </c>
      <c r="I54" s="122">
        <f t="shared" si="5"/>
        <v>95204.038017096682</v>
      </c>
      <c r="J54" s="122">
        <f>SUM($H$18:$H54)</f>
        <v>15066.438068545855</v>
      </c>
      <c r="K54" s="117">
        <v>4</v>
      </c>
    </row>
    <row r="55" spans="1:11" x14ac:dyDescent="0.2">
      <c r="A55" s="125">
        <f>IF(Values_Entered,A54+1,"")</f>
        <v>38</v>
      </c>
      <c r="B55" s="124">
        <f t="shared" si="0"/>
        <v>43525</v>
      </c>
      <c r="C55" s="122">
        <f t="shared" si="6"/>
        <v>95204.038017096682</v>
      </c>
      <c r="D55" s="122">
        <f t="shared" si="1"/>
        <v>536.82162301213907</v>
      </c>
      <c r="E55" s="123">
        <f t="shared" si="2"/>
        <v>0</v>
      </c>
      <c r="F55" s="122">
        <f t="shared" si="3"/>
        <v>536.82162301213907</v>
      </c>
      <c r="G55" s="122">
        <f t="shared" si="4"/>
        <v>140.13813127423623</v>
      </c>
      <c r="H55" s="122">
        <f t="shared" si="7"/>
        <v>396.68349173790284</v>
      </c>
      <c r="I55" s="122">
        <f t="shared" si="5"/>
        <v>95063.899885822451</v>
      </c>
      <c r="J55" s="122">
        <f>SUM($H$18:$H55)</f>
        <v>15463.121560283758</v>
      </c>
    </row>
    <row r="56" spans="1:11" x14ac:dyDescent="0.2">
      <c r="A56" s="125">
        <f>IF(Values_Entered,A55+1,"")</f>
        <v>39</v>
      </c>
      <c r="B56" s="124">
        <f t="shared" si="0"/>
        <v>43556</v>
      </c>
      <c r="C56" s="122">
        <f t="shared" si="6"/>
        <v>95063.899885822451</v>
      </c>
      <c r="D56" s="122">
        <f t="shared" si="1"/>
        <v>536.82162301213907</v>
      </c>
      <c r="E56" s="123">
        <f t="shared" si="2"/>
        <v>0</v>
      </c>
      <c r="F56" s="122">
        <f t="shared" si="3"/>
        <v>536.82162301213907</v>
      </c>
      <c r="G56" s="122">
        <f t="shared" si="4"/>
        <v>140.72204015454554</v>
      </c>
      <c r="H56" s="122">
        <f t="shared" si="7"/>
        <v>396.09958285759353</v>
      </c>
      <c r="I56" s="122">
        <f t="shared" si="5"/>
        <v>94923.177845667902</v>
      </c>
      <c r="J56" s="122">
        <f>SUM($H$18:$H56)</f>
        <v>15859.221143141353</v>
      </c>
    </row>
    <row r="57" spans="1:11" x14ac:dyDescent="0.2">
      <c r="A57" s="125">
        <f>IF(Values_Entered,A56+1,"")</f>
        <v>40</v>
      </c>
      <c r="B57" s="124">
        <f t="shared" si="0"/>
        <v>43586</v>
      </c>
      <c r="C57" s="122">
        <f t="shared" si="6"/>
        <v>94923.177845667902</v>
      </c>
      <c r="D57" s="122">
        <f t="shared" si="1"/>
        <v>536.82162301213907</v>
      </c>
      <c r="E57" s="123">
        <f t="shared" si="2"/>
        <v>0</v>
      </c>
      <c r="F57" s="122">
        <f t="shared" si="3"/>
        <v>536.82162301213907</v>
      </c>
      <c r="G57" s="122">
        <f t="shared" si="4"/>
        <v>141.3083819885228</v>
      </c>
      <c r="H57" s="122">
        <f t="shared" si="7"/>
        <v>395.51324102361627</v>
      </c>
      <c r="I57" s="122">
        <f t="shared" si="5"/>
        <v>94781.869463679381</v>
      </c>
      <c r="J57" s="122">
        <f>SUM($H$18:$H57)</f>
        <v>16254.734384164969</v>
      </c>
    </row>
    <row r="58" spans="1:11" x14ac:dyDescent="0.2">
      <c r="A58" s="125">
        <f>IF(Values_Entered,A57+1,"")</f>
        <v>41</v>
      </c>
      <c r="B58" s="124">
        <f t="shared" si="0"/>
        <v>43617</v>
      </c>
      <c r="C58" s="122">
        <f t="shared" si="6"/>
        <v>94781.869463679381</v>
      </c>
      <c r="D58" s="122">
        <f t="shared" si="1"/>
        <v>536.82162301213907</v>
      </c>
      <c r="E58" s="123">
        <f t="shared" si="2"/>
        <v>0</v>
      </c>
      <c r="F58" s="122">
        <f t="shared" si="3"/>
        <v>536.82162301213907</v>
      </c>
      <c r="G58" s="122">
        <f t="shared" si="4"/>
        <v>141.89716691347502</v>
      </c>
      <c r="H58" s="122">
        <f t="shared" si="7"/>
        <v>394.92445609866405</v>
      </c>
      <c r="I58" s="122">
        <f t="shared" si="5"/>
        <v>94639.972296765904</v>
      </c>
      <c r="J58" s="122">
        <f>SUM($H$18:$H58)</f>
        <v>16649.658840263633</v>
      </c>
    </row>
    <row r="59" spans="1:11" x14ac:dyDescent="0.2">
      <c r="A59" s="125">
        <f>IF(Values_Entered,A58+1,"")</f>
        <v>42</v>
      </c>
      <c r="B59" s="124">
        <f t="shared" si="0"/>
        <v>43647</v>
      </c>
      <c r="C59" s="122">
        <f t="shared" si="6"/>
        <v>94639.972296765904</v>
      </c>
      <c r="D59" s="122">
        <f t="shared" si="1"/>
        <v>536.82162301213907</v>
      </c>
      <c r="E59" s="123">
        <f t="shared" si="2"/>
        <v>0</v>
      </c>
      <c r="F59" s="122">
        <f t="shared" si="3"/>
        <v>536.82162301213907</v>
      </c>
      <c r="G59" s="122">
        <f t="shared" si="4"/>
        <v>142.4884051089478</v>
      </c>
      <c r="H59" s="122">
        <f t="shared" si="7"/>
        <v>394.33321790319127</v>
      </c>
      <c r="I59" s="122">
        <f t="shared" si="5"/>
        <v>94497.483891656957</v>
      </c>
      <c r="J59" s="122">
        <f>SUM($H$18:$H59)</f>
        <v>17043.992058166823</v>
      </c>
    </row>
    <row r="60" spans="1:11" x14ac:dyDescent="0.2">
      <c r="A60" s="125">
        <f>IF(Values_Entered,A59+1,"")</f>
        <v>43</v>
      </c>
      <c r="B60" s="124">
        <f t="shared" si="0"/>
        <v>43678</v>
      </c>
      <c r="C60" s="122">
        <f t="shared" si="6"/>
        <v>94497.483891656957</v>
      </c>
      <c r="D60" s="122">
        <f t="shared" si="1"/>
        <v>536.82162301213907</v>
      </c>
      <c r="E60" s="123">
        <f t="shared" si="2"/>
        <v>0</v>
      </c>
      <c r="F60" s="122">
        <f t="shared" si="3"/>
        <v>536.82162301213907</v>
      </c>
      <c r="G60" s="122">
        <f t="shared" si="4"/>
        <v>143.08210679690177</v>
      </c>
      <c r="H60" s="122">
        <f t="shared" si="7"/>
        <v>393.7395162152373</v>
      </c>
      <c r="I60" s="122">
        <f t="shared" si="5"/>
        <v>94354.401784860049</v>
      </c>
      <c r="J60" s="122">
        <f>SUM($H$18:$H60)</f>
        <v>17437.731574382062</v>
      </c>
    </row>
    <row r="61" spans="1:11" x14ac:dyDescent="0.2">
      <c r="A61" s="125">
        <f>IF(Values_Entered,A60+1,"")</f>
        <v>44</v>
      </c>
      <c r="B61" s="124">
        <f t="shared" si="0"/>
        <v>43709</v>
      </c>
      <c r="C61" s="122">
        <f t="shared" si="6"/>
        <v>94354.401784860049</v>
      </c>
      <c r="D61" s="122">
        <f t="shared" si="1"/>
        <v>536.82162301213907</v>
      </c>
      <c r="E61" s="123">
        <f t="shared" si="2"/>
        <v>0</v>
      </c>
      <c r="F61" s="122">
        <f t="shared" si="3"/>
        <v>536.82162301213907</v>
      </c>
      <c r="G61" s="122">
        <f t="shared" si="4"/>
        <v>143.67828224188884</v>
      </c>
      <c r="H61" s="122">
        <f t="shared" si="7"/>
        <v>393.14334077025023</v>
      </c>
      <c r="I61" s="122">
        <f t="shared" si="5"/>
        <v>94210.723502618159</v>
      </c>
      <c r="J61" s="122">
        <f>SUM($H$18:$H61)</f>
        <v>17830.874915152312</v>
      </c>
    </row>
    <row r="62" spans="1:11" x14ac:dyDescent="0.2">
      <c r="A62" s="125">
        <f>IF(Values_Entered,A61+1,"")</f>
        <v>45</v>
      </c>
      <c r="B62" s="124">
        <f t="shared" si="0"/>
        <v>43739</v>
      </c>
      <c r="C62" s="122">
        <f t="shared" si="6"/>
        <v>94210.723502618159</v>
      </c>
      <c r="D62" s="122">
        <f t="shared" si="1"/>
        <v>536.82162301213907</v>
      </c>
      <c r="E62" s="123">
        <f t="shared" si="2"/>
        <v>0</v>
      </c>
      <c r="F62" s="122">
        <f t="shared" si="3"/>
        <v>536.82162301213907</v>
      </c>
      <c r="G62" s="122">
        <f t="shared" si="4"/>
        <v>144.27694175123003</v>
      </c>
      <c r="H62" s="122">
        <f t="shared" si="7"/>
        <v>392.54468126090904</v>
      </c>
      <c r="I62" s="122">
        <f t="shared" si="5"/>
        <v>94066.446560866927</v>
      </c>
      <c r="J62" s="122">
        <f>SUM($H$18:$H62)</f>
        <v>18223.41959641322</v>
      </c>
    </row>
    <row r="63" spans="1:11" x14ac:dyDescent="0.2">
      <c r="A63" s="125">
        <f>IF(Values_Entered,A62+1,"")</f>
        <v>46</v>
      </c>
      <c r="B63" s="124">
        <f t="shared" si="0"/>
        <v>43770</v>
      </c>
      <c r="C63" s="122">
        <f t="shared" si="6"/>
        <v>94066.446560866927</v>
      </c>
      <c r="D63" s="122">
        <f t="shared" si="1"/>
        <v>536.82162301213907</v>
      </c>
      <c r="E63" s="123">
        <f t="shared" si="2"/>
        <v>0</v>
      </c>
      <c r="F63" s="122">
        <f t="shared" si="3"/>
        <v>536.82162301213907</v>
      </c>
      <c r="G63" s="122">
        <f t="shared" si="4"/>
        <v>144.87809567519349</v>
      </c>
      <c r="H63" s="122">
        <f t="shared" si="7"/>
        <v>391.94352733694558</v>
      </c>
      <c r="I63" s="122">
        <f t="shared" si="5"/>
        <v>93921.56846519174</v>
      </c>
      <c r="J63" s="122">
        <f>SUM($H$18:$H63)</f>
        <v>18615.363123750165</v>
      </c>
    </row>
    <row r="64" spans="1:11" x14ac:dyDescent="0.2">
      <c r="A64" s="125">
        <f>IF(Values_Entered,A63+1,"")</f>
        <v>47</v>
      </c>
      <c r="B64" s="124">
        <f t="shared" si="0"/>
        <v>43800</v>
      </c>
      <c r="C64" s="122">
        <f t="shared" si="6"/>
        <v>93921.56846519174</v>
      </c>
      <c r="D64" s="122">
        <f t="shared" si="1"/>
        <v>536.82162301213907</v>
      </c>
      <c r="E64" s="123">
        <f t="shared" si="2"/>
        <v>0</v>
      </c>
      <c r="F64" s="122">
        <f t="shared" si="3"/>
        <v>536.82162301213907</v>
      </c>
      <c r="G64" s="122">
        <f t="shared" si="4"/>
        <v>145.48175440717347</v>
      </c>
      <c r="H64" s="122">
        <f t="shared" si="7"/>
        <v>391.3398686049656</v>
      </c>
      <c r="I64" s="122">
        <f t="shared" si="5"/>
        <v>93776.08671078457</v>
      </c>
      <c r="J64" s="122">
        <f>SUM($H$18:$H64)</f>
        <v>19006.702992355131</v>
      </c>
    </row>
    <row r="65" spans="1:11" x14ac:dyDescent="0.2">
      <c r="A65" s="162">
        <f>IF(Values_Entered,A64+1,"")</f>
        <v>48</v>
      </c>
      <c r="B65" s="163">
        <f t="shared" si="0"/>
        <v>43831</v>
      </c>
      <c r="C65" s="164">
        <f t="shared" si="6"/>
        <v>93776.08671078457</v>
      </c>
      <c r="D65" s="164">
        <f t="shared" si="1"/>
        <v>536.82162301213907</v>
      </c>
      <c r="E65" s="165">
        <f t="shared" si="2"/>
        <v>0</v>
      </c>
      <c r="F65" s="164">
        <f t="shared" si="3"/>
        <v>536.82162301213907</v>
      </c>
      <c r="G65" s="164">
        <f t="shared" si="4"/>
        <v>146.08792838387006</v>
      </c>
      <c r="H65" s="164">
        <f t="shared" si="7"/>
        <v>390.73369462826901</v>
      </c>
      <c r="I65" s="164">
        <f t="shared" si="5"/>
        <v>93629.998782400697</v>
      </c>
      <c r="J65" s="164">
        <f>SUM($H$18:$H65)</f>
        <v>19397.436686983401</v>
      </c>
    </row>
    <row r="66" spans="1:11" x14ac:dyDescent="0.2">
      <c r="A66" s="125">
        <f>IF(Values_Entered,A65+1,"")</f>
        <v>49</v>
      </c>
      <c r="B66" s="124">
        <f t="shared" si="0"/>
        <v>43862</v>
      </c>
      <c r="C66" s="122">
        <f t="shared" si="6"/>
        <v>93629.998782400697</v>
      </c>
      <c r="D66" s="122">
        <f t="shared" si="1"/>
        <v>536.82162301213907</v>
      </c>
      <c r="E66" s="123">
        <f t="shared" si="2"/>
        <v>0</v>
      </c>
      <c r="F66" s="122">
        <f t="shared" si="3"/>
        <v>536.82162301213907</v>
      </c>
      <c r="G66" s="122">
        <f t="shared" si="4"/>
        <v>146.69662808546946</v>
      </c>
      <c r="H66" s="122">
        <f t="shared" si="7"/>
        <v>390.12499492666961</v>
      </c>
      <c r="I66" s="122">
        <f t="shared" si="5"/>
        <v>93483.302154315228</v>
      </c>
      <c r="J66" s="122">
        <f>SUM($H$18:$H66)</f>
        <v>19787.561681910072</v>
      </c>
      <c r="K66" s="117">
        <v>5</v>
      </c>
    </row>
    <row r="67" spans="1:11" x14ac:dyDescent="0.2">
      <c r="A67" s="125">
        <f>IF(Values_Entered,A66+1,"")</f>
        <v>50</v>
      </c>
      <c r="B67" s="124">
        <f t="shared" si="0"/>
        <v>43891</v>
      </c>
      <c r="C67" s="122">
        <f t="shared" si="6"/>
        <v>93483.302154315228</v>
      </c>
      <c r="D67" s="122">
        <f t="shared" si="1"/>
        <v>536.82162301213907</v>
      </c>
      <c r="E67" s="123">
        <f t="shared" si="2"/>
        <v>0</v>
      </c>
      <c r="F67" s="122">
        <f t="shared" si="3"/>
        <v>536.82162301213907</v>
      </c>
      <c r="G67" s="122">
        <f t="shared" si="4"/>
        <v>147.30786403582562</v>
      </c>
      <c r="H67" s="122">
        <f t="shared" si="7"/>
        <v>389.51375897631345</v>
      </c>
      <c r="I67" s="122">
        <f t="shared" si="5"/>
        <v>93335.994290279399</v>
      </c>
      <c r="J67" s="122">
        <f>SUM($H$18:$H67)</f>
        <v>20177.075440886387</v>
      </c>
    </row>
    <row r="68" spans="1:11" x14ac:dyDescent="0.2">
      <c r="A68" s="125">
        <f>IF(Values_Entered,A67+1,"")</f>
        <v>51</v>
      </c>
      <c r="B68" s="124">
        <f t="shared" si="0"/>
        <v>43922</v>
      </c>
      <c r="C68" s="122">
        <f t="shared" si="6"/>
        <v>93335.994290279399</v>
      </c>
      <c r="D68" s="122">
        <f t="shared" si="1"/>
        <v>536.82162301213907</v>
      </c>
      <c r="E68" s="123">
        <f t="shared" si="2"/>
        <v>0</v>
      </c>
      <c r="F68" s="122">
        <f t="shared" si="3"/>
        <v>536.82162301213907</v>
      </c>
      <c r="G68" s="122">
        <f t="shared" si="4"/>
        <v>147.92164680264159</v>
      </c>
      <c r="H68" s="122">
        <f t="shared" si="7"/>
        <v>388.89997620949748</v>
      </c>
      <c r="I68" s="122">
        <f t="shared" si="5"/>
        <v>93188.072643476757</v>
      </c>
      <c r="J68" s="122">
        <f>SUM($H$18:$H68)</f>
        <v>20565.975417095884</v>
      </c>
    </row>
    <row r="69" spans="1:11" x14ac:dyDescent="0.2">
      <c r="A69" s="125">
        <f>IF(Values_Entered,A68+1,"")</f>
        <v>52</v>
      </c>
      <c r="B69" s="124">
        <f t="shared" si="0"/>
        <v>43952</v>
      </c>
      <c r="C69" s="122">
        <f t="shared" si="6"/>
        <v>93188.072643476757</v>
      </c>
      <c r="D69" s="122">
        <f t="shared" si="1"/>
        <v>536.82162301213907</v>
      </c>
      <c r="E69" s="123">
        <f t="shared" si="2"/>
        <v>0</v>
      </c>
      <c r="F69" s="122">
        <f t="shared" si="3"/>
        <v>536.82162301213907</v>
      </c>
      <c r="G69" s="122">
        <f t="shared" si="4"/>
        <v>148.53798699765258</v>
      </c>
      <c r="H69" s="122">
        <f t="shared" si="7"/>
        <v>388.28363601448649</v>
      </c>
      <c r="I69" s="122">
        <f t="shared" si="5"/>
        <v>93039.534656479111</v>
      </c>
      <c r="J69" s="122">
        <f>SUM($H$18:$H69)</f>
        <v>20954.259053110371</v>
      </c>
    </row>
    <row r="70" spans="1:11" x14ac:dyDescent="0.2">
      <c r="A70" s="125">
        <f>IF(Values_Entered,A69+1,"")</f>
        <v>53</v>
      </c>
      <c r="B70" s="124">
        <f t="shared" si="0"/>
        <v>43983</v>
      </c>
      <c r="C70" s="122">
        <f t="shared" si="6"/>
        <v>93039.534656479111</v>
      </c>
      <c r="D70" s="122">
        <f t="shared" si="1"/>
        <v>536.82162301213907</v>
      </c>
      <c r="E70" s="123">
        <f t="shared" si="2"/>
        <v>0</v>
      </c>
      <c r="F70" s="122">
        <f t="shared" si="3"/>
        <v>536.82162301213907</v>
      </c>
      <c r="G70" s="122">
        <f t="shared" si="4"/>
        <v>149.15689527680939</v>
      </c>
      <c r="H70" s="122">
        <f t="shared" si="7"/>
        <v>387.66472773532968</v>
      </c>
      <c r="I70" s="122">
        <f t="shared" si="5"/>
        <v>92890.377761202297</v>
      </c>
      <c r="J70" s="122">
        <f>SUM($H$18:$H70)</f>
        <v>21341.9237808457</v>
      </c>
    </row>
    <row r="71" spans="1:11" x14ac:dyDescent="0.2">
      <c r="A71" s="125">
        <f>IF(Values_Entered,A70+1,"")</f>
        <v>54</v>
      </c>
      <c r="B71" s="124">
        <f t="shared" si="0"/>
        <v>44013</v>
      </c>
      <c r="C71" s="122">
        <f t="shared" si="6"/>
        <v>92890.377761202297</v>
      </c>
      <c r="D71" s="122">
        <f t="shared" si="1"/>
        <v>536.82162301213907</v>
      </c>
      <c r="E71" s="123">
        <f t="shared" si="2"/>
        <v>0</v>
      </c>
      <c r="F71" s="122">
        <f t="shared" si="3"/>
        <v>536.82162301213907</v>
      </c>
      <c r="G71" s="122">
        <f t="shared" si="4"/>
        <v>149.77838234046277</v>
      </c>
      <c r="H71" s="122">
        <f t="shared" si="7"/>
        <v>387.0432406716763</v>
      </c>
      <c r="I71" s="122">
        <f t="shared" si="5"/>
        <v>92740.599378861836</v>
      </c>
      <c r="J71" s="122">
        <f>SUM($H$18:$H71)</f>
        <v>21728.967021517376</v>
      </c>
    </row>
    <row r="72" spans="1:11" x14ac:dyDescent="0.2">
      <c r="A72" s="125">
        <f>IF(Values_Entered,A71+1,"")</f>
        <v>55</v>
      </c>
      <c r="B72" s="124">
        <f t="shared" si="0"/>
        <v>44044</v>
      </c>
      <c r="C72" s="122">
        <f t="shared" si="6"/>
        <v>92740.599378861836</v>
      </c>
      <c r="D72" s="122">
        <f t="shared" si="1"/>
        <v>536.82162301213907</v>
      </c>
      <c r="E72" s="123">
        <f t="shared" si="2"/>
        <v>0</v>
      </c>
      <c r="F72" s="122">
        <f t="shared" si="3"/>
        <v>536.82162301213907</v>
      </c>
      <c r="G72" s="122">
        <f t="shared" si="4"/>
        <v>150.40245893354808</v>
      </c>
      <c r="H72" s="122">
        <f t="shared" si="7"/>
        <v>386.419164078591</v>
      </c>
      <c r="I72" s="122">
        <f t="shared" si="5"/>
        <v>92590.19691992829</v>
      </c>
      <c r="J72" s="122">
        <f>SUM($H$18:$H72)</f>
        <v>22115.386185595966</v>
      </c>
    </row>
    <row r="73" spans="1:11" x14ac:dyDescent="0.2">
      <c r="A73" s="125">
        <f>IF(Values_Entered,A72+1,"")</f>
        <v>56</v>
      </c>
      <c r="B73" s="124">
        <f t="shared" si="0"/>
        <v>44075</v>
      </c>
      <c r="C73" s="122">
        <f t="shared" si="6"/>
        <v>92590.19691992829</v>
      </c>
      <c r="D73" s="122">
        <f t="shared" si="1"/>
        <v>536.82162301213907</v>
      </c>
      <c r="E73" s="123">
        <f t="shared" si="2"/>
        <v>0</v>
      </c>
      <c r="F73" s="122">
        <f t="shared" si="3"/>
        <v>536.82162301213907</v>
      </c>
      <c r="G73" s="122">
        <f t="shared" si="4"/>
        <v>151.02913584577118</v>
      </c>
      <c r="H73" s="122">
        <f t="shared" si="7"/>
        <v>385.79248716636789</v>
      </c>
      <c r="I73" s="122">
        <f t="shared" si="5"/>
        <v>92439.167784082514</v>
      </c>
      <c r="J73" s="122">
        <f>SUM($H$18:$H73)</f>
        <v>22501.178672762333</v>
      </c>
    </row>
    <row r="74" spans="1:11" x14ac:dyDescent="0.2">
      <c r="A74" s="125">
        <f>IF(Values_Entered,A73+1,"")</f>
        <v>57</v>
      </c>
      <c r="B74" s="124">
        <f t="shared" si="0"/>
        <v>44105</v>
      </c>
      <c r="C74" s="122">
        <f t="shared" si="6"/>
        <v>92439.167784082514</v>
      </c>
      <c r="D74" s="122">
        <f t="shared" si="1"/>
        <v>536.82162301213907</v>
      </c>
      <c r="E74" s="123">
        <f t="shared" si="2"/>
        <v>0</v>
      </c>
      <c r="F74" s="122">
        <f t="shared" si="3"/>
        <v>536.82162301213907</v>
      </c>
      <c r="G74" s="122">
        <f t="shared" si="4"/>
        <v>151.6584239117953</v>
      </c>
      <c r="H74" s="122">
        <f t="shared" si="7"/>
        <v>385.16319910034377</v>
      </c>
      <c r="I74" s="122">
        <f t="shared" si="5"/>
        <v>92287.509360170719</v>
      </c>
      <c r="J74" s="122">
        <f>SUM($H$18:$H74)</f>
        <v>22886.341871862678</v>
      </c>
    </row>
    <row r="75" spans="1:11" x14ac:dyDescent="0.2">
      <c r="A75" s="125">
        <f>IF(Values_Entered,A74+1,"")</f>
        <v>58</v>
      </c>
      <c r="B75" s="124">
        <f t="shared" si="0"/>
        <v>44136</v>
      </c>
      <c r="C75" s="122">
        <f t="shared" si="6"/>
        <v>92287.509360170719</v>
      </c>
      <c r="D75" s="122">
        <f t="shared" si="1"/>
        <v>536.82162301213907</v>
      </c>
      <c r="E75" s="123">
        <f t="shared" si="2"/>
        <v>0</v>
      </c>
      <c r="F75" s="122">
        <f t="shared" si="3"/>
        <v>536.82162301213907</v>
      </c>
      <c r="G75" s="122">
        <f t="shared" si="4"/>
        <v>152.29033401142777</v>
      </c>
      <c r="H75" s="122">
        <f t="shared" si="7"/>
        <v>384.5312890007113</v>
      </c>
      <c r="I75" s="122">
        <f t="shared" si="5"/>
        <v>92135.219026159291</v>
      </c>
      <c r="J75" s="122">
        <f>SUM($H$18:$H75)</f>
        <v>23270.87316086339</v>
      </c>
    </row>
    <row r="76" spans="1:11" x14ac:dyDescent="0.2">
      <c r="A76" s="125">
        <f>IF(Values_Entered,A75+1,"")</f>
        <v>59</v>
      </c>
      <c r="B76" s="124">
        <f t="shared" si="0"/>
        <v>44166</v>
      </c>
      <c r="C76" s="122">
        <f t="shared" si="6"/>
        <v>92135.219026159291</v>
      </c>
      <c r="D76" s="122">
        <f t="shared" si="1"/>
        <v>536.82162301213907</v>
      </c>
      <c r="E76" s="123">
        <f t="shared" si="2"/>
        <v>0</v>
      </c>
      <c r="F76" s="122">
        <f t="shared" si="3"/>
        <v>536.82162301213907</v>
      </c>
      <c r="G76" s="122">
        <f t="shared" si="4"/>
        <v>152.92487706980864</v>
      </c>
      <c r="H76" s="122">
        <f t="shared" si="7"/>
        <v>383.89674594233043</v>
      </c>
      <c r="I76" s="122">
        <f t="shared" si="5"/>
        <v>91982.294149089488</v>
      </c>
      <c r="J76" s="122">
        <f>SUM($H$18:$H76)</f>
        <v>23654.769906805719</v>
      </c>
    </row>
    <row r="77" spans="1:11" x14ac:dyDescent="0.2">
      <c r="A77" s="162">
        <f>IF(Values_Entered,A76+1,"")</f>
        <v>60</v>
      </c>
      <c r="B77" s="163">
        <f t="shared" si="0"/>
        <v>44197</v>
      </c>
      <c r="C77" s="164">
        <f t="shared" si="6"/>
        <v>91982.294149089488</v>
      </c>
      <c r="D77" s="164">
        <f t="shared" si="1"/>
        <v>536.82162301213907</v>
      </c>
      <c r="E77" s="165">
        <f t="shared" si="2"/>
        <v>0</v>
      </c>
      <c r="F77" s="164">
        <f t="shared" si="3"/>
        <v>536.82162301213907</v>
      </c>
      <c r="G77" s="164">
        <f t="shared" si="4"/>
        <v>153.56206405759957</v>
      </c>
      <c r="H77" s="164">
        <f t="shared" si="7"/>
        <v>383.2595589545395</v>
      </c>
      <c r="I77" s="164">
        <f t="shared" si="5"/>
        <v>91828.732085031894</v>
      </c>
      <c r="J77" s="164">
        <f>SUM($H$18:$H77)</f>
        <v>24038.029465760257</v>
      </c>
    </row>
    <row r="78" spans="1:11" x14ac:dyDescent="0.2">
      <c r="A78" s="125">
        <f>IF(Values_Entered,A77+1,"")</f>
        <v>61</v>
      </c>
      <c r="B78" s="124">
        <f t="shared" si="0"/>
        <v>44228</v>
      </c>
      <c r="C78" s="122">
        <f t="shared" si="6"/>
        <v>91828.732085031894</v>
      </c>
      <c r="D78" s="122">
        <f t="shared" si="1"/>
        <v>536.82162301213907</v>
      </c>
      <c r="E78" s="123">
        <f t="shared" si="2"/>
        <v>0</v>
      </c>
      <c r="F78" s="122">
        <f t="shared" si="3"/>
        <v>536.82162301213907</v>
      </c>
      <c r="G78" s="122">
        <f t="shared" si="4"/>
        <v>154.20190599117285</v>
      </c>
      <c r="H78" s="122">
        <f t="shared" si="7"/>
        <v>382.61971702096622</v>
      </c>
      <c r="I78" s="122">
        <f t="shared" si="5"/>
        <v>91674.530179040725</v>
      </c>
      <c r="J78" s="122">
        <f>SUM($H$18:$H78)</f>
        <v>24420.649182781224</v>
      </c>
      <c r="K78" s="117">
        <v>6</v>
      </c>
    </row>
    <row r="79" spans="1:11" x14ac:dyDescent="0.2">
      <c r="A79" s="125">
        <f>IF(Values_Entered,A78+1,"")</f>
        <v>62</v>
      </c>
      <c r="B79" s="124">
        <f t="shared" si="0"/>
        <v>44256</v>
      </c>
      <c r="C79" s="122">
        <f t="shared" si="6"/>
        <v>91674.530179040725</v>
      </c>
      <c r="D79" s="122">
        <f t="shared" si="1"/>
        <v>536.82162301213907</v>
      </c>
      <c r="E79" s="123">
        <f t="shared" si="2"/>
        <v>0</v>
      </c>
      <c r="F79" s="122">
        <f t="shared" si="3"/>
        <v>536.82162301213907</v>
      </c>
      <c r="G79" s="122">
        <f t="shared" si="4"/>
        <v>154.84441393280275</v>
      </c>
      <c r="H79" s="122">
        <f t="shared" si="7"/>
        <v>381.97720907933632</v>
      </c>
      <c r="I79" s="122">
        <f t="shared" si="5"/>
        <v>91519.685765107919</v>
      </c>
      <c r="J79" s="122">
        <f>SUM($H$18:$H79)</f>
        <v>24802.626391860562</v>
      </c>
    </row>
    <row r="80" spans="1:11" x14ac:dyDescent="0.2">
      <c r="A80" s="125">
        <f>IF(Values_Entered,A79+1,"")</f>
        <v>63</v>
      </c>
      <c r="B80" s="124">
        <f t="shared" si="0"/>
        <v>44287</v>
      </c>
      <c r="C80" s="122">
        <f t="shared" si="6"/>
        <v>91519.685765107919</v>
      </c>
      <c r="D80" s="122">
        <f t="shared" si="1"/>
        <v>536.82162301213907</v>
      </c>
      <c r="E80" s="123">
        <f t="shared" si="2"/>
        <v>0</v>
      </c>
      <c r="F80" s="122">
        <f t="shared" si="3"/>
        <v>536.82162301213907</v>
      </c>
      <c r="G80" s="122">
        <f t="shared" si="4"/>
        <v>155.48959899085611</v>
      </c>
      <c r="H80" s="122">
        <f t="shared" si="7"/>
        <v>381.33202402128296</v>
      </c>
      <c r="I80" s="122">
        <f t="shared" si="5"/>
        <v>91364.196166117064</v>
      </c>
      <c r="J80" s="122">
        <f>SUM($H$18:$H80)</f>
        <v>25183.958415881843</v>
      </c>
    </row>
    <row r="81" spans="1:11" x14ac:dyDescent="0.2">
      <c r="A81" s="125">
        <f>IF(Values_Entered,A80+1,"")</f>
        <v>64</v>
      </c>
      <c r="B81" s="124">
        <f t="shared" si="0"/>
        <v>44317</v>
      </c>
      <c r="C81" s="122">
        <f t="shared" si="6"/>
        <v>91364.196166117064</v>
      </c>
      <c r="D81" s="122">
        <f t="shared" si="1"/>
        <v>536.82162301213907</v>
      </c>
      <c r="E81" s="123">
        <f t="shared" si="2"/>
        <v>0</v>
      </c>
      <c r="F81" s="122">
        <f t="shared" si="3"/>
        <v>536.82162301213907</v>
      </c>
      <c r="G81" s="122">
        <f t="shared" si="4"/>
        <v>156.13747231998462</v>
      </c>
      <c r="H81" s="122">
        <f t="shared" si="7"/>
        <v>380.68415069215445</v>
      </c>
      <c r="I81" s="122">
        <f t="shared" si="5"/>
        <v>91208.05869379708</v>
      </c>
      <c r="J81" s="122">
        <f>SUM($H$18:$H81)</f>
        <v>25564.642566573999</v>
      </c>
    </row>
    <row r="82" spans="1:11" x14ac:dyDescent="0.2">
      <c r="A82" s="125">
        <f>IF(Values_Entered,A81+1,"")</f>
        <v>65</v>
      </c>
      <c r="B82" s="124">
        <f t="shared" ref="B82:B145" si="8">IF(Pay_Num&lt;&gt;"",DATE(YEAR(Loan_Start),MONTH(Loan_Start)+(Pay_Num)*12/Num_Pmt_Per_Year,DAY(Loan_Start)),"")</f>
        <v>44348</v>
      </c>
      <c r="C82" s="122">
        <f t="shared" si="6"/>
        <v>91208.05869379708</v>
      </c>
      <c r="D82" s="122">
        <f t="shared" ref="D82:D145" si="9">IF(Pay_Num&lt;&gt;"",Scheduled_Monthly_Payment,"")</f>
        <v>536.82162301213907</v>
      </c>
      <c r="E82" s="123">
        <f t="shared" ref="E82:E145" si="10">IF(AND(Pay_Num&lt;&gt;"",Sched_Pay+Scheduled_Extra_Payments&lt;Beg_Bal),Scheduled_Extra_Payments,IF(AND(Pay_Num&lt;&gt;"",Beg_Bal-Sched_Pay&gt;0),Beg_Bal-Sched_Pay,IF(Pay_Num&lt;&gt;"",0,"")))</f>
        <v>0</v>
      </c>
      <c r="F82" s="122">
        <f t="shared" ref="F82:F145" si="11">IF(AND(Pay_Num&lt;&gt;"",Sched_Pay+Extra_Pay&lt;Beg_Bal),Sched_Pay+Extra_Pay,IF(Pay_Num&lt;&gt;"",Beg_Bal,""))</f>
        <v>536.82162301213907</v>
      </c>
      <c r="G82" s="122">
        <f t="shared" ref="G82:G145" si="12">IF(Pay_Num&lt;&gt;"",Total_Pay-Int,"")</f>
        <v>156.78804512131791</v>
      </c>
      <c r="H82" s="122">
        <f t="shared" si="7"/>
        <v>380.03357789082116</v>
      </c>
      <c r="I82" s="122">
        <f t="shared" ref="I82:I145" si="13">IF(AND(Pay_Num&lt;&gt;"",Sched_Pay+Extra_Pay&lt;Beg_Bal),Beg_Bal-Princ,IF(Pay_Num&lt;&gt;"",0,""))</f>
        <v>91051.270648675767</v>
      </c>
      <c r="J82" s="122">
        <f>SUM($H$18:$H82)</f>
        <v>25944.676144464822</v>
      </c>
    </row>
    <row r="83" spans="1:11" x14ac:dyDescent="0.2">
      <c r="A83" s="125">
        <f>IF(Values_Entered,A82+1,"")</f>
        <v>66</v>
      </c>
      <c r="B83" s="124">
        <f t="shared" si="8"/>
        <v>44378</v>
      </c>
      <c r="C83" s="122">
        <f t="shared" ref="C83:C146" si="14">IF(Pay_Num&lt;&gt;"",I82,"")</f>
        <v>91051.270648675767</v>
      </c>
      <c r="D83" s="122">
        <f t="shared" si="9"/>
        <v>536.82162301213907</v>
      </c>
      <c r="E83" s="123">
        <f t="shared" si="10"/>
        <v>0</v>
      </c>
      <c r="F83" s="122">
        <f t="shared" si="11"/>
        <v>536.82162301213907</v>
      </c>
      <c r="G83" s="122">
        <f t="shared" si="12"/>
        <v>157.44132864265674</v>
      </c>
      <c r="H83" s="122">
        <f t="shared" ref="H83:H146" si="15">IF(Pay_Num&lt;&gt;"",Beg_Bal*Interest_Rate/Num_Pmt_Per_Year,"")</f>
        <v>379.38029436948233</v>
      </c>
      <c r="I83" s="122">
        <f t="shared" si="13"/>
        <v>90893.82932003311</v>
      </c>
      <c r="J83" s="122">
        <f>SUM($H$18:$H83)</f>
        <v>26324.056438834305</v>
      </c>
    </row>
    <row r="84" spans="1:11" x14ac:dyDescent="0.2">
      <c r="A84" s="125">
        <f>IF(Values_Entered,A83+1,"")</f>
        <v>67</v>
      </c>
      <c r="B84" s="124">
        <f t="shared" si="8"/>
        <v>44409</v>
      </c>
      <c r="C84" s="122">
        <f t="shared" si="14"/>
        <v>90893.82932003311</v>
      </c>
      <c r="D84" s="122">
        <f t="shared" si="9"/>
        <v>536.82162301213907</v>
      </c>
      <c r="E84" s="123">
        <f t="shared" si="10"/>
        <v>0</v>
      </c>
      <c r="F84" s="122">
        <f t="shared" si="11"/>
        <v>536.82162301213907</v>
      </c>
      <c r="G84" s="122">
        <f t="shared" si="12"/>
        <v>158.09733417866778</v>
      </c>
      <c r="H84" s="122">
        <f t="shared" si="15"/>
        <v>378.72428883347129</v>
      </c>
      <c r="I84" s="122">
        <f t="shared" si="13"/>
        <v>90735.731985854436</v>
      </c>
      <c r="J84" s="122">
        <f>SUM($H$18:$H84)</f>
        <v>26702.780727667778</v>
      </c>
    </row>
    <row r="85" spans="1:11" x14ac:dyDescent="0.2">
      <c r="A85" s="125">
        <f>IF(Values_Entered,A84+1,"")</f>
        <v>68</v>
      </c>
      <c r="B85" s="124">
        <f t="shared" si="8"/>
        <v>44440</v>
      </c>
      <c r="C85" s="122">
        <f t="shared" si="14"/>
        <v>90735.731985854436</v>
      </c>
      <c r="D85" s="122">
        <f t="shared" si="9"/>
        <v>536.82162301213907</v>
      </c>
      <c r="E85" s="123">
        <f t="shared" si="10"/>
        <v>0</v>
      </c>
      <c r="F85" s="122">
        <f t="shared" si="11"/>
        <v>536.82162301213907</v>
      </c>
      <c r="G85" s="122">
        <f t="shared" si="12"/>
        <v>158.7560730710789</v>
      </c>
      <c r="H85" s="122">
        <f t="shared" si="15"/>
        <v>378.06554994106017</v>
      </c>
      <c r="I85" s="122">
        <f t="shared" si="13"/>
        <v>90576.975912783353</v>
      </c>
      <c r="J85" s="122">
        <f>SUM($H$18:$H85)</f>
        <v>27080.846277608838</v>
      </c>
    </row>
    <row r="86" spans="1:11" x14ac:dyDescent="0.2">
      <c r="A86" s="125">
        <f>IF(Values_Entered,A85+1,"")</f>
        <v>69</v>
      </c>
      <c r="B86" s="124">
        <f t="shared" si="8"/>
        <v>44470</v>
      </c>
      <c r="C86" s="122">
        <f t="shared" si="14"/>
        <v>90576.975912783353</v>
      </c>
      <c r="D86" s="122">
        <f t="shared" si="9"/>
        <v>536.82162301213907</v>
      </c>
      <c r="E86" s="123">
        <f t="shared" si="10"/>
        <v>0</v>
      </c>
      <c r="F86" s="122">
        <f t="shared" si="11"/>
        <v>536.82162301213907</v>
      </c>
      <c r="G86" s="122">
        <f t="shared" si="12"/>
        <v>159.41755670887505</v>
      </c>
      <c r="H86" s="122">
        <f t="shared" si="15"/>
        <v>377.40406630326402</v>
      </c>
      <c r="I86" s="122">
        <f t="shared" si="13"/>
        <v>90417.558356074471</v>
      </c>
      <c r="J86" s="122">
        <f>SUM($H$18:$H86)</f>
        <v>27458.250343912103</v>
      </c>
    </row>
    <row r="87" spans="1:11" x14ac:dyDescent="0.2">
      <c r="A87" s="125">
        <f>IF(Values_Entered,A86+1,"")</f>
        <v>70</v>
      </c>
      <c r="B87" s="124">
        <f t="shared" si="8"/>
        <v>44501</v>
      </c>
      <c r="C87" s="122">
        <f t="shared" si="14"/>
        <v>90417.558356074471</v>
      </c>
      <c r="D87" s="122">
        <f t="shared" si="9"/>
        <v>536.82162301213907</v>
      </c>
      <c r="E87" s="123">
        <f t="shared" si="10"/>
        <v>0</v>
      </c>
      <c r="F87" s="122">
        <f t="shared" si="11"/>
        <v>536.82162301213907</v>
      </c>
      <c r="G87" s="122">
        <f t="shared" si="12"/>
        <v>160.08179652849543</v>
      </c>
      <c r="H87" s="122">
        <f t="shared" si="15"/>
        <v>376.73982648364364</v>
      </c>
      <c r="I87" s="122">
        <f t="shared" si="13"/>
        <v>90257.476559545976</v>
      </c>
      <c r="J87" s="122">
        <f>SUM($H$18:$H87)</f>
        <v>27834.990170395748</v>
      </c>
    </row>
    <row r="88" spans="1:11" x14ac:dyDescent="0.2">
      <c r="A88" s="125">
        <f>IF(Values_Entered,A87+1,"")</f>
        <v>71</v>
      </c>
      <c r="B88" s="124">
        <f t="shared" si="8"/>
        <v>44531</v>
      </c>
      <c r="C88" s="122">
        <f t="shared" si="14"/>
        <v>90257.476559545976</v>
      </c>
      <c r="D88" s="122">
        <f t="shared" si="9"/>
        <v>536.82162301213907</v>
      </c>
      <c r="E88" s="123">
        <f t="shared" si="10"/>
        <v>0</v>
      </c>
      <c r="F88" s="122">
        <f t="shared" si="11"/>
        <v>536.82162301213907</v>
      </c>
      <c r="G88" s="122">
        <f t="shared" si="12"/>
        <v>160.74880401403084</v>
      </c>
      <c r="H88" s="122">
        <f t="shared" si="15"/>
        <v>376.07281899810823</v>
      </c>
      <c r="I88" s="122">
        <f t="shared" si="13"/>
        <v>90096.727755531945</v>
      </c>
      <c r="J88" s="122">
        <f>SUM($H$18:$H88)</f>
        <v>28211.062989393857</v>
      </c>
    </row>
    <row r="89" spans="1:11" x14ac:dyDescent="0.2">
      <c r="A89" s="162">
        <f>IF(Values_Entered,A88+1,"")</f>
        <v>72</v>
      </c>
      <c r="B89" s="163">
        <f t="shared" si="8"/>
        <v>44562</v>
      </c>
      <c r="C89" s="164">
        <f t="shared" si="14"/>
        <v>90096.727755531945</v>
      </c>
      <c r="D89" s="164">
        <f t="shared" si="9"/>
        <v>536.82162301213907</v>
      </c>
      <c r="E89" s="165">
        <f t="shared" si="10"/>
        <v>0</v>
      </c>
      <c r="F89" s="164">
        <f t="shared" si="11"/>
        <v>536.82162301213907</v>
      </c>
      <c r="G89" s="164">
        <f t="shared" si="12"/>
        <v>161.41859069742259</v>
      </c>
      <c r="H89" s="164">
        <f t="shared" si="15"/>
        <v>375.40303231471648</v>
      </c>
      <c r="I89" s="164">
        <f t="shared" si="13"/>
        <v>89935.309164834529</v>
      </c>
      <c r="J89" s="164">
        <f>SUM($H$18:$H89)</f>
        <v>28586.466021708573</v>
      </c>
    </row>
    <row r="90" spans="1:11" x14ac:dyDescent="0.2">
      <c r="A90" s="125">
        <f>IF(Values_Entered,A89+1,"")</f>
        <v>73</v>
      </c>
      <c r="B90" s="124">
        <f t="shared" si="8"/>
        <v>44593</v>
      </c>
      <c r="C90" s="122">
        <f t="shared" si="14"/>
        <v>89935.309164834529</v>
      </c>
      <c r="D90" s="122">
        <f t="shared" si="9"/>
        <v>536.82162301213907</v>
      </c>
      <c r="E90" s="123">
        <f t="shared" si="10"/>
        <v>0</v>
      </c>
      <c r="F90" s="122">
        <f t="shared" si="11"/>
        <v>536.82162301213907</v>
      </c>
      <c r="G90" s="122">
        <f t="shared" si="12"/>
        <v>162.0911681586619</v>
      </c>
      <c r="H90" s="122">
        <f t="shared" si="15"/>
        <v>374.73045485347717</v>
      </c>
      <c r="I90" s="122">
        <f t="shared" si="13"/>
        <v>89773.21799667587</v>
      </c>
      <c r="J90" s="122">
        <f>SUM($H$18:$H90)</f>
        <v>28961.196476562051</v>
      </c>
      <c r="K90" s="117">
        <v>7</v>
      </c>
    </row>
    <row r="91" spans="1:11" x14ac:dyDescent="0.2">
      <c r="A91" s="125">
        <f>IF(Values_Entered,A90+1,"")</f>
        <v>74</v>
      </c>
      <c r="B91" s="124">
        <f t="shared" si="8"/>
        <v>44621</v>
      </c>
      <c r="C91" s="122">
        <f t="shared" si="14"/>
        <v>89773.21799667587</v>
      </c>
      <c r="D91" s="122">
        <f t="shared" si="9"/>
        <v>536.82162301213907</v>
      </c>
      <c r="E91" s="123">
        <f t="shared" si="10"/>
        <v>0</v>
      </c>
      <c r="F91" s="122">
        <f t="shared" si="11"/>
        <v>536.82162301213907</v>
      </c>
      <c r="G91" s="122">
        <f t="shared" si="12"/>
        <v>162.76654802598961</v>
      </c>
      <c r="H91" s="122">
        <f t="shared" si="15"/>
        <v>374.05507498614946</v>
      </c>
      <c r="I91" s="122">
        <f t="shared" si="13"/>
        <v>89610.451448649881</v>
      </c>
      <c r="J91" s="122">
        <f>SUM($H$18:$H91)</f>
        <v>29335.251551548201</v>
      </c>
    </row>
    <row r="92" spans="1:11" x14ac:dyDescent="0.2">
      <c r="A92" s="125">
        <f>IF(Values_Entered,A91+1,"")</f>
        <v>75</v>
      </c>
      <c r="B92" s="124">
        <f t="shared" si="8"/>
        <v>44652</v>
      </c>
      <c r="C92" s="122">
        <f t="shared" si="14"/>
        <v>89610.451448649881</v>
      </c>
      <c r="D92" s="122">
        <f t="shared" si="9"/>
        <v>536.82162301213907</v>
      </c>
      <c r="E92" s="123">
        <f t="shared" si="10"/>
        <v>0</v>
      </c>
      <c r="F92" s="122">
        <f t="shared" si="11"/>
        <v>536.82162301213907</v>
      </c>
      <c r="G92" s="122">
        <f t="shared" si="12"/>
        <v>163.44474197609787</v>
      </c>
      <c r="H92" s="122">
        <f t="shared" si="15"/>
        <v>373.3768810360412</v>
      </c>
      <c r="I92" s="122">
        <f t="shared" si="13"/>
        <v>89447.006706673783</v>
      </c>
      <c r="J92" s="122">
        <f>SUM($H$18:$H92)</f>
        <v>29708.628432584243</v>
      </c>
    </row>
    <row r="93" spans="1:11" x14ac:dyDescent="0.2">
      <c r="A93" s="125">
        <f>IF(Values_Entered,A92+1,"")</f>
        <v>76</v>
      </c>
      <c r="B93" s="124">
        <f t="shared" si="8"/>
        <v>44682</v>
      </c>
      <c r="C93" s="122">
        <f t="shared" si="14"/>
        <v>89447.006706673783</v>
      </c>
      <c r="D93" s="122">
        <f t="shared" si="9"/>
        <v>536.82162301213907</v>
      </c>
      <c r="E93" s="123">
        <f t="shared" si="10"/>
        <v>0</v>
      </c>
      <c r="F93" s="122">
        <f t="shared" si="11"/>
        <v>536.82162301213907</v>
      </c>
      <c r="G93" s="122">
        <f t="shared" si="12"/>
        <v>164.12576173433166</v>
      </c>
      <c r="H93" s="122">
        <f t="shared" si="15"/>
        <v>372.69586127780741</v>
      </c>
      <c r="I93" s="122">
        <f t="shared" si="13"/>
        <v>89282.880944939447</v>
      </c>
      <c r="J93" s="122">
        <f>SUM($H$18:$H93)</f>
        <v>30081.32429386205</v>
      </c>
    </row>
    <row r="94" spans="1:11" x14ac:dyDescent="0.2">
      <c r="A94" s="125">
        <f>IF(Values_Entered,A93+1,"")</f>
        <v>77</v>
      </c>
      <c r="B94" s="124">
        <f t="shared" si="8"/>
        <v>44713</v>
      </c>
      <c r="C94" s="122">
        <f t="shared" si="14"/>
        <v>89282.880944939447</v>
      </c>
      <c r="D94" s="122">
        <f t="shared" si="9"/>
        <v>536.82162301213907</v>
      </c>
      <c r="E94" s="123">
        <f t="shared" si="10"/>
        <v>0</v>
      </c>
      <c r="F94" s="122">
        <f t="shared" si="11"/>
        <v>536.82162301213907</v>
      </c>
      <c r="G94" s="122">
        <f t="shared" si="12"/>
        <v>164.80961907489137</v>
      </c>
      <c r="H94" s="122">
        <f t="shared" si="15"/>
        <v>372.0120039372477</v>
      </c>
      <c r="I94" s="122">
        <f t="shared" si="13"/>
        <v>89118.071325864556</v>
      </c>
      <c r="J94" s="122">
        <f>SUM($H$18:$H94)</f>
        <v>30453.336297799298</v>
      </c>
    </row>
    <row r="95" spans="1:11" x14ac:dyDescent="0.2">
      <c r="A95" s="125">
        <f>IF(Values_Entered,A94+1,"")</f>
        <v>78</v>
      </c>
      <c r="B95" s="124">
        <f t="shared" si="8"/>
        <v>44743</v>
      </c>
      <c r="C95" s="122">
        <f t="shared" si="14"/>
        <v>89118.071325864556</v>
      </c>
      <c r="D95" s="122">
        <f t="shared" si="9"/>
        <v>536.82162301213907</v>
      </c>
      <c r="E95" s="123">
        <f t="shared" si="10"/>
        <v>0</v>
      </c>
      <c r="F95" s="122">
        <f t="shared" si="11"/>
        <v>536.82162301213907</v>
      </c>
      <c r="G95" s="122">
        <f t="shared" si="12"/>
        <v>165.49632582103669</v>
      </c>
      <c r="H95" s="122">
        <f t="shared" si="15"/>
        <v>371.32529719110238</v>
      </c>
      <c r="I95" s="122">
        <f t="shared" si="13"/>
        <v>88952.575000043522</v>
      </c>
      <c r="J95" s="122">
        <f>SUM($H$18:$H95)</f>
        <v>30824.661594990401</v>
      </c>
    </row>
    <row r="96" spans="1:11" x14ac:dyDescent="0.2">
      <c r="A96" s="125">
        <f>IF(Values_Entered,A95+1,"")</f>
        <v>79</v>
      </c>
      <c r="B96" s="124">
        <f t="shared" si="8"/>
        <v>44774</v>
      </c>
      <c r="C96" s="122">
        <f t="shared" si="14"/>
        <v>88952.575000043522</v>
      </c>
      <c r="D96" s="122">
        <f t="shared" si="9"/>
        <v>536.82162301213907</v>
      </c>
      <c r="E96" s="123">
        <f t="shared" si="10"/>
        <v>0</v>
      </c>
      <c r="F96" s="122">
        <f t="shared" si="11"/>
        <v>536.82162301213907</v>
      </c>
      <c r="G96" s="122">
        <f t="shared" si="12"/>
        <v>166.18589384529105</v>
      </c>
      <c r="H96" s="122">
        <f t="shared" si="15"/>
        <v>370.63572916684802</v>
      </c>
      <c r="I96" s="122">
        <f t="shared" si="13"/>
        <v>88786.389106198229</v>
      </c>
      <c r="J96" s="122">
        <f>SUM($H$18:$H96)</f>
        <v>31195.297324157247</v>
      </c>
    </row>
    <row r="97" spans="1:11" x14ac:dyDescent="0.2">
      <c r="A97" s="125">
        <f>IF(Values_Entered,A96+1,"")</f>
        <v>80</v>
      </c>
      <c r="B97" s="124">
        <f t="shared" si="8"/>
        <v>44805</v>
      </c>
      <c r="C97" s="122">
        <f t="shared" si="14"/>
        <v>88786.389106198229</v>
      </c>
      <c r="D97" s="122">
        <f t="shared" si="9"/>
        <v>536.82162301213907</v>
      </c>
      <c r="E97" s="123">
        <f t="shared" si="10"/>
        <v>0</v>
      </c>
      <c r="F97" s="122">
        <f t="shared" si="11"/>
        <v>536.82162301213907</v>
      </c>
      <c r="G97" s="122">
        <f t="shared" si="12"/>
        <v>166.87833506964643</v>
      </c>
      <c r="H97" s="122">
        <f t="shared" si="15"/>
        <v>369.94328794249265</v>
      </c>
      <c r="I97" s="122">
        <f t="shared" si="13"/>
        <v>88619.510771128582</v>
      </c>
      <c r="J97" s="122">
        <f>SUM($H$18:$H97)</f>
        <v>31565.24061209974</v>
      </c>
    </row>
    <row r="98" spans="1:11" x14ac:dyDescent="0.2">
      <c r="A98" s="125">
        <f>IF(Values_Entered,A97+1,"")</f>
        <v>81</v>
      </c>
      <c r="B98" s="124">
        <f t="shared" si="8"/>
        <v>44835</v>
      </c>
      <c r="C98" s="122">
        <f t="shared" si="14"/>
        <v>88619.510771128582</v>
      </c>
      <c r="D98" s="122">
        <f t="shared" si="9"/>
        <v>536.82162301213907</v>
      </c>
      <c r="E98" s="123">
        <f t="shared" si="10"/>
        <v>0</v>
      </c>
      <c r="F98" s="122">
        <f t="shared" si="11"/>
        <v>536.82162301213907</v>
      </c>
      <c r="G98" s="122">
        <f t="shared" si="12"/>
        <v>167.57366146576993</v>
      </c>
      <c r="H98" s="122">
        <f t="shared" si="15"/>
        <v>369.24796154636914</v>
      </c>
      <c r="I98" s="122">
        <f t="shared" si="13"/>
        <v>88451.937109662817</v>
      </c>
      <c r="J98" s="122">
        <f>SUM($H$18:$H98)</f>
        <v>31934.488573646111</v>
      </c>
    </row>
    <row r="99" spans="1:11" x14ac:dyDescent="0.2">
      <c r="A99" s="125">
        <f>IF(Values_Entered,A98+1,"")</f>
        <v>82</v>
      </c>
      <c r="B99" s="124">
        <f t="shared" si="8"/>
        <v>44866</v>
      </c>
      <c r="C99" s="122">
        <f t="shared" si="14"/>
        <v>88451.937109662817</v>
      </c>
      <c r="D99" s="122">
        <f t="shared" si="9"/>
        <v>536.82162301213907</v>
      </c>
      <c r="E99" s="123">
        <f t="shared" si="10"/>
        <v>0</v>
      </c>
      <c r="F99" s="122">
        <f t="shared" si="11"/>
        <v>536.82162301213907</v>
      </c>
      <c r="G99" s="122">
        <f t="shared" si="12"/>
        <v>168.2718850552107</v>
      </c>
      <c r="H99" s="122">
        <f t="shared" si="15"/>
        <v>368.54973795692837</v>
      </c>
      <c r="I99" s="122">
        <f t="shared" si="13"/>
        <v>88283.665224607612</v>
      </c>
      <c r="J99" s="122">
        <f>SUM($H$18:$H99)</f>
        <v>32303.038311603039</v>
      </c>
    </row>
    <row r="100" spans="1:11" x14ac:dyDescent="0.2">
      <c r="A100" s="125">
        <f>IF(Values_Entered,A99+1,"")</f>
        <v>83</v>
      </c>
      <c r="B100" s="124">
        <f t="shared" si="8"/>
        <v>44896</v>
      </c>
      <c r="C100" s="122">
        <f t="shared" si="14"/>
        <v>88283.665224607612</v>
      </c>
      <c r="D100" s="122">
        <f t="shared" si="9"/>
        <v>536.82162301213907</v>
      </c>
      <c r="E100" s="123">
        <f t="shared" si="10"/>
        <v>0</v>
      </c>
      <c r="F100" s="122">
        <f t="shared" si="11"/>
        <v>536.82162301213907</v>
      </c>
      <c r="G100" s="122">
        <f t="shared" si="12"/>
        <v>168.97301790960734</v>
      </c>
      <c r="H100" s="122">
        <f t="shared" si="15"/>
        <v>367.84860510253174</v>
      </c>
      <c r="I100" s="122">
        <f t="shared" si="13"/>
        <v>88114.692206698004</v>
      </c>
      <c r="J100" s="122">
        <f>SUM($H$18:$H100)</f>
        <v>32670.886916705571</v>
      </c>
    </row>
    <row r="101" spans="1:11" x14ac:dyDescent="0.2">
      <c r="A101" s="162">
        <f>IF(Values_Entered,A100+1,"")</f>
        <v>84</v>
      </c>
      <c r="B101" s="163">
        <f t="shared" si="8"/>
        <v>44927</v>
      </c>
      <c r="C101" s="164">
        <f t="shared" si="14"/>
        <v>88114.692206698004</v>
      </c>
      <c r="D101" s="164">
        <f t="shared" si="9"/>
        <v>536.82162301213907</v>
      </c>
      <c r="E101" s="165">
        <f t="shared" si="10"/>
        <v>0</v>
      </c>
      <c r="F101" s="164">
        <f t="shared" si="11"/>
        <v>536.82162301213907</v>
      </c>
      <c r="G101" s="164">
        <f t="shared" si="12"/>
        <v>169.6770721508974</v>
      </c>
      <c r="H101" s="164">
        <f t="shared" si="15"/>
        <v>367.14455086124167</v>
      </c>
      <c r="I101" s="164">
        <f t="shared" si="13"/>
        <v>87945.015134547109</v>
      </c>
      <c r="J101" s="164">
        <f>SUM($H$18:$H101)</f>
        <v>33038.031467566812</v>
      </c>
    </row>
    <row r="102" spans="1:11" x14ac:dyDescent="0.2">
      <c r="A102" s="125">
        <f>IF(Values_Entered,A101+1,"")</f>
        <v>85</v>
      </c>
      <c r="B102" s="124">
        <f t="shared" si="8"/>
        <v>44958</v>
      </c>
      <c r="C102" s="122">
        <f t="shared" si="14"/>
        <v>87945.015134547109</v>
      </c>
      <c r="D102" s="122">
        <f t="shared" si="9"/>
        <v>536.82162301213907</v>
      </c>
      <c r="E102" s="123">
        <f t="shared" si="10"/>
        <v>0</v>
      </c>
      <c r="F102" s="122">
        <f t="shared" si="11"/>
        <v>536.82162301213907</v>
      </c>
      <c r="G102" s="122">
        <f t="shared" si="12"/>
        <v>170.38405995152607</v>
      </c>
      <c r="H102" s="122">
        <f t="shared" si="15"/>
        <v>366.437563060613</v>
      </c>
      <c r="I102" s="122">
        <f t="shared" si="13"/>
        <v>87774.631074595585</v>
      </c>
      <c r="J102" s="122">
        <f>SUM($H$18:$H102)</f>
        <v>33404.469030627428</v>
      </c>
      <c r="K102" s="117">
        <v>8</v>
      </c>
    </row>
    <row r="103" spans="1:11" x14ac:dyDescent="0.2">
      <c r="A103" s="125">
        <f>IF(Values_Entered,A102+1,"")</f>
        <v>86</v>
      </c>
      <c r="B103" s="124">
        <f t="shared" si="8"/>
        <v>44986</v>
      </c>
      <c r="C103" s="122">
        <f t="shared" si="14"/>
        <v>87774.631074595585</v>
      </c>
      <c r="D103" s="122">
        <f t="shared" si="9"/>
        <v>536.82162301213907</v>
      </c>
      <c r="E103" s="123">
        <f t="shared" si="10"/>
        <v>0</v>
      </c>
      <c r="F103" s="122">
        <f t="shared" si="11"/>
        <v>536.82162301213907</v>
      </c>
      <c r="G103" s="122">
        <f t="shared" si="12"/>
        <v>171.0939935346575</v>
      </c>
      <c r="H103" s="122">
        <f t="shared" si="15"/>
        <v>365.72762947748157</v>
      </c>
      <c r="I103" s="122">
        <f t="shared" si="13"/>
        <v>87603.537081060931</v>
      </c>
      <c r="J103" s="122">
        <f>SUM($H$18:$H103)</f>
        <v>33770.196660104906</v>
      </c>
    </row>
    <row r="104" spans="1:11" x14ac:dyDescent="0.2">
      <c r="A104" s="125">
        <f>IF(Values_Entered,A103+1,"")</f>
        <v>87</v>
      </c>
      <c r="B104" s="124">
        <f t="shared" si="8"/>
        <v>45017</v>
      </c>
      <c r="C104" s="122">
        <f t="shared" si="14"/>
        <v>87603.537081060931</v>
      </c>
      <c r="D104" s="122">
        <f t="shared" si="9"/>
        <v>536.82162301213907</v>
      </c>
      <c r="E104" s="123">
        <f t="shared" si="10"/>
        <v>0</v>
      </c>
      <c r="F104" s="122">
        <f t="shared" si="11"/>
        <v>536.82162301213907</v>
      </c>
      <c r="G104" s="122">
        <f t="shared" si="12"/>
        <v>171.80688517438517</v>
      </c>
      <c r="H104" s="122">
        <f t="shared" si="15"/>
        <v>365.0147378377539</v>
      </c>
      <c r="I104" s="122">
        <f t="shared" si="13"/>
        <v>87431.730195886543</v>
      </c>
      <c r="J104" s="122">
        <f>SUM($H$18:$H104)</f>
        <v>34135.211397942658</v>
      </c>
    </row>
    <row r="105" spans="1:11" x14ac:dyDescent="0.2">
      <c r="A105" s="125">
        <f>IF(Values_Entered,A104+1,"")</f>
        <v>88</v>
      </c>
      <c r="B105" s="124">
        <f t="shared" si="8"/>
        <v>45047</v>
      </c>
      <c r="C105" s="122">
        <f t="shared" si="14"/>
        <v>87431.730195886543</v>
      </c>
      <c r="D105" s="122">
        <f t="shared" si="9"/>
        <v>536.82162301213907</v>
      </c>
      <c r="E105" s="123">
        <f t="shared" si="10"/>
        <v>0</v>
      </c>
      <c r="F105" s="122">
        <f t="shared" si="11"/>
        <v>536.82162301213907</v>
      </c>
      <c r="G105" s="122">
        <f t="shared" si="12"/>
        <v>172.52274719594516</v>
      </c>
      <c r="H105" s="122">
        <f t="shared" si="15"/>
        <v>364.29887581619391</v>
      </c>
      <c r="I105" s="122">
        <f t="shared" si="13"/>
        <v>87259.207448690591</v>
      </c>
      <c r="J105" s="122">
        <f>SUM($H$18:$H105)</f>
        <v>34499.510273758853</v>
      </c>
    </row>
    <row r="106" spans="1:11" x14ac:dyDescent="0.2">
      <c r="A106" s="125">
        <f>IF(Values_Entered,A105+1,"")</f>
        <v>89</v>
      </c>
      <c r="B106" s="124">
        <f t="shared" si="8"/>
        <v>45078</v>
      </c>
      <c r="C106" s="122">
        <f t="shared" si="14"/>
        <v>87259.207448690591</v>
      </c>
      <c r="D106" s="122">
        <f t="shared" si="9"/>
        <v>536.82162301213907</v>
      </c>
      <c r="E106" s="123">
        <f t="shared" si="10"/>
        <v>0</v>
      </c>
      <c r="F106" s="122">
        <f t="shared" si="11"/>
        <v>536.82162301213907</v>
      </c>
      <c r="G106" s="122">
        <f t="shared" si="12"/>
        <v>173.24159197592826</v>
      </c>
      <c r="H106" s="122">
        <f t="shared" si="15"/>
        <v>363.58003103621081</v>
      </c>
      <c r="I106" s="122">
        <f t="shared" si="13"/>
        <v>87085.965856714669</v>
      </c>
      <c r="J106" s="122">
        <f>SUM($H$18:$H106)</f>
        <v>34863.090304795063</v>
      </c>
    </row>
    <row r="107" spans="1:11" x14ac:dyDescent="0.2">
      <c r="A107" s="125">
        <f>IF(Values_Entered,A106+1,"")</f>
        <v>90</v>
      </c>
      <c r="B107" s="124">
        <f t="shared" si="8"/>
        <v>45108</v>
      </c>
      <c r="C107" s="122">
        <f t="shared" si="14"/>
        <v>87085.965856714669</v>
      </c>
      <c r="D107" s="122">
        <f t="shared" si="9"/>
        <v>536.82162301213907</v>
      </c>
      <c r="E107" s="123">
        <f t="shared" si="10"/>
        <v>0</v>
      </c>
      <c r="F107" s="122">
        <f t="shared" si="11"/>
        <v>536.82162301213907</v>
      </c>
      <c r="G107" s="122">
        <f t="shared" si="12"/>
        <v>173.96343194249465</v>
      </c>
      <c r="H107" s="122">
        <f t="shared" si="15"/>
        <v>362.85819106964442</v>
      </c>
      <c r="I107" s="122">
        <f t="shared" si="13"/>
        <v>86912.002424772174</v>
      </c>
      <c r="J107" s="122">
        <f>SUM($H$18:$H107)</f>
        <v>35225.948495864708</v>
      </c>
    </row>
    <row r="108" spans="1:11" x14ac:dyDescent="0.2">
      <c r="A108" s="125">
        <f>IF(Values_Entered,A107+1,"")</f>
        <v>91</v>
      </c>
      <c r="B108" s="124">
        <f t="shared" si="8"/>
        <v>45139</v>
      </c>
      <c r="C108" s="122">
        <f t="shared" si="14"/>
        <v>86912.002424772174</v>
      </c>
      <c r="D108" s="122">
        <f t="shared" si="9"/>
        <v>536.82162301213907</v>
      </c>
      <c r="E108" s="123">
        <f t="shared" si="10"/>
        <v>0</v>
      </c>
      <c r="F108" s="122">
        <f t="shared" si="11"/>
        <v>536.82162301213907</v>
      </c>
      <c r="G108" s="122">
        <f t="shared" si="12"/>
        <v>174.6882795755883</v>
      </c>
      <c r="H108" s="122">
        <f t="shared" si="15"/>
        <v>362.13334343655077</v>
      </c>
      <c r="I108" s="122">
        <f t="shared" si="13"/>
        <v>86737.314145196578</v>
      </c>
      <c r="J108" s="122">
        <f>SUM($H$18:$H108)</f>
        <v>35588.08183930126</v>
      </c>
    </row>
    <row r="109" spans="1:11" x14ac:dyDescent="0.2">
      <c r="A109" s="125">
        <f>IF(Values_Entered,A108+1,"")</f>
        <v>92</v>
      </c>
      <c r="B109" s="124">
        <f t="shared" si="8"/>
        <v>45170</v>
      </c>
      <c r="C109" s="122">
        <f t="shared" si="14"/>
        <v>86737.314145196578</v>
      </c>
      <c r="D109" s="122">
        <f t="shared" si="9"/>
        <v>536.82162301213907</v>
      </c>
      <c r="E109" s="123">
        <f t="shared" si="10"/>
        <v>0</v>
      </c>
      <c r="F109" s="122">
        <f t="shared" si="11"/>
        <v>536.82162301213907</v>
      </c>
      <c r="G109" s="122">
        <f t="shared" si="12"/>
        <v>175.41614740715335</v>
      </c>
      <c r="H109" s="122">
        <f t="shared" si="15"/>
        <v>361.40547560498572</v>
      </c>
      <c r="I109" s="122">
        <f t="shared" si="13"/>
        <v>86561.89799778942</v>
      </c>
      <c r="J109" s="122">
        <f>SUM($H$18:$H109)</f>
        <v>35949.487314906248</v>
      </c>
    </row>
    <row r="110" spans="1:11" x14ac:dyDescent="0.2">
      <c r="A110" s="125">
        <f>IF(Values_Entered,A109+1,"")</f>
        <v>93</v>
      </c>
      <c r="B110" s="124">
        <f t="shared" si="8"/>
        <v>45200</v>
      </c>
      <c r="C110" s="122">
        <f t="shared" si="14"/>
        <v>86561.89799778942</v>
      </c>
      <c r="D110" s="122">
        <f t="shared" si="9"/>
        <v>536.82162301213907</v>
      </c>
      <c r="E110" s="123">
        <f t="shared" si="10"/>
        <v>0</v>
      </c>
      <c r="F110" s="122">
        <f t="shared" si="11"/>
        <v>536.82162301213907</v>
      </c>
      <c r="G110" s="122">
        <f t="shared" si="12"/>
        <v>176.1470480213498</v>
      </c>
      <c r="H110" s="122">
        <f t="shared" si="15"/>
        <v>360.67457499078927</v>
      </c>
      <c r="I110" s="122">
        <f t="shared" si="13"/>
        <v>86385.750949768073</v>
      </c>
      <c r="J110" s="122">
        <f>SUM($H$18:$H110)</f>
        <v>36310.161889897034</v>
      </c>
    </row>
    <row r="111" spans="1:11" x14ac:dyDescent="0.2">
      <c r="A111" s="125">
        <f>IF(Values_Entered,A110+1,"")</f>
        <v>94</v>
      </c>
      <c r="B111" s="124">
        <f t="shared" si="8"/>
        <v>45231</v>
      </c>
      <c r="C111" s="122">
        <f t="shared" si="14"/>
        <v>86385.750949768073</v>
      </c>
      <c r="D111" s="122">
        <f t="shared" si="9"/>
        <v>536.82162301213907</v>
      </c>
      <c r="E111" s="123">
        <f t="shared" si="10"/>
        <v>0</v>
      </c>
      <c r="F111" s="122">
        <f t="shared" si="11"/>
        <v>536.82162301213907</v>
      </c>
      <c r="G111" s="122">
        <f t="shared" si="12"/>
        <v>176.88099405477209</v>
      </c>
      <c r="H111" s="122">
        <f t="shared" si="15"/>
        <v>359.94062895736698</v>
      </c>
      <c r="I111" s="122">
        <f t="shared" si="13"/>
        <v>86208.869955713308</v>
      </c>
      <c r="J111" s="122">
        <f>SUM($H$18:$H111)</f>
        <v>36670.102518854401</v>
      </c>
    </row>
    <row r="112" spans="1:11" x14ac:dyDescent="0.2">
      <c r="A112" s="125">
        <f>IF(Values_Entered,A111+1,"")</f>
        <v>95</v>
      </c>
      <c r="B112" s="124">
        <f t="shared" si="8"/>
        <v>45261</v>
      </c>
      <c r="C112" s="122">
        <f t="shared" si="14"/>
        <v>86208.869955713308</v>
      </c>
      <c r="D112" s="122">
        <f t="shared" si="9"/>
        <v>536.82162301213907</v>
      </c>
      <c r="E112" s="123">
        <f t="shared" si="10"/>
        <v>0</v>
      </c>
      <c r="F112" s="122">
        <f t="shared" si="11"/>
        <v>536.82162301213907</v>
      </c>
      <c r="G112" s="122">
        <f t="shared" si="12"/>
        <v>177.61799819666697</v>
      </c>
      <c r="H112" s="122">
        <f t="shared" si="15"/>
        <v>359.2036248154721</v>
      </c>
      <c r="I112" s="122">
        <f t="shared" si="13"/>
        <v>86031.251957516637</v>
      </c>
      <c r="J112" s="122">
        <f>SUM($H$18:$H112)</f>
        <v>37029.30614366987</v>
      </c>
    </row>
    <row r="113" spans="1:11" x14ac:dyDescent="0.2">
      <c r="A113" s="162">
        <f>IF(Values_Entered,A112+1,"")</f>
        <v>96</v>
      </c>
      <c r="B113" s="163">
        <f t="shared" si="8"/>
        <v>45292</v>
      </c>
      <c r="C113" s="164">
        <f t="shared" si="14"/>
        <v>86031.251957516637</v>
      </c>
      <c r="D113" s="164">
        <f t="shared" si="9"/>
        <v>536.82162301213907</v>
      </c>
      <c r="E113" s="165">
        <f t="shared" si="10"/>
        <v>0</v>
      </c>
      <c r="F113" s="164">
        <f t="shared" si="11"/>
        <v>536.82162301213907</v>
      </c>
      <c r="G113" s="164">
        <f t="shared" si="12"/>
        <v>178.35807318915312</v>
      </c>
      <c r="H113" s="164">
        <f t="shared" si="15"/>
        <v>358.46354982298595</v>
      </c>
      <c r="I113" s="164">
        <f t="shared" si="13"/>
        <v>85852.893884327481</v>
      </c>
      <c r="J113" s="164">
        <f>SUM($H$18:$H113)</f>
        <v>37387.769693492854</v>
      </c>
    </row>
    <row r="114" spans="1:11" x14ac:dyDescent="0.2">
      <c r="A114" s="125">
        <f>IF(Values_Entered,A113+1,"")</f>
        <v>97</v>
      </c>
      <c r="B114" s="124">
        <f t="shared" si="8"/>
        <v>45323</v>
      </c>
      <c r="C114" s="122">
        <f t="shared" si="14"/>
        <v>85852.893884327481</v>
      </c>
      <c r="D114" s="122">
        <f t="shared" si="9"/>
        <v>536.82162301213907</v>
      </c>
      <c r="E114" s="123">
        <f t="shared" si="10"/>
        <v>0</v>
      </c>
      <c r="F114" s="122">
        <f t="shared" si="11"/>
        <v>536.82162301213907</v>
      </c>
      <c r="G114" s="122">
        <f t="shared" si="12"/>
        <v>179.10123182744127</v>
      </c>
      <c r="H114" s="122">
        <f t="shared" si="15"/>
        <v>357.7203911846978</v>
      </c>
      <c r="I114" s="122">
        <f t="shared" si="13"/>
        <v>85673.792652500037</v>
      </c>
      <c r="J114" s="122">
        <f>SUM($H$18:$H114)</f>
        <v>37745.490084677549</v>
      </c>
      <c r="K114" s="117">
        <v>9</v>
      </c>
    </row>
    <row r="115" spans="1:11" x14ac:dyDescent="0.2">
      <c r="A115" s="125">
        <f>IF(Values_Entered,A114+1,"")</f>
        <v>98</v>
      </c>
      <c r="B115" s="124">
        <f t="shared" si="8"/>
        <v>45352</v>
      </c>
      <c r="C115" s="122">
        <f t="shared" si="14"/>
        <v>85673.792652500037</v>
      </c>
      <c r="D115" s="122">
        <f t="shared" si="9"/>
        <v>536.82162301213907</v>
      </c>
      <c r="E115" s="123">
        <f t="shared" si="10"/>
        <v>0</v>
      </c>
      <c r="F115" s="122">
        <f t="shared" si="11"/>
        <v>536.82162301213907</v>
      </c>
      <c r="G115" s="122">
        <f t="shared" si="12"/>
        <v>179.84748696005562</v>
      </c>
      <c r="H115" s="122">
        <f t="shared" si="15"/>
        <v>356.97413605208345</v>
      </c>
      <c r="I115" s="122">
        <f t="shared" si="13"/>
        <v>85493.945165539975</v>
      </c>
      <c r="J115" s="122">
        <f>SUM($H$18:$H115)</f>
        <v>38102.464220729635</v>
      </c>
    </row>
    <row r="116" spans="1:11" x14ac:dyDescent="0.2">
      <c r="A116" s="125">
        <f>IF(Values_Entered,A115+1,"")</f>
        <v>99</v>
      </c>
      <c r="B116" s="124">
        <f t="shared" si="8"/>
        <v>45383</v>
      </c>
      <c r="C116" s="122">
        <f t="shared" si="14"/>
        <v>85493.945165539975</v>
      </c>
      <c r="D116" s="122">
        <f t="shared" si="9"/>
        <v>536.82162301213907</v>
      </c>
      <c r="E116" s="123">
        <f t="shared" si="10"/>
        <v>0</v>
      </c>
      <c r="F116" s="122">
        <f t="shared" si="11"/>
        <v>536.82162301213907</v>
      </c>
      <c r="G116" s="122">
        <f t="shared" si="12"/>
        <v>180.59685148905584</v>
      </c>
      <c r="H116" s="122">
        <f t="shared" si="15"/>
        <v>356.22477152308323</v>
      </c>
      <c r="I116" s="122">
        <f t="shared" si="13"/>
        <v>85313.34831405092</v>
      </c>
      <c r="J116" s="122">
        <f>SUM($H$18:$H116)</f>
        <v>38458.688992252719</v>
      </c>
    </row>
    <row r="117" spans="1:11" x14ac:dyDescent="0.2">
      <c r="A117" s="125">
        <f>IF(Values_Entered,A116+1,"")</f>
        <v>100</v>
      </c>
      <c r="B117" s="124">
        <f t="shared" si="8"/>
        <v>45413</v>
      </c>
      <c r="C117" s="122">
        <f t="shared" si="14"/>
        <v>85313.34831405092</v>
      </c>
      <c r="D117" s="122">
        <f t="shared" si="9"/>
        <v>536.82162301213907</v>
      </c>
      <c r="E117" s="123">
        <f t="shared" si="10"/>
        <v>0</v>
      </c>
      <c r="F117" s="122">
        <f t="shared" si="11"/>
        <v>536.82162301213907</v>
      </c>
      <c r="G117" s="122">
        <f t="shared" si="12"/>
        <v>181.34933837026023</v>
      </c>
      <c r="H117" s="122">
        <f t="shared" si="15"/>
        <v>355.47228464187884</v>
      </c>
      <c r="I117" s="122">
        <f t="shared" si="13"/>
        <v>85131.998975680661</v>
      </c>
      <c r="J117" s="122">
        <f>SUM($H$18:$H117)</f>
        <v>38814.1612768946</v>
      </c>
    </row>
    <row r="118" spans="1:11" x14ac:dyDescent="0.2">
      <c r="A118" s="125">
        <f>IF(Values_Entered,A117+1,"")</f>
        <v>101</v>
      </c>
      <c r="B118" s="124">
        <f t="shared" si="8"/>
        <v>45444</v>
      </c>
      <c r="C118" s="122">
        <f t="shared" si="14"/>
        <v>85131.998975680661</v>
      </c>
      <c r="D118" s="122">
        <f t="shared" si="9"/>
        <v>536.82162301213907</v>
      </c>
      <c r="E118" s="123">
        <f t="shared" si="10"/>
        <v>0</v>
      </c>
      <c r="F118" s="122">
        <f t="shared" si="11"/>
        <v>536.82162301213907</v>
      </c>
      <c r="G118" s="122">
        <f t="shared" si="12"/>
        <v>182.10496061346959</v>
      </c>
      <c r="H118" s="122">
        <f t="shared" si="15"/>
        <v>354.71666239866948</v>
      </c>
      <c r="I118" s="122">
        <f t="shared" si="13"/>
        <v>84949.894015067184</v>
      </c>
      <c r="J118" s="122">
        <f>SUM($H$18:$H118)</f>
        <v>39168.87793929327</v>
      </c>
    </row>
    <row r="119" spans="1:11" x14ac:dyDescent="0.2">
      <c r="A119" s="125">
        <f>IF(Values_Entered,A118+1,"")</f>
        <v>102</v>
      </c>
      <c r="B119" s="124">
        <f t="shared" si="8"/>
        <v>45474</v>
      </c>
      <c r="C119" s="122">
        <f t="shared" si="14"/>
        <v>84949.894015067184</v>
      </c>
      <c r="D119" s="122">
        <f t="shared" si="9"/>
        <v>536.82162301213907</v>
      </c>
      <c r="E119" s="123">
        <f t="shared" si="10"/>
        <v>0</v>
      </c>
      <c r="F119" s="122">
        <f t="shared" si="11"/>
        <v>536.82162301213907</v>
      </c>
      <c r="G119" s="122">
        <f t="shared" si="12"/>
        <v>182.86373128269247</v>
      </c>
      <c r="H119" s="122">
        <f t="shared" si="15"/>
        <v>353.9578917294466</v>
      </c>
      <c r="I119" s="122">
        <f t="shared" si="13"/>
        <v>84767.030283784494</v>
      </c>
      <c r="J119" s="122">
        <f>SUM($H$18:$H119)</f>
        <v>39522.83583102272</v>
      </c>
    </row>
    <row r="120" spans="1:11" x14ac:dyDescent="0.2">
      <c r="A120" s="125">
        <f>IF(Values_Entered,A119+1,"")</f>
        <v>103</v>
      </c>
      <c r="B120" s="124">
        <f t="shared" si="8"/>
        <v>45505</v>
      </c>
      <c r="C120" s="122">
        <f t="shared" si="14"/>
        <v>84767.030283784494</v>
      </c>
      <c r="D120" s="122">
        <f t="shared" si="9"/>
        <v>536.82162301213907</v>
      </c>
      <c r="E120" s="123">
        <f t="shared" si="10"/>
        <v>0</v>
      </c>
      <c r="F120" s="122">
        <f t="shared" si="11"/>
        <v>536.82162301213907</v>
      </c>
      <c r="G120" s="122">
        <f t="shared" si="12"/>
        <v>183.62566349637035</v>
      </c>
      <c r="H120" s="122">
        <f t="shared" si="15"/>
        <v>353.19595951576872</v>
      </c>
      <c r="I120" s="122">
        <f t="shared" si="13"/>
        <v>84583.404620288129</v>
      </c>
      <c r="J120" s="122">
        <f>SUM($H$18:$H120)</f>
        <v>39876.031790538487</v>
      </c>
    </row>
    <row r="121" spans="1:11" x14ac:dyDescent="0.2">
      <c r="A121" s="125">
        <f>IF(Values_Entered,A120+1,"")</f>
        <v>104</v>
      </c>
      <c r="B121" s="124">
        <f t="shared" si="8"/>
        <v>45536</v>
      </c>
      <c r="C121" s="122">
        <f t="shared" si="14"/>
        <v>84583.404620288129</v>
      </c>
      <c r="D121" s="122">
        <f t="shared" si="9"/>
        <v>536.82162301213907</v>
      </c>
      <c r="E121" s="123">
        <f t="shared" si="10"/>
        <v>0</v>
      </c>
      <c r="F121" s="122">
        <f t="shared" si="11"/>
        <v>536.82162301213907</v>
      </c>
      <c r="G121" s="122">
        <f t="shared" si="12"/>
        <v>184.39077042760522</v>
      </c>
      <c r="H121" s="122">
        <f t="shared" si="15"/>
        <v>352.43085258453385</v>
      </c>
      <c r="I121" s="122">
        <f t="shared" si="13"/>
        <v>84399.013849860523</v>
      </c>
      <c r="J121" s="122">
        <f>SUM($H$18:$H121)</f>
        <v>40228.462643123021</v>
      </c>
    </row>
    <row r="122" spans="1:11" x14ac:dyDescent="0.2">
      <c r="A122" s="125">
        <f>IF(Values_Entered,A121+1,"")</f>
        <v>105</v>
      </c>
      <c r="B122" s="124">
        <f t="shared" si="8"/>
        <v>45566</v>
      </c>
      <c r="C122" s="122">
        <f t="shared" si="14"/>
        <v>84399.013849860523</v>
      </c>
      <c r="D122" s="122">
        <f t="shared" si="9"/>
        <v>536.82162301213907</v>
      </c>
      <c r="E122" s="123">
        <f t="shared" si="10"/>
        <v>0</v>
      </c>
      <c r="F122" s="122">
        <f t="shared" si="11"/>
        <v>536.82162301213907</v>
      </c>
      <c r="G122" s="122">
        <f t="shared" si="12"/>
        <v>185.15906530438684</v>
      </c>
      <c r="H122" s="122">
        <f t="shared" si="15"/>
        <v>351.66255770775223</v>
      </c>
      <c r="I122" s="122">
        <f t="shared" si="13"/>
        <v>84213.854784556141</v>
      </c>
      <c r="J122" s="122">
        <f>SUM($H$18:$H122)</f>
        <v>40580.125200830771</v>
      </c>
    </row>
    <row r="123" spans="1:11" x14ac:dyDescent="0.2">
      <c r="A123" s="125">
        <f>IF(Values_Entered,A122+1,"")</f>
        <v>106</v>
      </c>
      <c r="B123" s="124">
        <f t="shared" si="8"/>
        <v>45597</v>
      </c>
      <c r="C123" s="122">
        <f t="shared" si="14"/>
        <v>84213.854784556141</v>
      </c>
      <c r="D123" s="122">
        <f t="shared" si="9"/>
        <v>536.82162301213907</v>
      </c>
      <c r="E123" s="123">
        <f t="shared" si="10"/>
        <v>0</v>
      </c>
      <c r="F123" s="122">
        <f t="shared" si="11"/>
        <v>536.82162301213907</v>
      </c>
      <c r="G123" s="122">
        <f t="shared" si="12"/>
        <v>185.93056140982179</v>
      </c>
      <c r="H123" s="122">
        <f t="shared" si="15"/>
        <v>350.89106160231728</v>
      </c>
      <c r="I123" s="122">
        <f t="shared" si="13"/>
        <v>84027.924223146314</v>
      </c>
      <c r="J123" s="122">
        <f>SUM($H$18:$H123)</f>
        <v>40931.016262433091</v>
      </c>
    </row>
    <row r="124" spans="1:11" x14ac:dyDescent="0.2">
      <c r="A124" s="125">
        <f>IF(Values_Entered,A123+1,"")</f>
        <v>107</v>
      </c>
      <c r="B124" s="124">
        <f t="shared" si="8"/>
        <v>45627</v>
      </c>
      <c r="C124" s="122">
        <f t="shared" si="14"/>
        <v>84027.924223146314</v>
      </c>
      <c r="D124" s="122">
        <f t="shared" si="9"/>
        <v>536.82162301213907</v>
      </c>
      <c r="E124" s="123">
        <f t="shared" si="10"/>
        <v>0</v>
      </c>
      <c r="F124" s="122">
        <f t="shared" si="11"/>
        <v>536.82162301213907</v>
      </c>
      <c r="G124" s="122">
        <f t="shared" si="12"/>
        <v>186.7052720823628</v>
      </c>
      <c r="H124" s="122">
        <f t="shared" si="15"/>
        <v>350.11635092977627</v>
      </c>
      <c r="I124" s="122">
        <f t="shared" si="13"/>
        <v>83841.218951063958</v>
      </c>
      <c r="J124" s="122">
        <f>SUM($H$18:$H124)</f>
        <v>41281.132613362868</v>
      </c>
    </row>
    <row r="125" spans="1:11" x14ac:dyDescent="0.2">
      <c r="A125" s="162">
        <f>IF(Values_Entered,A124+1,"")</f>
        <v>108</v>
      </c>
      <c r="B125" s="163">
        <f t="shared" si="8"/>
        <v>45658</v>
      </c>
      <c r="C125" s="164">
        <f t="shared" si="14"/>
        <v>83841.218951063958</v>
      </c>
      <c r="D125" s="164">
        <f t="shared" si="9"/>
        <v>536.82162301213907</v>
      </c>
      <c r="E125" s="165">
        <f t="shared" si="10"/>
        <v>0</v>
      </c>
      <c r="F125" s="164">
        <f t="shared" si="11"/>
        <v>536.82162301213907</v>
      </c>
      <c r="G125" s="164">
        <f t="shared" si="12"/>
        <v>187.4832107160392</v>
      </c>
      <c r="H125" s="164">
        <f t="shared" si="15"/>
        <v>349.33841229609988</v>
      </c>
      <c r="I125" s="164">
        <f t="shared" si="13"/>
        <v>83653.735740347925</v>
      </c>
      <c r="J125" s="164">
        <f>SUM($H$18:$H125)</f>
        <v>41630.471025658968</v>
      </c>
    </row>
    <row r="126" spans="1:11" x14ac:dyDescent="0.2">
      <c r="A126" s="125">
        <f>IF(Values_Entered,A125+1,"")</f>
        <v>109</v>
      </c>
      <c r="B126" s="124">
        <f t="shared" si="8"/>
        <v>45689</v>
      </c>
      <c r="C126" s="122">
        <f t="shared" si="14"/>
        <v>83653.735740347925</v>
      </c>
      <c r="D126" s="122">
        <f t="shared" si="9"/>
        <v>536.82162301213907</v>
      </c>
      <c r="E126" s="123">
        <f t="shared" si="10"/>
        <v>0</v>
      </c>
      <c r="F126" s="122">
        <f t="shared" si="11"/>
        <v>536.82162301213907</v>
      </c>
      <c r="G126" s="122">
        <f t="shared" si="12"/>
        <v>188.26439076068937</v>
      </c>
      <c r="H126" s="122">
        <f t="shared" si="15"/>
        <v>348.5572322514497</v>
      </c>
      <c r="I126" s="122">
        <f t="shared" si="13"/>
        <v>83465.471349587242</v>
      </c>
      <c r="J126" s="122">
        <f>SUM($H$18:$H126)</f>
        <v>41979.028257910417</v>
      </c>
      <c r="K126" s="117">
        <v>10</v>
      </c>
    </row>
    <row r="127" spans="1:11" x14ac:dyDescent="0.2">
      <c r="A127" s="125">
        <f>IF(Values_Entered,A126+1,"")</f>
        <v>110</v>
      </c>
      <c r="B127" s="124">
        <f t="shared" si="8"/>
        <v>45717</v>
      </c>
      <c r="C127" s="122">
        <f t="shared" si="14"/>
        <v>83465.471349587242</v>
      </c>
      <c r="D127" s="122">
        <f t="shared" si="9"/>
        <v>536.82162301213907</v>
      </c>
      <c r="E127" s="123">
        <f t="shared" si="10"/>
        <v>0</v>
      </c>
      <c r="F127" s="122">
        <f t="shared" si="11"/>
        <v>536.82162301213907</v>
      </c>
      <c r="G127" s="122">
        <f t="shared" si="12"/>
        <v>189.04882572219225</v>
      </c>
      <c r="H127" s="122">
        <f t="shared" si="15"/>
        <v>347.77279728994682</v>
      </c>
      <c r="I127" s="122">
        <f t="shared" si="13"/>
        <v>83276.422523865054</v>
      </c>
      <c r="J127" s="122">
        <f>SUM($H$18:$H127)</f>
        <v>42326.801055200362</v>
      </c>
    </row>
    <row r="128" spans="1:11" x14ac:dyDescent="0.2">
      <c r="A128" s="125">
        <f>IF(Values_Entered,A127+1,"")</f>
        <v>111</v>
      </c>
      <c r="B128" s="124">
        <f t="shared" si="8"/>
        <v>45748</v>
      </c>
      <c r="C128" s="122">
        <f t="shared" si="14"/>
        <v>83276.422523865054</v>
      </c>
      <c r="D128" s="122">
        <f t="shared" si="9"/>
        <v>536.82162301213907</v>
      </c>
      <c r="E128" s="123">
        <f t="shared" si="10"/>
        <v>0</v>
      </c>
      <c r="F128" s="122">
        <f t="shared" si="11"/>
        <v>536.82162301213907</v>
      </c>
      <c r="G128" s="122">
        <f t="shared" si="12"/>
        <v>189.83652916270131</v>
      </c>
      <c r="H128" s="122">
        <f t="shared" si="15"/>
        <v>346.98509384943776</v>
      </c>
      <c r="I128" s="122">
        <f t="shared" si="13"/>
        <v>83086.585994702356</v>
      </c>
      <c r="J128" s="122">
        <f>SUM($H$18:$H128)</f>
        <v>42673.786149049796</v>
      </c>
    </row>
    <row r="129" spans="1:11" x14ac:dyDescent="0.2">
      <c r="A129" s="125">
        <f>IF(Values_Entered,A128+1,"")</f>
        <v>112</v>
      </c>
      <c r="B129" s="124">
        <f t="shared" si="8"/>
        <v>45778</v>
      </c>
      <c r="C129" s="122">
        <f t="shared" si="14"/>
        <v>83086.585994702356</v>
      </c>
      <c r="D129" s="122">
        <f t="shared" si="9"/>
        <v>536.82162301213907</v>
      </c>
      <c r="E129" s="123">
        <f t="shared" si="10"/>
        <v>0</v>
      </c>
      <c r="F129" s="122">
        <f t="shared" si="11"/>
        <v>536.82162301213907</v>
      </c>
      <c r="G129" s="122">
        <f t="shared" si="12"/>
        <v>190.6275147008792</v>
      </c>
      <c r="H129" s="122">
        <f t="shared" si="15"/>
        <v>346.19410831125987</v>
      </c>
      <c r="I129" s="122">
        <f t="shared" si="13"/>
        <v>82895.958480001471</v>
      </c>
      <c r="J129" s="122">
        <f>SUM($H$18:$H129)</f>
        <v>43019.980257361058</v>
      </c>
    </row>
    <row r="130" spans="1:11" x14ac:dyDescent="0.2">
      <c r="A130" s="125">
        <f>IF(Values_Entered,A129+1,"")</f>
        <v>113</v>
      </c>
      <c r="B130" s="124">
        <f t="shared" si="8"/>
        <v>45809</v>
      </c>
      <c r="C130" s="122">
        <f t="shared" si="14"/>
        <v>82895.958480001471</v>
      </c>
      <c r="D130" s="122">
        <f t="shared" si="9"/>
        <v>536.82162301213907</v>
      </c>
      <c r="E130" s="123">
        <f t="shared" si="10"/>
        <v>0</v>
      </c>
      <c r="F130" s="122">
        <f t="shared" si="11"/>
        <v>536.82162301213907</v>
      </c>
      <c r="G130" s="122">
        <f t="shared" si="12"/>
        <v>191.42179601213292</v>
      </c>
      <c r="H130" s="122">
        <f t="shared" si="15"/>
        <v>345.39982700000616</v>
      </c>
      <c r="I130" s="122">
        <f t="shared" si="13"/>
        <v>82704.53668398934</v>
      </c>
      <c r="J130" s="122">
        <f>SUM($H$18:$H130)</f>
        <v>43365.380084361066</v>
      </c>
    </row>
    <row r="131" spans="1:11" x14ac:dyDescent="0.2">
      <c r="A131" s="125">
        <f>IF(Values_Entered,A130+1,"")</f>
        <v>114</v>
      </c>
      <c r="B131" s="124">
        <f t="shared" si="8"/>
        <v>45839</v>
      </c>
      <c r="C131" s="122">
        <f t="shared" si="14"/>
        <v>82704.53668398934</v>
      </c>
      <c r="D131" s="122">
        <f t="shared" si="9"/>
        <v>536.82162301213907</v>
      </c>
      <c r="E131" s="123">
        <f t="shared" si="10"/>
        <v>0</v>
      </c>
      <c r="F131" s="122">
        <f t="shared" si="11"/>
        <v>536.82162301213907</v>
      </c>
      <c r="G131" s="122">
        <f t="shared" si="12"/>
        <v>192.21938682885019</v>
      </c>
      <c r="H131" s="122">
        <f t="shared" si="15"/>
        <v>344.60223618328888</v>
      </c>
      <c r="I131" s="122">
        <f t="shared" si="13"/>
        <v>82512.317297160494</v>
      </c>
      <c r="J131" s="122">
        <f>SUM($H$18:$H131)</f>
        <v>43709.982320544354</v>
      </c>
    </row>
    <row r="132" spans="1:11" x14ac:dyDescent="0.2">
      <c r="A132" s="125">
        <f>IF(Values_Entered,A131+1,"")</f>
        <v>115</v>
      </c>
      <c r="B132" s="124">
        <f t="shared" si="8"/>
        <v>45870</v>
      </c>
      <c r="C132" s="122">
        <f t="shared" si="14"/>
        <v>82512.317297160494</v>
      </c>
      <c r="D132" s="122">
        <f t="shared" si="9"/>
        <v>536.82162301213907</v>
      </c>
      <c r="E132" s="123">
        <f t="shared" si="10"/>
        <v>0</v>
      </c>
      <c r="F132" s="122">
        <f t="shared" si="11"/>
        <v>536.82162301213907</v>
      </c>
      <c r="G132" s="122">
        <f t="shared" si="12"/>
        <v>193.02030094063701</v>
      </c>
      <c r="H132" s="122">
        <f t="shared" si="15"/>
        <v>343.80132207150206</v>
      </c>
      <c r="I132" s="122">
        <f t="shared" si="13"/>
        <v>82319.296996219855</v>
      </c>
      <c r="J132" s="122">
        <f>SUM($H$18:$H132)</f>
        <v>44053.783642615854</v>
      </c>
    </row>
    <row r="133" spans="1:11" x14ac:dyDescent="0.2">
      <c r="A133" s="125">
        <f>IF(Values_Entered,A132+1,"")</f>
        <v>116</v>
      </c>
      <c r="B133" s="124">
        <f t="shared" si="8"/>
        <v>45901</v>
      </c>
      <c r="C133" s="122">
        <f t="shared" si="14"/>
        <v>82319.296996219855</v>
      </c>
      <c r="D133" s="122">
        <f t="shared" si="9"/>
        <v>536.82162301213907</v>
      </c>
      <c r="E133" s="123">
        <f t="shared" si="10"/>
        <v>0</v>
      </c>
      <c r="F133" s="122">
        <f t="shared" si="11"/>
        <v>536.82162301213907</v>
      </c>
      <c r="G133" s="122">
        <f t="shared" si="12"/>
        <v>193.82455219455636</v>
      </c>
      <c r="H133" s="122">
        <f t="shared" si="15"/>
        <v>342.99707081758271</v>
      </c>
      <c r="I133" s="122">
        <f t="shared" si="13"/>
        <v>82125.472444025305</v>
      </c>
      <c r="J133" s="122">
        <f>SUM($H$18:$H133)</f>
        <v>44396.780713433436</v>
      </c>
    </row>
    <row r="134" spans="1:11" x14ac:dyDescent="0.2">
      <c r="A134" s="125">
        <f>IF(Values_Entered,A133+1,"")</f>
        <v>117</v>
      </c>
      <c r="B134" s="124">
        <f t="shared" si="8"/>
        <v>45931</v>
      </c>
      <c r="C134" s="122">
        <f t="shared" si="14"/>
        <v>82125.472444025305</v>
      </c>
      <c r="D134" s="122">
        <f t="shared" si="9"/>
        <v>536.82162301213907</v>
      </c>
      <c r="E134" s="123">
        <f t="shared" si="10"/>
        <v>0</v>
      </c>
      <c r="F134" s="122">
        <f t="shared" si="11"/>
        <v>536.82162301213907</v>
      </c>
      <c r="G134" s="122">
        <f t="shared" si="12"/>
        <v>194.63215449536693</v>
      </c>
      <c r="H134" s="122">
        <f t="shared" si="15"/>
        <v>342.18946851677214</v>
      </c>
      <c r="I134" s="122">
        <f t="shared" si="13"/>
        <v>81930.840289529937</v>
      </c>
      <c r="J134" s="122">
        <f>SUM($H$18:$H134)</f>
        <v>44738.970181950208</v>
      </c>
    </row>
    <row r="135" spans="1:11" x14ac:dyDescent="0.2">
      <c r="A135" s="125">
        <f>IF(Values_Entered,A134+1,"")</f>
        <v>118</v>
      </c>
      <c r="B135" s="124">
        <f t="shared" si="8"/>
        <v>45962</v>
      </c>
      <c r="C135" s="122">
        <f t="shared" si="14"/>
        <v>81930.840289529937</v>
      </c>
      <c r="D135" s="122">
        <f t="shared" si="9"/>
        <v>536.82162301213907</v>
      </c>
      <c r="E135" s="123">
        <f t="shared" si="10"/>
        <v>0</v>
      </c>
      <c r="F135" s="122">
        <f t="shared" si="11"/>
        <v>536.82162301213907</v>
      </c>
      <c r="G135" s="122">
        <f t="shared" si="12"/>
        <v>195.44312180576435</v>
      </c>
      <c r="H135" s="122">
        <f t="shared" si="15"/>
        <v>341.37850120637472</v>
      </c>
      <c r="I135" s="122">
        <f t="shared" si="13"/>
        <v>81735.397167724179</v>
      </c>
      <c r="J135" s="122">
        <f>SUM($H$18:$H135)</f>
        <v>45080.348683156582</v>
      </c>
    </row>
    <row r="136" spans="1:11" x14ac:dyDescent="0.2">
      <c r="A136" s="125">
        <f>IF(Values_Entered,A135+1,"")</f>
        <v>119</v>
      </c>
      <c r="B136" s="124">
        <f t="shared" si="8"/>
        <v>45992</v>
      </c>
      <c r="C136" s="122">
        <f t="shared" si="14"/>
        <v>81735.397167724179</v>
      </c>
      <c r="D136" s="122">
        <f t="shared" si="9"/>
        <v>536.82162301213907</v>
      </c>
      <c r="E136" s="123">
        <f t="shared" si="10"/>
        <v>0</v>
      </c>
      <c r="F136" s="122">
        <f t="shared" si="11"/>
        <v>536.82162301213907</v>
      </c>
      <c r="G136" s="122">
        <f t="shared" si="12"/>
        <v>196.25746814662165</v>
      </c>
      <c r="H136" s="122">
        <f t="shared" si="15"/>
        <v>340.56415486551742</v>
      </c>
      <c r="I136" s="122">
        <f t="shared" si="13"/>
        <v>81539.139699577558</v>
      </c>
      <c r="J136" s="122">
        <f>SUM($H$18:$H136)</f>
        <v>45420.912838022101</v>
      </c>
    </row>
    <row r="137" spans="1:11" x14ac:dyDescent="0.2">
      <c r="A137" s="162">
        <f>IF(Values_Entered,A136+1,"")</f>
        <v>120</v>
      </c>
      <c r="B137" s="163">
        <f t="shared" si="8"/>
        <v>46023</v>
      </c>
      <c r="C137" s="164">
        <f t="shared" si="14"/>
        <v>81539.139699577558</v>
      </c>
      <c r="D137" s="164">
        <f t="shared" si="9"/>
        <v>536.82162301213907</v>
      </c>
      <c r="E137" s="165">
        <f t="shared" si="10"/>
        <v>0</v>
      </c>
      <c r="F137" s="164">
        <f t="shared" si="11"/>
        <v>536.82162301213907</v>
      </c>
      <c r="G137" s="164">
        <f t="shared" si="12"/>
        <v>197.07520759723258</v>
      </c>
      <c r="H137" s="164">
        <f t="shared" si="15"/>
        <v>339.74641541490649</v>
      </c>
      <c r="I137" s="164">
        <f t="shared" si="13"/>
        <v>81342.064491980331</v>
      </c>
      <c r="J137" s="164">
        <f>SUM($H$18:$H137)</f>
        <v>45760.659253437007</v>
      </c>
    </row>
    <row r="138" spans="1:11" x14ac:dyDescent="0.2">
      <c r="A138" s="125">
        <f>IF(Values_Entered,A137+1,"")</f>
        <v>121</v>
      </c>
      <c r="B138" s="124">
        <f t="shared" si="8"/>
        <v>46054</v>
      </c>
      <c r="C138" s="122">
        <f t="shared" si="14"/>
        <v>81342.064491980331</v>
      </c>
      <c r="D138" s="122">
        <f t="shared" si="9"/>
        <v>536.82162301213907</v>
      </c>
      <c r="E138" s="123">
        <f t="shared" si="10"/>
        <v>0</v>
      </c>
      <c r="F138" s="122">
        <f t="shared" si="11"/>
        <v>536.82162301213907</v>
      </c>
      <c r="G138" s="122">
        <f t="shared" si="12"/>
        <v>197.89635429555432</v>
      </c>
      <c r="H138" s="122">
        <f t="shared" si="15"/>
        <v>338.92526871658475</v>
      </c>
      <c r="I138" s="122">
        <f t="shared" si="13"/>
        <v>81144.16813768477</v>
      </c>
      <c r="J138" s="122">
        <f>SUM($H$18:$H138)</f>
        <v>46099.584522153593</v>
      </c>
      <c r="K138" s="117">
        <v>11</v>
      </c>
    </row>
    <row r="139" spans="1:11" x14ac:dyDescent="0.2">
      <c r="A139" s="125">
        <f>IF(Values_Entered,A138+1,"")</f>
        <v>122</v>
      </c>
      <c r="B139" s="124">
        <f t="shared" si="8"/>
        <v>46082</v>
      </c>
      <c r="C139" s="122">
        <f t="shared" si="14"/>
        <v>81144.16813768477</v>
      </c>
      <c r="D139" s="122">
        <f t="shared" si="9"/>
        <v>536.82162301213907</v>
      </c>
      <c r="E139" s="123">
        <f t="shared" si="10"/>
        <v>0</v>
      </c>
      <c r="F139" s="122">
        <f t="shared" si="11"/>
        <v>536.82162301213907</v>
      </c>
      <c r="G139" s="122">
        <f t="shared" si="12"/>
        <v>198.72092243845253</v>
      </c>
      <c r="H139" s="122">
        <f t="shared" si="15"/>
        <v>338.10070057368654</v>
      </c>
      <c r="I139" s="122">
        <f t="shared" si="13"/>
        <v>80945.447215246313</v>
      </c>
      <c r="J139" s="122">
        <f>SUM($H$18:$H139)</f>
        <v>46437.685222727283</v>
      </c>
    </row>
    <row r="140" spans="1:11" x14ac:dyDescent="0.2">
      <c r="A140" s="125">
        <f>IF(Values_Entered,A139+1,"")</f>
        <v>123</v>
      </c>
      <c r="B140" s="124">
        <f t="shared" si="8"/>
        <v>46113</v>
      </c>
      <c r="C140" s="122">
        <f t="shared" si="14"/>
        <v>80945.447215246313</v>
      </c>
      <c r="D140" s="122">
        <f t="shared" si="9"/>
        <v>536.82162301213907</v>
      </c>
      <c r="E140" s="123">
        <f t="shared" si="10"/>
        <v>0</v>
      </c>
      <c r="F140" s="122">
        <f t="shared" si="11"/>
        <v>536.82162301213907</v>
      </c>
      <c r="G140" s="122">
        <f t="shared" si="12"/>
        <v>199.54892628194608</v>
      </c>
      <c r="H140" s="122">
        <f t="shared" si="15"/>
        <v>337.27269673019299</v>
      </c>
      <c r="I140" s="122">
        <f t="shared" si="13"/>
        <v>80745.898288964367</v>
      </c>
      <c r="J140" s="122">
        <f>SUM($H$18:$H140)</f>
        <v>46774.957919457476</v>
      </c>
    </row>
    <row r="141" spans="1:11" x14ac:dyDescent="0.2">
      <c r="A141" s="125">
        <f>IF(Values_Entered,A140+1,"")</f>
        <v>124</v>
      </c>
      <c r="B141" s="124">
        <f t="shared" si="8"/>
        <v>46143</v>
      </c>
      <c r="C141" s="122">
        <f t="shared" si="14"/>
        <v>80745.898288964367</v>
      </c>
      <c r="D141" s="122">
        <f t="shared" si="9"/>
        <v>536.82162301213907</v>
      </c>
      <c r="E141" s="123">
        <f t="shared" si="10"/>
        <v>0</v>
      </c>
      <c r="F141" s="122">
        <f t="shared" si="11"/>
        <v>536.82162301213907</v>
      </c>
      <c r="G141" s="122">
        <f t="shared" si="12"/>
        <v>200.38038014145417</v>
      </c>
      <c r="H141" s="122">
        <f t="shared" si="15"/>
        <v>336.4412428706849</v>
      </c>
      <c r="I141" s="122">
        <f t="shared" si="13"/>
        <v>80545.51790882292</v>
      </c>
      <c r="J141" s="122">
        <f>SUM($H$18:$H141)</f>
        <v>47111.399162328162</v>
      </c>
    </row>
    <row r="142" spans="1:11" x14ac:dyDescent="0.2">
      <c r="A142" s="125">
        <f>IF(Values_Entered,A141+1,"")</f>
        <v>125</v>
      </c>
      <c r="B142" s="124">
        <f t="shared" si="8"/>
        <v>46174</v>
      </c>
      <c r="C142" s="122">
        <f t="shared" si="14"/>
        <v>80545.51790882292</v>
      </c>
      <c r="D142" s="122">
        <f t="shared" si="9"/>
        <v>536.82162301213907</v>
      </c>
      <c r="E142" s="123">
        <f t="shared" si="10"/>
        <v>0</v>
      </c>
      <c r="F142" s="122">
        <f t="shared" si="11"/>
        <v>536.82162301213907</v>
      </c>
      <c r="G142" s="122">
        <f t="shared" si="12"/>
        <v>201.21529839204356</v>
      </c>
      <c r="H142" s="122">
        <f t="shared" si="15"/>
        <v>335.60632462009551</v>
      </c>
      <c r="I142" s="122">
        <f t="shared" si="13"/>
        <v>80344.302610430881</v>
      </c>
      <c r="J142" s="122">
        <f>SUM($H$18:$H142)</f>
        <v>47447.005486948256</v>
      </c>
    </row>
    <row r="143" spans="1:11" x14ac:dyDescent="0.2">
      <c r="A143" s="125">
        <f>IF(Values_Entered,A142+1,"")</f>
        <v>126</v>
      </c>
      <c r="B143" s="124">
        <f t="shared" si="8"/>
        <v>46204</v>
      </c>
      <c r="C143" s="122">
        <f t="shared" si="14"/>
        <v>80344.302610430881</v>
      </c>
      <c r="D143" s="122">
        <f t="shared" si="9"/>
        <v>536.82162301213907</v>
      </c>
      <c r="E143" s="123">
        <f t="shared" si="10"/>
        <v>0</v>
      </c>
      <c r="F143" s="122">
        <f t="shared" si="11"/>
        <v>536.82162301213907</v>
      </c>
      <c r="G143" s="122">
        <f t="shared" si="12"/>
        <v>202.05369546867706</v>
      </c>
      <c r="H143" s="122">
        <f t="shared" si="15"/>
        <v>334.76792754346201</v>
      </c>
      <c r="I143" s="122">
        <f t="shared" si="13"/>
        <v>80142.248914962198</v>
      </c>
      <c r="J143" s="122">
        <f>SUM($H$18:$H143)</f>
        <v>47781.773414491719</v>
      </c>
    </row>
    <row r="144" spans="1:11" x14ac:dyDescent="0.2">
      <c r="A144" s="125">
        <f>IF(Values_Entered,A143+1,"")</f>
        <v>127</v>
      </c>
      <c r="B144" s="124">
        <f t="shared" si="8"/>
        <v>46235</v>
      </c>
      <c r="C144" s="122">
        <f t="shared" si="14"/>
        <v>80142.248914962198</v>
      </c>
      <c r="D144" s="122">
        <f t="shared" si="9"/>
        <v>536.82162301213907</v>
      </c>
      <c r="E144" s="123">
        <f t="shared" si="10"/>
        <v>0</v>
      </c>
      <c r="F144" s="122">
        <f t="shared" si="11"/>
        <v>536.82162301213907</v>
      </c>
      <c r="G144" s="122">
        <f t="shared" si="12"/>
        <v>202.89558586646325</v>
      </c>
      <c r="H144" s="122">
        <f t="shared" si="15"/>
        <v>333.92603714567582</v>
      </c>
      <c r="I144" s="122">
        <f t="shared" si="13"/>
        <v>79939.353329095728</v>
      </c>
      <c r="J144" s="122">
        <f>SUM($H$18:$H144)</f>
        <v>48115.699451637396</v>
      </c>
    </row>
    <row r="145" spans="1:11" x14ac:dyDescent="0.2">
      <c r="A145" s="125">
        <f>IF(Values_Entered,A144+1,"")</f>
        <v>128</v>
      </c>
      <c r="B145" s="124">
        <f t="shared" si="8"/>
        <v>46266</v>
      </c>
      <c r="C145" s="122">
        <f t="shared" si="14"/>
        <v>79939.353329095728</v>
      </c>
      <c r="D145" s="122">
        <f t="shared" si="9"/>
        <v>536.82162301213907</v>
      </c>
      <c r="E145" s="123">
        <f t="shared" si="10"/>
        <v>0</v>
      </c>
      <c r="F145" s="122">
        <f t="shared" si="11"/>
        <v>536.82162301213907</v>
      </c>
      <c r="G145" s="122">
        <f t="shared" si="12"/>
        <v>203.74098414090685</v>
      </c>
      <c r="H145" s="122">
        <f t="shared" si="15"/>
        <v>333.08063887123222</v>
      </c>
      <c r="I145" s="122">
        <f t="shared" si="13"/>
        <v>79735.612344954818</v>
      </c>
      <c r="J145" s="122">
        <f>SUM($H$18:$H145)</f>
        <v>48448.780090508626</v>
      </c>
    </row>
    <row r="146" spans="1:11" x14ac:dyDescent="0.2">
      <c r="A146" s="125">
        <f>IF(Values_Entered,A145+1,"")</f>
        <v>129</v>
      </c>
      <c r="B146" s="124">
        <f t="shared" ref="B146:B209" si="16">IF(Pay_Num&lt;&gt;"",DATE(YEAR(Loan_Start),MONTH(Loan_Start)+(Pay_Num)*12/Num_Pmt_Per_Year,DAY(Loan_Start)),"")</f>
        <v>46296</v>
      </c>
      <c r="C146" s="122">
        <f t="shared" si="14"/>
        <v>79735.612344954818</v>
      </c>
      <c r="D146" s="122">
        <f t="shared" ref="D146:D209" si="17">IF(Pay_Num&lt;&gt;"",Scheduled_Monthly_Payment,"")</f>
        <v>536.82162301213907</v>
      </c>
      <c r="E146" s="123">
        <f t="shared" ref="E146:E209" si="18">IF(AND(Pay_Num&lt;&gt;"",Sched_Pay+Scheduled_Extra_Payments&lt;Beg_Bal),Scheduled_Extra_Payments,IF(AND(Pay_Num&lt;&gt;"",Beg_Bal-Sched_Pay&gt;0),Beg_Bal-Sched_Pay,IF(Pay_Num&lt;&gt;"",0,"")))</f>
        <v>0</v>
      </c>
      <c r="F146" s="122">
        <f t="shared" ref="F146:F209" si="19">IF(AND(Pay_Num&lt;&gt;"",Sched_Pay+Extra_Pay&lt;Beg_Bal),Sched_Pay+Extra_Pay,IF(Pay_Num&lt;&gt;"",Beg_Bal,""))</f>
        <v>536.82162301213907</v>
      </c>
      <c r="G146" s="122">
        <f t="shared" ref="G146:G209" si="20">IF(Pay_Num&lt;&gt;"",Total_Pay-Int,"")</f>
        <v>204.58990490816063</v>
      </c>
      <c r="H146" s="122">
        <f t="shared" si="15"/>
        <v>332.23171810397844</v>
      </c>
      <c r="I146" s="122">
        <f t="shared" ref="I146:I209" si="21">IF(AND(Pay_Num&lt;&gt;"",Sched_Pay+Extra_Pay&lt;Beg_Bal),Beg_Bal-Princ,IF(Pay_Num&lt;&gt;"",0,""))</f>
        <v>79531.022440046654</v>
      </c>
      <c r="J146" s="122">
        <f>SUM($H$18:$H146)</f>
        <v>48781.011808612602</v>
      </c>
    </row>
    <row r="147" spans="1:11" x14ac:dyDescent="0.2">
      <c r="A147" s="125">
        <f>IF(Values_Entered,A146+1,"")</f>
        <v>130</v>
      </c>
      <c r="B147" s="124">
        <f t="shared" si="16"/>
        <v>46327</v>
      </c>
      <c r="C147" s="122">
        <f t="shared" ref="C147:C210" si="22">IF(Pay_Num&lt;&gt;"",I146,"")</f>
        <v>79531.022440046654</v>
      </c>
      <c r="D147" s="122">
        <f t="shared" si="17"/>
        <v>536.82162301213907</v>
      </c>
      <c r="E147" s="123">
        <f t="shared" si="18"/>
        <v>0</v>
      </c>
      <c r="F147" s="122">
        <f t="shared" si="19"/>
        <v>536.82162301213907</v>
      </c>
      <c r="G147" s="122">
        <f t="shared" si="20"/>
        <v>205.44236284527801</v>
      </c>
      <c r="H147" s="122">
        <f t="shared" ref="H147:H210" si="23">IF(Pay_Num&lt;&gt;"",Beg_Bal*Interest_Rate/Num_Pmt_Per_Year,"")</f>
        <v>331.37926016686106</v>
      </c>
      <c r="I147" s="122">
        <f t="shared" si="21"/>
        <v>79325.580077201375</v>
      </c>
      <c r="J147" s="122">
        <f>SUM($H$18:$H147)</f>
        <v>49112.391068779463</v>
      </c>
    </row>
    <row r="148" spans="1:11" x14ac:dyDescent="0.2">
      <c r="A148" s="125">
        <f>IF(Values_Entered,A147+1,"")</f>
        <v>131</v>
      </c>
      <c r="B148" s="124">
        <f t="shared" si="16"/>
        <v>46357</v>
      </c>
      <c r="C148" s="122">
        <f t="shared" si="22"/>
        <v>79325.580077201375</v>
      </c>
      <c r="D148" s="122">
        <f t="shared" si="17"/>
        <v>536.82162301213907</v>
      </c>
      <c r="E148" s="123">
        <f t="shared" si="18"/>
        <v>0</v>
      </c>
      <c r="F148" s="122">
        <f t="shared" si="19"/>
        <v>536.82162301213907</v>
      </c>
      <c r="G148" s="122">
        <f t="shared" si="20"/>
        <v>206.29837269046669</v>
      </c>
      <c r="H148" s="122">
        <f t="shared" si="23"/>
        <v>330.52325032167238</v>
      </c>
      <c r="I148" s="122">
        <f t="shared" si="21"/>
        <v>79119.281704510911</v>
      </c>
      <c r="J148" s="122">
        <f>SUM($H$18:$H148)</f>
        <v>49442.914319101139</v>
      </c>
    </row>
    <row r="149" spans="1:11" x14ac:dyDescent="0.2">
      <c r="A149" s="162">
        <f>IF(Values_Entered,A148+1,"")</f>
        <v>132</v>
      </c>
      <c r="B149" s="163">
        <f t="shared" si="16"/>
        <v>46388</v>
      </c>
      <c r="C149" s="164">
        <f t="shared" si="22"/>
        <v>79119.281704510911</v>
      </c>
      <c r="D149" s="164">
        <f t="shared" si="17"/>
        <v>536.82162301213907</v>
      </c>
      <c r="E149" s="165">
        <f t="shared" si="18"/>
        <v>0</v>
      </c>
      <c r="F149" s="164">
        <f t="shared" si="19"/>
        <v>536.82162301213907</v>
      </c>
      <c r="G149" s="164">
        <f t="shared" si="20"/>
        <v>207.15794924334358</v>
      </c>
      <c r="H149" s="164">
        <f t="shared" si="23"/>
        <v>329.66367376879549</v>
      </c>
      <c r="I149" s="164">
        <f t="shared" si="21"/>
        <v>78912.123755267574</v>
      </c>
      <c r="J149" s="164">
        <f>SUM($H$18:$H149)</f>
        <v>49772.577992869934</v>
      </c>
    </row>
    <row r="150" spans="1:11" x14ac:dyDescent="0.2">
      <c r="A150" s="125">
        <f>IF(Values_Entered,A149+1,"")</f>
        <v>133</v>
      </c>
      <c r="B150" s="124">
        <f t="shared" si="16"/>
        <v>46419</v>
      </c>
      <c r="C150" s="122">
        <f t="shared" si="22"/>
        <v>78912.123755267574</v>
      </c>
      <c r="D150" s="122">
        <f t="shared" si="17"/>
        <v>536.82162301213907</v>
      </c>
      <c r="E150" s="123">
        <f t="shared" si="18"/>
        <v>0</v>
      </c>
      <c r="F150" s="122">
        <f t="shared" si="19"/>
        <v>536.82162301213907</v>
      </c>
      <c r="G150" s="122">
        <f t="shared" si="20"/>
        <v>208.02110736519086</v>
      </c>
      <c r="H150" s="122">
        <f t="shared" si="23"/>
        <v>328.80051564694821</v>
      </c>
      <c r="I150" s="122">
        <f t="shared" si="21"/>
        <v>78704.102647902386</v>
      </c>
      <c r="J150" s="122">
        <f>SUM($H$18:$H150)</f>
        <v>50101.378508516886</v>
      </c>
      <c r="K150" s="117">
        <v>12</v>
      </c>
    </row>
    <row r="151" spans="1:11" x14ac:dyDescent="0.2">
      <c r="A151" s="125">
        <f>IF(Values_Entered,A150+1,"")</f>
        <v>134</v>
      </c>
      <c r="B151" s="124">
        <f t="shared" si="16"/>
        <v>46447</v>
      </c>
      <c r="C151" s="122">
        <f t="shared" si="22"/>
        <v>78704.102647902386</v>
      </c>
      <c r="D151" s="122">
        <f t="shared" si="17"/>
        <v>536.82162301213907</v>
      </c>
      <c r="E151" s="123">
        <f t="shared" si="18"/>
        <v>0</v>
      </c>
      <c r="F151" s="122">
        <f t="shared" si="19"/>
        <v>536.82162301213907</v>
      </c>
      <c r="G151" s="122">
        <f t="shared" si="20"/>
        <v>208.88786197921246</v>
      </c>
      <c r="H151" s="122">
        <f t="shared" si="23"/>
        <v>327.93376103292661</v>
      </c>
      <c r="I151" s="122">
        <f t="shared" si="21"/>
        <v>78495.214785923177</v>
      </c>
      <c r="J151" s="122">
        <f>SUM($H$18:$H151)</f>
        <v>50429.31226954981</v>
      </c>
    </row>
    <row r="152" spans="1:11" x14ac:dyDescent="0.2">
      <c r="A152" s="125">
        <f>IF(Values_Entered,A151+1,"")</f>
        <v>135</v>
      </c>
      <c r="B152" s="124">
        <f t="shared" si="16"/>
        <v>46478</v>
      </c>
      <c r="C152" s="122">
        <f t="shared" si="22"/>
        <v>78495.214785923177</v>
      </c>
      <c r="D152" s="122">
        <f t="shared" si="17"/>
        <v>536.82162301213907</v>
      </c>
      <c r="E152" s="123">
        <f t="shared" si="18"/>
        <v>0</v>
      </c>
      <c r="F152" s="122">
        <f t="shared" si="19"/>
        <v>536.82162301213907</v>
      </c>
      <c r="G152" s="122">
        <f t="shared" si="20"/>
        <v>209.75822807079248</v>
      </c>
      <c r="H152" s="122">
        <f t="shared" si="23"/>
        <v>327.06339494134659</v>
      </c>
      <c r="I152" s="122">
        <f t="shared" si="21"/>
        <v>78285.456557852391</v>
      </c>
      <c r="J152" s="122">
        <f>SUM($H$18:$H152)</f>
        <v>50756.375664491155</v>
      </c>
    </row>
    <row r="153" spans="1:11" x14ac:dyDescent="0.2">
      <c r="A153" s="125">
        <f>IF(Values_Entered,A152+1,"")</f>
        <v>136</v>
      </c>
      <c r="B153" s="124">
        <f t="shared" si="16"/>
        <v>46508</v>
      </c>
      <c r="C153" s="122">
        <f t="shared" si="22"/>
        <v>78285.456557852391</v>
      </c>
      <c r="D153" s="122">
        <f t="shared" si="17"/>
        <v>536.82162301213907</v>
      </c>
      <c r="E153" s="123">
        <f t="shared" si="18"/>
        <v>0</v>
      </c>
      <c r="F153" s="122">
        <f t="shared" si="19"/>
        <v>536.82162301213907</v>
      </c>
      <c r="G153" s="122">
        <f t="shared" si="20"/>
        <v>210.63222068775411</v>
      </c>
      <c r="H153" s="122">
        <f t="shared" si="23"/>
        <v>326.18940232438496</v>
      </c>
      <c r="I153" s="122">
        <f t="shared" si="21"/>
        <v>78074.824337164639</v>
      </c>
      <c r="J153" s="122">
        <f>SUM($H$18:$H153)</f>
        <v>51082.565066815543</v>
      </c>
    </row>
    <row r="154" spans="1:11" x14ac:dyDescent="0.2">
      <c r="A154" s="125">
        <f>IF(Values_Entered,A153+1,"")</f>
        <v>137</v>
      </c>
      <c r="B154" s="124">
        <f t="shared" si="16"/>
        <v>46539</v>
      </c>
      <c r="C154" s="122">
        <f t="shared" si="22"/>
        <v>78074.824337164639</v>
      </c>
      <c r="D154" s="122">
        <f t="shared" si="17"/>
        <v>536.82162301213907</v>
      </c>
      <c r="E154" s="123">
        <f t="shared" si="18"/>
        <v>0</v>
      </c>
      <c r="F154" s="122">
        <f t="shared" si="19"/>
        <v>536.82162301213907</v>
      </c>
      <c r="G154" s="122">
        <f t="shared" si="20"/>
        <v>211.50985494061973</v>
      </c>
      <c r="H154" s="122">
        <f t="shared" si="23"/>
        <v>325.31176807151934</v>
      </c>
      <c r="I154" s="122">
        <f t="shared" si="21"/>
        <v>77863.314482224014</v>
      </c>
      <c r="J154" s="122">
        <f>SUM($H$18:$H154)</f>
        <v>51407.876834887065</v>
      </c>
    </row>
    <row r="155" spans="1:11" x14ac:dyDescent="0.2">
      <c r="A155" s="125">
        <f>IF(Values_Entered,A154+1,"")</f>
        <v>138</v>
      </c>
      <c r="B155" s="124">
        <f t="shared" si="16"/>
        <v>46569</v>
      </c>
      <c r="C155" s="122">
        <f t="shared" si="22"/>
        <v>77863.314482224014</v>
      </c>
      <c r="D155" s="122">
        <f t="shared" si="17"/>
        <v>536.82162301213907</v>
      </c>
      <c r="E155" s="123">
        <f t="shared" si="18"/>
        <v>0</v>
      </c>
      <c r="F155" s="122">
        <f t="shared" si="19"/>
        <v>536.82162301213907</v>
      </c>
      <c r="G155" s="122">
        <f t="shared" si="20"/>
        <v>212.39114600287235</v>
      </c>
      <c r="H155" s="122">
        <f t="shared" si="23"/>
        <v>324.43047700926672</v>
      </c>
      <c r="I155" s="122">
        <f t="shared" si="21"/>
        <v>77650.923336221138</v>
      </c>
      <c r="J155" s="122">
        <f>SUM($H$18:$H155)</f>
        <v>51732.307311896329</v>
      </c>
    </row>
    <row r="156" spans="1:11" x14ac:dyDescent="0.2">
      <c r="A156" s="125">
        <f>IF(Values_Entered,A155+1,"")</f>
        <v>139</v>
      </c>
      <c r="B156" s="124">
        <f t="shared" si="16"/>
        <v>46600</v>
      </c>
      <c r="C156" s="122">
        <f t="shared" si="22"/>
        <v>77650.923336221138</v>
      </c>
      <c r="D156" s="122">
        <f t="shared" si="17"/>
        <v>536.82162301213907</v>
      </c>
      <c r="E156" s="123">
        <f t="shared" si="18"/>
        <v>0</v>
      </c>
      <c r="F156" s="122">
        <f t="shared" si="19"/>
        <v>536.82162301213907</v>
      </c>
      <c r="G156" s="122">
        <f t="shared" si="20"/>
        <v>213.27610911121764</v>
      </c>
      <c r="H156" s="122">
        <f t="shared" si="23"/>
        <v>323.54551390092143</v>
      </c>
      <c r="I156" s="122">
        <f t="shared" si="21"/>
        <v>77437.647227109919</v>
      </c>
      <c r="J156" s="122">
        <f>SUM($H$18:$H156)</f>
        <v>52055.85282579725</v>
      </c>
    </row>
    <row r="157" spans="1:11" x14ac:dyDescent="0.2">
      <c r="A157" s="125">
        <f>IF(Values_Entered,A156+1,"")</f>
        <v>140</v>
      </c>
      <c r="B157" s="124">
        <f t="shared" si="16"/>
        <v>46631</v>
      </c>
      <c r="C157" s="122">
        <f t="shared" si="22"/>
        <v>77437.647227109919</v>
      </c>
      <c r="D157" s="122">
        <f t="shared" si="17"/>
        <v>536.82162301213907</v>
      </c>
      <c r="E157" s="123">
        <f t="shared" si="18"/>
        <v>0</v>
      </c>
      <c r="F157" s="122">
        <f t="shared" si="19"/>
        <v>536.82162301213907</v>
      </c>
      <c r="G157" s="122">
        <f t="shared" si="20"/>
        <v>214.16475956584776</v>
      </c>
      <c r="H157" s="122">
        <f t="shared" si="23"/>
        <v>322.65686344629131</v>
      </c>
      <c r="I157" s="122">
        <f t="shared" si="21"/>
        <v>77223.482467544076</v>
      </c>
      <c r="J157" s="122">
        <f>SUM($H$18:$H157)</f>
        <v>52378.509689243539</v>
      </c>
    </row>
    <row r="158" spans="1:11" x14ac:dyDescent="0.2">
      <c r="A158" s="125">
        <f>IF(Values_Entered,A157+1,"")</f>
        <v>141</v>
      </c>
      <c r="B158" s="124">
        <f t="shared" si="16"/>
        <v>46661</v>
      </c>
      <c r="C158" s="122">
        <f t="shared" si="22"/>
        <v>77223.482467544076</v>
      </c>
      <c r="D158" s="122">
        <f t="shared" si="17"/>
        <v>536.82162301213907</v>
      </c>
      <c r="E158" s="123">
        <f t="shared" si="18"/>
        <v>0</v>
      </c>
      <c r="F158" s="122">
        <f t="shared" si="19"/>
        <v>536.82162301213907</v>
      </c>
      <c r="G158" s="122">
        <f t="shared" si="20"/>
        <v>215.0571127307054</v>
      </c>
      <c r="H158" s="122">
        <f t="shared" si="23"/>
        <v>321.76451028143367</v>
      </c>
      <c r="I158" s="122">
        <f t="shared" si="21"/>
        <v>77008.425354813371</v>
      </c>
      <c r="J158" s="122">
        <f>SUM($H$18:$H158)</f>
        <v>52700.274199524974</v>
      </c>
    </row>
    <row r="159" spans="1:11" x14ac:dyDescent="0.2">
      <c r="A159" s="125">
        <f>IF(Values_Entered,A158+1,"")</f>
        <v>142</v>
      </c>
      <c r="B159" s="124">
        <f t="shared" si="16"/>
        <v>46692</v>
      </c>
      <c r="C159" s="122">
        <f t="shared" si="22"/>
        <v>77008.425354813371</v>
      </c>
      <c r="D159" s="122">
        <f t="shared" si="17"/>
        <v>536.82162301213907</v>
      </c>
      <c r="E159" s="123">
        <f t="shared" si="18"/>
        <v>0</v>
      </c>
      <c r="F159" s="122">
        <f t="shared" si="19"/>
        <v>536.82162301213907</v>
      </c>
      <c r="G159" s="122">
        <f t="shared" si="20"/>
        <v>215.95318403375001</v>
      </c>
      <c r="H159" s="122">
        <f t="shared" si="23"/>
        <v>320.86843897838907</v>
      </c>
      <c r="I159" s="122">
        <f t="shared" si="21"/>
        <v>76792.472170779627</v>
      </c>
      <c r="J159" s="122">
        <f>SUM($H$18:$H159)</f>
        <v>53021.142638503363</v>
      </c>
    </row>
    <row r="160" spans="1:11" x14ac:dyDescent="0.2">
      <c r="A160" s="125">
        <f>IF(Values_Entered,A159+1,"")</f>
        <v>143</v>
      </c>
      <c r="B160" s="124">
        <f t="shared" si="16"/>
        <v>46722</v>
      </c>
      <c r="C160" s="122">
        <f t="shared" si="22"/>
        <v>76792.472170779627</v>
      </c>
      <c r="D160" s="122">
        <f t="shared" si="17"/>
        <v>536.82162301213907</v>
      </c>
      <c r="E160" s="123">
        <f t="shared" si="18"/>
        <v>0</v>
      </c>
      <c r="F160" s="122">
        <f t="shared" si="19"/>
        <v>536.82162301213907</v>
      </c>
      <c r="G160" s="122">
        <f t="shared" si="20"/>
        <v>216.85298896722395</v>
      </c>
      <c r="H160" s="122">
        <f t="shared" si="23"/>
        <v>319.96863404491512</v>
      </c>
      <c r="I160" s="122">
        <f t="shared" si="21"/>
        <v>76575.619181812406</v>
      </c>
      <c r="J160" s="122">
        <f>SUM($H$18:$H160)</f>
        <v>53341.111272548274</v>
      </c>
    </row>
    <row r="161" spans="1:11" x14ac:dyDescent="0.2">
      <c r="A161" s="162">
        <f>IF(Values_Entered,A160+1,"")</f>
        <v>144</v>
      </c>
      <c r="B161" s="163">
        <f t="shared" si="16"/>
        <v>46753</v>
      </c>
      <c r="C161" s="164">
        <f t="shared" si="22"/>
        <v>76575.619181812406</v>
      </c>
      <c r="D161" s="164">
        <f t="shared" si="17"/>
        <v>536.82162301213907</v>
      </c>
      <c r="E161" s="165">
        <f t="shared" si="18"/>
        <v>0</v>
      </c>
      <c r="F161" s="164">
        <f t="shared" si="19"/>
        <v>536.82162301213907</v>
      </c>
      <c r="G161" s="164">
        <f t="shared" si="20"/>
        <v>217.7565430879207</v>
      </c>
      <c r="H161" s="164">
        <f t="shared" si="23"/>
        <v>319.06507992421837</v>
      </c>
      <c r="I161" s="164">
        <f t="shared" si="21"/>
        <v>76357.862638724488</v>
      </c>
      <c r="J161" s="164">
        <f>SUM($H$18:$H161)</f>
        <v>53660.176352472496</v>
      </c>
    </row>
    <row r="162" spans="1:11" x14ac:dyDescent="0.2">
      <c r="A162" s="125">
        <f>IF(Values_Entered,A161+1,"")</f>
        <v>145</v>
      </c>
      <c r="B162" s="124">
        <f t="shared" si="16"/>
        <v>46784</v>
      </c>
      <c r="C162" s="122">
        <f t="shared" si="22"/>
        <v>76357.862638724488</v>
      </c>
      <c r="D162" s="122">
        <f t="shared" si="17"/>
        <v>536.82162301213907</v>
      </c>
      <c r="E162" s="123">
        <f t="shared" si="18"/>
        <v>0</v>
      </c>
      <c r="F162" s="122">
        <f t="shared" si="19"/>
        <v>536.82162301213907</v>
      </c>
      <c r="G162" s="122">
        <f t="shared" si="20"/>
        <v>218.66386201745371</v>
      </c>
      <c r="H162" s="122">
        <f t="shared" si="23"/>
        <v>318.15776099468536</v>
      </c>
      <c r="I162" s="122">
        <f t="shared" si="21"/>
        <v>76139.198776707039</v>
      </c>
      <c r="J162" s="122">
        <f>SUM($H$18:$H162)</f>
        <v>53978.334113467179</v>
      </c>
      <c r="K162" s="117">
        <v>13</v>
      </c>
    </row>
    <row r="163" spans="1:11" x14ac:dyDescent="0.2">
      <c r="A163" s="125">
        <f>IF(Values_Entered,A162+1,"")</f>
        <v>146</v>
      </c>
      <c r="B163" s="124">
        <f t="shared" si="16"/>
        <v>46813</v>
      </c>
      <c r="C163" s="122">
        <f t="shared" si="22"/>
        <v>76139.198776707039</v>
      </c>
      <c r="D163" s="122">
        <f t="shared" si="17"/>
        <v>536.82162301213907</v>
      </c>
      <c r="E163" s="123">
        <f t="shared" si="18"/>
        <v>0</v>
      </c>
      <c r="F163" s="122">
        <f t="shared" si="19"/>
        <v>536.82162301213907</v>
      </c>
      <c r="G163" s="122">
        <f t="shared" si="20"/>
        <v>219.57496144252639</v>
      </c>
      <c r="H163" s="122">
        <f t="shared" si="23"/>
        <v>317.24666156961268</v>
      </c>
      <c r="I163" s="122">
        <f t="shared" si="21"/>
        <v>75919.623815264509</v>
      </c>
      <c r="J163" s="122">
        <f>SUM($H$18:$H163)</f>
        <v>54295.580775036789</v>
      </c>
    </row>
    <row r="164" spans="1:11" x14ac:dyDescent="0.2">
      <c r="A164" s="125">
        <f>IF(Values_Entered,A163+1,"")</f>
        <v>147</v>
      </c>
      <c r="B164" s="124">
        <f t="shared" si="16"/>
        <v>46844</v>
      </c>
      <c r="C164" s="122">
        <f t="shared" si="22"/>
        <v>75919.623815264509</v>
      </c>
      <c r="D164" s="122">
        <f t="shared" si="17"/>
        <v>536.82162301213907</v>
      </c>
      <c r="E164" s="123">
        <f t="shared" si="18"/>
        <v>0</v>
      </c>
      <c r="F164" s="122">
        <f t="shared" si="19"/>
        <v>536.82162301213907</v>
      </c>
      <c r="G164" s="122">
        <f t="shared" si="20"/>
        <v>220.48985711520362</v>
      </c>
      <c r="H164" s="122">
        <f t="shared" si="23"/>
        <v>316.33176589693545</v>
      </c>
      <c r="I164" s="122">
        <f t="shared" si="21"/>
        <v>75699.133958149308</v>
      </c>
      <c r="J164" s="122">
        <f>SUM($H$18:$H164)</f>
        <v>54611.912540933728</v>
      </c>
    </row>
    <row r="165" spans="1:11" x14ac:dyDescent="0.2">
      <c r="A165" s="125">
        <f>IF(Values_Entered,A164+1,"")</f>
        <v>148</v>
      </c>
      <c r="B165" s="124">
        <f t="shared" si="16"/>
        <v>46874</v>
      </c>
      <c r="C165" s="122">
        <f t="shared" si="22"/>
        <v>75699.133958149308</v>
      </c>
      <c r="D165" s="122">
        <f t="shared" si="17"/>
        <v>536.82162301213907</v>
      </c>
      <c r="E165" s="123">
        <f t="shared" si="18"/>
        <v>0</v>
      </c>
      <c r="F165" s="122">
        <f t="shared" si="19"/>
        <v>536.82162301213907</v>
      </c>
      <c r="G165" s="122">
        <f t="shared" si="20"/>
        <v>221.40856485318358</v>
      </c>
      <c r="H165" s="122">
        <f t="shared" si="23"/>
        <v>315.41305815895549</v>
      </c>
      <c r="I165" s="122">
        <f t="shared" si="21"/>
        <v>75477.725393296132</v>
      </c>
      <c r="J165" s="122">
        <f>SUM($H$18:$H165)</f>
        <v>54927.325599092685</v>
      </c>
    </row>
    <row r="166" spans="1:11" x14ac:dyDescent="0.2">
      <c r="A166" s="125">
        <f>IF(Values_Entered,A165+1,"")</f>
        <v>149</v>
      </c>
      <c r="B166" s="124">
        <f t="shared" si="16"/>
        <v>46905</v>
      </c>
      <c r="C166" s="122">
        <f t="shared" si="22"/>
        <v>75477.725393296132</v>
      </c>
      <c r="D166" s="122">
        <f t="shared" si="17"/>
        <v>536.82162301213907</v>
      </c>
      <c r="E166" s="123">
        <f t="shared" si="18"/>
        <v>0</v>
      </c>
      <c r="F166" s="122">
        <f t="shared" si="19"/>
        <v>536.82162301213907</v>
      </c>
      <c r="G166" s="122">
        <f t="shared" si="20"/>
        <v>222.33110054007187</v>
      </c>
      <c r="H166" s="122">
        <f t="shared" si="23"/>
        <v>314.4905224720672</v>
      </c>
      <c r="I166" s="122">
        <f t="shared" si="21"/>
        <v>75255.394292756057</v>
      </c>
      <c r="J166" s="122">
        <f>SUM($H$18:$H166)</f>
        <v>55241.816121564749</v>
      </c>
    </row>
    <row r="167" spans="1:11" x14ac:dyDescent="0.2">
      <c r="A167" s="125">
        <f>IF(Values_Entered,A166+1,"")</f>
        <v>150</v>
      </c>
      <c r="B167" s="124">
        <f t="shared" si="16"/>
        <v>46935</v>
      </c>
      <c r="C167" s="122">
        <f t="shared" si="22"/>
        <v>75255.394292756057</v>
      </c>
      <c r="D167" s="122">
        <f t="shared" si="17"/>
        <v>536.82162301213907</v>
      </c>
      <c r="E167" s="123">
        <f t="shared" si="18"/>
        <v>0</v>
      </c>
      <c r="F167" s="122">
        <f t="shared" si="19"/>
        <v>536.82162301213907</v>
      </c>
      <c r="G167" s="122">
        <f t="shared" si="20"/>
        <v>223.25748012565549</v>
      </c>
      <c r="H167" s="122">
        <f t="shared" si="23"/>
        <v>313.56414288648358</v>
      </c>
      <c r="I167" s="122">
        <f t="shared" si="21"/>
        <v>75032.136812630401</v>
      </c>
      <c r="J167" s="122">
        <f>SUM($H$18:$H167)</f>
        <v>55555.380264451233</v>
      </c>
    </row>
    <row r="168" spans="1:11" x14ac:dyDescent="0.2">
      <c r="A168" s="125">
        <f>IF(Values_Entered,A167+1,"")</f>
        <v>151</v>
      </c>
      <c r="B168" s="124">
        <f t="shared" si="16"/>
        <v>46966</v>
      </c>
      <c r="C168" s="122">
        <f t="shared" si="22"/>
        <v>75032.136812630401</v>
      </c>
      <c r="D168" s="122">
        <f t="shared" si="17"/>
        <v>536.82162301213907</v>
      </c>
      <c r="E168" s="123">
        <f t="shared" si="18"/>
        <v>0</v>
      </c>
      <c r="F168" s="122">
        <f t="shared" si="19"/>
        <v>536.82162301213907</v>
      </c>
      <c r="G168" s="122">
        <f t="shared" si="20"/>
        <v>224.18771962617905</v>
      </c>
      <c r="H168" s="122">
        <f t="shared" si="23"/>
        <v>312.63390338596002</v>
      </c>
      <c r="I168" s="122">
        <f t="shared" si="21"/>
        <v>74807.949093004223</v>
      </c>
      <c r="J168" s="122">
        <f>SUM($H$18:$H168)</f>
        <v>55868.014167837195</v>
      </c>
    </row>
    <row r="169" spans="1:11" x14ac:dyDescent="0.2">
      <c r="A169" s="125">
        <f>IF(Values_Entered,A168+1,"")</f>
        <v>152</v>
      </c>
      <c r="B169" s="124">
        <f t="shared" si="16"/>
        <v>46997</v>
      </c>
      <c r="C169" s="122">
        <f t="shared" si="22"/>
        <v>74807.949093004223</v>
      </c>
      <c r="D169" s="122">
        <f t="shared" si="17"/>
        <v>536.82162301213907</v>
      </c>
      <c r="E169" s="123">
        <f t="shared" si="18"/>
        <v>0</v>
      </c>
      <c r="F169" s="122">
        <f t="shared" si="19"/>
        <v>536.82162301213907</v>
      </c>
      <c r="G169" s="122">
        <f t="shared" si="20"/>
        <v>225.12183512462144</v>
      </c>
      <c r="H169" s="122">
        <f t="shared" si="23"/>
        <v>311.69978788751763</v>
      </c>
      <c r="I169" s="122">
        <f t="shared" si="21"/>
        <v>74582.827257879602</v>
      </c>
      <c r="J169" s="122">
        <f>SUM($H$18:$H169)</f>
        <v>56179.713955724714</v>
      </c>
    </row>
    <row r="170" spans="1:11" x14ac:dyDescent="0.2">
      <c r="A170" s="125">
        <f>IF(Values_Entered,A169+1,"")</f>
        <v>153</v>
      </c>
      <c r="B170" s="124">
        <f t="shared" si="16"/>
        <v>47027</v>
      </c>
      <c r="C170" s="122">
        <f t="shared" si="22"/>
        <v>74582.827257879602</v>
      </c>
      <c r="D170" s="122">
        <f t="shared" si="17"/>
        <v>536.82162301213907</v>
      </c>
      <c r="E170" s="123">
        <f t="shared" si="18"/>
        <v>0</v>
      </c>
      <c r="F170" s="122">
        <f t="shared" si="19"/>
        <v>536.82162301213907</v>
      </c>
      <c r="G170" s="122">
        <f t="shared" si="20"/>
        <v>226.05984277097406</v>
      </c>
      <c r="H170" s="122">
        <f t="shared" si="23"/>
        <v>310.76178024116501</v>
      </c>
      <c r="I170" s="122">
        <f t="shared" si="21"/>
        <v>74356.767415108625</v>
      </c>
      <c r="J170" s="122">
        <f>SUM($H$18:$H170)</f>
        <v>56490.475735965876</v>
      </c>
    </row>
    <row r="171" spans="1:11" x14ac:dyDescent="0.2">
      <c r="A171" s="125">
        <f>IF(Values_Entered,A170+1,"")</f>
        <v>154</v>
      </c>
      <c r="B171" s="124">
        <f t="shared" si="16"/>
        <v>47058</v>
      </c>
      <c r="C171" s="122">
        <f t="shared" si="22"/>
        <v>74356.767415108625</v>
      </c>
      <c r="D171" s="122">
        <f t="shared" si="17"/>
        <v>536.82162301213907</v>
      </c>
      <c r="E171" s="123">
        <f t="shared" si="18"/>
        <v>0</v>
      </c>
      <c r="F171" s="122">
        <f t="shared" si="19"/>
        <v>536.82162301213907</v>
      </c>
      <c r="G171" s="122">
        <f t="shared" si="20"/>
        <v>227.0017587825198</v>
      </c>
      <c r="H171" s="122">
        <f t="shared" si="23"/>
        <v>309.81986422961927</v>
      </c>
      <c r="I171" s="122">
        <f t="shared" si="21"/>
        <v>74129.765656326112</v>
      </c>
      <c r="J171" s="122">
        <f>SUM($H$18:$H171)</f>
        <v>56800.295600195495</v>
      </c>
    </row>
    <row r="172" spans="1:11" x14ac:dyDescent="0.2">
      <c r="A172" s="125">
        <f>IF(Values_Entered,A171+1,"")</f>
        <v>155</v>
      </c>
      <c r="B172" s="124">
        <f t="shared" si="16"/>
        <v>47088</v>
      </c>
      <c r="C172" s="122">
        <f t="shared" si="22"/>
        <v>74129.765656326112</v>
      </c>
      <c r="D172" s="122">
        <f t="shared" si="17"/>
        <v>536.82162301213907</v>
      </c>
      <c r="E172" s="123">
        <f t="shared" si="18"/>
        <v>0</v>
      </c>
      <c r="F172" s="122">
        <f t="shared" si="19"/>
        <v>536.82162301213907</v>
      </c>
      <c r="G172" s="122">
        <f t="shared" si="20"/>
        <v>227.94759944411356</v>
      </c>
      <c r="H172" s="122">
        <f t="shared" si="23"/>
        <v>308.87402356802551</v>
      </c>
      <c r="I172" s="122">
        <f t="shared" si="21"/>
        <v>73901.818056881995</v>
      </c>
      <c r="J172" s="122">
        <f>SUM($H$18:$H172)</f>
        <v>57109.169623763519</v>
      </c>
    </row>
    <row r="173" spans="1:11" x14ac:dyDescent="0.2">
      <c r="A173" s="162">
        <f>IF(Values_Entered,A172+1,"")</f>
        <v>156</v>
      </c>
      <c r="B173" s="163">
        <f t="shared" si="16"/>
        <v>47119</v>
      </c>
      <c r="C173" s="164">
        <f t="shared" si="22"/>
        <v>73901.818056881995</v>
      </c>
      <c r="D173" s="164">
        <f t="shared" si="17"/>
        <v>536.82162301213907</v>
      </c>
      <c r="E173" s="165">
        <f t="shared" si="18"/>
        <v>0</v>
      </c>
      <c r="F173" s="164">
        <f t="shared" si="19"/>
        <v>536.82162301213907</v>
      </c>
      <c r="G173" s="164">
        <f t="shared" si="20"/>
        <v>228.89738110846406</v>
      </c>
      <c r="H173" s="164">
        <f t="shared" si="23"/>
        <v>307.92424190367501</v>
      </c>
      <c r="I173" s="164">
        <f t="shared" si="21"/>
        <v>73672.920675773537</v>
      </c>
      <c r="J173" s="164">
        <f>SUM($H$18:$H173)</f>
        <v>57417.093865667193</v>
      </c>
    </row>
    <row r="174" spans="1:11" x14ac:dyDescent="0.2">
      <c r="A174" s="125">
        <f>IF(Values_Entered,A173+1,"")</f>
        <v>157</v>
      </c>
      <c r="B174" s="124">
        <f t="shared" si="16"/>
        <v>47150</v>
      </c>
      <c r="C174" s="122">
        <f t="shared" si="22"/>
        <v>73672.920675773537</v>
      </c>
      <c r="D174" s="122">
        <f t="shared" si="17"/>
        <v>536.82162301213907</v>
      </c>
      <c r="E174" s="123">
        <f t="shared" si="18"/>
        <v>0</v>
      </c>
      <c r="F174" s="122">
        <f t="shared" si="19"/>
        <v>536.82162301213907</v>
      </c>
      <c r="G174" s="122">
        <f t="shared" si="20"/>
        <v>229.85112019641599</v>
      </c>
      <c r="H174" s="122">
        <f t="shared" si="23"/>
        <v>306.97050281572308</v>
      </c>
      <c r="I174" s="122">
        <f t="shared" si="21"/>
        <v>73443.069555577124</v>
      </c>
      <c r="J174" s="122">
        <f>SUM($H$18:$H174)</f>
        <v>57724.064368482919</v>
      </c>
      <c r="K174" s="117">
        <v>14</v>
      </c>
    </row>
    <row r="175" spans="1:11" x14ac:dyDescent="0.2">
      <c r="A175" s="125">
        <f>IF(Values_Entered,A174+1,"")</f>
        <v>158</v>
      </c>
      <c r="B175" s="124">
        <f t="shared" si="16"/>
        <v>47178</v>
      </c>
      <c r="C175" s="122">
        <f t="shared" si="22"/>
        <v>73443.069555577124</v>
      </c>
      <c r="D175" s="122">
        <f t="shared" si="17"/>
        <v>536.82162301213907</v>
      </c>
      <c r="E175" s="123">
        <f t="shared" si="18"/>
        <v>0</v>
      </c>
      <c r="F175" s="122">
        <f t="shared" si="19"/>
        <v>536.82162301213907</v>
      </c>
      <c r="G175" s="122">
        <f t="shared" si="20"/>
        <v>230.80883319723438</v>
      </c>
      <c r="H175" s="122">
        <f t="shared" si="23"/>
        <v>306.01278981490469</v>
      </c>
      <c r="I175" s="122">
        <f t="shared" si="21"/>
        <v>73212.260722379884</v>
      </c>
      <c r="J175" s="122">
        <f>SUM($H$18:$H175)</f>
        <v>58030.077158297827</v>
      </c>
    </row>
    <row r="176" spans="1:11" x14ac:dyDescent="0.2">
      <c r="A176" s="125">
        <f>IF(Values_Entered,A175+1,"")</f>
        <v>159</v>
      </c>
      <c r="B176" s="124">
        <f t="shared" si="16"/>
        <v>47209</v>
      </c>
      <c r="C176" s="122">
        <f t="shared" si="22"/>
        <v>73212.260722379884</v>
      </c>
      <c r="D176" s="122">
        <f t="shared" si="17"/>
        <v>536.82162301213907</v>
      </c>
      <c r="E176" s="123">
        <f t="shared" si="18"/>
        <v>0</v>
      </c>
      <c r="F176" s="122">
        <f t="shared" si="19"/>
        <v>536.82162301213907</v>
      </c>
      <c r="G176" s="122">
        <f t="shared" si="20"/>
        <v>231.77053666888952</v>
      </c>
      <c r="H176" s="122">
        <f t="shared" si="23"/>
        <v>305.05108634324955</v>
      </c>
      <c r="I176" s="122">
        <f t="shared" si="21"/>
        <v>72980.490185710994</v>
      </c>
      <c r="J176" s="122">
        <f>SUM($H$18:$H176)</f>
        <v>58335.128244641077</v>
      </c>
    </row>
    <row r="177" spans="1:11" x14ac:dyDescent="0.2">
      <c r="A177" s="125">
        <f>IF(Values_Entered,A176+1,"")</f>
        <v>160</v>
      </c>
      <c r="B177" s="124">
        <f t="shared" si="16"/>
        <v>47239</v>
      </c>
      <c r="C177" s="122">
        <f t="shared" si="22"/>
        <v>72980.490185710994</v>
      </c>
      <c r="D177" s="122">
        <f t="shared" si="17"/>
        <v>536.82162301213907</v>
      </c>
      <c r="E177" s="123">
        <f t="shared" si="18"/>
        <v>0</v>
      </c>
      <c r="F177" s="122">
        <f t="shared" si="19"/>
        <v>536.82162301213907</v>
      </c>
      <c r="G177" s="122">
        <f t="shared" si="20"/>
        <v>232.73624723834325</v>
      </c>
      <c r="H177" s="122">
        <f t="shared" si="23"/>
        <v>304.08537577379582</v>
      </c>
      <c r="I177" s="122">
        <f t="shared" si="21"/>
        <v>72747.753938472655</v>
      </c>
      <c r="J177" s="122">
        <f>SUM($H$18:$H177)</f>
        <v>58639.21362041487</v>
      </c>
    </row>
    <row r="178" spans="1:11" x14ac:dyDescent="0.2">
      <c r="A178" s="125">
        <f>IF(Values_Entered,A177+1,"")</f>
        <v>161</v>
      </c>
      <c r="B178" s="124">
        <f t="shared" si="16"/>
        <v>47270</v>
      </c>
      <c r="C178" s="122">
        <f t="shared" si="22"/>
        <v>72747.753938472655</v>
      </c>
      <c r="D178" s="122">
        <f t="shared" si="17"/>
        <v>536.82162301213907</v>
      </c>
      <c r="E178" s="123">
        <f t="shared" si="18"/>
        <v>0</v>
      </c>
      <c r="F178" s="122">
        <f t="shared" si="19"/>
        <v>536.82162301213907</v>
      </c>
      <c r="G178" s="122">
        <f t="shared" si="20"/>
        <v>233.7059816018363</v>
      </c>
      <c r="H178" s="122">
        <f t="shared" si="23"/>
        <v>303.11564141030277</v>
      </c>
      <c r="I178" s="122">
        <f t="shared" si="21"/>
        <v>72514.047956870825</v>
      </c>
      <c r="J178" s="122">
        <f>SUM($H$18:$H178)</f>
        <v>58942.329261825173</v>
      </c>
    </row>
    <row r="179" spans="1:11" x14ac:dyDescent="0.2">
      <c r="A179" s="125">
        <f>IF(Values_Entered,A178+1,"")</f>
        <v>162</v>
      </c>
      <c r="B179" s="124">
        <f t="shared" si="16"/>
        <v>47300</v>
      </c>
      <c r="C179" s="122">
        <f t="shared" si="22"/>
        <v>72514.047956870825</v>
      </c>
      <c r="D179" s="122">
        <f t="shared" si="17"/>
        <v>536.82162301213907</v>
      </c>
      <c r="E179" s="123">
        <f t="shared" si="18"/>
        <v>0</v>
      </c>
      <c r="F179" s="122">
        <f t="shared" si="19"/>
        <v>536.82162301213907</v>
      </c>
      <c r="G179" s="122">
        <f t="shared" si="20"/>
        <v>234.67975652517731</v>
      </c>
      <c r="H179" s="122">
        <f t="shared" si="23"/>
        <v>302.14186648696176</v>
      </c>
      <c r="I179" s="122">
        <f t="shared" si="21"/>
        <v>72279.368200345649</v>
      </c>
      <c r="J179" s="122">
        <f>SUM($H$18:$H179)</f>
        <v>59244.471128312136</v>
      </c>
    </row>
    <row r="180" spans="1:11" x14ac:dyDescent="0.2">
      <c r="A180" s="125">
        <f>IF(Values_Entered,A179+1,"")</f>
        <v>163</v>
      </c>
      <c r="B180" s="124">
        <f t="shared" si="16"/>
        <v>47331</v>
      </c>
      <c r="C180" s="122">
        <f t="shared" si="22"/>
        <v>72279.368200345649</v>
      </c>
      <c r="D180" s="122">
        <f t="shared" si="17"/>
        <v>536.82162301213907</v>
      </c>
      <c r="E180" s="123">
        <f t="shared" si="18"/>
        <v>0</v>
      </c>
      <c r="F180" s="122">
        <f t="shared" si="19"/>
        <v>536.82162301213907</v>
      </c>
      <c r="G180" s="122">
        <f t="shared" si="20"/>
        <v>235.6575888440322</v>
      </c>
      <c r="H180" s="122">
        <f t="shared" si="23"/>
        <v>301.16403416810687</v>
      </c>
      <c r="I180" s="122">
        <f t="shared" si="21"/>
        <v>72043.710611501621</v>
      </c>
      <c r="J180" s="122">
        <f>SUM($H$18:$H180)</f>
        <v>59545.635162480241</v>
      </c>
    </row>
    <row r="181" spans="1:11" x14ac:dyDescent="0.2">
      <c r="A181" s="125">
        <f>IF(Values_Entered,A180+1,"")</f>
        <v>164</v>
      </c>
      <c r="B181" s="124">
        <f t="shared" si="16"/>
        <v>47362</v>
      </c>
      <c r="C181" s="122">
        <f t="shared" si="22"/>
        <v>72043.710611501621</v>
      </c>
      <c r="D181" s="122">
        <f t="shared" si="17"/>
        <v>536.82162301213907</v>
      </c>
      <c r="E181" s="123">
        <f t="shared" si="18"/>
        <v>0</v>
      </c>
      <c r="F181" s="122">
        <f t="shared" si="19"/>
        <v>536.82162301213907</v>
      </c>
      <c r="G181" s="122">
        <f t="shared" si="20"/>
        <v>236.6394954642156</v>
      </c>
      <c r="H181" s="122">
        <f t="shared" si="23"/>
        <v>300.18212754792347</v>
      </c>
      <c r="I181" s="122">
        <f t="shared" si="21"/>
        <v>71807.071116037405</v>
      </c>
      <c r="J181" s="122">
        <f>SUM($H$18:$H181)</f>
        <v>59845.817290028164</v>
      </c>
    </row>
    <row r="182" spans="1:11" x14ac:dyDescent="0.2">
      <c r="A182" s="125">
        <f>IF(Values_Entered,A181+1,"")</f>
        <v>165</v>
      </c>
      <c r="B182" s="124">
        <f t="shared" si="16"/>
        <v>47392</v>
      </c>
      <c r="C182" s="122">
        <f t="shared" si="22"/>
        <v>71807.071116037405</v>
      </c>
      <c r="D182" s="122">
        <f t="shared" si="17"/>
        <v>536.82162301213907</v>
      </c>
      <c r="E182" s="123">
        <f t="shared" si="18"/>
        <v>0</v>
      </c>
      <c r="F182" s="122">
        <f t="shared" si="19"/>
        <v>536.82162301213907</v>
      </c>
      <c r="G182" s="122">
        <f t="shared" si="20"/>
        <v>237.62549336198322</v>
      </c>
      <c r="H182" s="122">
        <f t="shared" si="23"/>
        <v>299.19612965015585</v>
      </c>
      <c r="I182" s="122">
        <f t="shared" si="21"/>
        <v>71569.445622675426</v>
      </c>
      <c r="J182" s="122">
        <f>SUM($H$18:$H182)</f>
        <v>60145.013419678318</v>
      </c>
    </row>
    <row r="183" spans="1:11" x14ac:dyDescent="0.2">
      <c r="A183" s="125">
        <f>IF(Values_Entered,A182+1,"")</f>
        <v>166</v>
      </c>
      <c r="B183" s="124">
        <f t="shared" si="16"/>
        <v>47423</v>
      </c>
      <c r="C183" s="122">
        <f t="shared" si="22"/>
        <v>71569.445622675426</v>
      </c>
      <c r="D183" s="122">
        <f t="shared" si="17"/>
        <v>536.82162301213907</v>
      </c>
      <c r="E183" s="123">
        <f t="shared" si="18"/>
        <v>0</v>
      </c>
      <c r="F183" s="122">
        <f t="shared" si="19"/>
        <v>536.82162301213907</v>
      </c>
      <c r="G183" s="122">
        <f t="shared" si="20"/>
        <v>238.6155995843248</v>
      </c>
      <c r="H183" s="122">
        <f t="shared" si="23"/>
        <v>298.20602342781427</v>
      </c>
      <c r="I183" s="122">
        <f t="shared" si="21"/>
        <v>71330.830023091097</v>
      </c>
      <c r="J183" s="122">
        <f>SUM($H$18:$H183)</f>
        <v>60443.219443106136</v>
      </c>
    </row>
    <row r="184" spans="1:11" x14ac:dyDescent="0.2">
      <c r="A184" s="125">
        <f>IF(Values_Entered,A183+1,"")</f>
        <v>167</v>
      </c>
      <c r="B184" s="124">
        <f t="shared" si="16"/>
        <v>47453</v>
      </c>
      <c r="C184" s="122">
        <f t="shared" si="22"/>
        <v>71330.830023091097</v>
      </c>
      <c r="D184" s="122">
        <f t="shared" si="17"/>
        <v>536.82162301213907</v>
      </c>
      <c r="E184" s="123">
        <f t="shared" si="18"/>
        <v>0</v>
      </c>
      <c r="F184" s="122">
        <f t="shared" si="19"/>
        <v>536.82162301213907</v>
      </c>
      <c r="G184" s="122">
        <f t="shared" si="20"/>
        <v>239.60983124925946</v>
      </c>
      <c r="H184" s="122">
        <f t="shared" si="23"/>
        <v>297.21179176287961</v>
      </c>
      <c r="I184" s="122">
        <f t="shared" si="21"/>
        <v>71091.220191841843</v>
      </c>
      <c r="J184" s="122">
        <f>SUM($H$18:$H184)</f>
        <v>60740.431234869015</v>
      </c>
    </row>
    <row r="185" spans="1:11" x14ac:dyDescent="0.2">
      <c r="A185" s="162">
        <f>IF(Values_Entered,A184+1,"")</f>
        <v>168</v>
      </c>
      <c r="B185" s="163">
        <f t="shared" si="16"/>
        <v>47484</v>
      </c>
      <c r="C185" s="164">
        <f t="shared" si="22"/>
        <v>71091.220191841843</v>
      </c>
      <c r="D185" s="164">
        <f t="shared" si="17"/>
        <v>536.82162301213907</v>
      </c>
      <c r="E185" s="165">
        <f t="shared" si="18"/>
        <v>0</v>
      </c>
      <c r="F185" s="164">
        <f t="shared" si="19"/>
        <v>536.82162301213907</v>
      </c>
      <c r="G185" s="164">
        <f t="shared" si="20"/>
        <v>240.60820554613139</v>
      </c>
      <c r="H185" s="164">
        <f t="shared" si="23"/>
        <v>296.21341746600768</v>
      </c>
      <c r="I185" s="164">
        <f t="shared" si="21"/>
        <v>70850.611986295713</v>
      </c>
      <c r="J185" s="164">
        <f>SUM($H$18:$H185)</f>
        <v>61036.644652335024</v>
      </c>
    </row>
    <row r="186" spans="1:11" x14ac:dyDescent="0.2">
      <c r="A186" s="125">
        <f>IF(Values_Entered,A185+1,"")</f>
        <v>169</v>
      </c>
      <c r="B186" s="124">
        <f t="shared" si="16"/>
        <v>47515</v>
      </c>
      <c r="C186" s="122">
        <f t="shared" si="22"/>
        <v>70850.611986295713</v>
      </c>
      <c r="D186" s="122">
        <f t="shared" si="17"/>
        <v>536.82162301213907</v>
      </c>
      <c r="E186" s="123">
        <f t="shared" si="18"/>
        <v>0</v>
      </c>
      <c r="F186" s="122">
        <f t="shared" si="19"/>
        <v>536.82162301213907</v>
      </c>
      <c r="G186" s="122">
        <f t="shared" si="20"/>
        <v>241.61073973590692</v>
      </c>
      <c r="H186" s="122">
        <f t="shared" si="23"/>
        <v>295.21088327623215</v>
      </c>
      <c r="I186" s="122">
        <f t="shared" si="21"/>
        <v>70609.001246559812</v>
      </c>
      <c r="J186" s="122">
        <f>SUM($H$18:$H186)</f>
        <v>61331.855535611256</v>
      </c>
      <c r="K186" s="117">
        <v>15</v>
      </c>
    </row>
    <row r="187" spans="1:11" x14ac:dyDescent="0.2">
      <c r="A187" s="125">
        <f>IF(Values_Entered,A186+1,"")</f>
        <v>170</v>
      </c>
      <c r="B187" s="124">
        <f t="shared" si="16"/>
        <v>47543</v>
      </c>
      <c r="C187" s="122">
        <f t="shared" si="22"/>
        <v>70609.001246559812</v>
      </c>
      <c r="D187" s="122">
        <f t="shared" si="17"/>
        <v>536.82162301213907</v>
      </c>
      <c r="E187" s="123">
        <f t="shared" si="18"/>
        <v>0</v>
      </c>
      <c r="F187" s="122">
        <f t="shared" si="19"/>
        <v>536.82162301213907</v>
      </c>
      <c r="G187" s="122">
        <f t="shared" si="20"/>
        <v>242.61745115147318</v>
      </c>
      <c r="H187" s="122">
        <f t="shared" si="23"/>
        <v>294.20417186066589</v>
      </c>
      <c r="I187" s="122">
        <f t="shared" si="21"/>
        <v>70366.383795408343</v>
      </c>
      <c r="J187" s="122">
        <f>SUM($H$18:$H187)</f>
        <v>61626.059707471919</v>
      </c>
    </row>
    <row r="188" spans="1:11" x14ac:dyDescent="0.2">
      <c r="A188" s="125">
        <f>IF(Values_Entered,A187+1,"")</f>
        <v>171</v>
      </c>
      <c r="B188" s="124">
        <f t="shared" si="16"/>
        <v>47574</v>
      </c>
      <c r="C188" s="122">
        <f t="shared" si="22"/>
        <v>70366.383795408343</v>
      </c>
      <c r="D188" s="122">
        <f t="shared" si="17"/>
        <v>536.82162301213907</v>
      </c>
      <c r="E188" s="123">
        <f t="shared" si="18"/>
        <v>0</v>
      </c>
      <c r="F188" s="122">
        <f t="shared" si="19"/>
        <v>536.82162301213907</v>
      </c>
      <c r="G188" s="122">
        <f t="shared" si="20"/>
        <v>243.62835719793765</v>
      </c>
      <c r="H188" s="122">
        <f t="shared" si="23"/>
        <v>293.19326581420142</v>
      </c>
      <c r="I188" s="122">
        <f t="shared" si="21"/>
        <v>70122.755438210399</v>
      </c>
      <c r="J188" s="122">
        <f>SUM($H$18:$H188)</f>
        <v>61919.252973286122</v>
      </c>
    </row>
    <row r="189" spans="1:11" x14ac:dyDescent="0.2">
      <c r="A189" s="125">
        <f>IF(Values_Entered,A188+1,"")</f>
        <v>172</v>
      </c>
      <c r="B189" s="124">
        <f t="shared" si="16"/>
        <v>47604</v>
      </c>
      <c r="C189" s="122">
        <f t="shared" si="22"/>
        <v>70122.755438210399</v>
      </c>
      <c r="D189" s="122">
        <f t="shared" si="17"/>
        <v>536.82162301213907</v>
      </c>
      <c r="E189" s="123">
        <f t="shared" si="18"/>
        <v>0</v>
      </c>
      <c r="F189" s="122">
        <f t="shared" si="19"/>
        <v>536.82162301213907</v>
      </c>
      <c r="G189" s="122">
        <f t="shared" si="20"/>
        <v>244.64347535292904</v>
      </c>
      <c r="H189" s="122">
        <f t="shared" si="23"/>
        <v>292.17814765921003</v>
      </c>
      <c r="I189" s="122">
        <f t="shared" si="21"/>
        <v>69878.111962857467</v>
      </c>
      <c r="J189" s="122">
        <f>SUM($H$18:$H189)</f>
        <v>62211.43112094533</v>
      </c>
    </row>
    <row r="190" spans="1:11" x14ac:dyDescent="0.2">
      <c r="A190" s="125">
        <f>IF(Values_Entered,A189+1,"")</f>
        <v>173</v>
      </c>
      <c r="B190" s="124">
        <f t="shared" si="16"/>
        <v>47635</v>
      </c>
      <c r="C190" s="122">
        <f t="shared" si="22"/>
        <v>69878.111962857467</v>
      </c>
      <c r="D190" s="122">
        <f t="shared" si="17"/>
        <v>536.82162301213907</v>
      </c>
      <c r="E190" s="123">
        <f t="shared" si="18"/>
        <v>0</v>
      </c>
      <c r="F190" s="122">
        <f t="shared" si="19"/>
        <v>536.82162301213907</v>
      </c>
      <c r="G190" s="122">
        <f t="shared" si="20"/>
        <v>245.66282316689961</v>
      </c>
      <c r="H190" s="122">
        <f t="shared" si="23"/>
        <v>291.15879984523946</v>
      </c>
      <c r="I190" s="122">
        <f t="shared" si="21"/>
        <v>69632.449139690565</v>
      </c>
      <c r="J190" s="122">
        <f>SUM($H$18:$H190)</f>
        <v>62502.589920790568</v>
      </c>
    </row>
    <row r="191" spans="1:11" x14ac:dyDescent="0.2">
      <c r="A191" s="125">
        <f>IF(Values_Entered,A190+1,"")</f>
        <v>174</v>
      </c>
      <c r="B191" s="124">
        <f t="shared" si="16"/>
        <v>47665</v>
      </c>
      <c r="C191" s="122">
        <f t="shared" si="22"/>
        <v>69632.449139690565</v>
      </c>
      <c r="D191" s="122">
        <f t="shared" si="17"/>
        <v>536.82162301213907</v>
      </c>
      <c r="E191" s="123">
        <f t="shared" si="18"/>
        <v>0</v>
      </c>
      <c r="F191" s="122">
        <f t="shared" si="19"/>
        <v>536.82162301213907</v>
      </c>
      <c r="G191" s="122">
        <f t="shared" si="20"/>
        <v>246.68641826342838</v>
      </c>
      <c r="H191" s="122">
        <f t="shared" si="23"/>
        <v>290.13520474871069</v>
      </c>
      <c r="I191" s="122">
        <f t="shared" si="21"/>
        <v>69385.762721427134</v>
      </c>
      <c r="J191" s="122">
        <f>SUM($H$18:$H191)</f>
        <v>62792.725125539277</v>
      </c>
    </row>
    <row r="192" spans="1:11" x14ac:dyDescent="0.2">
      <c r="A192" s="125">
        <f>IF(Values_Entered,A191+1,"")</f>
        <v>175</v>
      </c>
      <c r="B192" s="124">
        <f t="shared" si="16"/>
        <v>47696</v>
      </c>
      <c r="C192" s="122">
        <f t="shared" si="22"/>
        <v>69385.762721427134</v>
      </c>
      <c r="D192" s="122">
        <f t="shared" si="17"/>
        <v>536.82162301213907</v>
      </c>
      <c r="E192" s="123">
        <f t="shared" si="18"/>
        <v>0</v>
      </c>
      <c r="F192" s="122">
        <f t="shared" si="19"/>
        <v>536.82162301213907</v>
      </c>
      <c r="G192" s="122">
        <f t="shared" si="20"/>
        <v>247.714278339526</v>
      </c>
      <c r="H192" s="122">
        <f t="shared" si="23"/>
        <v>289.10734467261307</v>
      </c>
      <c r="I192" s="122">
        <f t="shared" si="21"/>
        <v>69138.048443087609</v>
      </c>
      <c r="J192" s="122">
        <f>SUM($H$18:$H192)</f>
        <v>63081.832470211892</v>
      </c>
    </row>
    <row r="193" spans="1:11" x14ac:dyDescent="0.2">
      <c r="A193" s="125">
        <f>IF(Values_Entered,A192+1,"")</f>
        <v>176</v>
      </c>
      <c r="B193" s="124">
        <f t="shared" si="16"/>
        <v>47727</v>
      </c>
      <c r="C193" s="122">
        <f t="shared" si="22"/>
        <v>69138.048443087609</v>
      </c>
      <c r="D193" s="122">
        <f t="shared" si="17"/>
        <v>536.82162301213907</v>
      </c>
      <c r="E193" s="123">
        <f t="shared" si="18"/>
        <v>0</v>
      </c>
      <c r="F193" s="122">
        <f t="shared" si="19"/>
        <v>536.82162301213907</v>
      </c>
      <c r="G193" s="122">
        <f t="shared" si="20"/>
        <v>248.74642116594072</v>
      </c>
      <c r="H193" s="122">
        <f t="shared" si="23"/>
        <v>288.07520184619835</v>
      </c>
      <c r="I193" s="122">
        <f t="shared" si="21"/>
        <v>68889.302021921671</v>
      </c>
      <c r="J193" s="122">
        <f>SUM($H$18:$H193)</f>
        <v>63369.907672058092</v>
      </c>
    </row>
    <row r="194" spans="1:11" x14ac:dyDescent="0.2">
      <c r="A194" s="125">
        <f>IF(Values_Entered,A193+1,"")</f>
        <v>177</v>
      </c>
      <c r="B194" s="124">
        <f t="shared" si="16"/>
        <v>47757</v>
      </c>
      <c r="C194" s="122">
        <f t="shared" si="22"/>
        <v>68889.302021921671</v>
      </c>
      <c r="D194" s="122">
        <f t="shared" si="17"/>
        <v>536.82162301213907</v>
      </c>
      <c r="E194" s="123">
        <f t="shared" si="18"/>
        <v>0</v>
      </c>
      <c r="F194" s="122">
        <f t="shared" si="19"/>
        <v>536.82162301213907</v>
      </c>
      <c r="G194" s="122">
        <f t="shared" si="20"/>
        <v>249.78286458746544</v>
      </c>
      <c r="H194" s="122">
        <f t="shared" si="23"/>
        <v>287.03875842467363</v>
      </c>
      <c r="I194" s="122">
        <f t="shared" si="21"/>
        <v>68639.519157334202</v>
      </c>
      <c r="J194" s="122">
        <f>SUM($H$18:$H194)</f>
        <v>63656.946430482763</v>
      </c>
    </row>
    <row r="195" spans="1:11" x14ac:dyDescent="0.2">
      <c r="A195" s="125">
        <f>IF(Values_Entered,A194+1,"")</f>
        <v>178</v>
      </c>
      <c r="B195" s="124">
        <f t="shared" si="16"/>
        <v>47788</v>
      </c>
      <c r="C195" s="122">
        <f t="shared" si="22"/>
        <v>68639.519157334202</v>
      </c>
      <c r="D195" s="122">
        <f t="shared" si="17"/>
        <v>536.82162301213907</v>
      </c>
      <c r="E195" s="123">
        <f t="shared" si="18"/>
        <v>0</v>
      </c>
      <c r="F195" s="122">
        <f t="shared" si="19"/>
        <v>536.82162301213907</v>
      </c>
      <c r="G195" s="122">
        <f t="shared" si="20"/>
        <v>250.82362652324656</v>
      </c>
      <c r="H195" s="122">
        <f t="shared" si="23"/>
        <v>285.99799648889251</v>
      </c>
      <c r="I195" s="122">
        <f t="shared" si="21"/>
        <v>68388.695530810961</v>
      </c>
      <c r="J195" s="122">
        <f>SUM($H$18:$H195)</f>
        <v>63942.944426971655</v>
      </c>
    </row>
    <row r="196" spans="1:11" x14ac:dyDescent="0.2">
      <c r="A196" s="125">
        <f>IF(Values_Entered,A195+1,"")</f>
        <v>179</v>
      </c>
      <c r="B196" s="124">
        <f t="shared" si="16"/>
        <v>47818</v>
      </c>
      <c r="C196" s="122">
        <f t="shared" si="22"/>
        <v>68388.695530810961</v>
      </c>
      <c r="D196" s="122">
        <f t="shared" si="17"/>
        <v>536.82162301213907</v>
      </c>
      <c r="E196" s="123">
        <f t="shared" si="18"/>
        <v>0</v>
      </c>
      <c r="F196" s="122">
        <f t="shared" si="19"/>
        <v>536.82162301213907</v>
      </c>
      <c r="G196" s="122">
        <f t="shared" si="20"/>
        <v>251.86872496709339</v>
      </c>
      <c r="H196" s="122">
        <f t="shared" si="23"/>
        <v>284.95289804504569</v>
      </c>
      <c r="I196" s="122">
        <f t="shared" si="21"/>
        <v>68136.82680584387</v>
      </c>
      <c r="J196" s="122">
        <f>SUM($H$18:$H196)</f>
        <v>64227.897325016704</v>
      </c>
    </row>
    <row r="197" spans="1:11" x14ac:dyDescent="0.2">
      <c r="A197" s="162">
        <f>IF(Values_Entered,A196+1,"")</f>
        <v>180</v>
      </c>
      <c r="B197" s="163">
        <f t="shared" si="16"/>
        <v>47849</v>
      </c>
      <c r="C197" s="164">
        <f t="shared" si="22"/>
        <v>68136.82680584387</v>
      </c>
      <c r="D197" s="164">
        <f t="shared" si="17"/>
        <v>536.82162301213907</v>
      </c>
      <c r="E197" s="165">
        <f t="shared" si="18"/>
        <v>0</v>
      </c>
      <c r="F197" s="164">
        <f t="shared" si="19"/>
        <v>536.82162301213907</v>
      </c>
      <c r="G197" s="164">
        <f t="shared" si="20"/>
        <v>252.91817798778959</v>
      </c>
      <c r="H197" s="164">
        <f t="shared" si="23"/>
        <v>283.90344502434948</v>
      </c>
      <c r="I197" s="164">
        <f t="shared" si="21"/>
        <v>67883.908627856086</v>
      </c>
      <c r="J197" s="164">
        <f>SUM($H$18:$H197)</f>
        <v>64511.800770041053</v>
      </c>
    </row>
    <row r="198" spans="1:11" x14ac:dyDescent="0.2">
      <c r="A198" s="125">
        <f>IF(Values_Entered,A197+1,"")</f>
        <v>181</v>
      </c>
      <c r="B198" s="124">
        <f t="shared" si="16"/>
        <v>47880</v>
      </c>
      <c r="C198" s="122">
        <f t="shared" si="22"/>
        <v>67883.908627856086</v>
      </c>
      <c r="D198" s="122">
        <f t="shared" si="17"/>
        <v>536.82162301213907</v>
      </c>
      <c r="E198" s="123">
        <f t="shared" si="18"/>
        <v>0</v>
      </c>
      <c r="F198" s="122">
        <f t="shared" si="19"/>
        <v>536.82162301213907</v>
      </c>
      <c r="G198" s="122">
        <f t="shared" si="20"/>
        <v>253.97200372940534</v>
      </c>
      <c r="H198" s="122">
        <f t="shared" si="23"/>
        <v>282.84961928273373</v>
      </c>
      <c r="I198" s="122">
        <f t="shared" si="21"/>
        <v>67629.936624126683</v>
      </c>
      <c r="J198" s="122">
        <f>SUM($H$18:$H198)</f>
        <v>64794.65038932379</v>
      </c>
      <c r="K198" s="117">
        <v>16</v>
      </c>
    </row>
    <row r="199" spans="1:11" x14ac:dyDescent="0.2">
      <c r="A199" s="125">
        <f>IF(Values_Entered,A198+1,"")</f>
        <v>182</v>
      </c>
      <c r="B199" s="124">
        <f t="shared" si="16"/>
        <v>47908</v>
      </c>
      <c r="C199" s="122">
        <f t="shared" si="22"/>
        <v>67629.936624126683</v>
      </c>
      <c r="D199" s="122">
        <f t="shared" si="17"/>
        <v>536.82162301213907</v>
      </c>
      <c r="E199" s="123">
        <f t="shared" si="18"/>
        <v>0</v>
      </c>
      <c r="F199" s="122">
        <f t="shared" si="19"/>
        <v>536.82162301213907</v>
      </c>
      <c r="G199" s="122">
        <f t="shared" si="20"/>
        <v>255.0302204116112</v>
      </c>
      <c r="H199" s="122">
        <f t="shared" si="23"/>
        <v>281.79140260052787</v>
      </c>
      <c r="I199" s="122">
        <f t="shared" si="21"/>
        <v>67374.906403715067</v>
      </c>
      <c r="J199" s="122">
        <f>SUM($H$18:$H199)</f>
        <v>65076.441791924321</v>
      </c>
    </row>
    <row r="200" spans="1:11" x14ac:dyDescent="0.2">
      <c r="A200" s="125">
        <f>IF(Values_Entered,A199+1,"")</f>
        <v>183</v>
      </c>
      <c r="B200" s="124">
        <f t="shared" si="16"/>
        <v>47939</v>
      </c>
      <c r="C200" s="122">
        <f t="shared" si="22"/>
        <v>67374.906403715067</v>
      </c>
      <c r="D200" s="122">
        <f t="shared" si="17"/>
        <v>536.82162301213907</v>
      </c>
      <c r="E200" s="123">
        <f t="shared" si="18"/>
        <v>0</v>
      </c>
      <c r="F200" s="122">
        <f t="shared" si="19"/>
        <v>536.82162301213907</v>
      </c>
      <c r="G200" s="122">
        <f t="shared" si="20"/>
        <v>256.09284632999294</v>
      </c>
      <c r="H200" s="122">
        <f t="shared" si="23"/>
        <v>280.72877668214613</v>
      </c>
      <c r="I200" s="122">
        <f t="shared" si="21"/>
        <v>67118.813557385074</v>
      </c>
      <c r="J200" s="122">
        <f>SUM($H$18:$H200)</f>
        <v>65357.170568606467</v>
      </c>
    </row>
    <row r="201" spans="1:11" x14ac:dyDescent="0.2">
      <c r="A201" s="125">
        <f>IF(Values_Entered,A200+1,"")</f>
        <v>184</v>
      </c>
      <c r="B201" s="124">
        <f t="shared" si="16"/>
        <v>47969</v>
      </c>
      <c r="C201" s="122">
        <f t="shared" si="22"/>
        <v>67118.813557385074</v>
      </c>
      <c r="D201" s="122">
        <f t="shared" si="17"/>
        <v>536.82162301213907</v>
      </c>
      <c r="E201" s="123">
        <f t="shared" si="18"/>
        <v>0</v>
      </c>
      <c r="F201" s="122">
        <f t="shared" si="19"/>
        <v>536.82162301213907</v>
      </c>
      <c r="G201" s="122">
        <f t="shared" si="20"/>
        <v>257.15989985636793</v>
      </c>
      <c r="H201" s="122">
        <f t="shared" si="23"/>
        <v>279.66172315577114</v>
      </c>
      <c r="I201" s="122">
        <f t="shared" si="21"/>
        <v>66861.653657528703</v>
      </c>
      <c r="J201" s="122">
        <f>SUM($H$18:$H201)</f>
        <v>65636.832291762243</v>
      </c>
    </row>
    <row r="202" spans="1:11" x14ac:dyDescent="0.2">
      <c r="A202" s="125">
        <f>IF(Values_Entered,A201+1,"")</f>
        <v>185</v>
      </c>
      <c r="B202" s="124">
        <f t="shared" si="16"/>
        <v>48000</v>
      </c>
      <c r="C202" s="122">
        <f t="shared" si="22"/>
        <v>66861.653657528703</v>
      </c>
      <c r="D202" s="122">
        <f t="shared" si="17"/>
        <v>536.82162301213907</v>
      </c>
      <c r="E202" s="123">
        <f t="shared" si="18"/>
        <v>0</v>
      </c>
      <c r="F202" s="122">
        <f t="shared" si="19"/>
        <v>536.82162301213907</v>
      </c>
      <c r="G202" s="122">
        <f t="shared" si="20"/>
        <v>258.2313994391028</v>
      </c>
      <c r="H202" s="122">
        <f t="shared" si="23"/>
        <v>278.59022357303627</v>
      </c>
      <c r="I202" s="122">
        <f t="shared" si="21"/>
        <v>66603.422258089602</v>
      </c>
      <c r="J202" s="122">
        <f>SUM($H$18:$H202)</f>
        <v>65915.422515335275</v>
      </c>
    </row>
    <row r="203" spans="1:11" x14ac:dyDescent="0.2">
      <c r="A203" s="125">
        <f>IF(Values_Entered,A202+1,"")</f>
        <v>186</v>
      </c>
      <c r="B203" s="124">
        <f t="shared" si="16"/>
        <v>48030</v>
      </c>
      <c r="C203" s="122">
        <f t="shared" si="22"/>
        <v>66603.422258089602</v>
      </c>
      <c r="D203" s="122">
        <f t="shared" si="17"/>
        <v>536.82162301213907</v>
      </c>
      <c r="E203" s="123">
        <f t="shared" si="18"/>
        <v>0</v>
      </c>
      <c r="F203" s="122">
        <f t="shared" si="19"/>
        <v>536.82162301213907</v>
      </c>
      <c r="G203" s="122">
        <f t="shared" si="20"/>
        <v>259.30736360343241</v>
      </c>
      <c r="H203" s="122">
        <f t="shared" si="23"/>
        <v>277.51425940870666</v>
      </c>
      <c r="I203" s="122">
        <f t="shared" si="21"/>
        <v>66344.114894486163</v>
      </c>
      <c r="J203" s="122">
        <f>SUM($H$18:$H203)</f>
        <v>66192.936774743983</v>
      </c>
    </row>
    <row r="204" spans="1:11" x14ac:dyDescent="0.2">
      <c r="A204" s="125">
        <f>IF(Values_Entered,A203+1,"")</f>
        <v>187</v>
      </c>
      <c r="B204" s="124">
        <f t="shared" si="16"/>
        <v>48061</v>
      </c>
      <c r="C204" s="122">
        <f t="shared" si="22"/>
        <v>66344.114894486163</v>
      </c>
      <c r="D204" s="122">
        <f t="shared" si="17"/>
        <v>536.82162301213907</v>
      </c>
      <c r="E204" s="123">
        <f t="shared" si="18"/>
        <v>0</v>
      </c>
      <c r="F204" s="122">
        <f t="shared" si="19"/>
        <v>536.82162301213907</v>
      </c>
      <c r="G204" s="122">
        <f t="shared" si="20"/>
        <v>260.38781095178007</v>
      </c>
      <c r="H204" s="122">
        <f t="shared" si="23"/>
        <v>276.433812060359</v>
      </c>
      <c r="I204" s="122">
        <f t="shared" si="21"/>
        <v>66083.727083534381</v>
      </c>
      <c r="J204" s="122">
        <f>SUM($H$18:$H204)</f>
        <v>66469.370586804347</v>
      </c>
    </row>
    <row r="205" spans="1:11" x14ac:dyDescent="0.2">
      <c r="A205" s="125">
        <f>IF(Values_Entered,A204+1,"")</f>
        <v>188</v>
      </c>
      <c r="B205" s="124">
        <f t="shared" si="16"/>
        <v>48092</v>
      </c>
      <c r="C205" s="122">
        <f t="shared" si="22"/>
        <v>66083.727083534381</v>
      </c>
      <c r="D205" s="122">
        <f t="shared" si="17"/>
        <v>536.82162301213907</v>
      </c>
      <c r="E205" s="123">
        <f t="shared" si="18"/>
        <v>0</v>
      </c>
      <c r="F205" s="122">
        <f t="shared" si="19"/>
        <v>536.82162301213907</v>
      </c>
      <c r="G205" s="122">
        <f t="shared" si="20"/>
        <v>261.47276016407915</v>
      </c>
      <c r="H205" s="122">
        <f t="shared" si="23"/>
        <v>275.34886284805992</v>
      </c>
      <c r="I205" s="122">
        <f t="shared" si="21"/>
        <v>65822.254323370304</v>
      </c>
      <c r="J205" s="122">
        <f>SUM($H$18:$H205)</f>
        <v>66744.719449652403</v>
      </c>
    </row>
    <row r="206" spans="1:11" x14ac:dyDescent="0.2">
      <c r="A206" s="125">
        <f>IF(Values_Entered,A205+1,"")</f>
        <v>189</v>
      </c>
      <c r="B206" s="124">
        <f t="shared" si="16"/>
        <v>48122</v>
      </c>
      <c r="C206" s="122">
        <f t="shared" si="22"/>
        <v>65822.254323370304</v>
      </c>
      <c r="D206" s="122">
        <f t="shared" si="17"/>
        <v>536.82162301213907</v>
      </c>
      <c r="E206" s="123">
        <f t="shared" si="18"/>
        <v>0</v>
      </c>
      <c r="F206" s="122">
        <f t="shared" si="19"/>
        <v>536.82162301213907</v>
      </c>
      <c r="G206" s="122">
        <f t="shared" si="20"/>
        <v>262.56222999809614</v>
      </c>
      <c r="H206" s="122">
        <f t="shared" si="23"/>
        <v>274.25939301404293</v>
      </c>
      <c r="I206" s="122">
        <f t="shared" si="21"/>
        <v>65559.692093372214</v>
      </c>
      <c r="J206" s="122">
        <f>SUM($H$18:$H206)</f>
        <v>67018.978842666445</v>
      </c>
    </row>
    <row r="207" spans="1:11" x14ac:dyDescent="0.2">
      <c r="A207" s="125">
        <f>IF(Values_Entered,A206+1,"")</f>
        <v>190</v>
      </c>
      <c r="B207" s="124">
        <f t="shared" si="16"/>
        <v>48153</v>
      </c>
      <c r="C207" s="122">
        <f t="shared" si="22"/>
        <v>65559.692093372214</v>
      </c>
      <c r="D207" s="122">
        <f t="shared" si="17"/>
        <v>536.82162301213907</v>
      </c>
      <c r="E207" s="123">
        <f t="shared" si="18"/>
        <v>0</v>
      </c>
      <c r="F207" s="122">
        <f t="shared" si="19"/>
        <v>536.82162301213907</v>
      </c>
      <c r="G207" s="122">
        <f t="shared" si="20"/>
        <v>263.65623928975486</v>
      </c>
      <c r="H207" s="122">
        <f t="shared" si="23"/>
        <v>273.16538372238421</v>
      </c>
      <c r="I207" s="122">
        <f t="shared" si="21"/>
        <v>65296.03585408246</v>
      </c>
      <c r="J207" s="122">
        <f>SUM($H$18:$H207)</f>
        <v>67292.144226388831</v>
      </c>
    </row>
    <row r="208" spans="1:11" x14ac:dyDescent="0.2">
      <c r="A208" s="125">
        <f>IF(Values_Entered,A207+1,"")</f>
        <v>191</v>
      </c>
      <c r="B208" s="124">
        <f t="shared" si="16"/>
        <v>48183</v>
      </c>
      <c r="C208" s="122">
        <f t="shared" si="22"/>
        <v>65296.03585408246</v>
      </c>
      <c r="D208" s="122">
        <f t="shared" si="17"/>
        <v>536.82162301213907</v>
      </c>
      <c r="E208" s="123">
        <f t="shared" si="18"/>
        <v>0</v>
      </c>
      <c r="F208" s="122">
        <f t="shared" si="19"/>
        <v>536.82162301213907</v>
      </c>
      <c r="G208" s="122">
        <f t="shared" si="20"/>
        <v>264.75480695346215</v>
      </c>
      <c r="H208" s="122">
        <f t="shared" si="23"/>
        <v>272.06681605867692</v>
      </c>
      <c r="I208" s="122">
        <f t="shared" si="21"/>
        <v>65031.281047128999</v>
      </c>
      <c r="J208" s="122">
        <f>SUM($H$18:$H208)</f>
        <v>67564.21104244751</v>
      </c>
    </row>
    <row r="209" spans="1:11" x14ac:dyDescent="0.2">
      <c r="A209" s="162">
        <f>IF(Values_Entered,A208+1,"")</f>
        <v>192</v>
      </c>
      <c r="B209" s="163">
        <f t="shared" si="16"/>
        <v>48214</v>
      </c>
      <c r="C209" s="164">
        <f t="shared" si="22"/>
        <v>65031.281047128999</v>
      </c>
      <c r="D209" s="164">
        <f t="shared" si="17"/>
        <v>536.82162301213907</v>
      </c>
      <c r="E209" s="165">
        <f t="shared" si="18"/>
        <v>0</v>
      </c>
      <c r="F209" s="164">
        <f t="shared" si="19"/>
        <v>536.82162301213907</v>
      </c>
      <c r="G209" s="164">
        <f t="shared" si="20"/>
        <v>265.85795198243488</v>
      </c>
      <c r="H209" s="164">
        <f t="shared" si="23"/>
        <v>270.96367102970419</v>
      </c>
      <c r="I209" s="164">
        <f t="shared" si="21"/>
        <v>64765.423095146565</v>
      </c>
      <c r="J209" s="164">
        <f>SUM($H$18:$H209)</f>
        <v>67835.174713477216</v>
      </c>
    </row>
    <row r="210" spans="1:11" x14ac:dyDescent="0.2">
      <c r="A210" s="125">
        <f>IF(Values_Entered,A209+1,"")</f>
        <v>193</v>
      </c>
      <c r="B210" s="124">
        <f t="shared" ref="B210:B273" si="24">IF(Pay_Num&lt;&gt;"",DATE(YEAR(Loan_Start),MONTH(Loan_Start)+(Pay_Num)*12/Num_Pmt_Per_Year,DAY(Loan_Start)),"")</f>
        <v>48245</v>
      </c>
      <c r="C210" s="122">
        <f t="shared" si="22"/>
        <v>64765.423095146565</v>
      </c>
      <c r="D210" s="122">
        <f t="shared" ref="D210:D273" si="25">IF(Pay_Num&lt;&gt;"",Scheduled_Monthly_Payment,"")</f>
        <v>536.82162301213907</v>
      </c>
      <c r="E210" s="123">
        <f t="shared" ref="E210:E273" si="26">IF(AND(Pay_Num&lt;&gt;"",Sched_Pay+Scheduled_Extra_Payments&lt;Beg_Bal),Scheduled_Extra_Payments,IF(AND(Pay_Num&lt;&gt;"",Beg_Bal-Sched_Pay&gt;0),Beg_Bal-Sched_Pay,IF(Pay_Num&lt;&gt;"",0,"")))</f>
        <v>0</v>
      </c>
      <c r="F210" s="122">
        <f t="shared" ref="F210:F273" si="27">IF(AND(Pay_Num&lt;&gt;"",Sched_Pay+Extra_Pay&lt;Beg_Bal),Sched_Pay+Extra_Pay,IF(Pay_Num&lt;&gt;"",Beg_Bal,""))</f>
        <v>536.82162301213907</v>
      </c>
      <c r="G210" s="122">
        <f t="shared" ref="G210:G273" si="28">IF(Pay_Num&lt;&gt;"",Total_Pay-Int,"")</f>
        <v>266.96569344902838</v>
      </c>
      <c r="H210" s="122">
        <f t="shared" si="23"/>
        <v>269.85592956311069</v>
      </c>
      <c r="I210" s="122">
        <f t="shared" ref="I210:I273" si="29">IF(AND(Pay_Num&lt;&gt;"",Sched_Pay+Extra_Pay&lt;Beg_Bal),Beg_Bal-Princ,IF(Pay_Num&lt;&gt;"",0,""))</f>
        <v>64498.457401697538</v>
      </c>
      <c r="J210" s="122">
        <f>SUM($H$18:$H210)</f>
        <v>68105.030643040329</v>
      </c>
      <c r="K210" s="117">
        <v>17</v>
      </c>
    </row>
    <row r="211" spans="1:11" x14ac:dyDescent="0.2">
      <c r="A211" s="125">
        <f>IF(Values_Entered,A210+1,"")</f>
        <v>194</v>
      </c>
      <c r="B211" s="124">
        <f t="shared" si="24"/>
        <v>48274</v>
      </c>
      <c r="C211" s="122">
        <f t="shared" ref="C211:C274" si="30">IF(Pay_Num&lt;&gt;"",I210,"")</f>
        <v>64498.457401697538</v>
      </c>
      <c r="D211" s="122">
        <f t="shared" si="25"/>
        <v>536.82162301213907</v>
      </c>
      <c r="E211" s="123">
        <f t="shared" si="26"/>
        <v>0</v>
      </c>
      <c r="F211" s="122">
        <f t="shared" si="27"/>
        <v>536.82162301213907</v>
      </c>
      <c r="G211" s="122">
        <f t="shared" si="28"/>
        <v>268.07805050506596</v>
      </c>
      <c r="H211" s="122">
        <f t="shared" ref="H211:H274" si="31">IF(Pay_Num&lt;&gt;"",Beg_Bal*Interest_Rate/Num_Pmt_Per_Year,"")</f>
        <v>268.74357250707311</v>
      </c>
      <c r="I211" s="122">
        <f t="shared" si="29"/>
        <v>64230.379351192474</v>
      </c>
      <c r="J211" s="122">
        <f>SUM($H$18:$H211)</f>
        <v>68373.774215547397</v>
      </c>
    </row>
    <row r="212" spans="1:11" x14ac:dyDescent="0.2">
      <c r="A212" s="125">
        <f>IF(Values_Entered,A211+1,"")</f>
        <v>195</v>
      </c>
      <c r="B212" s="124">
        <f t="shared" si="24"/>
        <v>48305</v>
      </c>
      <c r="C212" s="122">
        <f t="shared" si="30"/>
        <v>64230.379351192474</v>
      </c>
      <c r="D212" s="122">
        <f t="shared" si="25"/>
        <v>536.82162301213907</v>
      </c>
      <c r="E212" s="123">
        <f t="shared" si="26"/>
        <v>0</v>
      </c>
      <c r="F212" s="122">
        <f t="shared" si="27"/>
        <v>536.82162301213907</v>
      </c>
      <c r="G212" s="122">
        <f t="shared" si="28"/>
        <v>269.19504238217041</v>
      </c>
      <c r="H212" s="122">
        <f t="shared" si="31"/>
        <v>267.62658062996866</v>
      </c>
      <c r="I212" s="122">
        <f t="shared" si="29"/>
        <v>63961.184308810305</v>
      </c>
      <c r="J212" s="122">
        <f>SUM($H$18:$H212)</f>
        <v>68641.40079617736</v>
      </c>
    </row>
    <row r="213" spans="1:11" x14ac:dyDescent="0.2">
      <c r="A213" s="125">
        <f>IF(Values_Entered,A212+1,"")</f>
        <v>196</v>
      </c>
      <c r="B213" s="124">
        <f t="shared" si="24"/>
        <v>48335</v>
      </c>
      <c r="C213" s="122">
        <f t="shared" si="30"/>
        <v>63961.184308810305</v>
      </c>
      <c r="D213" s="122">
        <f t="shared" si="25"/>
        <v>536.82162301213907</v>
      </c>
      <c r="E213" s="123">
        <f t="shared" si="26"/>
        <v>0</v>
      </c>
      <c r="F213" s="122">
        <f t="shared" si="27"/>
        <v>536.82162301213907</v>
      </c>
      <c r="G213" s="122">
        <f t="shared" si="28"/>
        <v>270.31668839209613</v>
      </c>
      <c r="H213" s="122">
        <f t="shared" si="31"/>
        <v>266.50493462004295</v>
      </c>
      <c r="I213" s="122">
        <f t="shared" si="29"/>
        <v>63690.867620418212</v>
      </c>
      <c r="J213" s="122">
        <f>SUM($H$18:$H213)</f>
        <v>68907.9057307974</v>
      </c>
    </row>
    <row r="214" spans="1:11" x14ac:dyDescent="0.2">
      <c r="A214" s="125">
        <f>IF(Values_Entered,A213+1,"")</f>
        <v>197</v>
      </c>
      <c r="B214" s="124">
        <f t="shared" si="24"/>
        <v>48366</v>
      </c>
      <c r="C214" s="122">
        <f t="shared" si="30"/>
        <v>63690.867620418212</v>
      </c>
      <c r="D214" s="122">
        <f t="shared" si="25"/>
        <v>536.82162301213907</v>
      </c>
      <c r="E214" s="123">
        <f t="shared" si="26"/>
        <v>0</v>
      </c>
      <c r="F214" s="122">
        <f t="shared" si="27"/>
        <v>536.82162301213907</v>
      </c>
      <c r="G214" s="122">
        <f t="shared" si="28"/>
        <v>271.44300792706321</v>
      </c>
      <c r="H214" s="122">
        <f t="shared" si="31"/>
        <v>265.37861508507586</v>
      </c>
      <c r="I214" s="122">
        <f t="shared" si="29"/>
        <v>63419.424612491151</v>
      </c>
      <c r="J214" s="122">
        <f>SUM($H$18:$H214)</f>
        <v>69173.284345882479</v>
      </c>
    </row>
    <row r="215" spans="1:11" x14ac:dyDescent="0.2">
      <c r="A215" s="125">
        <f>IF(Values_Entered,A214+1,"")</f>
        <v>198</v>
      </c>
      <c r="B215" s="124">
        <f t="shared" si="24"/>
        <v>48396</v>
      </c>
      <c r="C215" s="122">
        <f t="shared" si="30"/>
        <v>63419.424612491151</v>
      </c>
      <c r="D215" s="122">
        <f t="shared" si="25"/>
        <v>536.82162301213907</v>
      </c>
      <c r="E215" s="123">
        <f t="shared" si="26"/>
        <v>0</v>
      </c>
      <c r="F215" s="122">
        <f t="shared" si="27"/>
        <v>536.82162301213907</v>
      </c>
      <c r="G215" s="122">
        <f t="shared" si="28"/>
        <v>272.57402046009258</v>
      </c>
      <c r="H215" s="122">
        <f t="shared" si="31"/>
        <v>264.24760255204649</v>
      </c>
      <c r="I215" s="122">
        <f t="shared" si="29"/>
        <v>63146.850592031056</v>
      </c>
      <c r="J215" s="122">
        <f>SUM($H$18:$H215)</f>
        <v>69437.531948434524</v>
      </c>
    </row>
    <row r="216" spans="1:11" x14ac:dyDescent="0.2">
      <c r="A216" s="125">
        <f>IF(Values_Entered,A215+1,"")</f>
        <v>199</v>
      </c>
      <c r="B216" s="124">
        <f t="shared" si="24"/>
        <v>48427</v>
      </c>
      <c r="C216" s="122">
        <f t="shared" si="30"/>
        <v>63146.850592031056</v>
      </c>
      <c r="D216" s="122">
        <f t="shared" si="25"/>
        <v>536.82162301213907</v>
      </c>
      <c r="E216" s="123">
        <f t="shared" si="26"/>
        <v>0</v>
      </c>
      <c r="F216" s="122">
        <f t="shared" si="27"/>
        <v>536.82162301213907</v>
      </c>
      <c r="G216" s="122">
        <f t="shared" si="28"/>
        <v>273.70974554534297</v>
      </c>
      <c r="H216" s="122">
        <f t="shared" si="31"/>
        <v>263.1118774667961</v>
      </c>
      <c r="I216" s="122">
        <f t="shared" si="29"/>
        <v>62873.140846485716</v>
      </c>
      <c r="J216" s="122">
        <f>SUM($H$18:$H216)</f>
        <v>69700.643825901323</v>
      </c>
    </row>
    <row r="217" spans="1:11" x14ac:dyDescent="0.2">
      <c r="A217" s="125">
        <f>IF(Values_Entered,A216+1,"")</f>
        <v>200</v>
      </c>
      <c r="B217" s="124">
        <f t="shared" si="24"/>
        <v>48458</v>
      </c>
      <c r="C217" s="122">
        <f t="shared" si="30"/>
        <v>62873.140846485716</v>
      </c>
      <c r="D217" s="122">
        <f t="shared" si="25"/>
        <v>536.82162301213907</v>
      </c>
      <c r="E217" s="123">
        <f t="shared" si="26"/>
        <v>0</v>
      </c>
      <c r="F217" s="122">
        <f t="shared" si="27"/>
        <v>536.82162301213907</v>
      </c>
      <c r="G217" s="122">
        <f t="shared" si="28"/>
        <v>274.85020281844857</v>
      </c>
      <c r="H217" s="122">
        <f t="shared" si="31"/>
        <v>261.97142019369051</v>
      </c>
      <c r="I217" s="122">
        <f t="shared" si="29"/>
        <v>62598.290643667264</v>
      </c>
      <c r="J217" s="122">
        <f>SUM($H$18:$H217)</f>
        <v>69962.615246095011</v>
      </c>
    </row>
    <row r="218" spans="1:11" x14ac:dyDescent="0.2">
      <c r="A218" s="125">
        <f>IF(Values_Entered,A217+1,"")</f>
        <v>201</v>
      </c>
      <c r="B218" s="124">
        <f t="shared" si="24"/>
        <v>48488</v>
      </c>
      <c r="C218" s="122">
        <f t="shared" si="30"/>
        <v>62598.290643667264</v>
      </c>
      <c r="D218" s="122">
        <f t="shared" si="25"/>
        <v>536.82162301213907</v>
      </c>
      <c r="E218" s="123">
        <f t="shared" si="26"/>
        <v>0</v>
      </c>
      <c r="F218" s="122">
        <f t="shared" si="27"/>
        <v>536.82162301213907</v>
      </c>
      <c r="G218" s="122">
        <f t="shared" si="28"/>
        <v>275.99541199685876</v>
      </c>
      <c r="H218" s="122">
        <f t="shared" si="31"/>
        <v>260.82621101528031</v>
      </c>
      <c r="I218" s="122">
        <f t="shared" si="29"/>
        <v>62322.295231670403</v>
      </c>
      <c r="J218" s="122">
        <f>SUM($H$18:$H218)</f>
        <v>70223.441457110297</v>
      </c>
    </row>
    <row r="219" spans="1:11" x14ac:dyDescent="0.2">
      <c r="A219" s="125">
        <f>IF(Values_Entered,A218+1,"")</f>
        <v>202</v>
      </c>
      <c r="B219" s="124">
        <f t="shared" si="24"/>
        <v>48519</v>
      </c>
      <c r="C219" s="122">
        <f t="shared" si="30"/>
        <v>62322.295231670403</v>
      </c>
      <c r="D219" s="122">
        <f t="shared" si="25"/>
        <v>536.82162301213907</v>
      </c>
      <c r="E219" s="123">
        <f t="shared" si="26"/>
        <v>0</v>
      </c>
      <c r="F219" s="122">
        <f t="shared" si="27"/>
        <v>536.82162301213907</v>
      </c>
      <c r="G219" s="122">
        <f t="shared" si="28"/>
        <v>277.14539288017903</v>
      </c>
      <c r="H219" s="122">
        <f t="shared" si="31"/>
        <v>259.67623013196004</v>
      </c>
      <c r="I219" s="122">
        <f t="shared" si="29"/>
        <v>62045.149838790225</v>
      </c>
      <c r="J219" s="122">
        <f>SUM($H$18:$H219)</f>
        <v>70483.117687242251</v>
      </c>
    </row>
    <row r="220" spans="1:11" x14ac:dyDescent="0.2">
      <c r="A220" s="125">
        <f>IF(Values_Entered,A219+1,"")</f>
        <v>203</v>
      </c>
      <c r="B220" s="124">
        <f t="shared" si="24"/>
        <v>48549</v>
      </c>
      <c r="C220" s="122">
        <f t="shared" si="30"/>
        <v>62045.149838790225</v>
      </c>
      <c r="D220" s="122">
        <f t="shared" si="25"/>
        <v>536.82162301213907</v>
      </c>
      <c r="E220" s="123">
        <f t="shared" si="26"/>
        <v>0</v>
      </c>
      <c r="F220" s="122">
        <f t="shared" si="27"/>
        <v>536.82162301213907</v>
      </c>
      <c r="G220" s="122">
        <f t="shared" si="28"/>
        <v>278.30016535051311</v>
      </c>
      <c r="H220" s="122">
        <f t="shared" si="31"/>
        <v>258.52145766162596</v>
      </c>
      <c r="I220" s="122">
        <f t="shared" si="29"/>
        <v>61766.849673439712</v>
      </c>
      <c r="J220" s="122">
        <f>SUM($H$18:$H220)</f>
        <v>70741.639144903878</v>
      </c>
    </row>
    <row r="221" spans="1:11" x14ac:dyDescent="0.2">
      <c r="A221" s="162">
        <f>IF(Values_Entered,A220+1,"")</f>
        <v>204</v>
      </c>
      <c r="B221" s="163">
        <f t="shared" si="24"/>
        <v>48580</v>
      </c>
      <c r="C221" s="164">
        <f t="shared" si="30"/>
        <v>61766.849673439712</v>
      </c>
      <c r="D221" s="164">
        <f t="shared" si="25"/>
        <v>536.82162301213907</v>
      </c>
      <c r="E221" s="165">
        <f t="shared" si="26"/>
        <v>0</v>
      </c>
      <c r="F221" s="164">
        <f t="shared" si="27"/>
        <v>536.82162301213907</v>
      </c>
      <c r="G221" s="164">
        <f t="shared" si="28"/>
        <v>279.45974937280693</v>
      </c>
      <c r="H221" s="164">
        <f t="shared" si="31"/>
        <v>257.36187363933215</v>
      </c>
      <c r="I221" s="164">
        <f t="shared" si="29"/>
        <v>61487.389924066905</v>
      </c>
      <c r="J221" s="164">
        <f>SUM($H$18:$H221)</f>
        <v>70999.001018543204</v>
      </c>
    </row>
    <row r="222" spans="1:11" x14ac:dyDescent="0.2">
      <c r="A222" s="125">
        <f>IF(Values_Entered,A221+1,"")</f>
        <v>205</v>
      </c>
      <c r="B222" s="124">
        <f t="shared" si="24"/>
        <v>48611</v>
      </c>
      <c r="C222" s="122">
        <f t="shared" si="30"/>
        <v>61487.389924066905</v>
      </c>
      <c r="D222" s="122">
        <f t="shared" si="25"/>
        <v>536.82162301213907</v>
      </c>
      <c r="E222" s="123">
        <f t="shared" si="26"/>
        <v>0</v>
      </c>
      <c r="F222" s="122">
        <f t="shared" si="27"/>
        <v>536.82162301213907</v>
      </c>
      <c r="G222" s="122">
        <f t="shared" si="28"/>
        <v>280.62416499519361</v>
      </c>
      <c r="H222" s="122">
        <f t="shared" si="31"/>
        <v>256.19745801694546</v>
      </c>
      <c r="I222" s="122">
        <f t="shared" si="29"/>
        <v>61206.765759071714</v>
      </c>
      <c r="J222" s="122">
        <f>SUM($H$18:$H222)</f>
        <v>71255.198476560152</v>
      </c>
      <c r="K222" s="117">
        <v>18</v>
      </c>
    </row>
    <row r="223" spans="1:11" x14ac:dyDescent="0.2">
      <c r="A223" s="125">
        <f>IF(Values_Entered,A222+1,"")</f>
        <v>206</v>
      </c>
      <c r="B223" s="124">
        <f t="shared" si="24"/>
        <v>48639</v>
      </c>
      <c r="C223" s="122">
        <f t="shared" si="30"/>
        <v>61206.765759071714</v>
      </c>
      <c r="D223" s="122">
        <f t="shared" si="25"/>
        <v>536.82162301213907</v>
      </c>
      <c r="E223" s="123">
        <f t="shared" si="26"/>
        <v>0</v>
      </c>
      <c r="F223" s="122">
        <f t="shared" si="27"/>
        <v>536.82162301213907</v>
      </c>
      <c r="G223" s="122">
        <f t="shared" si="28"/>
        <v>281.79343234934026</v>
      </c>
      <c r="H223" s="122">
        <f t="shared" si="31"/>
        <v>255.02819066279881</v>
      </c>
      <c r="I223" s="122">
        <f t="shared" si="29"/>
        <v>60924.972326722374</v>
      </c>
      <c r="J223" s="122">
        <f>SUM($H$18:$H223)</f>
        <v>71510.226667222945</v>
      </c>
    </row>
    <row r="224" spans="1:11" x14ac:dyDescent="0.2">
      <c r="A224" s="125">
        <f>IF(Values_Entered,A223+1,"")</f>
        <v>207</v>
      </c>
      <c r="B224" s="124">
        <f t="shared" si="24"/>
        <v>48670</v>
      </c>
      <c r="C224" s="122">
        <f t="shared" si="30"/>
        <v>60924.972326722374</v>
      </c>
      <c r="D224" s="122">
        <f t="shared" si="25"/>
        <v>536.82162301213907</v>
      </c>
      <c r="E224" s="123">
        <f t="shared" si="26"/>
        <v>0</v>
      </c>
      <c r="F224" s="122">
        <f t="shared" si="27"/>
        <v>536.82162301213907</v>
      </c>
      <c r="G224" s="122">
        <f t="shared" si="28"/>
        <v>282.96757165079578</v>
      </c>
      <c r="H224" s="122">
        <f t="shared" si="31"/>
        <v>253.85405136134327</v>
      </c>
      <c r="I224" s="122">
        <f t="shared" si="29"/>
        <v>60642.004755071575</v>
      </c>
      <c r="J224" s="122">
        <f>SUM($H$18:$H224)</f>
        <v>71764.080718584286</v>
      </c>
    </row>
    <row r="225" spans="1:11" x14ac:dyDescent="0.2">
      <c r="A225" s="125">
        <f>IF(Values_Entered,A224+1,"")</f>
        <v>208</v>
      </c>
      <c r="B225" s="124">
        <f t="shared" si="24"/>
        <v>48700</v>
      </c>
      <c r="C225" s="122">
        <f t="shared" si="30"/>
        <v>60642.004755071575</v>
      </c>
      <c r="D225" s="122">
        <f t="shared" si="25"/>
        <v>536.82162301213907</v>
      </c>
      <c r="E225" s="123">
        <f t="shared" si="26"/>
        <v>0</v>
      </c>
      <c r="F225" s="122">
        <f t="shared" si="27"/>
        <v>536.82162301213907</v>
      </c>
      <c r="G225" s="122">
        <f t="shared" si="28"/>
        <v>284.1466031993408</v>
      </c>
      <c r="H225" s="122">
        <f t="shared" si="31"/>
        <v>252.67501981279824</v>
      </c>
      <c r="I225" s="122">
        <f t="shared" si="29"/>
        <v>60357.858151872235</v>
      </c>
      <c r="J225" s="122">
        <f>SUM($H$18:$H225)</f>
        <v>72016.755738397085</v>
      </c>
    </row>
    <row r="226" spans="1:11" x14ac:dyDescent="0.2">
      <c r="A226" s="125">
        <f>IF(Values_Entered,A225+1,"")</f>
        <v>209</v>
      </c>
      <c r="B226" s="124">
        <f t="shared" si="24"/>
        <v>48731</v>
      </c>
      <c r="C226" s="122">
        <f t="shared" si="30"/>
        <v>60357.858151872235</v>
      </c>
      <c r="D226" s="122">
        <f t="shared" si="25"/>
        <v>536.82162301213907</v>
      </c>
      <c r="E226" s="123">
        <f t="shared" si="26"/>
        <v>0</v>
      </c>
      <c r="F226" s="122">
        <f t="shared" si="27"/>
        <v>536.82162301213907</v>
      </c>
      <c r="G226" s="122">
        <f t="shared" si="28"/>
        <v>285.3305473793381</v>
      </c>
      <c r="H226" s="122">
        <f t="shared" si="31"/>
        <v>251.491075632801</v>
      </c>
      <c r="I226" s="122">
        <f t="shared" si="29"/>
        <v>60072.527604492898</v>
      </c>
      <c r="J226" s="122">
        <f>SUM($H$18:$H226)</f>
        <v>72268.246814029888</v>
      </c>
    </row>
    <row r="227" spans="1:11" x14ac:dyDescent="0.2">
      <c r="A227" s="125">
        <f>IF(Values_Entered,A226+1,"")</f>
        <v>210</v>
      </c>
      <c r="B227" s="124">
        <f t="shared" si="24"/>
        <v>48761</v>
      </c>
      <c r="C227" s="122">
        <f t="shared" si="30"/>
        <v>60072.527604492898</v>
      </c>
      <c r="D227" s="122">
        <f t="shared" si="25"/>
        <v>536.82162301213907</v>
      </c>
      <c r="E227" s="123">
        <f t="shared" si="26"/>
        <v>0</v>
      </c>
      <c r="F227" s="122">
        <f t="shared" si="27"/>
        <v>536.82162301213907</v>
      </c>
      <c r="G227" s="122">
        <f t="shared" si="28"/>
        <v>286.51942466008529</v>
      </c>
      <c r="H227" s="122">
        <f t="shared" si="31"/>
        <v>250.30219835205375</v>
      </c>
      <c r="I227" s="122">
        <f t="shared" si="29"/>
        <v>59786.00817983281</v>
      </c>
      <c r="J227" s="122">
        <f>SUM($H$18:$H227)</f>
        <v>72518.549012381947</v>
      </c>
    </row>
    <row r="228" spans="1:11" x14ac:dyDescent="0.2">
      <c r="A228" s="125">
        <f>IF(Values_Entered,A227+1,"")</f>
        <v>211</v>
      </c>
      <c r="B228" s="124">
        <f t="shared" si="24"/>
        <v>48792</v>
      </c>
      <c r="C228" s="122">
        <f t="shared" si="30"/>
        <v>59786.00817983281</v>
      </c>
      <c r="D228" s="122">
        <f t="shared" si="25"/>
        <v>536.82162301213907</v>
      </c>
      <c r="E228" s="123">
        <f t="shared" si="26"/>
        <v>0</v>
      </c>
      <c r="F228" s="122">
        <f t="shared" si="27"/>
        <v>536.82162301213907</v>
      </c>
      <c r="G228" s="122">
        <f t="shared" si="28"/>
        <v>287.71325559616901</v>
      </c>
      <c r="H228" s="122">
        <f t="shared" si="31"/>
        <v>249.10836741597006</v>
      </c>
      <c r="I228" s="122">
        <f t="shared" si="29"/>
        <v>59498.294924236638</v>
      </c>
      <c r="J228" s="122">
        <f>SUM($H$18:$H228)</f>
        <v>72767.657379797922</v>
      </c>
    </row>
    <row r="229" spans="1:11" x14ac:dyDescent="0.2">
      <c r="A229" s="125">
        <f>IF(Values_Entered,A228+1,"")</f>
        <v>212</v>
      </c>
      <c r="B229" s="124">
        <f t="shared" si="24"/>
        <v>48823</v>
      </c>
      <c r="C229" s="122">
        <f t="shared" si="30"/>
        <v>59498.294924236638</v>
      </c>
      <c r="D229" s="122">
        <f t="shared" si="25"/>
        <v>536.82162301213907</v>
      </c>
      <c r="E229" s="123">
        <f t="shared" si="26"/>
        <v>0</v>
      </c>
      <c r="F229" s="122">
        <f t="shared" si="27"/>
        <v>536.82162301213907</v>
      </c>
      <c r="G229" s="122">
        <f t="shared" si="28"/>
        <v>288.91206082781969</v>
      </c>
      <c r="H229" s="122">
        <f t="shared" si="31"/>
        <v>247.90956218431936</v>
      </c>
      <c r="I229" s="122">
        <f t="shared" si="29"/>
        <v>59209.38286340882</v>
      </c>
      <c r="J229" s="122">
        <f>SUM($H$18:$H229)</f>
        <v>73015.566941982237</v>
      </c>
    </row>
    <row r="230" spans="1:11" x14ac:dyDescent="0.2">
      <c r="A230" s="125">
        <f>IF(Values_Entered,A229+1,"")</f>
        <v>213</v>
      </c>
      <c r="B230" s="124">
        <f t="shared" si="24"/>
        <v>48853</v>
      </c>
      <c r="C230" s="122">
        <f t="shared" si="30"/>
        <v>59209.38286340882</v>
      </c>
      <c r="D230" s="122">
        <f t="shared" si="25"/>
        <v>536.82162301213907</v>
      </c>
      <c r="E230" s="123">
        <f t="shared" si="26"/>
        <v>0</v>
      </c>
      <c r="F230" s="122">
        <f t="shared" si="27"/>
        <v>536.82162301213907</v>
      </c>
      <c r="G230" s="122">
        <f t="shared" si="28"/>
        <v>290.11586108126892</v>
      </c>
      <c r="H230" s="122">
        <f t="shared" si="31"/>
        <v>246.70576193087012</v>
      </c>
      <c r="I230" s="122">
        <f t="shared" si="29"/>
        <v>58919.26700232755</v>
      </c>
      <c r="J230" s="122">
        <f>SUM($H$18:$H230)</f>
        <v>73262.272703913113</v>
      </c>
    </row>
    <row r="231" spans="1:11" x14ac:dyDescent="0.2">
      <c r="A231" s="125">
        <f>IF(Values_Entered,A230+1,"")</f>
        <v>214</v>
      </c>
      <c r="B231" s="124">
        <f t="shared" si="24"/>
        <v>48884</v>
      </c>
      <c r="C231" s="122">
        <f t="shared" si="30"/>
        <v>58919.26700232755</v>
      </c>
      <c r="D231" s="122">
        <f t="shared" si="25"/>
        <v>536.82162301213907</v>
      </c>
      <c r="E231" s="123">
        <f t="shared" si="26"/>
        <v>0</v>
      </c>
      <c r="F231" s="122">
        <f t="shared" si="27"/>
        <v>536.82162301213907</v>
      </c>
      <c r="G231" s="122">
        <f t="shared" si="28"/>
        <v>291.32467716910764</v>
      </c>
      <c r="H231" s="122">
        <f t="shared" si="31"/>
        <v>245.49694584303145</v>
      </c>
      <c r="I231" s="122">
        <f t="shared" si="29"/>
        <v>58627.942325158445</v>
      </c>
      <c r="J231" s="122">
        <f>SUM($H$18:$H231)</f>
        <v>73507.769649756141</v>
      </c>
    </row>
    <row r="232" spans="1:11" x14ac:dyDescent="0.2">
      <c r="A232" s="125">
        <f>IF(Values_Entered,A231+1,"")</f>
        <v>215</v>
      </c>
      <c r="B232" s="124">
        <f t="shared" si="24"/>
        <v>48914</v>
      </c>
      <c r="C232" s="122">
        <f t="shared" si="30"/>
        <v>58627.942325158445</v>
      </c>
      <c r="D232" s="122">
        <f t="shared" si="25"/>
        <v>536.82162301213907</v>
      </c>
      <c r="E232" s="123">
        <f t="shared" si="26"/>
        <v>0</v>
      </c>
      <c r="F232" s="122">
        <f t="shared" si="27"/>
        <v>536.82162301213907</v>
      </c>
      <c r="G232" s="122">
        <f t="shared" si="28"/>
        <v>292.53852999064554</v>
      </c>
      <c r="H232" s="122">
        <f t="shared" si="31"/>
        <v>244.28309302149353</v>
      </c>
      <c r="I232" s="122">
        <f t="shared" si="29"/>
        <v>58335.403795167796</v>
      </c>
      <c r="J232" s="122">
        <f>SUM($H$18:$H232)</f>
        <v>73752.05274277764</v>
      </c>
    </row>
    <row r="233" spans="1:11" x14ac:dyDescent="0.2">
      <c r="A233" s="162">
        <f>IF(Values_Entered,A232+1,"")</f>
        <v>216</v>
      </c>
      <c r="B233" s="163">
        <f t="shared" si="24"/>
        <v>48945</v>
      </c>
      <c r="C233" s="164">
        <f t="shared" si="30"/>
        <v>58335.403795167796</v>
      </c>
      <c r="D233" s="164">
        <f t="shared" si="25"/>
        <v>536.82162301213907</v>
      </c>
      <c r="E233" s="165">
        <f t="shared" si="26"/>
        <v>0</v>
      </c>
      <c r="F233" s="164">
        <f t="shared" si="27"/>
        <v>536.82162301213907</v>
      </c>
      <c r="G233" s="164">
        <f t="shared" si="28"/>
        <v>293.75744053227322</v>
      </c>
      <c r="H233" s="164">
        <f t="shared" si="31"/>
        <v>243.06418247986585</v>
      </c>
      <c r="I233" s="164">
        <f t="shared" si="29"/>
        <v>58041.646354635523</v>
      </c>
      <c r="J233" s="164">
        <f>SUM($H$18:$H233)</f>
        <v>73995.116925257505</v>
      </c>
    </row>
    <row r="234" spans="1:11" x14ac:dyDescent="0.2">
      <c r="A234" s="125">
        <f>IF(Values_Entered,A233+1,"")</f>
        <v>217</v>
      </c>
      <c r="B234" s="124">
        <f t="shared" si="24"/>
        <v>48976</v>
      </c>
      <c r="C234" s="122">
        <f t="shared" si="30"/>
        <v>58041.646354635523</v>
      </c>
      <c r="D234" s="122">
        <f t="shared" si="25"/>
        <v>536.82162301213907</v>
      </c>
      <c r="E234" s="123">
        <f t="shared" si="26"/>
        <v>0</v>
      </c>
      <c r="F234" s="122">
        <f t="shared" si="27"/>
        <v>536.82162301213907</v>
      </c>
      <c r="G234" s="122">
        <f t="shared" si="28"/>
        <v>294.98142986782443</v>
      </c>
      <c r="H234" s="122">
        <f t="shared" si="31"/>
        <v>241.84019314431467</v>
      </c>
      <c r="I234" s="122">
        <f t="shared" si="29"/>
        <v>57746.664924767698</v>
      </c>
      <c r="J234" s="122">
        <f>SUM($H$18:$H234)</f>
        <v>74236.957118401813</v>
      </c>
      <c r="K234" s="117">
        <v>19</v>
      </c>
    </row>
    <row r="235" spans="1:11" x14ac:dyDescent="0.2">
      <c r="A235" s="125">
        <f>IF(Values_Entered,A234+1,"")</f>
        <v>218</v>
      </c>
      <c r="B235" s="124">
        <f t="shared" si="24"/>
        <v>49004</v>
      </c>
      <c r="C235" s="122">
        <f t="shared" si="30"/>
        <v>57746.664924767698</v>
      </c>
      <c r="D235" s="122">
        <f t="shared" si="25"/>
        <v>536.82162301213907</v>
      </c>
      <c r="E235" s="123">
        <f t="shared" si="26"/>
        <v>0</v>
      </c>
      <c r="F235" s="122">
        <f t="shared" si="27"/>
        <v>536.82162301213907</v>
      </c>
      <c r="G235" s="122">
        <f t="shared" si="28"/>
        <v>296.21051915894031</v>
      </c>
      <c r="H235" s="122">
        <f t="shared" si="31"/>
        <v>240.61110385319876</v>
      </c>
      <c r="I235" s="122">
        <f t="shared" si="29"/>
        <v>57450.454405608754</v>
      </c>
      <c r="J235" s="122">
        <f>SUM($H$18:$H235)</f>
        <v>74477.568222255009</v>
      </c>
    </row>
    <row r="236" spans="1:11" x14ac:dyDescent="0.2">
      <c r="A236" s="125">
        <f>IF(Values_Entered,A235+1,"")</f>
        <v>219</v>
      </c>
      <c r="B236" s="124">
        <f t="shared" si="24"/>
        <v>49035</v>
      </c>
      <c r="C236" s="122">
        <f t="shared" si="30"/>
        <v>57450.454405608754</v>
      </c>
      <c r="D236" s="122">
        <f t="shared" si="25"/>
        <v>536.82162301213907</v>
      </c>
      <c r="E236" s="123">
        <f t="shared" si="26"/>
        <v>0</v>
      </c>
      <c r="F236" s="122">
        <f t="shared" si="27"/>
        <v>536.82162301213907</v>
      </c>
      <c r="G236" s="122">
        <f t="shared" si="28"/>
        <v>297.44472965543594</v>
      </c>
      <c r="H236" s="122">
        <f t="shared" si="31"/>
        <v>239.37689335670316</v>
      </c>
      <c r="I236" s="122">
        <f t="shared" si="29"/>
        <v>57153.009675953319</v>
      </c>
      <c r="J236" s="122">
        <f>SUM($H$18:$H236)</f>
        <v>74716.945115611714</v>
      </c>
    </row>
    <row r="237" spans="1:11" x14ac:dyDescent="0.2">
      <c r="A237" s="125">
        <f>IF(Values_Entered,A236+1,"")</f>
        <v>220</v>
      </c>
      <c r="B237" s="124">
        <f t="shared" si="24"/>
        <v>49065</v>
      </c>
      <c r="C237" s="122">
        <f t="shared" si="30"/>
        <v>57153.009675953319</v>
      </c>
      <c r="D237" s="122">
        <f t="shared" si="25"/>
        <v>536.82162301213907</v>
      </c>
      <c r="E237" s="123">
        <f t="shared" si="26"/>
        <v>0</v>
      </c>
      <c r="F237" s="122">
        <f t="shared" si="27"/>
        <v>536.82162301213907</v>
      </c>
      <c r="G237" s="122">
        <f t="shared" si="28"/>
        <v>298.68408269566692</v>
      </c>
      <c r="H237" s="122">
        <f t="shared" si="31"/>
        <v>238.13754031647218</v>
      </c>
      <c r="I237" s="122">
        <f t="shared" si="29"/>
        <v>56854.32559325765</v>
      </c>
      <c r="J237" s="122">
        <f>SUM($H$18:$H237)</f>
        <v>74955.082655928185</v>
      </c>
    </row>
    <row r="238" spans="1:11" x14ac:dyDescent="0.2">
      <c r="A238" s="125">
        <f>IF(Values_Entered,A237+1,"")</f>
        <v>221</v>
      </c>
      <c r="B238" s="124">
        <f t="shared" si="24"/>
        <v>49096</v>
      </c>
      <c r="C238" s="122">
        <f t="shared" si="30"/>
        <v>56854.32559325765</v>
      </c>
      <c r="D238" s="122">
        <f t="shared" si="25"/>
        <v>536.82162301213907</v>
      </c>
      <c r="E238" s="123">
        <f t="shared" si="26"/>
        <v>0</v>
      </c>
      <c r="F238" s="122">
        <f t="shared" si="27"/>
        <v>536.82162301213907</v>
      </c>
      <c r="G238" s="122">
        <f t="shared" si="28"/>
        <v>299.92859970689881</v>
      </c>
      <c r="H238" s="122">
        <f t="shared" si="31"/>
        <v>236.89302330524023</v>
      </c>
      <c r="I238" s="122">
        <f t="shared" si="29"/>
        <v>56554.396993550748</v>
      </c>
      <c r="J238" s="122">
        <f>SUM($H$18:$H238)</f>
        <v>75191.975679233423</v>
      </c>
    </row>
    <row r="239" spans="1:11" x14ac:dyDescent="0.2">
      <c r="A239" s="125">
        <f>IF(Values_Entered,A238+1,"")</f>
        <v>222</v>
      </c>
      <c r="B239" s="124">
        <f t="shared" si="24"/>
        <v>49126</v>
      </c>
      <c r="C239" s="122">
        <f t="shared" si="30"/>
        <v>56554.396993550748</v>
      </c>
      <c r="D239" s="122">
        <f t="shared" si="25"/>
        <v>536.82162301213907</v>
      </c>
      <c r="E239" s="123">
        <f t="shared" si="26"/>
        <v>0</v>
      </c>
      <c r="F239" s="122">
        <f t="shared" si="27"/>
        <v>536.82162301213907</v>
      </c>
      <c r="G239" s="122">
        <f t="shared" si="28"/>
        <v>301.1783022056776</v>
      </c>
      <c r="H239" s="122">
        <f t="shared" si="31"/>
        <v>235.64332080646147</v>
      </c>
      <c r="I239" s="122">
        <f t="shared" si="29"/>
        <v>56253.218691345071</v>
      </c>
      <c r="J239" s="122">
        <f>SUM($H$18:$H239)</f>
        <v>75427.619000039878</v>
      </c>
    </row>
    <row r="240" spans="1:11" x14ac:dyDescent="0.2">
      <c r="A240" s="125">
        <f>IF(Values_Entered,A239+1,"")</f>
        <v>223</v>
      </c>
      <c r="B240" s="124">
        <f t="shared" si="24"/>
        <v>49157</v>
      </c>
      <c r="C240" s="122">
        <f t="shared" si="30"/>
        <v>56253.218691345071</v>
      </c>
      <c r="D240" s="122">
        <f t="shared" si="25"/>
        <v>536.82162301213907</v>
      </c>
      <c r="E240" s="123">
        <f t="shared" si="26"/>
        <v>0</v>
      </c>
      <c r="F240" s="122">
        <f t="shared" si="27"/>
        <v>536.82162301213907</v>
      </c>
      <c r="G240" s="122">
        <f t="shared" si="28"/>
        <v>302.43321179820123</v>
      </c>
      <c r="H240" s="122">
        <f t="shared" si="31"/>
        <v>234.38841121393781</v>
      </c>
      <c r="I240" s="122">
        <f t="shared" si="29"/>
        <v>55950.785479546874</v>
      </c>
      <c r="J240" s="122">
        <f>SUM($H$18:$H240)</f>
        <v>75662.007411253813</v>
      </c>
    </row>
    <row r="241" spans="1:11" x14ac:dyDescent="0.2">
      <c r="A241" s="125">
        <f>IF(Values_Entered,A240+1,"")</f>
        <v>224</v>
      </c>
      <c r="B241" s="124">
        <f t="shared" si="24"/>
        <v>49188</v>
      </c>
      <c r="C241" s="122">
        <f t="shared" si="30"/>
        <v>55950.785479546874</v>
      </c>
      <c r="D241" s="122">
        <f t="shared" si="25"/>
        <v>536.82162301213907</v>
      </c>
      <c r="E241" s="123">
        <f t="shared" si="26"/>
        <v>0</v>
      </c>
      <c r="F241" s="122">
        <f t="shared" si="27"/>
        <v>536.82162301213907</v>
      </c>
      <c r="G241" s="122">
        <f t="shared" si="28"/>
        <v>303.69335018069376</v>
      </c>
      <c r="H241" s="122">
        <f t="shared" si="31"/>
        <v>233.12827283144532</v>
      </c>
      <c r="I241" s="122">
        <f t="shared" si="29"/>
        <v>55647.092129366181</v>
      </c>
      <c r="J241" s="122">
        <f>SUM($H$18:$H241)</f>
        <v>75895.135684085253</v>
      </c>
    </row>
    <row r="242" spans="1:11" x14ac:dyDescent="0.2">
      <c r="A242" s="125">
        <f>IF(Values_Entered,A241+1,"")</f>
        <v>225</v>
      </c>
      <c r="B242" s="124">
        <f t="shared" si="24"/>
        <v>49218</v>
      </c>
      <c r="C242" s="122">
        <f t="shared" si="30"/>
        <v>55647.092129366181</v>
      </c>
      <c r="D242" s="122">
        <f t="shared" si="25"/>
        <v>536.82162301213907</v>
      </c>
      <c r="E242" s="123">
        <f t="shared" si="26"/>
        <v>0</v>
      </c>
      <c r="F242" s="122">
        <f t="shared" si="27"/>
        <v>536.82162301213907</v>
      </c>
      <c r="G242" s="122">
        <f t="shared" si="28"/>
        <v>304.95873913977994</v>
      </c>
      <c r="H242" s="122">
        <f t="shared" si="31"/>
        <v>231.86288387235911</v>
      </c>
      <c r="I242" s="122">
        <f t="shared" si="29"/>
        <v>55342.133390226401</v>
      </c>
      <c r="J242" s="122">
        <f>SUM($H$18:$H242)</f>
        <v>76126.998567957606</v>
      </c>
    </row>
    <row r="243" spans="1:11" x14ac:dyDescent="0.2">
      <c r="A243" s="125">
        <f>IF(Values_Entered,A242+1,"")</f>
        <v>226</v>
      </c>
      <c r="B243" s="124">
        <f t="shared" si="24"/>
        <v>49249</v>
      </c>
      <c r="C243" s="122">
        <f t="shared" si="30"/>
        <v>55342.133390226401</v>
      </c>
      <c r="D243" s="122">
        <f t="shared" si="25"/>
        <v>536.82162301213907</v>
      </c>
      <c r="E243" s="123">
        <f t="shared" si="26"/>
        <v>0</v>
      </c>
      <c r="F243" s="122">
        <f t="shared" si="27"/>
        <v>536.82162301213907</v>
      </c>
      <c r="G243" s="122">
        <f t="shared" si="28"/>
        <v>306.22940055286233</v>
      </c>
      <c r="H243" s="122">
        <f t="shared" si="31"/>
        <v>230.59222245927671</v>
      </c>
      <c r="I243" s="122">
        <f t="shared" si="29"/>
        <v>55035.903989673541</v>
      </c>
      <c r="J243" s="122">
        <f>SUM($H$18:$H243)</f>
        <v>76357.590790416885</v>
      </c>
    </row>
    <row r="244" spans="1:11" x14ac:dyDescent="0.2">
      <c r="A244" s="125">
        <f>IF(Values_Entered,A243+1,"")</f>
        <v>227</v>
      </c>
      <c r="B244" s="124">
        <f t="shared" si="24"/>
        <v>49279</v>
      </c>
      <c r="C244" s="122">
        <f t="shared" si="30"/>
        <v>55035.903989673541</v>
      </c>
      <c r="D244" s="122">
        <f t="shared" si="25"/>
        <v>536.82162301213907</v>
      </c>
      <c r="E244" s="123">
        <f t="shared" si="26"/>
        <v>0</v>
      </c>
      <c r="F244" s="122">
        <f t="shared" si="27"/>
        <v>536.82162301213907</v>
      </c>
      <c r="G244" s="122">
        <f t="shared" si="28"/>
        <v>307.50535638849931</v>
      </c>
      <c r="H244" s="122">
        <f t="shared" si="31"/>
        <v>229.31626662363976</v>
      </c>
      <c r="I244" s="122">
        <f t="shared" si="29"/>
        <v>54728.39863328504</v>
      </c>
      <c r="J244" s="122">
        <f>SUM($H$18:$H244)</f>
        <v>76586.907057040531</v>
      </c>
    </row>
    <row r="245" spans="1:11" x14ac:dyDescent="0.2">
      <c r="A245" s="162">
        <f>IF(Values_Entered,A244+1,"")</f>
        <v>228</v>
      </c>
      <c r="B245" s="163">
        <f t="shared" si="24"/>
        <v>49310</v>
      </c>
      <c r="C245" s="164">
        <f t="shared" si="30"/>
        <v>54728.39863328504</v>
      </c>
      <c r="D245" s="164">
        <f t="shared" si="25"/>
        <v>536.82162301213907</v>
      </c>
      <c r="E245" s="165">
        <f t="shared" si="26"/>
        <v>0</v>
      </c>
      <c r="F245" s="164">
        <f t="shared" si="27"/>
        <v>536.82162301213907</v>
      </c>
      <c r="G245" s="164">
        <f t="shared" si="28"/>
        <v>308.78662870678477</v>
      </c>
      <c r="H245" s="164">
        <f t="shared" si="31"/>
        <v>228.03499430535433</v>
      </c>
      <c r="I245" s="164">
        <f t="shared" si="29"/>
        <v>54419.612004578252</v>
      </c>
      <c r="J245" s="164">
        <f>SUM($H$18:$H245)</f>
        <v>76814.94205134589</v>
      </c>
    </row>
    <row r="246" spans="1:11" x14ac:dyDescent="0.2">
      <c r="A246" s="125">
        <f>IF(Values_Entered,A245+1,"")</f>
        <v>229</v>
      </c>
      <c r="B246" s="124">
        <f t="shared" si="24"/>
        <v>49341</v>
      </c>
      <c r="C246" s="122">
        <f t="shared" si="30"/>
        <v>54419.612004578252</v>
      </c>
      <c r="D246" s="122">
        <f t="shared" si="25"/>
        <v>536.82162301213907</v>
      </c>
      <c r="E246" s="123">
        <f t="shared" si="26"/>
        <v>0</v>
      </c>
      <c r="F246" s="122">
        <f t="shared" si="27"/>
        <v>536.82162301213907</v>
      </c>
      <c r="G246" s="122">
        <f t="shared" si="28"/>
        <v>310.07323965972967</v>
      </c>
      <c r="H246" s="122">
        <f t="shared" si="31"/>
        <v>226.74838335240941</v>
      </c>
      <c r="I246" s="122">
        <f t="shared" si="29"/>
        <v>54109.538764918521</v>
      </c>
      <c r="J246" s="122">
        <f>SUM($H$18:$H246)</f>
        <v>77041.690434698306</v>
      </c>
      <c r="K246" s="117">
        <v>20</v>
      </c>
    </row>
    <row r="247" spans="1:11" x14ac:dyDescent="0.2">
      <c r="A247" s="125">
        <f>IF(Values_Entered,A246+1,"")</f>
        <v>230</v>
      </c>
      <c r="B247" s="124">
        <f t="shared" si="24"/>
        <v>49369</v>
      </c>
      <c r="C247" s="122">
        <f t="shared" si="30"/>
        <v>54109.538764918521</v>
      </c>
      <c r="D247" s="122">
        <f t="shared" si="25"/>
        <v>536.82162301213907</v>
      </c>
      <c r="E247" s="123">
        <f t="shared" si="26"/>
        <v>0</v>
      </c>
      <c r="F247" s="122">
        <f t="shared" si="27"/>
        <v>536.82162301213907</v>
      </c>
      <c r="G247" s="122">
        <f t="shared" si="28"/>
        <v>311.36521149164525</v>
      </c>
      <c r="H247" s="122">
        <f t="shared" si="31"/>
        <v>225.45641152049384</v>
      </c>
      <c r="I247" s="122">
        <f t="shared" si="29"/>
        <v>53798.173553426874</v>
      </c>
      <c r="J247" s="122">
        <f>SUM($H$18:$H247)</f>
        <v>77267.146846218806</v>
      </c>
    </row>
    <row r="248" spans="1:11" x14ac:dyDescent="0.2">
      <c r="A248" s="125">
        <f>IF(Values_Entered,A247+1,"")</f>
        <v>231</v>
      </c>
      <c r="B248" s="124">
        <f t="shared" si="24"/>
        <v>49400</v>
      </c>
      <c r="C248" s="122">
        <f t="shared" si="30"/>
        <v>53798.173553426874</v>
      </c>
      <c r="D248" s="122">
        <f t="shared" si="25"/>
        <v>536.82162301213907</v>
      </c>
      <c r="E248" s="123">
        <f t="shared" si="26"/>
        <v>0</v>
      </c>
      <c r="F248" s="122">
        <f t="shared" si="27"/>
        <v>536.82162301213907</v>
      </c>
      <c r="G248" s="122">
        <f t="shared" si="28"/>
        <v>312.66256653952712</v>
      </c>
      <c r="H248" s="122">
        <f t="shared" si="31"/>
        <v>224.15905647261198</v>
      </c>
      <c r="I248" s="122">
        <f t="shared" si="29"/>
        <v>53485.510986887348</v>
      </c>
      <c r="J248" s="122">
        <f>SUM($H$18:$H248)</f>
        <v>77491.305902691412</v>
      </c>
    </row>
    <row r="249" spans="1:11" x14ac:dyDescent="0.2">
      <c r="A249" s="125">
        <f>IF(Values_Entered,A248+1,"")</f>
        <v>232</v>
      </c>
      <c r="B249" s="124">
        <f t="shared" si="24"/>
        <v>49430</v>
      </c>
      <c r="C249" s="122">
        <f t="shared" si="30"/>
        <v>53485.510986887348</v>
      </c>
      <c r="D249" s="122">
        <f t="shared" si="25"/>
        <v>536.82162301213907</v>
      </c>
      <c r="E249" s="123">
        <f t="shared" si="26"/>
        <v>0</v>
      </c>
      <c r="F249" s="122">
        <f t="shared" si="27"/>
        <v>536.82162301213907</v>
      </c>
      <c r="G249" s="122">
        <f t="shared" si="28"/>
        <v>313.96532723344183</v>
      </c>
      <c r="H249" s="122">
        <f t="shared" si="31"/>
        <v>222.85629577869727</v>
      </c>
      <c r="I249" s="122">
        <f t="shared" si="29"/>
        <v>53171.545659653908</v>
      </c>
      <c r="J249" s="122">
        <f>SUM($H$18:$H249)</f>
        <v>77714.162198470105</v>
      </c>
    </row>
    <row r="250" spans="1:11" x14ac:dyDescent="0.2">
      <c r="A250" s="125">
        <f>IF(Values_Entered,A249+1,"")</f>
        <v>233</v>
      </c>
      <c r="B250" s="124">
        <f t="shared" si="24"/>
        <v>49461</v>
      </c>
      <c r="C250" s="122">
        <f t="shared" si="30"/>
        <v>53171.545659653908</v>
      </c>
      <c r="D250" s="122">
        <f t="shared" si="25"/>
        <v>536.82162301213907</v>
      </c>
      <c r="E250" s="123">
        <f t="shared" si="26"/>
        <v>0</v>
      </c>
      <c r="F250" s="122">
        <f t="shared" si="27"/>
        <v>536.82162301213907</v>
      </c>
      <c r="G250" s="122">
        <f t="shared" si="28"/>
        <v>315.27351609691448</v>
      </c>
      <c r="H250" s="122">
        <f t="shared" si="31"/>
        <v>221.54810691522462</v>
      </c>
      <c r="I250" s="122">
        <f t="shared" si="29"/>
        <v>52856.272143556991</v>
      </c>
      <c r="J250" s="122">
        <f>SUM($H$18:$H250)</f>
        <v>77935.710305385335</v>
      </c>
    </row>
    <row r="251" spans="1:11" x14ac:dyDescent="0.2">
      <c r="A251" s="125">
        <f>IF(Values_Entered,A250+1,"")</f>
        <v>234</v>
      </c>
      <c r="B251" s="124">
        <f t="shared" si="24"/>
        <v>49491</v>
      </c>
      <c r="C251" s="122">
        <f t="shared" si="30"/>
        <v>52856.272143556991</v>
      </c>
      <c r="D251" s="122">
        <f t="shared" si="25"/>
        <v>536.82162301213907</v>
      </c>
      <c r="E251" s="123">
        <f t="shared" si="26"/>
        <v>0</v>
      </c>
      <c r="F251" s="122">
        <f t="shared" si="27"/>
        <v>536.82162301213907</v>
      </c>
      <c r="G251" s="122">
        <f t="shared" si="28"/>
        <v>316.58715574731821</v>
      </c>
      <c r="H251" s="122">
        <f t="shared" si="31"/>
        <v>220.23446726482084</v>
      </c>
      <c r="I251" s="122">
        <f t="shared" si="29"/>
        <v>52539.684987809676</v>
      </c>
      <c r="J251" s="122">
        <f>SUM($H$18:$H251)</f>
        <v>78155.944772650153</v>
      </c>
    </row>
    <row r="252" spans="1:11" x14ac:dyDescent="0.2">
      <c r="A252" s="125">
        <f>IF(Values_Entered,A251+1,"")</f>
        <v>235</v>
      </c>
      <c r="B252" s="124">
        <f t="shared" si="24"/>
        <v>49522</v>
      </c>
      <c r="C252" s="122">
        <f t="shared" si="30"/>
        <v>52539.684987809676</v>
      </c>
      <c r="D252" s="122">
        <f t="shared" si="25"/>
        <v>536.82162301213907</v>
      </c>
      <c r="E252" s="123">
        <f t="shared" si="26"/>
        <v>0</v>
      </c>
      <c r="F252" s="122">
        <f t="shared" si="27"/>
        <v>536.82162301213907</v>
      </c>
      <c r="G252" s="122">
        <f t="shared" si="28"/>
        <v>317.90626889626537</v>
      </c>
      <c r="H252" s="122">
        <f t="shared" si="31"/>
        <v>218.91535411587367</v>
      </c>
      <c r="I252" s="122">
        <f t="shared" si="29"/>
        <v>52221.778718913411</v>
      </c>
      <c r="J252" s="122">
        <f>SUM($H$18:$H252)</f>
        <v>78374.860126766027</v>
      </c>
    </row>
    <row r="253" spans="1:11" x14ac:dyDescent="0.2">
      <c r="A253" s="125">
        <f>IF(Values_Entered,A252+1,"")</f>
        <v>236</v>
      </c>
      <c r="B253" s="124">
        <f t="shared" si="24"/>
        <v>49553</v>
      </c>
      <c r="C253" s="122">
        <f t="shared" si="30"/>
        <v>52221.778718913411</v>
      </c>
      <c r="D253" s="122">
        <f t="shared" si="25"/>
        <v>536.82162301213907</v>
      </c>
      <c r="E253" s="123">
        <f t="shared" si="26"/>
        <v>0</v>
      </c>
      <c r="F253" s="122">
        <f t="shared" si="27"/>
        <v>536.82162301213907</v>
      </c>
      <c r="G253" s="122">
        <f t="shared" si="28"/>
        <v>319.2308783499999</v>
      </c>
      <c r="H253" s="122">
        <f t="shared" si="31"/>
        <v>217.5907446621392</v>
      </c>
      <c r="I253" s="122">
        <f t="shared" si="29"/>
        <v>51902.547840563413</v>
      </c>
      <c r="J253" s="122">
        <f>SUM($H$18:$H253)</f>
        <v>78592.450871428169</v>
      </c>
    </row>
    <row r="254" spans="1:11" x14ac:dyDescent="0.2">
      <c r="A254" s="125">
        <f>IF(Values_Entered,A253+1,"")</f>
        <v>237</v>
      </c>
      <c r="B254" s="124">
        <f t="shared" si="24"/>
        <v>49583</v>
      </c>
      <c r="C254" s="122">
        <f t="shared" si="30"/>
        <v>51902.547840563413</v>
      </c>
      <c r="D254" s="122">
        <f t="shared" si="25"/>
        <v>536.82162301213907</v>
      </c>
      <c r="E254" s="123">
        <f t="shared" si="26"/>
        <v>0</v>
      </c>
      <c r="F254" s="122">
        <f t="shared" si="27"/>
        <v>536.82162301213907</v>
      </c>
      <c r="G254" s="122">
        <f t="shared" si="28"/>
        <v>320.56100700979152</v>
      </c>
      <c r="H254" s="122">
        <f t="shared" si="31"/>
        <v>216.26061600234758</v>
      </c>
      <c r="I254" s="122">
        <f t="shared" si="29"/>
        <v>51581.986833553623</v>
      </c>
      <c r="J254" s="122">
        <f>SUM($H$18:$H254)</f>
        <v>78808.711487430512</v>
      </c>
    </row>
    <row r="255" spans="1:11" x14ac:dyDescent="0.2">
      <c r="A255" s="125">
        <f>IF(Values_Entered,A254+1,"")</f>
        <v>238</v>
      </c>
      <c r="B255" s="124">
        <f t="shared" si="24"/>
        <v>49614</v>
      </c>
      <c r="C255" s="122">
        <f t="shared" si="30"/>
        <v>51581.986833553623</v>
      </c>
      <c r="D255" s="122">
        <f t="shared" si="25"/>
        <v>536.82162301213907</v>
      </c>
      <c r="E255" s="123">
        <f t="shared" si="26"/>
        <v>0</v>
      </c>
      <c r="F255" s="122">
        <f t="shared" si="27"/>
        <v>536.82162301213907</v>
      </c>
      <c r="G255" s="122">
        <f t="shared" si="28"/>
        <v>321.89667787233225</v>
      </c>
      <c r="H255" s="122">
        <f t="shared" si="31"/>
        <v>214.92494513980679</v>
      </c>
      <c r="I255" s="122">
        <f t="shared" si="29"/>
        <v>51260.09015568129</v>
      </c>
      <c r="J255" s="122">
        <f>SUM($H$18:$H255)</f>
        <v>79023.636432570318</v>
      </c>
    </row>
    <row r="256" spans="1:11" x14ac:dyDescent="0.2">
      <c r="A256" s="125">
        <f>IF(Values_Entered,A255+1,"")</f>
        <v>239</v>
      </c>
      <c r="B256" s="124">
        <f t="shared" si="24"/>
        <v>49644</v>
      </c>
      <c r="C256" s="122">
        <f t="shared" si="30"/>
        <v>51260.09015568129</v>
      </c>
      <c r="D256" s="122">
        <f t="shared" si="25"/>
        <v>536.82162301213907</v>
      </c>
      <c r="E256" s="123">
        <f t="shared" si="26"/>
        <v>0</v>
      </c>
      <c r="F256" s="122">
        <f t="shared" si="27"/>
        <v>536.82162301213907</v>
      </c>
      <c r="G256" s="122">
        <f t="shared" si="28"/>
        <v>323.23791403013365</v>
      </c>
      <c r="H256" s="122">
        <f t="shared" si="31"/>
        <v>213.58370898200539</v>
      </c>
      <c r="I256" s="122">
        <f t="shared" si="29"/>
        <v>50936.852241651155</v>
      </c>
      <c r="J256" s="122">
        <f>SUM($H$18:$H256)</f>
        <v>79237.22014155233</v>
      </c>
    </row>
    <row r="257" spans="1:11" x14ac:dyDescent="0.2">
      <c r="A257" s="162">
        <f>IF(Values_Entered,A256+1,"")</f>
        <v>240</v>
      </c>
      <c r="B257" s="163">
        <f t="shared" si="24"/>
        <v>49675</v>
      </c>
      <c r="C257" s="164">
        <f t="shared" si="30"/>
        <v>50936.852241651155</v>
      </c>
      <c r="D257" s="164">
        <f t="shared" si="25"/>
        <v>536.82162301213907</v>
      </c>
      <c r="E257" s="165">
        <f t="shared" si="26"/>
        <v>0</v>
      </c>
      <c r="F257" s="164">
        <f t="shared" si="27"/>
        <v>536.82162301213907</v>
      </c>
      <c r="G257" s="164">
        <f t="shared" si="28"/>
        <v>324.58473867192595</v>
      </c>
      <c r="H257" s="164">
        <f t="shared" si="31"/>
        <v>212.23688434021315</v>
      </c>
      <c r="I257" s="164">
        <f t="shared" si="29"/>
        <v>50612.26750297923</v>
      </c>
      <c r="J257" s="164">
        <f>SUM($H$18:$H257)</f>
        <v>79449.457025892538</v>
      </c>
    </row>
    <row r="258" spans="1:11" x14ac:dyDescent="0.2">
      <c r="A258" s="125">
        <f>IF(Values_Entered,A257+1,"")</f>
        <v>241</v>
      </c>
      <c r="B258" s="124">
        <f t="shared" si="24"/>
        <v>49706</v>
      </c>
      <c r="C258" s="122">
        <f t="shared" si="30"/>
        <v>50612.26750297923</v>
      </c>
      <c r="D258" s="122">
        <f t="shared" si="25"/>
        <v>536.82162301213907</v>
      </c>
      <c r="E258" s="123">
        <f t="shared" si="26"/>
        <v>0</v>
      </c>
      <c r="F258" s="122">
        <f t="shared" si="27"/>
        <v>536.82162301213907</v>
      </c>
      <c r="G258" s="122">
        <f t="shared" si="28"/>
        <v>325.93717508305895</v>
      </c>
      <c r="H258" s="122">
        <f t="shared" si="31"/>
        <v>210.88444792908012</v>
      </c>
      <c r="I258" s="122">
        <f t="shared" si="29"/>
        <v>50286.330327896168</v>
      </c>
      <c r="J258" s="122">
        <f>SUM($H$18:$H258)</f>
        <v>79660.341473821623</v>
      </c>
      <c r="K258" s="117">
        <v>21</v>
      </c>
    </row>
    <row r="259" spans="1:11" x14ac:dyDescent="0.2">
      <c r="A259" s="125">
        <f>IF(Values_Entered,A258+1,"")</f>
        <v>242</v>
      </c>
      <c r="B259" s="124">
        <f t="shared" si="24"/>
        <v>49735</v>
      </c>
      <c r="C259" s="122">
        <f t="shared" si="30"/>
        <v>50286.330327896168</v>
      </c>
      <c r="D259" s="122">
        <f t="shared" si="25"/>
        <v>536.82162301213907</v>
      </c>
      <c r="E259" s="123">
        <f t="shared" si="26"/>
        <v>0</v>
      </c>
      <c r="F259" s="122">
        <f t="shared" si="27"/>
        <v>536.82162301213907</v>
      </c>
      <c r="G259" s="122">
        <f t="shared" si="28"/>
        <v>327.29524664590497</v>
      </c>
      <c r="H259" s="122">
        <f t="shared" si="31"/>
        <v>209.52637636623408</v>
      </c>
      <c r="I259" s="122">
        <f t="shared" si="29"/>
        <v>49959.035081250266</v>
      </c>
      <c r="J259" s="122">
        <f>SUM($H$18:$H259)</f>
        <v>79869.86785018786</v>
      </c>
    </row>
    <row r="260" spans="1:11" x14ac:dyDescent="0.2">
      <c r="A260" s="125">
        <f>IF(Values_Entered,A259+1,"")</f>
        <v>243</v>
      </c>
      <c r="B260" s="124">
        <f t="shared" si="24"/>
        <v>49766</v>
      </c>
      <c r="C260" s="122">
        <f t="shared" si="30"/>
        <v>49959.035081250266</v>
      </c>
      <c r="D260" s="122">
        <f t="shared" si="25"/>
        <v>536.82162301213907</v>
      </c>
      <c r="E260" s="123">
        <f t="shared" si="26"/>
        <v>0</v>
      </c>
      <c r="F260" s="122">
        <f t="shared" si="27"/>
        <v>536.82162301213907</v>
      </c>
      <c r="G260" s="122">
        <f t="shared" si="28"/>
        <v>328.65897684026299</v>
      </c>
      <c r="H260" s="122">
        <f t="shared" si="31"/>
        <v>208.1626461718761</v>
      </c>
      <c r="I260" s="122">
        <f t="shared" si="29"/>
        <v>49630.376104410003</v>
      </c>
      <c r="J260" s="122">
        <f>SUM($H$18:$H260)</f>
        <v>80078.03049635973</v>
      </c>
    </row>
    <row r="261" spans="1:11" x14ac:dyDescent="0.2">
      <c r="A261" s="125">
        <f>IF(Values_Entered,A260+1,"")</f>
        <v>244</v>
      </c>
      <c r="B261" s="124">
        <f t="shared" si="24"/>
        <v>49796</v>
      </c>
      <c r="C261" s="122">
        <f t="shared" si="30"/>
        <v>49630.376104410003</v>
      </c>
      <c r="D261" s="122">
        <f t="shared" si="25"/>
        <v>536.82162301213907</v>
      </c>
      <c r="E261" s="123">
        <f t="shared" si="26"/>
        <v>0</v>
      </c>
      <c r="F261" s="122">
        <f t="shared" si="27"/>
        <v>536.82162301213907</v>
      </c>
      <c r="G261" s="122">
        <f t="shared" si="28"/>
        <v>330.02838924376408</v>
      </c>
      <c r="H261" s="122">
        <f t="shared" si="31"/>
        <v>206.79323376837502</v>
      </c>
      <c r="I261" s="122">
        <f t="shared" si="29"/>
        <v>49300.347715166237</v>
      </c>
      <c r="J261" s="122">
        <f>SUM($H$18:$H261)</f>
        <v>80284.823730128104</v>
      </c>
    </row>
    <row r="262" spans="1:11" x14ac:dyDescent="0.2">
      <c r="A262" s="125">
        <f>IF(Values_Entered,A261+1,"")</f>
        <v>245</v>
      </c>
      <c r="B262" s="124">
        <f t="shared" si="24"/>
        <v>49827</v>
      </c>
      <c r="C262" s="122">
        <f t="shared" si="30"/>
        <v>49300.347715166237</v>
      </c>
      <c r="D262" s="122">
        <f t="shared" si="25"/>
        <v>536.82162301213907</v>
      </c>
      <c r="E262" s="123">
        <f t="shared" si="26"/>
        <v>0</v>
      </c>
      <c r="F262" s="122">
        <f t="shared" si="27"/>
        <v>536.82162301213907</v>
      </c>
      <c r="G262" s="122">
        <f t="shared" si="28"/>
        <v>331.40350753227972</v>
      </c>
      <c r="H262" s="122">
        <f t="shared" si="31"/>
        <v>205.41811547985935</v>
      </c>
      <c r="I262" s="122">
        <f t="shared" si="29"/>
        <v>48968.944207633955</v>
      </c>
      <c r="J262" s="122">
        <f>SUM($H$18:$H262)</f>
        <v>80490.241845607961</v>
      </c>
    </row>
    <row r="263" spans="1:11" x14ac:dyDescent="0.2">
      <c r="A263" s="125">
        <f>IF(Values_Entered,A262+1,"")</f>
        <v>246</v>
      </c>
      <c r="B263" s="124">
        <f t="shared" si="24"/>
        <v>49857</v>
      </c>
      <c r="C263" s="122">
        <f t="shared" si="30"/>
        <v>48968.944207633955</v>
      </c>
      <c r="D263" s="122">
        <f t="shared" si="25"/>
        <v>536.82162301213907</v>
      </c>
      <c r="E263" s="123">
        <f t="shared" si="26"/>
        <v>0</v>
      </c>
      <c r="F263" s="122">
        <f t="shared" si="27"/>
        <v>536.82162301213907</v>
      </c>
      <c r="G263" s="122">
        <f t="shared" si="28"/>
        <v>332.78435548033087</v>
      </c>
      <c r="H263" s="122">
        <f t="shared" si="31"/>
        <v>204.03726753180817</v>
      </c>
      <c r="I263" s="122">
        <f t="shared" si="29"/>
        <v>48636.159852153622</v>
      </c>
      <c r="J263" s="122">
        <f>SUM($H$18:$H263)</f>
        <v>80694.279113139768</v>
      </c>
    </row>
    <row r="264" spans="1:11" x14ac:dyDescent="0.2">
      <c r="A264" s="125">
        <f>IF(Values_Entered,A263+1,"")</f>
        <v>247</v>
      </c>
      <c r="B264" s="124">
        <f t="shared" si="24"/>
        <v>49888</v>
      </c>
      <c r="C264" s="122">
        <f t="shared" si="30"/>
        <v>48636.159852153622</v>
      </c>
      <c r="D264" s="122">
        <f t="shared" si="25"/>
        <v>536.82162301213907</v>
      </c>
      <c r="E264" s="123">
        <f t="shared" si="26"/>
        <v>0</v>
      </c>
      <c r="F264" s="122">
        <f t="shared" si="27"/>
        <v>536.82162301213907</v>
      </c>
      <c r="G264" s="122">
        <f t="shared" si="28"/>
        <v>334.17095696149897</v>
      </c>
      <c r="H264" s="122">
        <f t="shared" si="31"/>
        <v>202.6506660506401</v>
      </c>
      <c r="I264" s="122">
        <f t="shared" si="29"/>
        <v>48301.988895192124</v>
      </c>
      <c r="J264" s="122">
        <f>SUM($H$18:$H264)</f>
        <v>80896.92977919041</v>
      </c>
    </row>
    <row r="265" spans="1:11" x14ac:dyDescent="0.2">
      <c r="A265" s="125">
        <f>IF(Values_Entered,A264+1,"")</f>
        <v>248</v>
      </c>
      <c r="B265" s="124">
        <f t="shared" si="24"/>
        <v>49919</v>
      </c>
      <c r="C265" s="122">
        <f t="shared" si="30"/>
        <v>48301.988895192124</v>
      </c>
      <c r="D265" s="122">
        <f t="shared" si="25"/>
        <v>536.82162301213907</v>
      </c>
      <c r="E265" s="123">
        <f t="shared" si="26"/>
        <v>0</v>
      </c>
      <c r="F265" s="122">
        <f t="shared" si="27"/>
        <v>536.82162301213907</v>
      </c>
      <c r="G265" s="122">
        <f t="shared" si="28"/>
        <v>335.56333594883858</v>
      </c>
      <c r="H265" s="122">
        <f t="shared" si="31"/>
        <v>201.25828706330051</v>
      </c>
      <c r="I265" s="122">
        <f t="shared" si="29"/>
        <v>47966.425559243282</v>
      </c>
      <c r="J265" s="122">
        <f>SUM($H$18:$H265)</f>
        <v>81098.188066253715</v>
      </c>
    </row>
    <row r="266" spans="1:11" x14ac:dyDescent="0.2">
      <c r="A266" s="125">
        <f>IF(Values_Entered,A265+1,"")</f>
        <v>249</v>
      </c>
      <c r="B266" s="124">
        <f t="shared" si="24"/>
        <v>49949</v>
      </c>
      <c r="C266" s="122">
        <f t="shared" si="30"/>
        <v>47966.425559243282</v>
      </c>
      <c r="D266" s="122">
        <f t="shared" si="25"/>
        <v>536.82162301213907</v>
      </c>
      <c r="E266" s="123">
        <f t="shared" si="26"/>
        <v>0</v>
      </c>
      <c r="F266" s="122">
        <f t="shared" si="27"/>
        <v>536.82162301213907</v>
      </c>
      <c r="G266" s="122">
        <f t="shared" si="28"/>
        <v>336.96151651529203</v>
      </c>
      <c r="H266" s="122">
        <f t="shared" si="31"/>
        <v>199.86010649684701</v>
      </c>
      <c r="I266" s="122">
        <f t="shared" si="29"/>
        <v>47629.464042727988</v>
      </c>
      <c r="J266" s="122">
        <f>SUM($H$18:$H266)</f>
        <v>81298.048172750568</v>
      </c>
    </row>
    <row r="267" spans="1:11" x14ac:dyDescent="0.2">
      <c r="A267" s="125">
        <f>IF(Values_Entered,A266+1,"")</f>
        <v>250</v>
      </c>
      <c r="B267" s="124">
        <f t="shared" si="24"/>
        <v>49980</v>
      </c>
      <c r="C267" s="122">
        <f t="shared" si="30"/>
        <v>47629.464042727988</v>
      </c>
      <c r="D267" s="122">
        <f t="shared" si="25"/>
        <v>536.82162301213907</v>
      </c>
      <c r="E267" s="123">
        <f t="shared" si="26"/>
        <v>0</v>
      </c>
      <c r="F267" s="122">
        <f t="shared" si="27"/>
        <v>536.82162301213907</v>
      </c>
      <c r="G267" s="122">
        <f t="shared" si="28"/>
        <v>338.36552283410583</v>
      </c>
      <c r="H267" s="122">
        <f t="shared" si="31"/>
        <v>198.45610017803327</v>
      </c>
      <c r="I267" s="122">
        <f t="shared" si="29"/>
        <v>47291.09851989388</v>
      </c>
      <c r="J267" s="122">
        <f>SUM($H$18:$H267)</f>
        <v>81496.504272928607</v>
      </c>
    </row>
    <row r="268" spans="1:11" x14ac:dyDescent="0.2">
      <c r="A268" s="125">
        <f>IF(Values_Entered,A267+1,"")</f>
        <v>251</v>
      </c>
      <c r="B268" s="124">
        <f t="shared" si="24"/>
        <v>50010</v>
      </c>
      <c r="C268" s="122">
        <f t="shared" si="30"/>
        <v>47291.09851989388</v>
      </c>
      <c r="D268" s="122">
        <f t="shared" si="25"/>
        <v>536.82162301213907</v>
      </c>
      <c r="E268" s="123">
        <f t="shared" si="26"/>
        <v>0</v>
      </c>
      <c r="F268" s="122">
        <f t="shared" si="27"/>
        <v>536.82162301213907</v>
      </c>
      <c r="G268" s="122">
        <f t="shared" si="28"/>
        <v>339.77537917924792</v>
      </c>
      <c r="H268" s="122">
        <f t="shared" si="31"/>
        <v>197.04624383289118</v>
      </c>
      <c r="I268" s="122">
        <f t="shared" si="29"/>
        <v>46951.32314071463</v>
      </c>
      <c r="J268" s="122">
        <f>SUM($H$18:$H268)</f>
        <v>81693.550516761505</v>
      </c>
    </row>
    <row r="269" spans="1:11" x14ac:dyDescent="0.2">
      <c r="A269" s="162">
        <f>IF(Values_Entered,A268+1,"")</f>
        <v>252</v>
      </c>
      <c r="B269" s="163">
        <f t="shared" si="24"/>
        <v>50041</v>
      </c>
      <c r="C269" s="164">
        <f t="shared" si="30"/>
        <v>46951.32314071463</v>
      </c>
      <c r="D269" s="164">
        <f t="shared" si="25"/>
        <v>536.82162301213907</v>
      </c>
      <c r="E269" s="165">
        <f t="shared" si="26"/>
        <v>0</v>
      </c>
      <c r="F269" s="164">
        <f t="shared" si="27"/>
        <v>536.82162301213907</v>
      </c>
      <c r="G269" s="164">
        <f t="shared" si="28"/>
        <v>341.19110992582807</v>
      </c>
      <c r="H269" s="164">
        <f t="shared" si="31"/>
        <v>195.63051308631097</v>
      </c>
      <c r="I269" s="164">
        <f t="shared" si="29"/>
        <v>46610.132030788802</v>
      </c>
      <c r="J269" s="164">
        <f>SUM($H$18:$H269)</f>
        <v>81889.181029847809</v>
      </c>
    </row>
    <row r="270" spans="1:11" x14ac:dyDescent="0.2">
      <c r="A270" s="125">
        <f>IF(Values_Entered,A269+1,"")</f>
        <v>253</v>
      </c>
      <c r="B270" s="124">
        <f t="shared" si="24"/>
        <v>50072</v>
      </c>
      <c r="C270" s="122">
        <f t="shared" si="30"/>
        <v>46610.132030788802</v>
      </c>
      <c r="D270" s="122">
        <f t="shared" si="25"/>
        <v>536.82162301213907</v>
      </c>
      <c r="E270" s="123">
        <f t="shared" si="26"/>
        <v>0</v>
      </c>
      <c r="F270" s="122">
        <f t="shared" si="27"/>
        <v>536.82162301213907</v>
      </c>
      <c r="G270" s="122">
        <f t="shared" si="28"/>
        <v>342.61273955051911</v>
      </c>
      <c r="H270" s="122">
        <f t="shared" si="31"/>
        <v>194.20888346161999</v>
      </c>
      <c r="I270" s="122">
        <f t="shared" si="29"/>
        <v>46267.519291238284</v>
      </c>
      <c r="J270" s="122">
        <f>SUM($H$18:$H270)</f>
        <v>82083.389913309424</v>
      </c>
      <c r="K270" s="117">
        <v>22</v>
      </c>
    </row>
    <row r="271" spans="1:11" x14ac:dyDescent="0.2">
      <c r="A271" s="125">
        <f>IF(Values_Entered,A270+1,"")</f>
        <v>254</v>
      </c>
      <c r="B271" s="124">
        <f t="shared" si="24"/>
        <v>50100</v>
      </c>
      <c r="C271" s="122">
        <f t="shared" si="30"/>
        <v>46267.519291238284</v>
      </c>
      <c r="D271" s="122">
        <f t="shared" si="25"/>
        <v>536.82162301213907</v>
      </c>
      <c r="E271" s="123">
        <f t="shared" si="26"/>
        <v>0</v>
      </c>
      <c r="F271" s="122">
        <f t="shared" si="27"/>
        <v>536.82162301213907</v>
      </c>
      <c r="G271" s="122">
        <f t="shared" si="28"/>
        <v>344.04029263197958</v>
      </c>
      <c r="H271" s="122">
        <f t="shared" si="31"/>
        <v>192.78133038015952</v>
      </c>
      <c r="I271" s="122">
        <f t="shared" si="29"/>
        <v>45923.478998606304</v>
      </c>
      <c r="J271" s="122">
        <f>SUM($H$18:$H271)</f>
        <v>82276.17124368959</v>
      </c>
    </row>
    <row r="272" spans="1:11" x14ac:dyDescent="0.2">
      <c r="A272" s="125">
        <f>IF(Values_Entered,A271+1,"")</f>
        <v>255</v>
      </c>
      <c r="B272" s="124">
        <f t="shared" si="24"/>
        <v>50131</v>
      </c>
      <c r="C272" s="122">
        <f t="shared" si="30"/>
        <v>45923.478998606304</v>
      </c>
      <c r="D272" s="122">
        <f t="shared" si="25"/>
        <v>536.82162301213907</v>
      </c>
      <c r="E272" s="123">
        <f t="shared" si="26"/>
        <v>0</v>
      </c>
      <c r="F272" s="122">
        <f t="shared" si="27"/>
        <v>536.82162301213907</v>
      </c>
      <c r="G272" s="122">
        <f t="shared" si="28"/>
        <v>345.47379385127942</v>
      </c>
      <c r="H272" s="122">
        <f t="shared" si="31"/>
        <v>191.34782916085962</v>
      </c>
      <c r="I272" s="122">
        <f t="shared" si="29"/>
        <v>45578.005204755027</v>
      </c>
      <c r="J272" s="122">
        <f>SUM($H$18:$H272)</f>
        <v>82467.519072850453</v>
      </c>
    </row>
    <row r="273" spans="1:11" x14ac:dyDescent="0.2">
      <c r="A273" s="125">
        <f>IF(Values_Entered,A272+1,"")</f>
        <v>256</v>
      </c>
      <c r="B273" s="124">
        <f t="shared" si="24"/>
        <v>50161</v>
      </c>
      <c r="C273" s="122">
        <f t="shared" si="30"/>
        <v>45578.005204755027</v>
      </c>
      <c r="D273" s="122">
        <f t="shared" si="25"/>
        <v>536.82162301213907</v>
      </c>
      <c r="E273" s="123">
        <f t="shared" si="26"/>
        <v>0</v>
      </c>
      <c r="F273" s="122">
        <f t="shared" si="27"/>
        <v>536.82162301213907</v>
      </c>
      <c r="G273" s="122">
        <f t="shared" si="28"/>
        <v>346.9132679923265</v>
      </c>
      <c r="H273" s="122">
        <f t="shared" si="31"/>
        <v>189.9083550198126</v>
      </c>
      <c r="I273" s="122">
        <f t="shared" si="29"/>
        <v>45231.091936762699</v>
      </c>
      <c r="J273" s="122">
        <f>SUM($H$18:$H273)</f>
        <v>82657.427427870265</v>
      </c>
    </row>
    <row r="274" spans="1:11" x14ac:dyDescent="0.2">
      <c r="A274" s="125">
        <f>IF(Values_Entered,A273+1,"")</f>
        <v>257</v>
      </c>
      <c r="B274" s="124">
        <f t="shared" ref="B274:B337" si="32">IF(Pay_Num&lt;&gt;"",DATE(YEAR(Loan_Start),MONTH(Loan_Start)+(Pay_Num)*12/Num_Pmt_Per_Year,DAY(Loan_Start)),"")</f>
        <v>50192</v>
      </c>
      <c r="C274" s="122">
        <f t="shared" si="30"/>
        <v>45231.091936762699</v>
      </c>
      <c r="D274" s="122">
        <f t="shared" ref="D274:D337" si="33">IF(Pay_Num&lt;&gt;"",Scheduled_Monthly_Payment,"")</f>
        <v>536.82162301213907</v>
      </c>
      <c r="E274" s="123">
        <f t="shared" ref="E274:E337" si="34">IF(AND(Pay_Num&lt;&gt;"",Sched_Pay+Scheduled_Extra_Payments&lt;Beg_Bal),Scheduled_Extra_Payments,IF(AND(Pay_Num&lt;&gt;"",Beg_Bal-Sched_Pay&gt;0),Beg_Bal-Sched_Pay,IF(Pay_Num&lt;&gt;"",0,"")))</f>
        <v>0</v>
      </c>
      <c r="F274" s="122">
        <f t="shared" ref="F274:F337" si="35">IF(AND(Pay_Num&lt;&gt;"",Sched_Pay+Extra_Pay&lt;Beg_Bal),Sched_Pay+Extra_Pay,IF(Pay_Num&lt;&gt;"",Beg_Bal,""))</f>
        <v>536.82162301213907</v>
      </c>
      <c r="G274" s="122">
        <f t="shared" ref="G274:G337" si="36">IF(Pay_Num&lt;&gt;"",Total_Pay-Int,"")</f>
        <v>348.35873994229451</v>
      </c>
      <c r="H274" s="122">
        <f t="shared" si="31"/>
        <v>188.46288306984459</v>
      </c>
      <c r="I274" s="122">
        <f t="shared" ref="I274:I337" si="37">IF(AND(Pay_Num&lt;&gt;"",Sched_Pay+Extra_Pay&lt;Beg_Bal),Beg_Bal-Princ,IF(Pay_Num&lt;&gt;"",0,""))</f>
        <v>44882.733196820402</v>
      </c>
      <c r="J274" s="122">
        <f>SUM($H$18:$H274)</f>
        <v>82845.890310940114</v>
      </c>
    </row>
    <row r="275" spans="1:11" x14ac:dyDescent="0.2">
      <c r="A275" s="125">
        <f>IF(Values_Entered,A274+1,"")</f>
        <v>258</v>
      </c>
      <c r="B275" s="124">
        <f t="shared" si="32"/>
        <v>50222</v>
      </c>
      <c r="C275" s="122">
        <f t="shared" ref="C275:C338" si="38">IF(Pay_Num&lt;&gt;"",I274,"")</f>
        <v>44882.733196820402</v>
      </c>
      <c r="D275" s="122">
        <f t="shared" si="33"/>
        <v>536.82162301213907</v>
      </c>
      <c r="E275" s="123">
        <f t="shared" si="34"/>
        <v>0</v>
      </c>
      <c r="F275" s="122">
        <f t="shared" si="35"/>
        <v>536.82162301213907</v>
      </c>
      <c r="G275" s="122">
        <f t="shared" si="36"/>
        <v>349.81023469205411</v>
      </c>
      <c r="H275" s="122">
        <f t="shared" ref="H275:H338" si="39">IF(Pay_Num&lt;&gt;"",Beg_Bal*Interest_Rate/Num_Pmt_Per_Year,"")</f>
        <v>187.01138832008499</v>
      </c>
      <c r="I275" s="122">
        <f t="shared" si="37"/>
        <v>44532.922962128345</v>
      </c>
      <c r="J275" s="122">
        <f>SUM($H$18:$H275)</f>
        <v>83032.901699260197</v>
      </c>
    </row>
    <row r="276" spans="1:11" x14ac:dyDescent="0.2">
      <c r="A276" s="125">
        <f>IF(Values_Entered,A275+1,"")</f>
        <v>259</v>
      </c>
      <c r="B276" s="124">
        <f t="shared" si="32"/>
        <v>50253</v>
      </c>
      <c r="C276" s="122">
        <f t="shared" si="38"/>
        <v>44532.922962128345</v>
      </c>
      <c r="D276" s="122">
        <f t="shared" si="33"/>
        <v>536.82162301213907</v>
      </c>
      <c r="E276" s="123">
        <f t="shared" si="34"/>
        <v>0</v>
      </c>
      <c r="F276" s="122">
        <f t="shared" si="35"/>
        <v>536.82162301213907</v>
      </c>
      <c r="G276" s="122">
        <f t="shared" si="36"/>
        <v>351.26777733660424</v>
      </c>
      <c r="H276" s="122">
        <f t="shared" si="39"/>
        <v>185.5538456755348</v>
      </c>
      <c r="I276" s="122">
        <f t="shared" si="37"/>
        <v>44181.655184791744</v>
      </c>
      <c r="J276" s="122">
        <f>SUM($H$18:$H276)</f>
        <v>83218.455544935729</v>
      </c>
    </row>
    <row r="277" spans="1:11" x14ac:dyDescent="0.2">
      <c r="A277" s="125">
        <f>IF(Values_Entered,A276+1,"")</f>
        <v>260</v>
      </c>
      <c r="B277" s="124">
        <f t="shared" si="32"/>
        <v>50284</v>
      </c>
      <c r="C277" s="122">
        <f t="shared" si="38"/>
        <v>44181.655184791744</v>
      </c>
      <c r="D277" s="122">
        <f t="shared" si="33"/>
        <v>536.82162301213907</v>
      </c>
      <c r="E277" s="123">
        <f t="shared" si="34"/>
        <v>0</v>
      </c>
      <c r="F277" s="122">
        <f t="shared" si="35"/>
        <v>536.82162301213907</v>
      </c>
      <c r="G277" s="122">
        <f t="shared" si="36"/>
        <v>352.73139307550684</v>
      </c>
      <c r="H277" s="122">
        <f t="shared" si="39"/>
        <v>184.09022993663226</v>
      </c>
      <c r="I277" s="122">
        <f t="shared" si="37"/>
        <v>43828.923791716239</v>
      </c>
      <c r="J277" s="122">
        <f>SUM($H$18:$H277)</f>
        <v>83402.545774872357</v>
      </c>
    </row>
    <row r="278" spans="1:11" x14ac:dyDescent="0.2">
      <c r="A278" s="125">
        <f>IF(Values_Entered,A277+1,"")</f>
        <v>261</v>
      </c>
      <c r="B278" s="124">
        <f t="shared" si="32"/>
        <v>50314</v>
      </c>
      <c r="C278" s="122">
        <f t="shared" si="38"/>
        <v>43828.923791716239</v>
      </c>
      <c r="D278" s="122">
        <f t="shared" si="33"/>
        <v>536.82162301213907</v>
      </c>
      <c r="E278" s="123">
        <f t="shared" si="34"/>
        <v>0</v>
      </c>
      <c r="F278" s="122">
        <f t="shared" si="35"/>
        <v>536.82162301213907</v>
      </c>
      <c r="G278" s="122">
        <f t="shared" si="36"/>
        <v>354.20110721332139</v>
      </c>
      <c r="H278" s="122">
        <f t="shared" si="39"/>
        <v>182.62051579881768</v>
      </c>
      <c r="I278" s="122">
        <f t="shared" si="37"/>
        <v>43474.722684502914</v>
      </c>
      <c r="J278" s="122">
        <f>SUM($H$18:$H278)</f>
        <v>83585.166290671172</v>
      </c>
    </row>
    <row r="279" spans="1:11" x14ac:dyDescent="0.2">
      <c r="A279" s="125">
        <f>IF(Values_Entered,A278+1,"")</f>
        <v>262</v>
      </c>
      <c r="B279" s="124">
        <f t="shared" si="32"/>
        <v>50345</v>
      </c>
      <c r="C279" s="122">
        <f t="shared" si="38"/>
        <v>43474.722684502914</v>
      </c>
      <c r="D279" s="122">
        <f t="shared" si="33"/>
        <v>536.82162301213907</v>
      </c>
      <c r="E279" s="123">
        <f t="shared" si="34"/>
        <v>0</v>
      </c>
      <c r="F279" s="122">
        <f t="shared" si="35"/>
        <v>536.82162301213907</v>
      </c>
      <c r="G279" s="122">
        <f t="shared" si="36"/>
        <v>355.6769451600436</v>
      </c>
      <c r="H279" s="122">
        <f t="shared" si="39"/>
        <v>181.14467785209547</v>
      </c>
      <c r="I279" s="122">
        <f t="shared" si="37"/>
        <v>43119.045739342873</v>
      </c>
      <c r="J279" s="122">
        <f>SUM($H$18:$H279)</f>
        <v>83766.310968523263</v>
      </c>
    </row>
    <row r="280" spans="1:11" x14ac:dyDescent="0.2">
      <c r="A280" s="125">
        <f>IF(Values_Entered,A279+1,"")</f>
        <v>263</v>
      </c>
      <c r="B280" s="124">
        <f t="shared" si="32"/>
        <v>50375</v>
      </c>
      <c r="C280" s="122">
        <f t="shared" si="38"/>
        <v>43119.045739342873</v>
      </c>
      <c r="D280" s="122">
        <f t="shared" si="33"/>
        <v>536.82162301213907</v>
      </c>
      <c r="E280" s="123">
        <f t="shared" si="34"/>
        <v>0</v>
      </c>
      <c r="F280" s="122">
        <f t="shared" si="35"/>
        <v>536.82162301213907</v>
      </c>
      <c r="G280" s="122">
        <f t="shared" si="36"/>
        <v>357.1589324315438</v>
      </c>
      <c r="H280" s="122">
        <f t="shared" si="39"/>
        <v>179.6626905805953</v>
      </c>
      <c r="I280" s="122">
        <f t="shared" si="37"/>
        <v>42761.88680691133</v>
      </c>
      <c r="J280" s="122">
        <f>SUM($H$18:$H280)</f>
        <v>83945.973659103853</v>
      </c>
    </row>
    <row r="281" spans="1:11" x14ac:dyDescent="0.2">
      <c r="A281" s="162">
        <f>IF(Values_Entered,A280+1,"")</f>
        <v>264</v>
      </c>
      <c r="B281" s="163">
        <f t="shared" si="32"/>
        <v>50406</v>
      </c>
      <c r="C281" s="164">
        <f t="shared" si="38"/>
        <v>42761.88680691133</v>
      </c>
      <c r="D281" s="164">
        <f t="shared" si="33"/>
        <v>536.82162301213907</v>
      </c>
      <c r="E281" s="165">
        <f t="shared" si="34"/>
        <v>0</v>
      </c>
      <c r="F281" s="164">
        <f t="shared" si="35"/>
        <v>536.82162301213907</v>
      </c>
      <c r="G281" s="164">
        <f t="shared" si="36"/>
        <v>358.64709465000851</v>
      </c>
      <c r="H281" s="164">
        <f t="shared" si="39"/>
        <v>178.17452836213056</v>
      </c>
      <c r="I281" s="164">
        <f t="shared" si="37"/>
        <v>42403.239712261318</v>
      </c>
      <c r="J281" s="164">
        <f>SUM($H$18:$H281)</f>
        <v>84124.14818746598</v>
      </c>
    </row>
    <row r="282" spans="1:11" x14ac:dyDescent="0.2">
      <c r="A282" s="125">
        <f>IF(Values_Entered,A281+1,"")</f>
        <v>265</v>
      </c>
      <c r="B282" s="124">
        <f t="shared" si="32"/>
        <v>50437</v>
      </c>
      <c r="C282" s="122">
        <f t="shared" si="38"/>
        <v>42403.239712261318</v>
      </c>
      <c r="D282" s="122">
        <f t="shared" si="33"/>
        <v>536.82162301213907</v>
      </c>
      <c r="E282" s="123">
        <f t="shared" si="34"/>
        <v>0</v>
      </c>
      <c r="F282" s="122">
        <f t="shared" si="35"/>
        <v>536.82162301213907</v>
      </c>
      <c r="G282" s="122">
        <f t="shared" si="36"/>
        <v>360.14145754438357</v>
      </c>
      <c r="H282" s="122">
        <f t="shared" si="39"/>
        <v>176.6801654677555</v>
      </c>
      <c r="I282" s="122">
        <f t="shared" si="37"/>
        <v>42043.098254716933</v>
      </c>
      <c r="J282" s="122">
        <f>SUM($H$18:$H282)</f>
        <v>84300.828352933735</v>
      </c>
      <c r="K282" s="117">
        <v>23</v>
      </c>
    </row>
    <row r="283" spans="1:11" x14ac:dyDescent="0.2">
      <c r="A283" s="125">
        <f>IF(Values_Entered,A282+1,"")</f>
        <v>266</v>
      </c>
      <c r="B283" s="124">
        <f t="shared" si="32"/>
        <v>50465</v>
      </c>
      <c r="C283" s="122">
        <f t="shared" si="38"/>
        <v>42043.098254716933</v>
      </c>
      <c r="D283" s="122">
        <f t="shared" si="33"/>
        <v>536.82162301213907</v>
      </c>
      <c r="E283" s="123">
        <f t="shared" si="34"/>
        <v>0</v>
      </c>
      <c r="F283" s="122">
        <f t="shared" si="35"/>
        <v>536.82162301213907</v>
      </c>
      <c r="G283" s="122">
        <f t="shared" si="36"/>
        <v>361.64204695081855</v>
      </c>
      <c r="H283" s="122">
        <f t="shared" si="39"/>
        <v>175.17957606132055</v>
      </c>
      <c r="I283" s="122">
        <f t="shared" si="37"/>
        <v>41681.456207766118</v>
      </c>
      <c r="J283" s="122">
        <f>SUM($H$18:$H283)</f>
        <v>84476.007928995052</v>
      </c>
    </row>
    <row r="284" spans="1:11" x14ac:dyDescent="0.2">
      <c r="A284" s="125">
        <f>IF(Values_Entered,A283+1,"")</f>
        <v>267</v>
      </c>
      <c r="B284" s="124">
        <f t="shared" si="32"/>
        <v>50496</v>
      </c>
      <c r="C284" s="122">
        <f t="shared" si="38"/>
        <v>41681.456207766118</v>
      </c>
      <c r="D284" s="122">
        <f t="shared" si="33"/>
        <v>536.82162301213907</v>
      </c>
      <c r="E284" s="123">
        <f t="shared" si="34"/>
        <v>0</v>
      </c>
      <c r="F284" s="122">
        <f t="shared" si="35"/>
        <v>536.82162301213907</v>
      </c>
      <c r="G284" s="122">
        <f t="shared" si="36"/>
        <v>363.14888881311356</v>
      </c>
      <c r="H284" s="122">
        <f t="shared" si="39"/>
        <v>173.67273419902551</v>
      </c>
      <c r="I284" s="122">
        <f t="shared" si="37"/>
        <v>41318.307318953004</v>
      </c>
      <c r="J284" s="122">
        <f>SUM($H$18:$H284)</f>
        <v>84649.680663194071</v>
      </c>
    </row>
    <row r="285" spans="1:11" x14ac:dyDescent="0.2">
      <c r="A285" s="125">
        <f>IF(Values_Entered,A284+1,"")</f>
        <v>268</v>
      </c>
      <c r="B285" s="124">
        <f t="shared" si="32"/>
        <v>50526</v>
      </c>
      <c r="C285" s="122">
        <f t="shared" si="38"/>
        <v>41318.307318953004</v>
      </c>
      <c r="D285" s="122">
        <f t="shared" si="33"/>
        <v>536.82162301213907</v>
      </c>
      <c r="E285" s="123">
        <f t="shared" si="34"/>
        <v>0</v>
      </c>
      <c r="F285" s="122">
        <f t="shared" si="35"/>
        <v>536.82162301213907</v>
      </c>
      <c r="G285" s="122">
        <f t="shared" si="36"/>
        <v>364.66200918316827</v>
      </c>
      <c r="H285" s="122">
        <f t="shared" si="39"/>
        <v>172.15961382897083</v>
      </c>
      <c r="I285" s="122">
        <f t="shared" si="37"/>
        <v>40953.64530976984</v>
      </c>
      <c r="J285" s="122">
        <f>SUM($H$18:$H285)</f>
        <v>84821.840277023046</v>
      </c>
    </row>
    <row r="286" spans="1:11" x14ac:dyDescent="0.2">
      <c r="A286" s="125">
        <f>IF(Values_Entered,A285+1,"")</f>
        <v>269</v>
      </c>
      <c r="B286" s="124">
        <f t="shared" si="32"/>
        <v>50557</v>
      </c>
      <c r="C286" s="122">
        <f t="shared" si="38"/>
        <v>40953.64530976984</v>
      </c>
      <c r="D286" s="122">
        <f t="shared" si="33"/>
        <v>536.82162301213907</v>
      </c>
      <c r="E286" s="123">
        <f t="shared" si="34"/>
        <v>0</v>
      </c>
      <c r="F286" s="122">
        <f t="shared" si="35"/>
        <v>536.82162301213907</v>
      </c>
      <c r="G286" s="122">
        <f t="shared" si="36"/>
        <v>366.1814342214314</v>
      </c>
      <c r="H286" s="122">
        <f t="shared" si="39"/>
        <v>170.64018879070767</v>
      </c>
      <c r="I286" s="122">
        <f t="shared" si="37"/>
        <v>40587.463875548405</v>
      </c>
      <c r="J286" s="122">
        <f>SUM($H$18:$H286)</f>
        <v>84992.480465813758</v>
      </c>
    </row>
    <row r="287" spans="1:11" x14ac:dyDescent="0.2">
      <c r="A287" s="125">
        <f>IF(Values_Entered,A286+1,"")</f>
        <v>270</v>
      </c>
      <c r="B287" s="124">
        <f t="shared" si="32"/>
        <v>50587</v>
      </c>
      <c r="C287" s="122">
        <f t="shared" si="38"/>
        <v>40587.463875548405</v>
      </c>
      <c r="D287" s="122">
        <f t="shared" si="33"/>
        <v>536.82162301213907</v>
      </c>
      <c r="E287" s="123">
        <f t="shared" si="34"/>
        <v>0</v>
      </c>
      <c r="F287" s="122">
        <f t="shared" si="35"/>
        <v>536.82162301213907</v>
      </c>
      <c r="G287" s="122">
        <f t="shared" si="36"/>
        <v>367.70719019735407</v>
      </c>
      <c r="H287" s="122">
        <f t="shared" si="39"/>
        <v>169.11443281478503</v>
      </c>
      <c r="I287" s="122">
        <f t="shared" si="37"/>
        <v>40219.756685351051</v>
      </c>
      <c r="J287" s="122">
        <f>SUM($H$18:$H287)</f>
        <v>85161.594898628537</v>
      </c>
    </row>
    <row r="288" spans="1:11" x14ac:dyDescent="0.2">
      <c r="A288" s="125">
        <f>IF(Values_Entered,A287+1,"")</f>
        <v>271</v>
      </c>
      <c r="B288" s="124">
        <f t="shared" si="32"/>
        <v>50618</v>
      </c>
      <c r="C288" s="122">
        <f t="shared" si="38"/>
        <v>40219.756685351051</v>
      </c>
      <c r="D288" s="122">
        <f t="shared" si="33"/>
        <v>536.82162301213907</v>
      </c>
      <c r="E288" s="123">
        <f t="shared" si="34"/>
        <v>0</v>
      </c>
      <c r="F288" s="122">
        <f t="shared" si="35"/>
        <v>536.82162301213907</v>
      </c>
      <c r="G288" s="122">
        <f t="shared" si="36"/>
        <v>369.239303489843</v>
      </c>
      <c r="H288" s="122">
        <f t="shared" si="39"/>
        <v>167.58231952229605</v>
      </c>
      <c r="I288" s="122">
        <f t="shared" si="37"/>
        <v>39850.517381861209</v>
      </c>
      <c r="J288" s="122">
        <f>SUM($H$18:$H288)</f>
        <v>85329.177218150828</v>
      </c>
    </row>
    <row r="289" spans="1:11" x14ac:dyDescent="0.2">
      <c r="A289" s="125">
        <f>IF(Values_Entered,A288+1,"")</f>
        <v>272</v>
      </c>
      <c r="B289" s="124">
        <f t="shared" si="32"/>
        <v>50649</v>
      </c>
      <c r="C289" s="122">
        <f t="shared" si="38"/>
        <v>39850.517381861209</v>
      </c>
      <c r="D289" s="122">
        <f t="shared" si="33"/>
        <v>536.82162301213907</v>
      </c>
      <c r="E289" s="123">
        <f t="shared" si="34"/>
        <v>0</v>
      </c>
      <c r="F289" s="122">
        <f t="shared" si="35"/>
        <v>536.82162301213907</v>
      </c>
      <c r="G289" s="122">
        <f t="shared" si="36"/>
        <v>370.77780058771737</v>
      </c>
      <c r="H289" s="122">
        <f t="shared" si="39"/>
        <v>166.04382242442171</v>
      </c>
      <c r="I289" s="122">
        <f t="shared" si="37"/>
        <v>39479.73958127349</v>
      </c>
      <c r="J289" s="122">
        <f>SUM($H$18:$H289)</f>
        <v>85495.221040575256</v>
      </c>
    </row>
    <row r="290" spans="1:11" x14ac:dyDescent="0.2">
      <c r="A290" s="125">
        <f>IF(Values_Entered,A289+1,"")</f>
        <v>273</v>
      </c>
      <c r="B290" s="124">
        <f t="shared" si="32"/>
        <v>50679</v>
      </c>
      <c r="C290" s="122">
        <f t="shared" si="38"/>
        <v>39479.73958127349</v>
      </c>
      <c r="D290" s="122">
        <f t="shared" si="33"/>
        <v>536.82162301213907</v>
      </c>
      <c r="E290" s="123">
        <f t="shared" si="34"/>
        <v>0</v>
      </c>
      <c r="F290" s="122">
        <f t="shared" si="35"/>
        <v>536.82162301213907</v>
      </c>
      <c r="G290" s="122">
        <f t="shared" si="36"/>
        <v>372.3227080901662</v>
      </c>
      <c r="H290" s="122">
        <f t="shared" si="39"/>
        <v>164.4989149219729</v>
      </c>
      <c r="I290" s="122">
        <f t="shared" si="37"/>
        <v>39107.416873183327</v>
      </c>
      <c r="J290" s="122">
        <f>SUM($H$18:$H290)</f>
        <v>85659.719955497232</v>
      </c>
    </row>
    <row r="291" spans="1:11" x14ac:dyDescent="0.2">
      <c r="A291" s="125">
        <f>IF(Values_Entered,A290+1,"")</f>
        <v>274</v>
      </c>
      <c r="B291" s="124">
        <f t="shared" si="32"/>
        <v>50710</v>
      </c>
      <c r="C291" s="122">
        <f t="shared" si="38"/>
        <v>39107.416873183327</v>
      </c>
      <c r="D291" s="122">
        <f t="shared" si="33"/>
        <v>536.82162301213907</v>
      </c>
      <c r="E291" s="123">
        <f t="shared" si="34"/>
        <v>0</v>
      </c>
      <c r="F291" s="122">
        <f t="shared" si="35"/>
        <v>536.82162301213907</v>
      </c>
      <c r="G291" s="122">
        <f t="shared" si="36"/>
        <v>373.87405270720853</v>
      </c>
      <c r="H291" s="122">
        <f t="shared" si="39"/>
        <v>162.94757030493054</v>
      </c>
      <c r="I291" s="122">
        <f t="shared" si="37"/>
        <v>38733.542820476119</v>
      </c>
      <c r="J291" s="122">
        <f>SUM($H$18:$H291)</f>
        <v>85822.667525802157</v>
      </c>
    </row>
    <row r="292" spans="1:11" x14ac:dyDescent="0.2">
      <c r="A292" s="125">
        <f>IF(Values_Entered,A291+1,"")</f>
        <v>275</v>
      </c>
      <c r="B292" s="124">
        <f t="shared" si="32"/>
        <v>50740</v>
      </c>
      <c r="C292" s="122">
        <f t="shared" si="38"/>
        <v>38733.542820476119</v>
      </c>
      <c r="D292" s="122">
        <f t="shared" si="33"/>
        <v>536.82162301213907</v>
      </c>
      <c r="E292" s="123">
        <f t="shared" si="34"/>
        <v>0</v>
      </c>
      <c r="F292" s="122">
        <f t="shared" si="35"/>
        <v>536.82162301213907</v>
      </c>
      <c r="G292" s="122">
        <f t="shared" si="36"/>
        <v>375.43186126015519</v>
      </c>
      <c r="H292" s="122">
        <f t="shared" si="39"/>
        <v>161.38976175198385</v>
      </c>
      <c r="I292" s="122">
        <f t="shared" si="37"/>
        <v>38358.110959215963</v>
      </c>
      <c r="J292" s="122">
        <f>SUM($H$18:$H292)</f>
        <v>85984.05728755414</v>
      </c>
    </row>
    <row r="293" spans="1:11" x14ac:dyDescent="0.2">
      <c r="A293" s="162">
        <f>IF(Values_Entered,A292+1,"")</f>
        <v>276</v>
      </c>
      <c r="B293" s="163">
        <f t="shared" si="32"/>
        <v>50771</v>
      </c>
      <c r="C293" s="164">
        <f t="shared" si="38"/>
        <v>38358.110959215963</v>
      </c>
      <c r="D293" s="164">
        <f t="shared" si="33"/>
        <v>536.82162301213907</v>
      </c>
      <c r="E293" s="165">
        <f t="shared" si="34"/>
        <v>0</v>
      </c>
      <c r="F293" s="164">
        <f t="shared" si="35"/>
        <v>536.82162301213907</v>
      </c>
      <c r="G293" s="164">
        <f t="shared" si="36"/>
        <v>376.99616068207251</v>
      </c>
      <c r="H293" s="164">
        <f t="shared" si="39"/>
        <v>159.82546233006653</v>
      </c>
      <c r="I293" s="164">
        <f t="shared" si="37"/>
        <v>37981.11479853389</v>
      </c>
      <c r="J293" s="164">
        <f>SUM($H$18:$H293)</f>
        <v>86143.8827498842</v>
      </c>
    </row>
    <row r="294" spans="1:11" x14ac:dyDescent="0.2">
      <c r="A294" s="125">
        <f>IF(Values_Entered,A293+1,"")</f>
        <v>277</v>
      </c>
      <c r="B294" s="124">
        <f t="shared" si="32"/>
        <v>50802</v>
      </c>
      <c r="C294" s="122">
        <f t="shared" si="38"/>
        <v>37981.11479853389</v>
      </c>
      <c r="D294" s="122">
        <f t="shared" si="33"/>
        <v>536.82162301213907</v>
      </c>
      <c r="E294" s="123">
        <f t="shared" si="34"/>
        <v>0</v>
      </c>
      <c r="F294" s="122">
        <f t="shared" si="35"/>
        <v>536.82162301213907</v>
      </c>
      <c r="G294" s="122">
        <f t="shared" si="36"/>
        <v>378.56697801824782</v>
      </c>
      <c r="H294" s="122">
        <f t="shared" si="39"/>
        <v>158.25464499389122</v>
      </c>
      <c r="I294" s="122">
        <f t="shared" si="37"/>
        <v>37602.54782051564</v>
      </c>
      <c r="J294" s="122">
        <f>SUM($H$18:$H294)</f>
        <v>86302.137394878097</v>
      </c>
      <c r="K294" s="117">
        <v>24</v>
      </c>
    </row>
    <row r="295" spans="1:11" x14ac:dyDescent="0.2">
      <c r="A295" s="125">
        <f>IF(Values_Entered,A294+1,"")</f>
        <v>278</v>
      </c>
      <c r="B295" s="124">
        <f t="shared" si="32"/>
        <v>50830</v>
      </c>
      <c r="C295" s="122">
        <f t="shared" si="38"/>
        <v>37602.54782051564</v>
      </c>
      <c r="D295" s="122">
        <f t="shared" si="33"/>
        <v>536.82162301213907</v>
      </c>
      <c r="E295" s="123">
        <f t="shared" si="34"/>
        <v>0</v>
      </c>
      <c r="F295" s="122">
        <f t="shared" si="35"/>
        <v>536.82162301213907</v>
      </c>
      <c r="G295" s="122">
        <f t="shared" si="36"/>
        <v>380.14434042665721</v>
      </c>
      <c r="H295" s="122">
        <f t="shared" si="39"/>
        <v>156.67728258548183</v>
      </c>
      <c r="I295" s="122">
        <f t="shared" si="37"/>
        <v>37222.403480088986</v>
      </c>
      <c r="J295" s="122">
        <f>SUM($H$18:$H295)</f>
        <v>86458.814677463582</v>
      </c>
    </row>
    <row r="296" spans="1:11" x14ac:dyDescent="0.2">
      <c r="A296" s="125">
        <f>IF(Values_Entered,A295+1,"")</f>
        <v>279</v>
      </c>
      <c r="B296" s="124">
        <f t="shared" si="32"/>
        <v>50861</v>
      </c>
      <c r="C296" s="122">
        <f t="shared" si="38"/>
        <v>37222.403480088986</v>
      </c>
      <c r="D296" s="122">
        <f t="shared" si="33"/>
        <v>536.82162301213907</v>
      </c>
      <c r="E296" s="123">
        <f t="shared" si="34"/>
        <v>0</v>
      </c>
      <c r="F296" s="122">
        <f t="shared" si="35"/>
        <v>536.82162301213907</v>
      </c>
      <c r="G296" s="122">
        <f t="shared" si="36"/>
        <v>381.72827517843496</v>
      </c>
      <c r="H296" s="122">
        <f t="shared" si="39"/>
        <v>155.09334783370412</v>
      </c>
      <c r="I296" s="122">
        <f t="shared" si="37"/>
        <v>36840.675204910549</v>
      </c>
      <c r="J296" s="122">
        <f>SUM($H$18:$H296)</f>
        <v>86613.908025297293</v>
      </c>
    </row>
    <row r="297" spans="1:11" x14ac:dyDescent="0.2">
      <c r="A297" s="125">
        <f>IF(Values_Entered,A296+1,"")</f>
        <v>280</v>
      </c>
      <c r="B297" s="124">
        <f t="shared" si="32"/>
        <v>50891</v>
      </c>
      <c r="C297" s="122">
        <f t="shared" si="38"/>
        <v>36840.675204910549</v>
      </c>
      <c r="D297" s="122">
        <f t="shared" si="33"/>
        <v>536.82162301213907</v>
      </c>
      <c r="E297" s="123">
        <f t="shared" si="34"/>
        <v>0</v>
      </c>
      <c r="F297" s="122">
        <f t="shared" si="35"/>
        <v>536.82162301213907</v>
      </c>
      <c r="G297" s="122">
        <f t="shared" si="36"/>
        <v>383.31880965834512</v>
      </c>
      <c r="H297" s="122">
        <f t="shared" si="39"/>
        <v>153.50281335379395</v>
      </c>
      <c r="I297" s="122">
        <f t="shared" si="37"/>
        <v>36457.356395252202</v>
      </c>
      <c r="J297" s="122">
        <f>SUM($H$18:$H297)</f>
        <v>86767.410838651092</v>
      </c>
    </row>
    <row r="298" spans="1:11" x14ac:dyDescent="0.2">
      <c r="A298" s="125">
        <f>IF(Values_Entered,A297+1,"")</f>
        <v>281</v>
      </c>
      <c r="B298" s="124">
        <f t="shared" si="32"/>
        <v>50922</v>
      </c>
      <c r="C298" s="122">
        <f t="shared" si="38"/>
        <v>36457.356395252202</v>
      </c>
      <c r="D298" s="122">
        <f t="shared" si="33"/>
        <v>536.82162301213907</v>
      </c>
      <c r="E298" s="123">
        <f t="shared" si="34"/>
        <v>0</v>
      </c>
      <c r="F298" s="122">
        <f t="shared" si="35"/>
        <v>536.82162301213907</v>
      </c>
      <c r="G298" s="122">
        <f t="shared" si="36"/>
        <v>384.9159713652549</v>
      </c>
      <c r="H298" s="122">
        <f t="shared" si="39"/>
        <v>151.90565164688419</v>
      </c>
      <c r="I298" s="122">
        <f t="shared" si="37"/>
        <v>36072.440423886947</v>
      </c>
      <c r="J298" s="122">
        <f>SUM($H$18:$H298)</f>
        <v>86919.316490297977</v>
      </c>
    </row>
    <row r="299" spans="1:11" x14ac:dyDescent="0.2">
      <c r="A299" s="125">
        <f>IF(Values_Entered,A298+1,"")</f>
        <v>282</v>
      </c>
      <c r="B299" s="124">
        <f t="shared" si="32"/>
        <v>50952</v>
      </c>
      <c r="C299" s="122">
        <f t="shared" si="38"/>
        <v>36072.440423886947</v>
      </c>
      <c r="D299" s="122">
        <f t="shared" si="33"/>
        <v>536.82162301213907</v>
      </c>
      <c r="E299" s="123">
        <f t="shared" si="34"/>
        <v>0</v>
      </c>
      <c r="F299" s="122">
        <f t="shared" si="35"/>
        <v>536.82162301213907</v>
      </c>
      <c r="G299" s="122">
        <f t="shared" si="36"/>
        <v>386.51978791261013</v>
      </c>
      <c r="H299" s="122">
        <f t="shared" si="39"/>
        <v>150.30183509952894</v>
      </c>
      <c r="I299" s="122">
        <f t="shared" si="37"/>
        <v>35685.920635974333</v>
      </c>
      <c r="J299" s="122">
        <f>SUM($H$18:$H299)</f>
        <v>87069.618325397503</v>
      </c>
    </row>
    <row r="300" spans="1:11" x14ac:dyDescent="0.2">
      <c r="A300" s="125">
        <f>IF(Values_Entered,A299+1,"")</f>
        <v>283</v>
      </c>
      <c r="B300" s="124">
        <f t="shared" si="32"/>
        <v>50983</v>
      </c>
      <c r="C300" s="122">
        <f t="shared" si="38"/>
        <v>35685.920635974333</v>
      </c>
      <c r="D300" s="122">
        <f t="shared" si="33"/>
        <v>536.82162301213907</v>
      </c>
      <c r="E300" s="123">
        <f t="shared" si="34"/>
        <v>0</v>
      </c>
      <c r="F300" s="122">
        <f t="shared" si="35"/>
        <v>536.82162301213907</v>
      </c>
      <c r="G300" s="122">
        <f t="shared" si="36"/>
        <v>388.13028702891268</v>
      </c>
      <c r="H300" s="122">
        <f t="shared" si="39"/>
        <v>148.6913359832264</v>
      </c>
      <c r="I300" s="122">
        <f t="shared" si="37"/>
        <v>35297.790348945418</v>
      </c>
      <c r="J300" s="122">
        <f>SUM($H$18:$H300)</f>
        <v>87218.309661380728</v>
      </c>
    </row>
    <row r="301" spans="1:11" x14ac:dyDescent="0.2">
      <c r="A301" s="125">
        <f>IF(Values_Entered,A300+1,"")</f>
        <v>284</v>
      </c>
      <c r="B301" s="124">
        <f t="shared" si="32"/>
        <v>51014</v>
      </c>
      <c r="C301" s="122">
        <f t="shared" si="38"/>
        <v>35297.790348945418</v>
      </c>
      <c r="D301" s="122">
        <f t="shared" si="33"/>
        <v>536.82162301213907</v>
      </c>
      <c r="E301" s="123">
        <f t="shared" si="34"/>
        <v>0</v>
      </c>
      <c r="F301" s="122">
        <f t="shared" si="35"/>
        <v>536.82162301213907</v>
      </c>
      <c r="G301" s="122">
        <f t="shared" si="36"/>
        <v>389.74749655819983</v>
      </c>
      <c r="H301" s="122">
        <f t="shared" si="39"/>
        <v>147.07412645393924</v>
      </c>
      <c r="I301" s="122">
        <f t="shared" si="37"/>
        <v>34908.042852387218</v>
      </c>
      <c r="J301" s="122">
        <f>SUM($H$18:$H301)</f>
        <v>87365.383787834668</v>
      </c>
    </row>
    <row r="302" spans="1:11" x14ac:dyDescent="0.2">
      <c r="A302" s="125">
        <f>IF(Values_Entered,A301+1,"")</f>
        <v>285</v>
      </c>
      <c r="B302" s="124">
        <f t="shared" si="32"/>
        <v>51044</v>
      </c>
      <c r="C302" s="122">
        <f t="shared" si="38"/>
        <v>34908.042852387218</v>
      </c>
      <c r="D302" s="122">
        <f t="shared" si="33"/>
        <v>536.82162301213907</v>
      </c>
      <c r="E302" s="123">
        <f t="shared" si="34"/>
        <v>0</v>
      </c>
      <c r="F302" s="122">
        <f t="shared" si="35"/>
        <v>536.82162301213907</v>
      </c>
      <c r="G302" s="122">
        <f t="shared" si="36"/>
        <v>391.37144446052565</v>
      </c>
      <c r="H302" s="122">
        <f t="shared" si="39"/>
        <v>145.45017855161342</v>
      </c>
      <c r="I302" s="122">
        <f t="shared" si="37"/>
        <v>34516.671407926689</v>
      </c>
      <c r="J302" s="122">
        <f>SUM($H$18:$H302)</f>
        <v>87510.833966386286</v>
      </c>
    </row>
    <row r="303" spans="1:11" x14ac:dyDescent="0.2">
      <c r="A303" s="125">
        <f>IF(Values_Entered,A302+1,"")</f>
        <v>286</v>
      </c>
      <c r="B303" s="124">
        <f t="shared" si="32"/>
        <v>51075</v>
      </c>
      <c r="C303" s="122">
        <f t="shared" si="38"/>
        <v>34516.671407926689</v>
      </c>
      <c r="D303" s="122">
        <f t="shared" si="33"/>
        <v>536.82162301213907</v>
      </c>
      <c r="E303" s="123">
        <f t="shared" si="34"/>
        <v>0</v>
      </c>
      <c r="F303" s="122">
        <f t="shared" si="35"/>
        <v>536.82162301213907</v>
      </c>
      <c r="G303" s="122">
        <f t="shared" si="36"/>
        <v>393.00215881244452</v>
      </c>
      <c r="H303" s="122">
        <f t="shared" si="39"/>
        <v>143.81946419969455</v>
      </c>
      <c r="I303" s="122">
        <f t="shared" si="37"/>
        <v>34123.669249114246</v>
      </c>
      <c r="J303" s="122">
        <f>SUM($H$18:$H303)</f>
        <v>87654.653430585982</v>
      </c>
    </row>
    <row r="304" spans="1:11" x14ac:dyDescent="0.2">
      <c r="A304" s="125">
        <f>IF(Values_Entered,A303+1,"")</f>
        <v>287</v>
      </c>
      <c r="B304" s="124">
        <f t="shared" si="32"/>
        <v>51105</v>
      </c>
      <c r="C304" s="122">
        <f t="shared" si="38"/>
        <v>34123.669249114246</v>
      </c>
      <c r="D304" s="122">
        <f t="shared" si="33"/>
        <v>536.82162301213907</v>
      </c>
      <c r="E304" s="123">
        <f t="shared" si="34"/>
        <v>0</v>
      </c>
      <c r="F304" s="122">
        <f t="shared" si="35"/>
        <v>536.82162301213907</v>
      </c>
      <c r="G304" s="122">
        <f t="shared" si="36"/>
        <v>394.63966780749638</v>
      </c>
      <c r="H304" s="122">
        <f t="shared" si="39"/>
        <v>142.18195520464269</v>
      </c>
      <c r="I304" s="122">
        <f t="shared" si="37"/>
        <v>33729.02958130675</v>
      </c>
      <c r="J304" s="122">
        <f>SUM($H$18:$H304)</f>
        <v>87796.835385790619</v>
      </c>
    </row>
    <row r="305" spans="1:11" x14ac:dyDescent="0.2">
      <c r="A305" s="162">
        <f>IF(Values_Entered,A304+1,"")</f>
        <v>288</v>
      </c>
      <c r="B305" s="163">
        <f t="shared" si="32"/>
        <v>51136</v>
      </c>
      <c r="C305" s="164">
        <f t="shared" si="38"/>
        <v>33729.02958130675</v>
      </c>
      <c r="D305" s="164">
        <f t="shared" si="33"/>
        <v>536.82162301213907</v>
      </c>
      <c r="E305" s="165">
        <f t="shared" si="34"/>
        <v>0</v>
      </c>
      <c r="F305" s="164">
        <f t="shared" si="35"/>
        <v>536.82162301213907</v>
      </c>
      <c r="G305" s="164">
        <f t="shared" si="36"/>
        <v>396.28399975669424</v>
      </c>
      <c r="H305" s="164">
        <f t="shared" si="39"/>
        <v>140.5376232554448</v>
      </c>
      <c r="I305" s="164">
        <f t="shared" si="37"/>
        <v>33332.745581550058</v>
      </c>
      <c r="J305" s="164">
        <f>SUM($H$18:$H305)</f>
        <v>87937.373009046059</v>
      </c>
    </row>
    <row r="306" spans="1:11" x14ac:dyDescent="0.2">
      <c r="A306" s="125">
        <f>IF(Values_Entered,A305+1,"")</f>
        <v>289</v>
      </c>
      <c r="B306" s="124">
        <f t="shared" si="32"/>
        <v>51167</v>
      </c>
      <c r="C306" s="122">
        <f t="shared" si="38"/>
        <v>33332.745581550058</v>
      </c>
      <c r="D306" s="122">
        <f t="shared" si="33"/>
        <v>536.82162301213907</v>
      </c>
      <c r="E306" s="123">
        <f t="shared" si="34"/>
        <v>0</v>
      </c>
      <c r="F306" s="122">
        <f t="shared" si="35"/>
        <v>536.82162301213907</v>
      </c>
      <c r="G306" s="122">
        <f t="shared" si="36"/>
        <v>397.93518308901378</v>
      </c>
      <c r="H306" s="122">
        <f t="shared" si="39"/>
        <v>138.88643992312527</v>
      </c>
      <c r="I306" s="122">
        <f t="shared" si="37"/>
        <v>32934.810398461042</v>
      </c>
      <c r="J306" s="122">
        <f>SUM($H$18:$H306)</f>
        <v>88076.259448969184</v>
      </c>
      <c r="K306" s="117">
        <v>25</v>
      </c>
    </row>
    <row r="307" spans="1:11" x14ac:dyDescent="0.2">
      <c r="A307" s="125">
        <f>IF(Values_Entered,A306+1,"")</f>
        <v>290</v>
      </c>
      <c r="B307" s="124">
        <f t="shared" si="32"/>
        <v>51196</v>
      </c>
      <c r="C307" s="122">
        <f t="shared" si="38"/>
        <v>32934.810398461042</v>
      </c>
      <c r="D307" s="122">
        <f t="shared" si="33"/>
        <v>536.82162301213907</v>
      </c>
      <c r="E307" s="123">
        <f t="shared" si="34"/>
        <v>0</v>
      </c>
      <c r="F307" s="122">
        <f t="shared" si="35"/>
        <v>536.82162301213907</v>
      </c>
      <c r="G307" s="122">
        <f t="shared" si="36"/>
        <v>399.59324635188472</v>
      </c>
      <c r="H307" s="122">
        <f t="shared" si="39"/>
        <v>137.22837666025436</v>
      </c>
      <c r="I307" s="122">
        <f t="shared" si="37"/>
        <v>32535.217152109159</v>
      </c>
      <c r="J307" s="122">
        <f>SUM($H$18:$H307)</f>
        <v>88213.487825629432</v>
      </c>
    </row>
    <row r="308" spans="1:11" x14ac:dyDescent="0.2">
      <c r="A308" s="125">
        <f>IF(Values_Entered,A307+1,"")</f>
        <v>291</v>
      </c>
      <c r="B308" s="124">
        <f t="shared" si="32"/>
        <v>51227</v>
      </c>
      <c r="C308" s="122">
        <f t="shared" si="38"/>
        <v>32535.217152109159</v>
      </c>
      <c r="D308" s="122">
        <f t="shared" si="33"/>
        <v>536.82162301213907</v>
      </c>
      <c r="E308" s="123">
        <f t="shared" si="34"/>
        <v>0</v>
      </c>
      <c r="F308" s="122">
        <f t="shared" si="35"/>
        <v>536.82162301213907</v>
      </c>
      <c r="G308" s="122">
        <f t="shared" si="36"/>
        <v>401.25821821168427</v>
      </c>
      <c r="H308" s="122">
        <f t="shared" si="39"/>
        <v>135.56340480045483</v>
      </c>
      <c r="I308" s="122">
        <f t="shared" si="37"/>
        <v>32133.958933897473</v>
      </c>
      <c r="J308" s="122">
        <f>SUM($H$18:$H308)</f>
        <v>88349.05123042989</v>
      </c>
    </row>
    <row r="309" spans="1:11" x14ac:dyDescent="0.2">
      <c r="A309" s="125">
        <f>IF(Values_Entered,A308+1,"")</f>
        <v>292</v>
      </c>
      <c r="B309" s="124">
        <f t="shared" si="32"/>
        <v>51257</v>
      </c>
      <c r="C309" s="122">
        <f t="shared" si="38"/>
        <v>32133.958933897473</v>
      </c>
      <c r="D309" s="122">
        <f t="shared" si="33"/>
        <v>536.82162301213907</v>
      </c>
      <c r="E309" s="123">
        <f t="shared" si="34"/>
        <v>0</v>
      </c>
      <c r="F309" s="122">
        <f t="shared" si="35"/>
        <v>536.82162301213907</v>
      </c>
      <c r="G309" s="122">
        <f t="shared" si="36"/>
        <v>402.93012745423289</v>
      </c>
      <c r="H309" s="122">
        <f t="shared" si="39"/>
        <v>133.89149555790615</v>
      </c>
      <c r="I309" s="122">
        <f t="shared" si="37"/>
        <v>31731.028806443239</v>
      </c>
      <c r="J309" s="122">
        <f>SUM($H$18:$H309)</f>
        <v>88482.942725987799</v>
      </c>
    </row>
    <row r="310" spans="1:11" x14ac:dyDescent="0.2">
      <c r="A310" s="125">
        <f>IF(Values_Entered,A309+1,"")</f>
        <v>293</v>
      </c>
      <c r="B310" s="124">
        <f t="shared" si="32"/>
        <v>51288</v>
      </c>
      <c r="C310" s="122">
        <f t="shared" si="38"/>
        <v>31731.028806443239</v>
      </c>
      <c r="D310" s="122">
        <f t="shared" si="33"/>
        <v>536.82162301213907</v>
      </c>
      <c r="E310" s="123">
        <f t="shared" si="34"/>
        <v>0</v>
      </c>
      <c r="F310" s="122">
        <f t="shared" si="35"/>
        <v>536.82162301213907</v>
      </c>
      <c r="G310" s="122">
        <f t="shared" si="36"/>
        <v>404.60900298529225</v>
      </c>
      <c r="H310" s="122">
        <f t="shared" si="39"/>
        <v>132.21262002684685</v>
      </c>
      <c r="I310" s="122">
        <f t="shared" si="37"/>
        <v>31326.419803457946</v>
      </c>
      <c r="J310" s="122">
        <f>SUM($H$18:$H310)</f>
        <v>88615.155346014653</v>
      </c>
    </row>
    <row r="311" spans="1:11" x14ac:dyDescent="0.2">
      <c r="A311" s="125">
        <f>IF(Values_Entered,A310+1,"")</f>
        <v>294</v>
      </c>
      <c r="B311" s="124">
        <f t="shared" si="32"/>
        <v>51318</v>
      </c>
      <c r="C311" s="122">
        <f t="shared" si="38"/>
        <v>31326.419803457946</v>
      </c>
      <c r="D311" s="122">
        <f t="shared" si="33"/>
        <v>536.82162301213907</v>
      </c>
      <c r="E311" s="123">
        <f t="shared" si="34"/>
        <v>0</v>
      </c>
      <c r="F311" s="122">
        <f t="shared" si="35"/>
        <v>536.82162301213907</v>
      </c>
      <c r="G311" s="122">
        <f t="shared" si="36"/>
        <v>406.29487383106425</v>
      </c>
      <c r="H311" s="122">
        <f t="shared" si="39"/>
        <v>130.52674918107479</v>
      </c>
      <c r="I311" s="122">
        <f t="shared" si="37"/>
        <v>30920.12492962688</v>
      </c>
      <c r="J311" s="122">
        <f>SUM($H$18:$H311)</f>
        <v>88745.682095195734</v>
      </c>
    </row>
    <row r="312" spans="1:11" x14ac:dyDescent="0.2">
      <c r="A312" s="125">
        <f>IF(Values_Entered,A311+1,"")</f>
        <v>295</v>
      </c>
      <c r="B312" s="124">
        <f t="shared" si="32"/>
        <v>51349</v>
      </c>
      <c r="C312" s="122">
        <f t="shared" si="38"/>
        <v>30920.12492962688</v>
      </c>
      <c r="D312" s="122">
        <f t="shared" si="33"/>
        <v>536.82162301213907</v>
      </c>
      <c r="E312" s="123">
        <f t="shared" si="34"/>
        <v>0</v>
      </c>
      <c r="F312" s="122">
        <f t="shared" si="35"/>
        <v>536.82162301213907</v>
      </c>
      <c r="G312" s="122">
        <f t="shared" si="36"/>
        <v>407.98776913869369</v>
      </c>
      <c r="H312" s="122">
        <f t="shared" si="39"/>
        <v>128.83385387344535</v>
      </c>
      <c r="I312" s="122">
        <f t="shared" si="37"/>
        <v>30512.137160488186</v>
      </c>
      <c r="J312" s="122">
        <f>SUM($H$18:$H312)</f>
        <v>88874.515949069173</v>
      </c>
    </row>
    <row r="313" spans="1:11" x14ac:dyDescent="0.2">
      <c r="A313" s="125">
        <f>IF(Values_Entered,A312+1,"")</f>
        <v>296</v>
      </c>
      <c r="B313" s="124">
        <f t="shared" si="32"/>
        <v>51380</v>
      </c>
      <c r="C313" s="122">
        <f t="shared" si="38"/>
        <v>30512.137160488186</v>
      </c>
      <c r="D313" s="122">
        <f t="shared" si="33"/>
        <v>536.82162301213907</v>
      </c>
      <c r="E313" s="123">
        <f t="shared" si="34"/>
        <v>0</v>
      </c>
      <c r="F313" s="122">
        <f t="shared" si="35"/>
        <v>536.82162301213907</v>
      </c>
      <c r="G313" s="122">
        <f t="shared" si="36"/>
        <v>409.68771817677163</v>
      </c>
      <c r="H313" s="122">
        <f t="shared" si="39"/>
        <v>127.13390483536745</v>
      </c>
      <c r="I313" s="122">
        <f t="shared" si="37"/>
        <v>30102.449442311416</v>
      </c>
      <c r="J313" s="122">
        <f>SUM($H$18:$H313)</f>
        <v>89001.649853904542</v>
      </c>
    </row>
    <row r="314" spans="1:11" x14ac:dyDescent="0.2">
      <c r="A314" s="125">
        <f>IF(Values_Entered,A313+1,"")</f>
        <v>297</v>
      </c>
      <c r="B314" s="124">
        <f t="shared" si="32"/>
        <v>51410</v>
      </c>
      <c r="C314" s="122">
        <f t="shared" si="38"/>
        <v>30102.449442311416</v>
      </c>
      <c r="D314" s="122">
        <f t="shared" si="33"/>
        <v>536.82162301213907</v>
      </c>
      <c r="E314" s="123">
        <f t="shared" si="34"/>
        <v>0</v>
      </c>
      <c r="F314" s="122">
        <f t="shared" si="35"/>
        <v>536.82162301213907</v>
      </c>
      <c r="G314" s="122">
        <f t="shared" si="36"/>
        <v>411.39475033584148</v>
      </c>
      <c r="H314" s="122">
        <f t="shared" si="39"/>
        <v>125.42687267629758</v>
      </c>
      <c r="I314" s="122">
        <f t="shared" si="37"/>
        <v>29691.054691975572</v>
      </c>
      <c r="J314" s="122">
        <f>SUM($H$18:$H314)</f>
        <v>89127.076726580839</v>
      </c>
    </row>
    <row r="315" spans="1:11" x14ac:dyDescent="0.2">
      <c r="A315" s="125">
        <f>IF(Values_Entered,A314+1,"")</f>
        <v>298</v>
      </c>
      <c r="B315" s="124">
        <f t="shared" si="32"/>
        <v>51441</v>
      </c>
      <c r="C315" s="122">
        <f t="shared" si="38"/>
        <v>29691.054691975572</v>
      </c>
      <c r="D315" s="122">
        <f t="shared" si="33"/>
        <v>536.82162301213907</v>
      </c>
      <c r="E315" s="123">
        <f t="shared" si="34"/>
        <v>0</v>
      </c>
      <c r="F315" s="122">
        <f t="shared" si="35"/>
        <v>536.82162301213907</v>
      </c>
      <c r="G315" s="122">
        <f t="shared" si="36"/>
        <v>413.10889512890753</v>
      </c>
      <c r="H315" s="122">
        <f t="shared" si="39"/>
        <v>123.71272788323155</v>
      </c>
      <c r="I315" s="122">
        <f t="shared" si="37"/>
        <v>29277.945796846667</v>
      </c>
      <c r="J315" s="122">
        <f>SUM($H$18:$H315)</f>
        <v>89250.789454464073</v>
      </c>
    </row>
    <row r="316" spans="1:11" x14ac:dyDescent="0.2">
      <c r="A316" s="125">
        <f>IF(Values_Entered,A315+1,"")</f>
        <v>299</v>
      </c>
      <c r="B316" s="124">
        <f t="shared" si="32"/>
        <v>51471</v>
      </c>
      <c r="C316" s="122">
        <f t="shared" si="38"/>
        <v>29277.945796846667</v>
      </c>
      <c r="D316" s="122">
        <f t="shared" si="33"/>
        <v>536.82162301213907</v>
      </c>
      <c r="E316" s="123">
        <f t="shared" si="34"/>
        <v>0</v>
      </c>
      <c r="F316" s="122">
        <f t="shared" si="35"/>
        <v>536.82162301213907</v>
      </c>
      <c r="G316" s="122">
        <f t="shared" si="36"/>
        <v>414.83018219194463</v>
      </c>
      <c r="H316" s="122">
        <f t="shared" si="39"/>
        <v>121.99144082019446</v>
      </c>
      <c r="I316" s="122">
        <f t="shared" si="37"/>
        <v>28863.115614654722</v>
      </c>
      <c r="J316" s="122">
        <f>SUM($H$18:$H316)</f>
        <v>89372.780895284261</v>
      </c>
    </row>
    <row r="317" spans="1:11" x14ac:dyDescent="0.2">
      <c r="A317" s="162">
        <f>IF(Values_Entered,A316+1,"")</f>
        <v>300</v>
      </c>
      <c r="B317" s="163">
        <f t="shared" si="32"/>
        <v>51502</v>
      </c>
      <c r="C317" s="164">
        <f t="shared" si="38"/>
        <v>28863.115614654722</v>
      </c>
      <c r="D317" s="164">
        <f t="shared" si="33"/>
        <v>536.82162301213907</v>
      </c>
      <c r="E317" s="165">
        <f t="shared" si="34"/>
        <v>0</v>
      </c>
      <c r="F317" s="164">
        <f t="shared" si="35"/>
        <v>536.82162301213907</v>
      </c>
      <c r="G317" s="164">
        <f t="shared" si="36"/>
        <v>416.55864128441107</v>
      </c>
      <c r="H317" s="164">
        <f t="shared" si="39"/>
        <v>120.26298172772802</v>
      </c>
      <c r="I317" s="164">
        <f t="shared" si="37"/>
        <v>28446.556973370312</v>
      </c>
      <c r="J317" s="164">
        <f>SUM($H$18:$H317)</f>
        <v>89493.043877011994</v>
      </c>
    </row>
    <row r="318" spans="1:11" x14ac:dyDescent="0.2">
      <c r="A318" s="125">
        <f>IF(Values_Entered,A317+1,"")</f>
        <v>301</v>
      </c>
      <c r="B318" s="124">
        <f t="shared" si="32"/>
        <v>51533</v>
      </c>
      <c r="C318" s="122">
        <f t="shared" si="38"/>
        <v>28446.556973370312</v>
      </c>
      <c r="D318" s="122">
        <f t="shared" si="33"/>
        <v>536.82162301213907</v>
      </c>
      <c r="E318" s="123">
        <f t="shared" si="34"/>
        <v>0</v>
      </c>
      <c r="F318" s="122">
        <f t="shared" si="35"/>
        <v>536.82162301213907</v>
      </c>
      <c r="G318" s="122">
        <f t="shared" si="36"/>
        <v>418.29430228976275</v>
      </c>
      <c r="H318" s="122">
        <f t="shared" si="39"/>
        <v>118.52732072237632</v>
      </c>
      <c r="I318" s="122">
        <f t="shared" si="37"/>
        <v>28028.262671080549</v>
      </c>
      <c r="J318" s="122">
        <f>SUM($H$18:$H318)</f>
        <v>89611.571197734374</v>
      </c>
      <c r="K318" s="117">
        <v>26</v>
      </c>
    </row>
    <row r="319" spans="1:11" x14ac:dyDescent="0.2">
      <c r="A319" s="125">
        <f>IF(Values_Entered,A318+1,"")</f>
        <v>302</v>
      </c>
      <c r="B319" s="124">
        <f t="shared" si="32"/>
        <v>51561</v>
      </c>
      <c r="C319" s="122">
        <f t="shared" si="38"/>
        <v>28028.262671080549</v>
      </c>
      <c r="D319" s="122">
        <f t="shared" si="33"/>
        <v>536.82162301213907</v>
      </c>
      <c r="E319" s="123">
        <f t="shared" si="34"/>
        <v>0</v>
      </c>
      <c r="F319" s="122">
        <f t="shared" si="35"/>
        <v>536.82162301213907</v>
      </c>
      <c r="G319" s="122">
        <f t="shared" si="36"/>
        <v>420.03719521597009</v>
      </c>
      <c r="H319" s="122">
        <f t="shared" si="39"/>
        <v>116.78442779616897</v>
      </c>
      <c r="I319" s="122">
        <f t="shared" si="37"/>
        <v>27608.225475864579</v>
      </c>
      <c r="J319" s="122">
        <f>SUM($H$18:$H319)</f>
        <v>89728.355625530545</v>
      </c>
    </row>
    <row r="320" spans="1:11" x14ac:dyDescent="0.2">
      <c r="A320" s="125">
        <f>IF(Values_Entered,A319+1,"")</f>
        <v>303</v>
      </c>
      <c r="B320" s="124">
        <f t="shared" si="32"/>
        <v>51592</v>
      </c>
      <c r="C320" s="122">
        <f t="shared" si="38"/>
        <v>27608.225475864579</v>
      </c>
      <c r="D320" s="122">
        <f t="shared" si="33"/>
        <v>536.82162301213907</v>
      </c>
      <c r="E320" s="123">
        <f t="shared" si="34"/>
        <v>0</v>
      </c>
      <c r="F320" s="122">
        <f t="shared" si="35"/>
        <v>536.82162301213907</v>
      </c>
      <c r="G320" s="122">
        <f t="shared" si="36"/>
        <v>421.78735019603664</v>
      </c>
      <c r="H320" s="122">
        <f t="shared" si="39"/>
        <v>115.03427281610243</v>
      </c>
      <c r="I320" s="122">
        <f t="shared" si="37"/>
        <v>27186.438125668545</v>
      </c>
      <c r="J320" s="122">
        <f>SUM($H$18:$H320)</f>
        <v>89843.38989834665</v>
      </c>
    </row>
    <row r="321" spans="1:11" x14ac:dyDescent="0.2">
      <c r="A321" s="125">
        <f>IF(Values_Entered,A320+1,"")</f>
        <v>304</v>
      </c>
      <c r="B321" s="124">
        <f t="shared" si="32"/>
        <v>51622</v>
      </c>
      <c r="C321" s="122">
        <f t="shared" si="38"/>
        <v>27186.438125668545</v>
      </c>
      <c r="D321" s="122">
        <f t="shared" si="33"/>
        <v>536.82162301213907</v>
      </c>
      <c r="E321" s="123">
        <f t="shared" si="34"/>
        <v>0</v>
      </c>
      <c r="F321" s="122">
        <f t="shared" si="35"/>
        <v>536.82162301213907</v>
      </c>
      <c r="G321" s="122">
        <f t="shared" si="36"/>
        <v>423.54479748852015</v>
      </c>
      <c r="H321" s="122">
        <f t="shared" si="39"/>
        <v>113.27682552361894</v>
      </c>
      <c r="I321" s="122">
        <f t="shared" si="37"/>
        <v>26762.893328180024</v>
      </c>
      <c r="J321" s="122">
        <f>SUM($H$18:$H321)</f>
        <v>89956.666723870265</v>
      </c>
    </row>
    <row r="322" spans="1:11" x14ac:dyDescent="0.2">
      <c r="A322" s="125">
        <f>IF(Values_Entered,A321+1,"")</f>
        <v>305</v>
      </c>
      <c r="B322" s="124">
        <f t="shared" si="32"/>
        <v>51653</v>
      </c>
      <c r="C322" s="122">
        <f t="shared" si="38"/>
        <v>26762.893328180024</v>
      </c>
      <c r="D322" s="122">
        <f t="shared" si="33"/>
        <v>536.82162301213907</v>
      </c>
      <c r="E322" s="123">
        <f t="shared" si="34"/>
        <v>0</v>
      </c>
      <c r="F322" s="122">
        <f t="shared" si="35"/>
        <v>536.82162301213907</v>
      </c>
      <c r="G322" s="122">
        <f t="shared" si="36"/>
        <v>425.30956747805561</v>
      </c>
      <c r="H322" s="122">
        <f t="shared" si="39"/>
        <v>111.51205553408344</v>
      </c>
      <c r="I322" s="122">
        <f t="shared" si="37"/>
        <v>26337.583760701968</v>
      </c>
      <c r="J322" s="122">
        <f>SUM($H$18:$H322)</f>
        <v>90068.178779404348</v>
      </c>
    </row>
    <row r="323" spans="1:11" x14ac:dyDescent="0.2">
      <c r="A323" s="125">
        <f>IF(Values_Entered,A322+1,"")</f>
        <v>306</v>
      </c>
      <c r="B323" s="124">
        <f t="shared" si="32"/>
        <v>51683</v>
      </c>
      <c r="C323" s="122">
        <f t="shared" si="38"/>
        <v>26337.583760701968</v>
      </c>
      <c r="D323" s="122">
        <f t="shared" si="33"/>
        <v>536.82162301213907</v>
      </c>
      <c r="E323" s="123">
        <f t="shared" si="34"/>
        <v>0</v>
      </c>
      <c r="F323" s="122">
        <f t="shared" si="35"/>
        <v>536.82162301213907</v>
      </c>
      <c r="G323" s="122">
        <f t="shared" si="36"/>
        <v>427.08169067588085</v>
      </c>
      <c r="H323" s="122">
        <f t="shared" si="39"/>
        <v>109.73993233625821</v>
      </c>
      <c r="I323" s="122">
        <f t="shared" si="37"/>
        <v>25910.502070026087</v>
      </c>
      <c r="J323" s="122">
        <f>SUM($H$18:$H323)</f>
        <v>90177.918711740611</v>
      </c>
    </row>
    <row r="324" spans="1:11" x14ac:dyDescent="0.2">
      <c r="A324" s="125">
        <f>IF(Values_Entered,A323+1,"")</f>
        <v>307</v>
      </c>
      <c r="B324" s="124">
        <f t="shared" si="32"/>
        <v>51714</v>
      </c>
      <c r="C324" s="122">
        <f t="shared" si="38"/>
        <v>25910.502070026087</v>
      </c>
      <c r="D324" s="122">
        <f t="shared" si="33"/>
        <v>536.82162301213907</v>
      </c>
      <c r="E324" s="123">
        <f t="shared" si="34"/>
        <v>0</v>
      </c>
      <c r="F324" s="122">
        <f t="shared" si="35"/>
        <v>536.82162301213907</v>
      </c>
      <c r="G324" s="122">
        <f t="shared" si="36"/>
        <v>428.86119772036369</v>
      </c>
      <c r="H324" s="122">
        <f t="shared" si="39"/>
        <v>107.96042529177537</v>
      </c>
      <c r="I324" s="122">
        <f t="shared" si="37"/>
        <v>25481.640872305721</v>
      </c>
      <c r="J324" s="122">
        <f>SUM($H$18:$H324)</f>
        <v>90285.879137032389</v>
      </c>
    </row>
    <row r="325" spans="1:11" x14ac:dyDescent="0.2">
      <c r="A325" s="125">
        <f>IF(Values_Entered,A324+1,"")</f>
        <v>308</v>
      </c>
      <c r="B325" s="124">
        <f t="shared" si="32"/>
        <v>51745</v>
      </c>
      <c r="C325" s="122">
        <f t="shared" si="38"/>
        <v>25481.640872305721</v>
      </c>
      <c r="D325" s="122">
        <f t="shared" si="33"/>
        <v>536.82162301213907</v>
      </c>
      <c r="E325" s="123">
        <f t="shared" si="34"/>
        <v>0</v>
      </c>
      <c r="F325" s="122">
        <f t="shared" si="35"/>
        <v>536.82162301213907</v>
      </c>
      <c r="G325" s="122">
        <f t="shared" si="36"/>
        <v>430.64811937753188</v>
      </c>
      <c r="H325" s="122">
        <f t="shared" si="39"/>
        <v>106.17350363460719</v>
      </c>
      <c r="I325" s="122">
        <f t="shared" si="37"/>
        <v>25050.992752928189</v>
      </c>
      <c r="J325" s="122">
        <f>SUM($H$18:$H325)</f>
        <v>90392.052640666996</v>
      </c>
    </row>
    <row r="326" spans="1:11" x14ac:dyDescent="0.2">
      <c r="A326" s="125">
        <f>IF(Values_Entered,A325+1,"")</f>
        <v>309</v>
      </c>
      <c r="B326" s="124">
        <f t="shared" si="32"/>
        <v>51775</v>
      </c>
      <c r="C326" s="122">
        <f t="shared" si="38"/>
        <v>25050.992752928189</v>
      </c>
      <c r="D326" s="122">
        <f t="shared" si="33"/>
        <v>536.82162301213907</v>
      </c>
      <c r="E326" s="123">
        <f t="shared" si="34"/>
        <v>0</v>
      </c>
      <c r="F326" s="122">
        <f t="shared" si="35"/>
        <v>536.82162301213907</v>
      </c>
      <c r="G326" s="122">
        <f t="shared" si="36"/>
        <v>432.44248654160492</v>
      </c>
      <c r="H326" s="122">
        <f t="shared" si="39"/>
        <v>104.37913647053414</v>
      </c>
      <c r="I326" s="122">
        <f t="shared" si="37"/>
        <v>24618.550266386585</v>
      </c>
      <c r="J326" s="122">
        <f>SUM($H$18:$H326)</f>
        <v>90496.431777137535</v>
      </c>
    </row>
    <row r="327" spans="1:11" x14ac:dyDescent="0.2">
      <c r="A327" s="125">
        <f>IF(Values_Entered,A326+1,"")</f>
        <v>310</v>
      </c>
      <c r="B327" s="124">
        <f t="shared" si="32"/>
        <v>51806</v>
      </c>
      <c r="C327" s="122">
        <f t="shared" si="38"/>
        <v>24618.550266386585</v>
      </c>
      <c r="D327" s="122">
        <f t="shared" si="33"/>
        <v>536.82162301213907</v>
      </c>
      <c r="E327" s="123">
        <f t="shared" si="34"/>
        <v>0</v>
      </c>
      <c r="F327" s="122">
        <f t="shared" si="35"/>
        <v>536.82162301213907</v>
      </c>
      <c r="G327" s="122">
        <f t="shared" si="36"/>
        <v>434.24433023552831</v>
      </c>
      <c r="H327" s="122">
        <f t="shared" si="39"/>
        <v>102.57729277661078</v>
      </c>
      <c r="I327" s="122">
        <f t="shared" si="37"/>
        <v>24184.305936151057</v>
      </c>
      <c r="J327" s="122">
        <f>SUM($H$18:$H327)</f>
        <v>90599.009069914144</v>
      </c>
    </row>
    <row r="328" spans="1:11" x14ac:dyDescent="0.2">
      <c r="A328" s="125">
        <f>IF(Values_Entered,A327+1,"")</f>
        <v>311</v>
      </c>
      <c r="B328" s="124">
        <f t="shared" si="32"/>
        <v>51836</v>
      </c>
      <c r="C328" s="122">
        <f t="shared" si="38"/>
        <v>24184.305936151057</v>
      </c>
      <c r="D328" s="122">
        <f t="shared" si="33"/>
        <v>536.82162301213907</v>
      </c>
      <c r="E328" s="123">
        <f t="shared" si="34"/>
        <v>0</v>
      </c>
      <c r="F328" s="122">
        <f t="shared" si="35"/>
        <v>536.82162301213907</v>
      </c>
      <c r="G328" s="122">
        <f t="shared" si="36"/>
        <v>436.05368161150966</v>
      </c>
      <c r="H328" s="122">
        <f t="shared" si="39"/>
        <v>100.76794140062941</v>
      </c>
      <c r="I328" s="122">
        <f t="shared" si="37"/>
        <v>23748.252254539548</v>
      </c>
      <c r="J328" s="122">
        <f>SUM($H$18:$H328)</f>
        <v>90699.777011314771</v>
      </c>
    </row>
    <row r="329" spans="1:11" x14ac:dyDescent="0.2">
      <c r="A329" s="162">
        <f>IF(Values_Entered,A328+1,"")</f>
        <v>312</v>
      </c>
      <c r="B329" s="163">
        <f t="shared" si="32"/>
        <v>51867</v>
      </c>
      <c r="C329" s="164">
        <f t="shared" si="38"/>
        <v>23748.252254539548</v>
      </c>
      <c r="D329" s="164">
        <f t="shared" si="33"/>
        <v>536.82162301213907</v>
      </c>
      <c r="E329" s="165">
        <f t="shared" si="34"/>
        <v>0</v>
      </c>
      <c r="F329" s="164">
        <f t="shared" si="35"/>
        <v>536.82162301213907</v>
      </c>
      <c r="G329" s="164">
        <f t="shared" si="36"/>
        <v>437.87057195155762</v>
      </c>
      <c r="H329" s="164">
        <f t="shared" si="39"/>
        <v>98.951051060581449</v>
      </c>
      <c r="I329" s="164">
        <f t="shared" si="37"/>
        <v>23310.381682587991</v>
      </c>
      <c r="J329" s="164">
        <f>SUM($H$18:$H329)</f>
        <v>90798.728062375347</v>
      </c>
    </row>
    <row r="330" spans="1:11" x14ac:dyDescent="0.2">
      <c r="A330" s="125">
        <f>IF(Values_Entered,A329+1,"")</f>
        <v>313</v>
      </c>
      <c r="B330" s="124">
        <f t="shared" si="32"/>
        <v>51898</v>
      </c>
      <c r="C330" s="122">
        <f t="shared" si="38"/>
        <v>23310.381682587991</v>
      </c>
      <c r="D330" s="122">
        <f t="shared" si="33"/>
        <v>536.82162301213907</v>
      </c>
      <c r="E330" s="123">
        <f t="shared" si="34"/>
        <v>0</v>
      </c>
      <c r="F330" s="122">
        <f t="shared" si="35"/>
        <v>536.82162301213907</v>
      </c>
      <c r="G330" s="122">
        <f t="shared" si="36"/>
        <v>439.69503266802246</v>
      </c>
      <c r="H330" s="122">
        <f t="shared" si="39"/>
        <v>97.126590344116622</v>
      </c>
      <c r="I330" s="122">
        <f t="shared" si="37"/>
        <v>22870.686649919968</v>
      </c>
      <c r="J330" s="122">
        <f>SUM($H$18:$H330)</f>
        <v>90895.85465271947</v>
      </c>
      <c r="K330" s="117">
        <v>27</v>
      </c>
    </row>
    <row r="331" spans="1:11" x14ac:dyDescent="0.2">
      <c r="A331" s="125">
        <f>IF(Values_Entered,A330+1,"")</f>
        <v>314</v>
      </c>
      <c r="B331" s="124">
        <f t="shared" si="32"/>
        <v>51926</v>
      </c>
      <c r="C331" s="122">
        <f t="shared" si="38"/>
        <v>22870.686649919968</v>
      </c>
      <c r="D331" s="122">
        <f t="shared" si="33"/>
        <v>536.82162301213907</v>
      </c>
      <c r="E331" s="123">
        <f t="shared" si="34"/>
        <v>0</v>
      </c>
      <c r="F331" s="122">
        <f t="shared" si="35"/>
        <v>536.82162301213907</v>
      </c>
      <c r="G331" s="122">
        <f t="shared" si="36"/>
        <v>441.52709530413921</v>
      </c>
      <c r="H331" s="122">
        <f t="shared" si="39"/>
        <v>95.294527707999862</v>
      </c>
      <c r="I331" s="122">
        <f t="shared" si="37"/>
        <v>22429.159554615828</v>
      </c>
      <c r="J331" s="122">
        <f>SUM($H$18:$H331)</f>
        <v>90991.14918042747</v>
      </c>
    </row>
    <row r="332" spans="1:11" x14ac:dyDescent="0.2">
      <c r="A332" s="125">
        <f>IF(Values_Entered,A331+1,"")</f>
        <v>315</v>
      </c>
      <c r="B332" s="124">
        <f t="shared" si="32"/>
        <v>51957</v>
      </c>
      <c r="C332" s="122">
        <f t="shared" si="38"/>
        <v>22429.159554615828</v>
      </c>
      <c r="D332" s="122">
        <f t="shared" si="33"/>
        <v>536.82162301213907</v>
      </c>
      <c r="E332" s="123">
        <f t="shared" si="34"/>
        <v>0</v>
      </c>
      <c r="F332" s="122">
        <f t="shared" si="35"/>
        <v>536.82162301213907</v>
      </c>
      <c r="G332" s="122">
        <f t="shared" si="36"/>
        <v>443.36679153457311</v>
      </c>
      <c r="H332" s="122">
        <f t="shared" si="39"/>
        <v>93.454831477565961</v>
      </c>
      <c r="I332" s="122">
        <f t="shared" si="37"/>
        <v>21985.792763081256</v>
      </c>
      <c r="J332" s="122">
        <f>SUM($H$18:$H332)</f>
        <v>91084.60401190503</v>
      </c>
    </row>
    <row r="333" spans="1:11" x14ac:dyDescent="0.2">
      <c r="A333" s="125">
        <f>IF(Values_Entered,A332+1,"")</f>
        <v>316</v>
      </c>
      <c r="B333" s="124">
        <f t="shared" si="32"/>
        <v>51987</v>
      </c>
      <c r="C333" s="122">
        <f t="shared" si="38"/>
        <v>21985.792763081256</v>
      </c>
      <c r="D333" s="122">
        <f t="shared" si="33"/>
        <v>536.82162301213907</v>
      </c>
      <c r="E333" s="123">
        <f t="shared" si="34"/>
        <v>0</v>
      </c>
      <c r="F333" s="122">
        <f t="shared" si="35"/>
        <v>536.82162301213907</v>
      </c>
      <c r="G333" s="122">
        <f t="shared" si="36"/>
        <v>445.21415316596716</v>
      </c>
      <c r="H333" s="122">
        <f t="shared" si="39"/>
        <v>91.607469846171909</v>
      </c>
      <c r="I333" s="122">
        <f t="shared" si="37"/>
        <v>21540.57860991529</v>
      </c>
      <c r="J333" s="122">
        <f>SUM($H$18:$H333)</f>
        <v>91176.211481751205</v>
      </c>
    </row>
    <row r="334" spans="1:11" x14ac:dyDescent="0.2">
      <c r="A334" s="125">
        <f>IF(Values_Entered,A333+1,"")</f>
        <v>317</v>
      </c>
      <c r="B334" s="124">
        <f t="shared" si="32"/>
        <v>52018</v>
      </c>
      <c r="C334" s="122">
        <f t="shared" si="38"/>
        <v>21540.57860991529</v>
      </c>
      <c r="D334" s="122">
        <f t="shared" si="33"/>
        <v>536.82162301213907</v>
      </c>
      <c r="E334" s="123">
        <f t="shared" si="34"/>
        <v>0</v>
      </c>
      <c r="F334" s="122">
        <f t="shared" si="35"/>
        <v>536.82162301213907</v>
      </c>
      <c r="G334" s="122">
        <f t="shared" si="36"/>
        <v>447.069212137492</v>
      </c>
      <c r="H334" s="122">
        <f t="shared" si="39"/>
        <v>89.752410874647055</v>
      </c>
      <c r="I334" s="122">
        <f t="shared" si="37"/>
        <v>21093.509397777798</v>
      </c>
      <c r="J334" s="122">
        <f>SUM($H$18:$H334)</f>
        <v>91265.963892625849</v>
      </c>
    </row>
    <row r="335" spans="1:11" x14ac:dyDescent="0.2">
      <c r="A335" s="125">
        <f>IF(Values_Entered,A334+1,"")</f>
        <v>318</v>
      </c>
      <c r="B335" s="124">
        <f t="shared" si="32"/>
        <v>52048</v>
      </c>
      <c r="C335" s="122">
        <f t="shared" si="38"/>
        <v>21093.509397777798</v>
      </c>
      <c r="D335" s="122">
        <f t="shared" si="33"/>
        <v>536.82162301213907</v>
      </c>
      <c r="E335" s="123">
        <f t="shared" si="34"/>
        <v>0</v>
      </c>
      <c r="F335" s="122">
        <f t="shared" si="35"/>
        <v>536.82162301213907</v>
      </c>
      <c r="G335" s="122">
        <f t="shared" si="36"/>
        <v>448.93200052139827</v>
      </c>
      <c r="H335" s="122">
        <f t="shared" si="39"/>
        <v>87.88962249074082</v>
      </c>
      <c r="I335" s="122">
        <f t="shared" si="37"/>
        <v>20644.577397256398</v>
      </c>
      <c r="J335" s="122">
        <f>SUM($H$18:$H335)</f>
        <v>91353.853515116585</v>
      </c>
    </row>
    <row r="336" spans="1:11" x14ac:dyDescent="0.2">
      <c r="A336" s="125">
        <f>IF(Values_Entered,A335+1,"")</f>
        <v>319</v>
      </c>
      <c r="B336" s="124">
        <f t="shared" si="32"/>
        <v>52079</v>
      </c>
      <c r="C336" s="122">
        <f t="shared" si="38"/>
        <v>20644.577397256398</v>
      </c>
      <c r="D336" s="122">
        <f t="shared" si="33"/>
        <v>536.82162301213907</v>
      </c>
      <c r="E336" s="123">
        <f t="shared" si="34"/>
        <v>0</v>
      </c>
      <c r="F336" s="122">
        <f t="shared" si="35"/>
        <v>536.82162301213907</v>
      </c>
      <c r="G336" s="122">
        <f t="shared" si="36"/>
        <v>450.80255052357074</v>
      </c>
      <c r="H336" s="122">
        <f t="shared" si="39"/>
        <v>86.019072488568327</v>
      </c>
      <c r="I336" s="122">
        <f t="shared" si="37"/>
        <v>20193.774846732827</v>
      </c>
      <c r="J336" s="122">
        <f>SUM($H$18:$H336)</f>
        <v>91439.872587605147</v>
      </c>
    </row>
    <row r="337" spans="1:11" x14ac:dyDescent="0.2">
      <c r="A337" s="125">
        <f>IF(Values_Entered,A336+1,"")</f>
        <v>320</v>
      </c>
      <c r="B337" s="124">
        <f t="shared" si="32"/>
        <v>52110</v>
      </c>
      <c r="C337" s="122">
        <f t="shared" si="38"/>
        <v>20193.774846732827</v>
      </c>
      <c r="D337" s="122">
        <f t="shared" si="33"/>
        <v>536.82162301213907</v>
      </c>
      <c r="E337" s="123">
        <f t="shared" si="34"/>
        <v>0</v>
      </c>
      <c r="F337" s="122">
        <f t="shared" si="35"/>
        <v>536.82162301213907</v>
      </c>
      <c r="G337" s="122">
        <f t="shared" si="36"/>
        <v>452.68089448408563</v>
      </c>
      <c r="H337" s="122">
        <f t="shared" si="39"/>
        <v>84.140728528053458</v>
      </c>
      <c r="I337" s="122">
        <f t="shared" si="37"/>
        <v>19741.093952248742</v>
      </c>
      <c r="J337" s="122">
        <f>SUM($H$18:$H337)</f>
        <v>91524.013316133205</v>
      </c>
    </row>
    <row r="338" spans="1:11" x14ac:dyDescent="0.2">
      <c r="A338" s="125">
        <f>IF(Values_Entered,A337+1,"")</f>
        <v>321</v>
      </c>
      <c r="B338" s="124">
        <f t="shared" ref="B338:B377" si="40">IF(Pay_Num&lt;&gt;"",DATE(YEAR(Loan_Start),MONTH(Loan_Start)+(Pay_Num)*12/Num_Pmt_Per_Year,DAY(Loan_Start)),"")</f>
        <v>52140</v>
      </c>
      <c r="C338" s="122">
        <f t="shared" si="38"/>
        <v>19741.093952248742</v>
      </c>
      <c r="D338" s="122">
        <f t="shared" ref="D338:D377" si="41">IF(Pay_Num&lt;&gt;"",Scheduled_Monthly_Payment,"")</f>
        <v>536.82162301213907</v>
      </c>
      <c r="E338" s="123">
        <f t="shared" ref="E338:E377" si="42">IF(AND(Pay_Num&lt;&gt;"",Sched_Pay+Scheduled_Extra_Payments&lt;Beg_Bal),Scheduled_Extra_Payments,IF(AND(Pay_Num&lt;&gt;"",Beg_Bal-Sched_Pay&gt;0),Beg_Bal-Sched_Pay,IF(Pay_Num&lt;&gt;"",0,"")))</f>
        <v>0</v>
      </c>
      <c r="F338" s="122">
        <f t="shared" ref="F338:F377" si="43">IF(AND(Pay_Num&lt;&gt;"",Sched_Pay+Extra_Pay&lt;Beg_Bal),Sched_Pay+Extra_Pay,IF(Pay_Num&lt;&gt;"",Beg_Bal,""))</f>
        <v>536.82162301213907</v>
      </c>
      <c r="G338" s="122">
        <f t="shared" ref="G338:G377" si="44">IF(Pay_Num&lt;&gt;"",Total_Pay-Int,"")</f>
        <v>454.56706487776933</v>
      </c>
      <c r="H338" s="122">
        <f t="shared" si="39"/>
        <v>82.254558134369759</v>
      </c>
      <c r="I338" s="122">
        <f t="shared" ref="I338:I377" si="45">IF(AND(Pay_Num&lt;&gt;"",Sched_Pay+Extra_Pay&lt;Beg_Bal),Beg_Bal-Princ,IF(Pay_Num&lt;&gt;"",0,""))</f>
        <v>19286.526887370972</v>
      </c>
      <c r="J338" s="122">
        <f>SUM($H$18:$H338)</f>
        <v>91606.267874267578</v>
      </c>
    </row>
    <row r="339" spans="1:11" x14ac:dyDescent="0.2">
      <c r="A339" s="125">
        <f>IF(Values_Entered,A338+1,"")</f>
        <v>322</v>
      </c>
      <c r="B339" s="124">
        <f t="shared" si="40"/>
        <v>52171</v>
      </c>
      <c r="C339" s="122">
        <f t="shared" ref="C339:C377" si="46">IF(Pay_Num&lt;&gt;"",I338,"")</f>
        <v>19286.526887370972</v>
      </c>
      <c r="D339" s="122">
        <f t="shared" si="41"/>
        <v>536.82162301213907</v>
      </c>
      <c r="E339" s="123">
        <f t="shared" si="42"/>
        <v>0</v>
      </c>
      <c r="F339" s="122">
        <f t="shared" si="43"/>
        <v>536.82162301213907</v>
      </c>
      <c r="G339" s="122">
        <f t="shared" si="44"/>
        <v>456.46109431476003</v>
      </c>
      <c r="H339" s="122">
        <f t="shared" ref="H339:H377" si="47">IF(Pay_Num&lt;&gt;"",Beg_Bal*Interest_Rate/Num_Pmt_Per_Year,"")</f>
        <v>80.360528697379053</v>
      </c>
      <c r="I339" s="122">
        <f t="shared" si="45"/>
        <v>18830.065793056212</v>
      </c>
      <c r="J339" s="122">
        <f>SUM($H$18:$H339)</f>
        <v>91686.628402964954</v>
      </c>
    </row>
    <row r="340" spans="1:11" x14ac:dyDescent="0.2">
      <c r="A340" s="125">
        <f>IF(Values_Entered,A339+1,"")</f>
        <v>323</v>
      </c>
      <c r="B340" s="124">
        <f t="shared" si="40"/>
        <v>52201</v>
      </c>
      <c r="C340" s="122">
        <f t="shared" si="46"/>
        <v>18830.065793056212</v>
      </c>
      <c r="D340" s="122">
        <f t="shared" si="41"/>
        <v>536.82162301213907</v>
      </c>
      <c r="E340" s="123">
        <f t="shared" si="42"/>
        <v>0</v>
      </c>
      <c r="F340" s="122">
        <f t="shared" si="43"/>
        <v>536.82162301213907</v>
      </c>
      <c r="G340" s="122">
        <f t="shared" si="44"/>
        <v>458.36301554107149</v>
      </c>
      <c r="H340" s="122">
        <f t="shared" si="47"/>
        <v>78.458607471067552</v>
      </c>
      <c r="I340" s="122">
        <f t="shared" si="45"/>
        <v>18371.70277751514</v>
      </c>
      <c r="J340" s="122">
        <f>SUM($H$18:$H340)</f>
        <v>91765.087010436022</v>
      </c>
    </row>
    <row r="341" spans="1:11" x14ac:dyDescent="0.2">
      <c r="A341" s="162">
        <f>IF(Values_Entered,A340+1,"")</f>
        <v>324</v>
      </c>
      <c r="B341" s="163">
        <f t="shared" si="40"/>
        <v>52232</v>
      </c>
      <c r="C341" s="164">
        <f t="shared" si="46"/>
        <v>18371.70277751514</v>
      </c>
      <c r="D341" s="164">
        <f t="shared" si="41"/>
        <v>536.82162301213907</v>
      </c>
      <c r="E341" s="165">
        <f t="shared" si="42"/>
        <v>0</v>
      </c>
      <c r="F341" s="164">
        <f t="shared" si="43"/>
        <v>536.82162301213907</v>
      </c>
      <c r="G341" s="164">
        <f t="shared" si="44"/>
        <v>460.27286143915933</v>
      </c>
      <c r="H341" s="164">
        <f t="shared" si="47"/>
        <v>76.548761572979757</v>
      </c>
      <c r="I341" s="164">
        <f t="shared" si="45"/>
        <v>17911.42991607598</v>
      </c>
      <c r="J341" s="164">
        <f>SUM($H$18:$H341)</f>
        <v>91841.635772009002</v>
      </c>
    </row>
    <row r="342" spans="1:11" x14ac:dyDescent="0.2">
      <c r="A342" s="125">
        <f>IF(Values_Entered,A341+1,"")</f>
        <v>325</v>
      </c>
      <c r="B342" s="124">
        <f t="shared" si="40"/>
        <v>52263</v>
      </c>
      <c r="C342" s="122">
        <f t="shared" si="46"/>
        <v>17911.42991607598</v>
      </c>
      <c r="D342" s="122">
        <f t="shared" si="41"/>
        <v>536.82162301213907</v>
      </c>
      <c r="E342" s="123">
        <f t="shared" si="42"/>
        <v>0</v>
      </c>
      <c r="F342" s="122">
        <f t="shared" si="43"/>
        <v>536.82162301213907</v>
      </c>
      <c r="G342" s="122">
        <f t="shared" si="44"/>
        <v>462.19066502848915</v>
      </c>
      <c r="H342" s="122">
        <f t="shared" si="47"/>
        <v>74.630957983649921</v>
      </c>
      <c r="I342" s="122">
        <f t="shared" si="45"/>
        <v>17449.239251047489</v>
      </c>
      <c r="J342" s="122">
        <f>SUM($H$18:$H342)</f>
        <v>91916.266729992654</v>
      </c>
      <c r="K342" s="117">
        <v>28</v>
      </c>
    </row>
    <row r="343" spans="1:11" x14ac:dyDescent="0.2">
      <c r="A343" s="125">
        <f>IF(Values_Entered,A342+1,"")</f>
        <v>326</v>
      </c>
      <c r="B343" s="124">
        <f t="shared" si="40"/>
        <v>52291</v>
      </c>
      <c r="C343" s="122">
        <f t="shared" si="46"/>
        <v>17449.239251047489</v>
      </c>
      <c r="D343" s="122">
        <f t="shared" si="41"/>
        <v>536.82162301213907</v>
      </c>
      <c r="E343" s="123">
        <f t="shared" si="42"/>
        <v>0</v>
      </c>
      <c r="F343" s="122">
        <f t="shared" si="43"/>
        <v>536.82162301213907</v>
      </c>
      <c r="G343" s="122">
        <f t="shared" si="44"/>
        <v>464.11645946610787</v>
      </c>
      <c r="H343" s="122">
        <f t="shared" si="47"/>
        <v>72.705163546031216</v>
      </c>
      <c r="I343" s="122">
        <f t="shared" si="45"/>
        <v>16985.12279158138</v>
      </c>
      <c r="J343" s="122">
        <f>SUM($H$18:$H343)</f>
        <v>91988.971893538692</v>
      </c>
    </row>
    <row r="344" spans="1:11" x14ac:dyDescent="0.2">
      <c r="A344" s="125">
        <f>IF(Values_Entered,A343+1,"")</f>
        <v>327</v>
      </c>
      <c r="B344" s="124">
        <f t="shared" si="40"/>
        <v>52322</v>
      </c>
      <c r="C344" s="122">
        <f t="shared" si="46"/>
        <v>16985.12279158138</v>
      </c>
      <c r="D344" s="122">
        <f t="shared" si="41"/>
        <v>536.82162301213907</v>
      </c>
      <c r="E344" s="123">
        <f t="shared" si="42"/>
        <v>0</v>
      </c>
      <c r="F344" s="122">
        <f t="shared" si="43"/>
        <v>536.82162301213907</v>
      </c>
      <c r="G344" s="122">
        <f t="shared" si="44"/>
        <v>466.05027804721664</v>
      </c>
      <c r="H344" s="122">
        <f t="shared" si="47"/>
        <v>70.77134496492242</v>
      </c>
      <c r="I344" s="122">
        <f t="shared" si="45"/>
        <v>16519.072513534164</v>
      </c>
      <c r="J344" s="122">
        <f>SUM($H$18:$H344)</f>
        <v>92059.743238503608</v>
      </c>
    </row>
    <row r="345" spans="1:11" x14ac:dyDescent="0.2">
      <c r="A345" s="125">
        <f>IF(Values_Entered,A344+1,"")</f>
        <v>328</v>
      </c>
      <c r="B345" s="124">
        <f t="shared" si="40"/>
        <v>52352</v>
      </c>
      <c r="C345" s="122">
        <f t="shared" si="46"/>
        <v>16519.072513534164</v>
      </c>
      <c r="D345" s="122">
        <f t="shared" si="41"/>
        <v>536.82162301213907</v>
      </c>
      <c r="E345" s="123">
        <f t="shared" si="42"/>
        <v>0</v>
      </c>
      <c r="F345" s="122">
        <f t="shared" si="43"/>
        <v>536.82162301213907</v>
      </c>
      <c r="G345" s="122">
        <f t="shared" si="44"/>
        <v>467.99215420574671</v>
      </c>
      <c r="H345" s="122">
        <f t="shared" si="47"/>
        <v>68.829468806392356</v>
      </c>
      <c r="I345" s="122">
        <f t="shared" si="45"/>
        <v>16051.080359328416</v>
      </c>
      <c r="J345" s="122">
        <f>SUM($H$18:$H345)</f>
        <v>92128.572707309999</v>
      </c>
    </row>
    <row r="346" spans="1:11" x14ac:dyDescent="0.2">
      <c r="A346" s="125">
        <f>IF(Values_Entered,A345+1,"")</f>
        <v>329</v>
      </c>
      <c r="B346" s="124">
        <f t="shared" si="40"/>
        <v>52383</v>
      </c>
      <c r="C346" s="122">
        <f t="shared" si="46"/>
        <v>16051.080359328416</v>
      </c>
      <c r="D346" s="122">
        <f t="shared" si="41"/>
        <v>536.82162301213907</v>
      </c>
      <c r="E346" s="123">
        <f t="shared" si="42"/>
        <v>0</v>
      </c>
      <c r="F346" s="122">
        <f t="shared" si="43"/>
        <v>536.82162301213907</v>
      </c>
      <c r="G346" s="122">
        <f t="shared" si="44"/>
        <v>469.94212151493736</v>
      </c>
      <c r="H346" s="122">
        <f t="shared" si="47"/>
        <v>66.87950149720173</v>
      </c>
      <c r="I346" s="122">
        <f t="shared" si="45"/>
        <v>15581.138237813479</v>
      </c>
      <c r="J346" s="122">
        <f>SUM($H$18:$H346)</f>
        <v>92195.452208807197</v>
      </c>
    </row>
    <row r="347" spans="1:11" x14ac:dyDescent="0.2">
      <c r="A347" s="125">
        <f>IF(Values_Entered,A346+1,"")</f>
        <v>330</v>
      </c>
      <c r="B347" s="124">
        <f t="shared" si="40"/>
        <v>52413</v>
      </c>
      <c r="C347" s="122">
        <f t="shared" si="46"/>
        <v>15581.138237813479</v>
      </c>
      <c r="D347" s="122">
        <f t="shared" si="41"/>
        <v>536.82162301213907</v>
      </c>
      <c r="E347" s="123">
        <f t="shared" si="42"/>
        <v>0</v>
      </c>
      <c r="F347" s="122">
        <f t="shared" si="43"/>
        <v>536.82162301213907</v>
      </c>
      <c r="G347" s="122">
        <f t="shared" si="44"/>
        <v>471.90021368791622</v>
      </c>
      <c r="H347" s="122">
        <f t="shared" si="47"/>
        <v>64.921409324222836</v>
      </c>
      <c r="I347" s="122">
        <f t="shared" si="45"/>
        <v>15109.238024125563</v>
      </c>
      <c r="J347" s="122">
        <f>SUM($H$18:$H347)</f>
        <v>92260.373618131416</v>
      </c>
    </row>
    <row r="348" spans="1:11" x14ac:dyDescent="0.2">
      <c r="A348" s="125">
        <f>IF(Values_Entered,A347+1,"")</f>
        <v>331</v>
      </c>
      <c r="B348" s="124">
        <f t="shared" si="40"/>
        <v>52444</v>
      </c>
      <c r="C348" s="122">
        <f t="shared" si="46"/>
        <v>15109.238024125563</v>
      </c>
      <c r="D348" s="122">
        <f t="shared" si="41"/>
        <v>536.82162301213907</v>
      </c>
      <c r="E348" s="123">
        <f t="shared" si="42"/>
        <v>0</v>
      </c>
      <c r="F348" s="122">
        <f t="shared" si="43"/>
        <v>536.82162301213907</v>
      </c>
      <c r="G348" s="122">
        <f t="shared" si="44"/>
        <v>473.86646457828255</v>
      </c>
      <c r="H348" s="122">
        <f t="shared" si="47"/>
        <v>62.955158433856518</v>
      </c>
      <c r="I348" s="122">
        <f t="shared" si="45"/>
        <v>14635.37155954728</v>
      </c>
      <c r="J348" s="122">
        <f>SUM($H$18:$H348)</f>
        <v>92323.328776565279</v>
      </c>
    </row>
    <row r="349" spans="1:11" x14ac:dyDescent="0.2">
      <c r="A349" s="125">
        <f>IF(Values_Entered,A348+1,"")</f>
        <v>332</v>
      </c>
      <c r="B349" s="124">
        <f t="shared" si="40"/>
        <v>52475</v>
      </c>
      <c r="C349" s="122">
        <f t="shared" si="46"/>
        <v>14635.37155954728</v>
      </c>
      <c r="D349" s="122">
        <f t="shared" si="41"/>
        <v>536.82162301213907</v>
      </c>
      <c r="E349" s="123">
        <f t="shared" si="42"/>
        <v>0</v>
      </c>
      <c r="F349" s="122">
        <f t="shared" si="43"/>
        <v>536.82162301213907</v>
      </c>
      <c r="G349" s="122">
        <f t="shared" si="44"/>
        <v>475.84090818069205</v>
      </c>
      <c r="H349" s="122">
        <f t="shared" si="47"/>
        <v>60.98071483144701</v>
      </c>
      <c r="I349" s="122">
        <f t="shared" si="45"/>
        <v>14159.530651366589</v>
      </c>
      <c r="J349" s="122">
        <f>SUM($H$18:$H349)</f>
        <v>92384.309491396722</v>
      </c>
    </row>
    <row r="350" spans="1:11" x14ac:dyDescent="0.2">
      <c r="A350" s="125">
        <f>IF(Values_Entered,A349+1,"")</f>
        <v>333</v>
      </c>
      <c r="B350" s="124">
        <f t="shared" si="40"/>
        <v>52505</v>
      </c>
      <c r="C350" s="122">
        <f t="shared" si="46"/>
        <v>14159.530651366589</v>
      </c>
      <c r="D350" s="122">
        <f t="shared" si="41"/>
        <v>536.82162301213907</v>
      </c>
      <c r="E350" s="123">
        <f t="shared" si="42"/>
        <v>0</v>
      </c>
      <c r="F350" s="122">
        <f t="shared" si="43"/>
        <v>536.82162301213907</v>
      </c>
      <c r="G350" s="122">
        <f t="shared" si="44"/>
        <v>477.82357863144495</v>
      </c>
      <c r="H350" s="122">
        <f t="shared" si="47"/>
        <v>58.998044380694125</v>
      </c>
      <c r="I350" s="122">
        <f t="shared" si="45"/>
        <v>13681.707072735144</v>
      </c>
      <c r="J350" s="122">
        <f>SUM($H$18:$H350)</f>
        <v>92443.307535777421</v>
      </c>
    </row>
    <row r="351" spans="1:11" x14ac:dyDescent="0.2">
      <c r="A351" s="125">
        <f>IF(Values_Entered,A350+1,"")</f>
        <v>334</v>
      </c>
      <c r="B351" s="124">
        <f t="shared" si="40"/>
        <v>52536</v>
      </c>
      <c r="C351" s="122">
        <f t="shared" si="46"/>
        <v>13681.707072735144</v>
      </c>
      <c r="D351" s="122">
        <f t="shared" si="41"/>
        <v>536.82162301213907</v>
      </c>
      <c r="E351" s="123">
        <f t="shared" si="42"/>
        <v>0</v>
      </c>
      <c r="F351" s="122">
        <f t="shared" si="43"/>
        <v>536.82162301213907</v>
      </c>
      <c r="G351" s="122">
        <f t="shared" si="44"/>
        <v>479.81451020907599</v>
      </c>
      <c r="H351" s="122">
        <f t="shared" si="47"/>
        <v>57.007112803063102</v>
      </c>
      <c r="I351" s="122">
        <f t="shared" si="45"/>
        <v>13201.892562526067</v>
      </c>
      <c r="J351" s="122">
        <f>SUM($H$18:$H351)</f>
        <v>92500.31464858049</v>
      </c>
    </row>
    <row r="352" spans="1:11" x14ac:dyDescent="0.2">
      <c r="A352" s="125">
        <f>IF(Values_Entered,A351+1,"")</f>
        <v>335</v>
      </c>
      <c r="B352" s="124">
        <f t="shared" si="40"/>
        <v>52566</v>
      </c>
      <c r="C352" s="122">
        <f t="shared" si="46"/>
        <v>13201.892562526067</v>
      </c>
      <c r="D352" s="122">
        <f t="shared" si="41"/>
        <v>536.82162301213907</v>
      </c>
      <c r="E352" s="123">
        <f t="shared" si="42"/>
        <v>0</v>
      </c>
      <c r="F352" s="122">
        <f t="shared" si="43"/>
        <v>536.82162301213907</v>
      </c>
      <c r="G352" s="122">
        <f t="shared" si="44"/>
        <v>481.81373733494712</v>
      </c>
      <c r="H352" s="122">
        <f t="shared" si="47"/>
        <v>55.00788567719195</v>
      </c>
      <c r="I352" s="122">
        <f t="shared" si="45"/>
        <v>12720.07882519112</v>
      </c>
      <c r="J352" s="122">
        <f>SUM($H$18:$H352)</f>
        <v>92555.322534257677</v>
      </c>
    </row>
    <row r="353" spans="1:11" x14ac:dyDescent="0.2">
      <c r="A353" s="162">
        <f>IF(Values_Entered,A352+1,"")</f>
        <v>336</v>
      </c>
      <c r="B353" s="163">
        <f t="shared" si="40"/>
        <v>52597</v>
      </c>
      <c r="C353" s="164">
        <f t="shared" si="46"/>
        <v>12720.07882519112</v>
      </c>
      <c r="D353" s="164">
        <f t="shared" si="41"/>
        <v>536.82162301213907</v>
      </c>
      <c r="E353" s="165">
        <f t="shared" si="42"/>
        <v>0</v>
      </c>
      <c r="F353" s="164">
        <f t="shared" si="43"/>
        <v>536.82162301213907</v>
      </c>
      <c r="G353" s="164">
        <f t="shared" si="44"/>
        <v>483.82129457384275</v>
      </c>
      <c r="H353" s="164">
        <f t="shared" si="47"/>
        <v>53.000328438296343</v>
      </c>
      <c r="I353" s="164">
        <f t="shared" si="45"/>
        <v>12236.257530617277</v>
      </c>
      <c r="J353" s="164">
        <f>SUM($H$18:$H353)</f>
        <v>92608.322862695975</v>
      </c>
    </row>
    <row r="354" spans="1:11" x14ac:dyDescent="0.2">
      <c r="A354" s="125">
        <f>IF(Values_Entered,A353+1,"")</f>
        <v>337</v>
      </c>
      <c r="B354" s="124">
        <f t="shared" si="40"/>
        <v>52628</v>
      </c>
      <c r="C354" s="122">
        <f t="shared" si="46"/>
        <v>12236.257530617277</v>
      </c>
      <c r="D354" s="122">
        <f t="shared" si="41"/>
        <v>536.82162301213907</v>
      </c>
      <c r="E354" s="123">
        <f t="shared" si="42"/>
        <v>0</v>
      </c>
      <c r="F354" s="122">
        <f t="shared" si="43"/>
        <v>536.82162301213907</v>
      </c>
      <c r="G354" s="122">
        <f t="shared" si="44"/>
        <v>485.83721663456708</v>
      </c>
      <c r="H354" s="122">
        <f t="shared" si="47"/>
        <v>50.984406377571986</v>
      </c>
      <c r="I354" s="122">
        <f t="shared" si="45"/>
        <v>11750.42031398271</v>
      </c>
      <c r="J354" s="122">
        <f>SUM($H$18:$H354)</f>
        <v>92659.307269073543</v>
      </c>
      <c r="K354" s="117">
        <v>29</v>
      </c>
    </row>
    <row r="355" spans="1:11" x14ac:dyDescent="0.2">
      <c r="A355" s="125">
        <f>IF(Values_Entered,A354+1,"")</f>
        <v>338</v>
      </c>
      <c r="B355" s="124">
        <f t="shared" si="40"/>
        <v>52657</v>
      </c>
      <c r="C355" s="122">
        <f t="shared" si="46"/>
        <v>11750.42031398271</v>
      </c>
      <c r="D355" s="122">
        <f t="shared" si="41"/>
        <v>536.82162301213907</v>
      </c>
      <c r="E355" s="123">
        <f t="shared" si="42"/>
        <v>0</v>
      </c>
      <c r="F355" s="122">
        <f t="shared" si="43"/>
        <v>536.82162301213907</v>
      </c>
      <c r="G355" s="122">
        <f t="shared" si="44"/>
        <v>487.86153837054445</v>
      </c>
      <c r="H355" s="122">
        <f t="shared" si="47"/>
        <v>48.960084641594626</v>
      </c>
      <c r="I355" s="122">
        <f t="shared" si="45"/>
        <v>11262.558775612166</v>
      </c>
      <c r="J355" s="122">
        <f>SUM($H$18:$H355)</f>
        <v>92708.267353715142</v>
      </c>
    </row>
    <row r="356" spans="1:11" x14ac:dyDescent="0.2">
      <c r="A356" s="125">
        <f>IF(Values_Entered,A355+1,"")</f>
        <v>339</v>
      </c>
      <c r="B356" s="124">
        <f t="shared" si="40"/>
        <v>52688</v>
      </c>
      <c r="C356" s="122">
        <f t="shared" si="46"/>
        <v>11262.558775612166</v>
      </c>
      <c r="D356" s="122">
        <f t="shared" si="41"/>
        <v>536.82162301213907</v>
      </c>
      <c r="E356" s="123">
        <f t="shared" si="42"/>
        <v>0</v>
      </c>
      <c r="F356" s="122">
        <f t="shared" si="43"/>
        <v>536.82162301213907</v>
      </c>
      <c r="G356" s="122">
        <f t="shared" si="44"/>
        <v>489.89429478042172</v>
      </c>
      <c r="H356" s="122">
        <f t="shared" si="47"/>
        <v>46.927328231717361</v>
      </c>
      <c r="I356" s="122">
        <f t="shared" si="45"/>
        <v>10772.664480831743</v>
      </c>
      <c r="J356" s="122">
        <f>SUM($H$18:$H356)</f>
        <v>92755.194681946858</v>
      </c>
    </row>
    <row r="357" spans="1:11" x14ac:dyDescent="0.2">
      <c r="A357" s="125">
        <f>IF(Values_Entered,A356+1,"")</f>
        <v>340</v>
      </c>
      <c r="B357" s="124">
        <f t="shared" si="40"/>
        <v>52718</v>
      </c>
      <c r="C357" s="122">
        <f t="shared" si="46"/>
        <v>10772.664480831743</v>
      </c>
      <c r="D357" s="122">
        <f t="shared" si="41"/>
        <v>536.82162301213907</v>
      </c>
      <c r="E357" s="123">
        <f t="shared" si="42"/>
        <v>0</v>
      </c>
      <c r="F357" s="122">
        <f t="shared" si="43"/>
        <v>536.82162301213907</v>
      </c>
      <c r="G357" s="122">
        <f t="shared" si="44"/>
        <v>491.9355210086735</v>
      </c>
      <c r="H357" s="122">
        <f t="shared" si="47"/>
        <v>44.886102003465595</v>
      </c>
      <c r="I357" s="122">
        <f t="shared" si="45"/>
        <v>10280.728959823069</v>
      </c>
      <c r="J357" s="122">
        <f>SUM($H$18:$H357)</f>
        <v>92800.080783950325</v>
      </c>
    </row>
    <row r="358" spans="1:11" x14ac:dyDescent="0.2">
      <c r="A358" s="125">
        <f>IF(Values_Entered,A357+1,"")</f>
        <v>341</v>
      </c>
      <c r="B358" s="124">
        <f t="shared" si="40"/>
        <v>52749</v>
      </c>
      <c r="C358" s="122">
        <f t="shared" si="46"/>
        <v>10280.728959823069</v>
      </c>
      <c r="D358" s="122">
        <f t="shared" si="41"/>
        <v>536.82162301213907</v>
      </c>
      <c r="E358" s="123">
        <f t="shared" si="42"/>
        <v>0</v>
      </c>
      <c r="F358" s="122">
        <f t="shared" si="43"/>
        <v>536.82162301213907</v>
      </c>
      <c r="G358" s="122">
        <f t="shared" si="44"/>
        <v>493.98525234620962</v>
      </c>
      <c r="H358" s="122">
        <f t="shared" si="47"/>
        <v>42.836370665929458</v>
      </c>
      <c r="I358" s="122">
        <f t="shared" si="45"/>
        <v>9786.7437074768586</v>
      </c>
      <c r="J358" s="122">
        <f>SUM($H$18:$H358)</f>
        <v>92842.917154616254</v>
      </c>
    </row>
    <row r="359" spans="1:11" x14ac:dyDescent="0.2">
      <c r="A359" s="125">
        <f>IF(Values_Entered,A358+1,"")</f>
        <v>342</v>
      </c>
      <c r="B359" s="124">
        <f t="shared" si="40"/>
        <v>52779</v>
      </c>
      <c r="C359" s="122">
        <f t="shared" si="46"/>
        <v>9786.7437074768586</v>
      </c>
      <c r="D359" s="122">
        <f t="shared" si="41"/>
        <v>536.82162301213907</v>
      </c>
      <c r="E359" s="123">
        <f t="shared" si="42"/>
        <v>0</v>
      </c>
      <c r="F359" s="122">
        <f t="shared" si="43"/>
        <v>536.82162301213907</v>
      </c>
      <c r="G359" s="122">
        <f t="shared" si="44"/>
        <v>496.0435242309855</v>
      </c>
      <c r="H359" s="122">
        <f t="shared" si="47"/>
        <v>40.778098781153581</v>
      </c>
      <c r="I359" s="122">
        <f t="shared" si="45"/>
        <v>9290.7001832458736</v>
      </c>
      <c r="J359" s="122">
        <f>SUM($H$18:$H359)</f>
        <v>92883.695253397411</v>
      </c>
    </row>
    <row r="360" spans="1:11" x14ac:dyDescent="0.2">
      <c r="A360" s="125">
        <f>IF(Values_Entered,A359+1,"")</f>
        <v>343</v>
      </c>
      <c r="B360" s="124">
        <f t="shared" si="40"/>
        <v>52810</v>
      </c>
      <c r="C360" s="122">
        <f t="shared" si="46"/>
        <v>9290.7001832458736</v>
      </c>
      <c r="D360" s="122">
        <f t="shared" si="41"/>
        <v>536.82162301213907</v>
      </c>
      <c r="E360" s="123">
        <f t="shared" si="42"/>
        <v>0</v>
      </c>
      <c r="F360" s="122">
        <f t="shared" si="43"/>
        <v>536.82162301213907</v>
      </c>
      <c r="G360" s="122">
        <f t="shared" si="44"/>
        <v>498.11037224861457</v>
      </c>
      <c r="H360" s="122">
        <f t="shared" si="47"/>
        <v>38.711250763524475</v>
      </c>
      <c r="I360" s="122">
        <f t="shared" si="45"/>
        <v>8792.5898109972586</v>
      </c>
      <c r="J360" s="122">
        <f>SUM($H$18:$H360)</f>
        <v>92922.406504160928</v>
      </c>
    </row>
    <row r="361" spans="1:11" x14ac:dyDescent="0.2">
      <c r="A361" s="125">
        <f>IF(Values_Entered,A360+1,"")</f>
        <v>344</v>
      </c>
      <c r="B361" s="124">
        <f t="shared" si="40"/>
        <v>52841</v>
      </c>
      <c r="C361" s="122">
        <f t="shared" si="46"/>
        <v>8792.5898109972586</v>
      </c>
      <c r="D361" s="122">
        <f t="shared" si="41"/>
        <v>536.82162301213907</v>
      </c>
      <c r="E361" s="123">
        <f t="shared" si="42"/>
        <v>0</v>
      </c>
      <c r="F361" s="122">
        <f t="shared" si="43"/>
        <v>536.82162301213907</v>
      </c>
      <c r="G361" s="122">
        <f t="shared" si="44"/>
        <v>500.18583213298382</v>
      </c>
      <c r="H361" s="122">
        <f t="shared" si="47"/>
        <v>36.635790879155245</v>
      </c>
      <c r="I361" s="122">
        <f t="shared" si="45"/>
        <v>8292.4039788642749</v>
      </c>
      <c r="J361" s="122">
        <f>SUM($H$18:$H361)</f>
        <v>92959.042295040083</v>
      </c>
    </row>
    <row r="362" spans="1:11" x14ac:dyDescent="0.2">
      <c r="A362" s="125">
        <f>IF(Values_Entered,A361+1,"")</f>
        <v>345</v>
      </c>
      <c r="B362" s="124">
        <f t="shared" si="40"/>
        <v>52871</v>
      </c>
      <c r="C362" s="122">
        <f t="shared" si="46"/>
        <v>8292.4039788642749</v>
      </c>
      <c r="D362" s="122">
        <f t="shared" si="41"/>
        <v>536.82162301213907</v>
      </c>
      <c r="E362" s="123">
        <f t="shared" si="42"/>
        <v>0</v>
      </c>
      <c r="F362" s="122">
        <f t="shared" si="43"/>
        <v>536.82162301213907</v>
      </c>
      <c r="G362" s="122">
        <f t="shared" si="44"/>
        <v>502.26993976687123</v>
      </c>
      <c r="H362" s="122">
        <f t="shared" si="47"/>
        <v>34.551683245267817</v>
      </c>
      <c r="I362" s="122">
        <f t="shared" si="45"/>
        <v>7790.1340390974037</v>
      </c>
      <c r="J362" s="122">
        <f>SUM($H$18:$H362)</f>
        <v>92993.593978285353</v>
      </c>
    </row>
    <row r="363" spans="1:11" x14ac:dyDescent="0.2">
      <c r="A363" s="125">
        <f>IF(Values_Entered,A362+1,"")</f>
        <v>346</v>
      </c>
      <c r="B363" s="124">
        <f t="shared" si="40"/>
        <v>52902</v>
      </c>
      <c r="C363" s="122">
        <f t="shared" si="46"/>
        <v>7790.1340390974037</v>
      </c>
      <c r="D363" s="122">
        <f t="shared" si="41"/>
        <v>536.82162301213907</v>
      </c>
      <c r="E363" s="123">
        <f t="shared" si="42"/>
        <v>0</v>
      </c>
      <c r="F363" s="122">
        <f t="shared" si="43"/>
        <v>536.82162301213907</v>
      </c>
      <c r="G363" s="122">
        <f t="shared" si="44"/>
        <v>504.36273118256656</v>
      </c>
      <c r="H363" s="122">
        <f t="shared" si="47"/>
        <v>32.458891829572515</v>
      </c>
      <c r="I363" s="122">
        <f t="shared" si="45"/>
        <v>7285.7713079148371</v>
      </c>
      <c r="J363" s="122">
        <f>SUM($H$18:$H363)</f>
        <v>93026.052870114931</v>
      </c>
    </row>
    <row r="364" spans="1:11" x14ac:dyDescent="0.2">
      <c r="A364" s="125">
        <f>IF(Values_Entered,A363+1,"")</f>
        <v>347</v>
      </c>
      <c r="B364" s="124">
        <f t="shared" si="40"/>
        <v>52932</v>
      </c>
      <c r="C364" s="122">
        <f t="shared" si="46"/>
        <v>7285.7713079148371</v>
      </c>
      <c r="D364" s="122">
        <f t="shared" si="41"/>
        <v>536.82162301213907</v>
      </c>
      <c r="E364" s="123">
        <f t="shared" si="42"/>
        <v>0</v>
      </c>
      <c r="F364" s="122">
        <f t="shared" si="43"/>
        <v>536.82162301213907</v>
      </c>
      <c r="G364" s="122">
        <f t="shared" si="44"/>
        <v>506.46424256249389</v>
      </c>
      <c r="H364" s="122">
        <f t="shared" si="47"/>
        <v>30.357380449645159</v>
      </c>
      <c r="I364" s="122">
        <f t="shared" si="45"/>
        <v>6779.3070653523428</v>
      </c>
      <c r="J364" s="122">
        <f>SUM($H$18:$H364)</f>
        <v>93056.410250564571</v>
      </c>
    </row>
    <row r="365" spans="1:11" x14ac:dyDescent="0.2">
      <c r="A365" s="162">
        <f>IF(Values_Entered,A364+1,"")</f>
        <v>348</v>
      </c>
      <c r="B365" s="163">
        <f t="shared" si="40"/>
        <v>52963</v>
      </c>
      <c r="C365" s="164">
        <f t="shared" si="46"/>
        <v>6779.3070653523428</v>
      </c>
      <c r="D365" s="164">
        <f t="shared" si="41"/>
        <v>536.82162301213907</v>
      </c>
      <c r="E365" s="165">
        <f t="shared" si="42"/>
        <v>0</v>
      </c>
      <c r="F365" s="164">
        <f t="shared" si="43"/>
        <v>536.82162301213907</v>
      </c>
      <c r="G365" s="164">
        <f t="shared" si="44"/>
        <v>508.57451023983765</v>
      </c>
      <c r="H365" s="164">
        <f t="shared" si="47"/>
        <v>28.247112772301431</v>
      </c>
      <c r="I365" s="164">
        <f t="shared" si="45"/>
        <v>6270.732555112505</v>
      </c>
      <c r="J365" s="164">
        <f>SUM($H$18:$H365)</f>
        <v>93084.657363336868</v>
      </c>
    </row>
    <row r="366" spans="1:11" x14ac:dyDescent="0.2">
      <c r="A366" s="125">
        <f>IF(Values_Entered,A365+1,"")</f>
        <v>349</v>
      </c>
      <c r="B366" s="124">
        <f t="shared" si="40"/>
        <v>52994</v>
      </c>
      <c r="C366" s="122">
        <f t="shared" si="46"/>
        <v>6270.732555112505</v>
      </c>
      <c r="D366" s="122">
        <f t="shared" si="41"/>
        <v>536.82162301213907</v>
      </c>
      <c r="E366" s="123">
        <f t="shared" si="42"/>
        <v>0</v>
      </c>
      <c r="F366" s="122">
        <f t="shared" si="43"/>
        <v>536.82162301213907</v>
      </c>
      <c r="G366" s="122">
        <f t="shared" si="44"/>
        <v>510.69357069917032</v>
      </c>
      <c r="H366" s="122">
        <f t="shared" si="47"/>
        <v>26.128052312968773</v>
      </c>
      <c r="I366" s="122">
        <f t="shared" si="45"/>
        <v>5760.0389844133351</v>
      </c>
      <c r="J366" s="122">
        <f>SUM($H$18:$H366)</f>
        <v>93110.785415649836</v>
      </c>
      <c r="K366" s="117">
        <v>30</v>
      </c>
    </row>
    <row r="367" spans="1:11" x14ac:dyDescent="0.2">
      <c r="A367" s="125">
        <f>IF(Values_Entered,A366+1,"")</f>
        <v>350</v>
      </c>
      <c r="B367" s="124">
        <f t="shared" si="40"/>
        <v>53022</v>
      </c>
      <c r="C367" s="122">
        <f t="shared" si="46"/>
        <v>5760.0389844133351</v>
      </c>
      <c r="D367" s="122">
        <f t="shared" si="41"/>
        <v>536.82162301213907</v>
      </c>
      <c r="E367" s="123">
        <f t="shared" si="42"/>
        <v>0</v>
      </c>
      <c r="F367" s="122">
        <f t="shared" si="43"/>
        <v>536.82162301213907</v>
      </c>
      <c r="G367" s="122">
        <f t="shared" si="44"/>
        <v>512.82146057708349</v>
      </c>
      <c r="H367" s="122">
        <f t="shared" si="47"/>
        <v>24.000162435055561</v>
      </c>
      <c r="I367" s="122">
        <f t="shared" si="45"/>
        <v>5247.2175238362515</v>
      </c>
      <c r="J367" s="122">
        <f>SUM($H$18:$H367)</f>
        <v>93134.785578084891</v>
      </c>
    </row>
    <row r="368" spans="1:11" x14ac:dyDescent="0.2">
      <c r="A368" s="125">
        <f>IF(Values_Entered,A367+1,"")</f>
        <v>351</v>
      </c>
      <c r="B368" s="124">
        <f t="shared" si="40"/>
        <v>53053</v>
      </c>
      <c r="C368" s="122">
        <f t="shared" si="46"/>
        <v>5247.2175238362515</v>
      </c>
      <c r="D368" s="122">
        <f t="shared" si="41"/>
        <v>536.82162301213907</v>
      </c>
      <c r="E368" s="123">
        <f t="shared" si="42"/>
        <v>0</v>
      </c>
      <c r="F368" s="122">
        <f t="shared" si="43"/>
        <v>536.82162301213907</v>
      </c>
      <c r="G368" s="122">
        <f t="shared" si="44"/>
        <v>514.95821666282131</v>
      </c>
      <c r="H368" s="122">
        <f t="shared" si="47"/>
        <v>21.863406349317714</v>
      </c>
      <c r="I368" s="122">
        <f t="shared" si="45"/>
        <v>4732.25930717343</v>
      </c>
      <c r="J368" s="122">
        <f>SUM($H$18:$H368)</f>
        <v>93156.648984434214</v>
      </c>
    </row>
    <row r="369" spans="1:10" x14ac:dyDescent="0.2">
      <c r="A369" s="125">
        <f>IF(Values_Entered,A368+1,"")</f>
        <v>352</v>
      </c>
      <c r="B369" s="124">
        <f t="shared" si="40"/>
        <v>53083</v>
      </c>
      <c r="C369" s="122">
        <f t="shared" si="46"/>
        <v>4732.25930717343</v>
      </c>
      <c r="D369" s="122">
        <f t="shared" si="41"/>
        <v>536.82162301213907</v>
      </c>
      <c r="E369" s="123">
        <f t="shared" si="42"/>
        <v>0</v>
      </c>
      <c r="F369" s="122">
        <f t="shared" si="43"/>
        <v>536.82162301213907</v>
      </c>
      <c r="G369" s="122">
        <f t="shared" si="44"/>
        <v>517.1038758989165</v>
      </c>
      <c r="H369" s="122">
        <f t="shared" si="47"/>
        <v>19.717747113222625</v>
      </c>
      <c r="I369" s="122">
        <f t="shared" si="45"/>
        <v>4215.1554312745138</v>
      </c>
      <c r="J369" s="122">
        <f>SUM($H$18:$H369)</f>
        <v>93176.36673154743</v>
      </c>
    </row>
    <row r="370" spans="1:10" x14ac:dyDescent="0.2">
      <c r="A370" s="125">
        <f>IF(Values_Entered,A369+1,"")</f>
        <v>353</v>
      </c>
      <c r="B370" s="124">
        <f t="shared" si="40"/>
        <v>53114</v>
      </c>
      <c r="C370" s="122">
        <f t="shared" si="46"/>
        <v>4215.1554312745138</v>
      </c>
      <c r="D370" s="122">
        <f t="shared" si="41"/>
        <v>536.82162301213907</v>
      </c>
      <c r="E370" s="123">
        <f t="shared" si="42"/>
        <v>0</v>
      </c>
      <c r="F370" s="122">
        <f t="shared" si="43"/>
        <v>536.82162301213907</v>
      </c>
      <c r="G370" s="122">
        <f t="shared" si="44"/>
        <v>519.25847538182859</v>
      </c>
      <c r="H370" s="122">
        <f t="shared" si="47"/>
        <v>17.563147630310475</v>
      </c>
      <c r="I370" s="122">
        <f t="shared" si="45"/>
        <v>3695.8969558926851</v>
      </c>
      <c r="J370" s="122">
        <f>SUM($H$18:$H370)</f>
        <v>93193.92987917774</v>
      </c>
    </row>
    <row r="371" spans="1:10" x14ac:dyDescent="0.2">
      <c r="A371" s="125">
        <f>IF(Values_Entered,A370+1,"")</f>
        <v>354</v>
      </c>
      <c r="B371" s="124">
        <f t="shared" si="40"/>
        <v>53144</v>
      </c>
      <c r="C371" s="122">
        <f t="shared" si="46"/>
        <v>3695.8969558926851</v>
      </c>
      <c r="D371" s="122">
        <f t="shared" si="41"/>
        <v>536.82162301213907</v>
      </c>
      <c r="E371" s="123">
        <f t="shared" si="42"/>
        <v>0</v>
      </c>
      <c r="F371" s="122">
        <f t="shared" si="43"/>
        <v>536.82162301213907</v>
      </c>
      <c r="G371" s="122">
        <f t="shared" si="44"/>
        <v>521.42205236258621</v>
      </c>
      <c r="H371" s="122">
        <f t="shared" si="47"/>
        <v>15.399570649552857</v>
      </c>
      <c r="I371" s="122">
        <f t="shared" si="45"/>
        <v>3174.4749035300988</v>
      </c>
      <c r="J371" s="122">
        <f>SUM($H$18:$H371)</f>
        <v>93209.329449827288</v>
      </c>
    </row>
    <row r="372" spans="1:10" x14ac:dyDescent="0.2">
      <c r="A372" s="125">
        <f>IF(Values_Entered,A371+1,"")</f>
        <v>355</v>
      </c>
      <c r="B372" s="124">
        <f t="shared" si="40"/>
        <v>53175</v>
      </c>
      <c r="C372" s="122">
        <f t="shared" si="46"/>
        <v>3174.4749035300988</v>
      </c>
      <c r="D372" s="122">
        <f t="shared" si="41"/>
        <v>536.82162301213907</v>
      </c>
      <c r="E372" s="123">
        <f t="shared" si="42"/>
        <v>0</v>
      </c>
      <c r="F372" s="122">
        <f t="shared" si="43"/>
        <v>536.82162301213907</v>
      </c>
      <c r="G372" s="122">
        <f t="shared" si="44"/>
        <v>523.59464424743032</v>
      </c>
      <c r="H372" s="122">
        <f t="shared" si="47"/>
        <v>13.226978764708747</v>
      </c>
      <c r="I372" s="122">
        <f t="shared" si="45"/>
        <v>2650.8802592826687</v>
      </c>
      <c r="J372" s="122">
        <f>SUM($H$18:$H372)</f>
        <v>93222.556428591997</v>
      </c>
    </row>
    <row r="373" spans="1:10" x14ac:dyDescent="0.2">
      <c r="A373" s="125">
        <f>IF(Values_Entered,A372+1,"")</f>
        <v>356</v>
      </c>
      <c r="B373" s="124">
        <f t="shared" si="40"/>
        <v>53206</v>
      </c>
      <c r="C373" s="122">
        <f t="shared" si="46"/>
        <v>2650.8802592826687</v>
      </c>
      <c r="D373" s="122">
        <f t="shared" si="41"/>
        <v>536.82162301213907</v>
      </c>
      <c r="E373" s="123">
        <f t="shared" si="42"/>
        <v>0</v>
      </c>
      <c r="F373" s="122">
        <f t="shared" si="43"/>
        <v>536.82162301213907</v>
      </c>
      <c r="G373" s="122">
        <f t="shared" si="44"/>
        <v>525.77628859846129</v>
      </c>
      <c r="H373" s="122">
        <f t="shared" si="47"/>
        <v>11.045334413677786</v>
      </c>
      <c r="I373" s="122">
        <f t="shared" si="45"/>
        <v>2125.1039706842075</v>
      </c>
      <c r="J373" s="122">
        <f>SUM($H$18:$H373)</f>
        <v>93233.601763005674</v>
      </c>
    </row>
    <row r="374" spans="1:10" x14ac:dyDescent="0.2">
      <c r="A374" s="125">
        <f>IF(Values_Entered,A373+1,"")</f>
        <v>357</v>
      </c>
      <c r="B374" s="124">
        <f t="shared" si="40"/>
        <v>53236</v>
      </c>
      <c r="C374" s="122">
        <f t="shared" si="46"/>
        <v>2125.1039706842075</v>
      </c>
      <c r="D374" s="122">
        <f t="shared" si="41"/>
        <v>536.82162301213907</v>
      </c>
      <c r="E374" s="123">
        <f t="shared" si="42"/>
        <v>0</v>
      </c>
      <c r="F374" s="122">
        <f t="shared" si="43"/>
        <v>536.82162301213907</v>
      </c>
      <c r="G374" s="122">
        <f t="shared" si="44"/>
        <v>527.96702313428818</v>
      </c>
      <c r="H374" s="122">
        <f t="shared" si="47"/>
        <v>8.8545998778508643</v>
      </c>
      <c r="I374" s="122">
        <f t="shared" si="45"/>
        <v>1597.1369475499193</v>
      </c>
      <c r="J374" s="122">
        <f>SUM($H$18:$H374)</f>
        <v>93242.456362883531</v>
      </c>
    </row>
    <row r="375" spans="1:10" x14ac:dyDescent="0.2">
      <c r="A375" s="125">
        <f>IF(Values_Entered,A374+1,"")</f>
        <v>358</v>
      </c>
      <c r="B375" s="124">
        <f t="shared" si="40"/>
        <v>53267</v>
      </c>
      <c r="C375" s="122">
        <f t="shared" si="46"/>
        <v>1597.1369475499193</v>
      </c>
      <c r="D375" s="122">
        <f t="shared" si="41"/>
        <v>536.82162301213907</v>
      </c>
      <c r="E375" s="123">
        <f t="shared" si="42"/>
        <v>0</v>
      </c>
      <c r="F375" s="122">
        <f t="shared" si="43"/>
        <v>536.82162301213907</v>
      </c>
      <c r="G375" s="122">
        <f t="shared" si="44"/>
        <v>530.16688573068109</v>
      </c>
      <c r="H375" s="122">
        <f t="shared" si="47"/>
        <v>6.6547372814579973</v>
      </c>
      <c r="I375" s="122">
        <f t="shared" si="45"/>
        <v>1066.9700618192383</v>
      </c>
      <c r="J375" s="122">
        <f>SUM($H$18:$H375)</f>
        <v>93249.111100164984</v>
      </c>
    </row>
    <row r="376" spans="1:10" x14ac:dyDescent="0.2">
      <c r="A376" s="125">
        <f>IF(Values_Entered,A375+1,"")</f>
        <v>359</v>
      </c>
      <c r="B376" s="124">
        <f t="shared" si="40"/>
        <v>53297</v>
      </c>
      <c r="C376" s="122">
        <f t="shared" si="46"/>
        <v>1066.9700618192383</v>
      </c>
      <c r="D376" s="122">
        <f t="shared" si="41"/>
        <v>536.82162301213907</v>
      </c>
      <c r="E376" s="123">
        <f t="shared" si="42"/>
        <v>0</v>
      </c>
      <c r="F376" s="122">
        <f t="shared" si="43"/>
        <v>536.82162301213907</v>
      </c>
      <c r="G376" s="122">
        <f t="shared" si="44"/>
        <v>532.37591442122562</v>
      </c>
      <c r="H376" s="122">
        <f t="shared" si="47"/>
        <v>4.445708590913493</v>
      </c>
      <c r="I376" s="122">
        <f t="shared" si="45"/>
        <v>534.59414739801264</v>
      </c>
      <c r="J376" s="122">
        <f>SUM($H$18:$H376)</f>
        <v>93253.556808755893</v>
      </c>
    </row>
    <row r="377" spans="1:10" x14ac:dyDescent="0.2">
      <c r="A377" s="125">
        <f>IF(Values_Entered,A376+1,"")</f>
        <v>360</v>
      </c>
      <c r="B377" s="124">
        <f t="shared" si="40"/>
        <v>53328</v>
      </c>
      <c r="C377" s="122">
        <f t="shared" si="46"/>
        <v>534.59414739801264</v>
      </c>
      <c r="D377" s="122">
        <f t="shared" si="41"/>
        <v>536.82162301213907</v>
      </c>
      <c r="E377" s="123">
        <f t="shared" si="42"/>
        <v>0</v>
      </c>
      <c r="F377" s="122">
        <f t="shared" si="43"/>
        <v>534.59414739801264</v>
      </c>
      <c r="G377" s="122">
        <f t="shared" si="44"/>
        <v>532.36667178385426</v>
      </c>
      <c r="H377" s="122">
        <f t="shared" si="47"/>
        <v>2.227475614158386</v>
      </c>
      <c r="I377" s="122">
        <f t="shared" si="45"/>
        <v>0</v>
      </c>
      <c r="J377" s="122">
        <f>SUM($H$18:$H377)</f>
        <v>93255.784284370049</v>
      </c>
    </row>
    <row r="378" spans="1:10" x14ac:dyDescent="0.2">
      <c r="A378" s="121"/>
      <c r="B378" s="120"/>
      <c r="C378" s="120"/>
      <c r="D378" s="120"/>
      <c r="E378" s="120"/>
      <c r="F378" s="120"/>
      <c r="G378" s="120"/>
      <c r="H378" s="120"/>
      <c r="I378" s="120"/>
      <c r="J378" s="120"/>
    </row>
  </sheetData>
  <sheetProtection selectLockedCells="1"/>
  <mergeCells count="4">
    <mergeCell ref="C12:D12"/>
    <mergeCell ref="B4:D4"/>
    <mergeCell ref="F4:H4"/>
    <mergeCell ref="A1:D1"/>
  </mergeCells>
  <conditionalFormatting sqref="A18:E377">
    <cfRule type="expression" dxfId="6" priority="1" stopIfTrue="1">
      <formula>IF(ROW(A18)&gt;Last_Row,TRUE, FALSE)</formula>
    </cfRule>
    <cfRule type="expression" dxfId="5" priority="2" stopIfTrue="1">
      <formula>IF(ROW(A18)=Last_Row,TRUE, FALSE)</formula>
    </cfRule>
    <cfRule type="expression" dxfId="4" priority="3" stopIfTrue="1">
      <formula>IF(ROW(A18)&lt;Last_Row,TRUE, FALSE)</formula>
    </cfRule>
  </conditionalFormatting>
  <conditionalFormatting sqref="F18:J377">
    <cfRule type="expression" dxfId="3" priority="4" stopIfTrue="1">
      <formula>IF(ROW(F18)&gt;Last_Row,TRUE, FALSE)</formula>
    </cfRule>
    <cfRule type="expression" dxfId="2" priority="5" stopIfTrue="1">
      <formula>IF(ROW(F18)=Last_Row,TRUE, FALSE)</formula>
    </cfRule>
    <cfRule type="expression" dxfId="1" priority="6" stopIfTrue="1">
      <formula>IF(ROW(F18)&lt;=Last_Row,TRUE, FALSE)</formula>
    </cfRule>
  </conditionalFormatting>
  <dataValidations count="3">
    <dataValidation allowBlank="1" showInputMessage="1" showErrorMessage="1" promptTitle="Extra Payments" prompt="Enter an amount here if you want to make additional principal payments every pay period._x000a__x000a_For occasional extra payments, enter the extra principal amounts directly in the 'Extra Payment' column below." sqref="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dataValidation type="date" operator="greaterThanOrEqual" allowBlank="1" showInputMessage="1" showErrorMessage="1" errorTitle="Date" error="Please enter a valid date greater than or equal to January 1, 1900." sqref="D8:D9 IZ8:IZ9 SV8:SV9 ACR8:ACR9 AMN8:AMN9 AWJ8:AWJ9 BGF8:BGF9 BQB8:BQB9 BZX8:BZX9 CJT8:CJT9 CTP8:CTP9 DDL8:DDL9 DNH8:DNH9 DXD8:DXD9 EGZ8:EGZ9 EQV8:EQV9 FAR8:FAR9 FKN8:FKN9 FUJ8:FUJ9 GEF8:GEF9 GOB8:GOB9 GXX8:GXX9 HHT8:HHT9 HRP8:HRP9 IBL8:IBL9 ILH8:ILH9 IVD8:IVD9 JEZ8:JEZ9 JOV8:JOV9 JYR8:JYR9 KIN8:KIN9 KSJ8:KSJ9 LCF8:LCF9 LMB8:LMB9 LVX8:LVX9 MFT8:MFT9 MPP8:MPP9 MZL8:MZL9 NJH8:NJH9 NTD8:NTD9 OCZ8:OCZ9 OMV8:OMV9 OWR8:OWR9 PGN8:PGN9 PQJ8:PQJ9 QAF8:QAF9 QKB8:QKB9 QTX8:QTX9 RDT8:RDT9 RNP8:RNP9 RXL8:RXL9 SHH8:SHH9 SRD8:SRD9 TAZ8:TAZ9 TKV8:TKV9 TUR8:TUR9 UEN8:UEN9 UOJ8:UOJ9 UYF8:UYF9 VIB8:VIB9 VRX8:VRX9 WBT8:WBT9 WLP8:WLP9 WVL8:WVL9 D65544:D65545 IZ65544:IZ65545 SV65544:SV65545 ACR65544:ACR65545 AMN65544:AMN65545 AWJ65544:AWJ65545 BGF65544:BGF65545 BQB65544:BQB65545 BZX65544:BZX65545 CJT65544:CJT65545 CTP65544:CTP65545 DDL65544:DDL65545 DNH65544:DNH65545 DXD65544:DXD65545 EGZ65544:EGZ65545 EQV65544:EQV65545 FAR65544:FAR65545 FKN65544:FKN65545 FUJ65544:FUJ65545 GEF65544:GEF65545 GOB65544:GOB65545 GXX65544:GXX65545 HHT65544:HHT65545 HRP65544:HRP65545 IBL65544:IBL65545 ILH65544:ILH65545 IVD65544:IVD65545 JEZ65544:JEZ65545 JOV65544:JOV65545 JYR65544:JYR65545 KIN65544:KIN65545 KSJ65544:KSJ65545 LCF65544:LCF65545 LMB65544:LMB65545 LVX65544:LVX65545 MFT65544:MFT65545 MPP65544:MPP65545 MZL65544:MZL65545 NJH65544:NJH65545 NTD65544:NTD65545 OCZ65544:OCZ65545 OMV65544:OMV65545 OWR65544:OWR65545 PGN65544:PGN65545 PQJ65544:PQJ65545 QAF65544:QAF65545 QKB65544:QKB65545 QTX65544:QTX65545 RDT65544:RDT65545 RNP65544:RNP65545 RXL65544:RXL65545 SHH65544:SHH65545 SRD65544:SRD65545 TAZ65544:TAZ65545 TKV65544:TKV65545 TUR65544:TUR65545 UEN65544:UEN65545 UOJ65544:UOJ65545 UYF65544:UYF65545 VIB65544:VIB65545 VRX65544:VRX65545 WBT65544:WBT65545 WLP65544:WLP65545 WVL65544:WVL65545 D131080:D131081 IZ131080:IZ131081 SV131080:SV131081 ACR131080:ACR131081 AMN131080:AMN131081 AWJ131080:AWJ131081 BGF131080:BGF131081 BQB131080:BQB131081 BZX131080:BZX131081 CJT131080:CJT131081 CTP131080:CTP131081 DDL131080:DDL131081 DNH131080:DNH131081 DXD131080:DXD131081 EGZ131080:EGZ131081 EQV131080:EQV131081 FAR131080:FAR131081 FKN131080:FKN131081 FUJ131080:FUJ131081 GEF131080:GEF131081 GOB131080:GOB131081 GXX131080:GXX131081 HHT131080:HHT131081 HRP131080:HRP131081 IBL131080:IBL131081 ILH131080:ILH131081 IVD131080:IVD131081 JEZ131080:JEZ131081 JOV131080:JOV131081 JYR131080:JYR131081 KIN131080:KIN131081 KSJ131080:KSJ131081 LCF131080:LCF131081 LMB131080:LMB131081 LVX131080:LVX131081 MFT131080:MFT131081 MPP131080:MPP131081 MZL131080:MZL131081 NJH131080:NJH131081 NTD131080:NTD131081 OCZ131080:OCZ131081 OMV131080:OMV131081 OWR131080:OWR131081 PGN131080:PGN131081 PQJ131080:PQJ131081 QAF131080:QAF131081 QKB131080:QKB131081 QTX131080:QTX131081 RDT131080:RDT131081 RNP131080:RNP131081 RXL131080:RXL131081 SHH131080:SHH131081 SRD131080:SRD131081 TAZ131080:TAZ131081 TKV131080:TKV131081 TUR131080:TUR131081 UEN131080:UEN131081 UOJ131080:UOJ131081 UYF131080:UYF131081 VIB131080:VIB131081 VRX131080:VRX131081 WBT131080:WBT131081 WLP131080:WLP131081 WVL131080:WVL131081 D196616:D196617 IZ196616:IZ196617 SV196616:SV196617 ACR196616:ACR196617 AMN196616:AMN196617 AWJ196616:AWJ196617 BGF196616:BGF196617 BQB196616:BQB196617 BZX196616:BZX196617 CJT196616:CJT196617 CTP196616:CTP196617 DDL196616:DDL196617 DNH196616:DNH196617 DXD196616:DXD196617 EGZ196616:EGZ196617 EQV196616:EQV196617 FAR196616:FAR196617 FKN196616:FKN196617 FUJ196616:FUJ196617 GEF196616:GEF196617 GOB196616:GOB196617 GXX196616:GXX196617 HHT196616:HHT196617 HRP196616:HRP196617 IBL196616:IBL196617 ILH196616:ILH196617 IVD196616:IVD196617 JEZ196616:JEZ196617 JOV196616:JOV196617 JYR196616:JYR196617 KIN196616:KIN196617 KSJ196616:KSJ196617 LCF196616:LCF196617 LMB196616:LMB196617 LVX196616:LVX196617 MFT196616:MFT196617 MPP196616:MPP196617 MZL196616:MZL196617 NJH196616:NJH196617 NTD196616:NTD196617 OCZ196616:OCZ196617 OMV196616:OMV196617 OWR196616:OWR196617 PGN196616:PGN196617 PQJ196616:PQJ196617 QAF196616:QAF196617 QKB196616:QKB196617 QTX196616:QTX196617 RDT196616:RDT196617 RNP196616:RNP196617 RXL196616:RXL196617 SHH196616:SHH196617 SRD196616:SRD196617 TAZ196616:TAZ196617 TKV196616:TKV196617 TUR196616:TUR196617 UEN196616:UEN196617 UOJ196616:UOJ196617 UYF196616:UYF196617 VIB196616:VIB196617 VRX196616:VRX196617 WBT196616:WBT196617 WLP196616:WLP196617 WVL196616:WVL196617 D262152:D262153 IZ262152:IZ262153 SV262152:SV262153 ACR262152:ACR262153 AMN262152:AMN262153 AWJ262152:AWJ262153 BGF262152:BGF262153 BQB262152:BQB262153 BZX262152:BZX262153 CJT262152:CJT262153 CTP262152:CTP262153 DDL262152:DDL262153 DNH262152:DNH262153 DXD262152:DXD262153 EGZ262152:EGZ262153 EQV262152:EQV262153 FAR262152:FAR262153 FKN262152:FKN262153 FUJ262152:FUJ262153 GEF262152:GEF262153 GOB262152:GOB262153 GXX262152:GXX262153 HHT262152:HHT262153 HRP262152:HRP262153 IBL262152:IBL262153 ILH262152:ILH262153 IVD262152:IVD262153 JEZ262152:JEZ262153 JOV262152:JOV262153 JYR262152:JYR262153 KIN262152:KIN262153 KSJ262152:KSJ262153 LCF262152:LCF262153 LMB262152:LMB262153 LVX262152:LVX262153 MFT262152:MFT262153 MPP262152:MPP262153 MZL262152:MZL262153 NJH262152:NJH262153 NTD262152:NTD262153 OCZ262152:OCZ262153 OMV262152:OMV262153 OWR262152:OWR262153 PGN262152:PGN262153 PQJ262152:PQJ262153 QAF262152:QAF262153 QKB262152:QKB262153 QTX262152:QTX262153 RDT262152:RDT262153 RNP262152:RNP262153 RXL262152:RXL262153 SHH262152:SHH262153 SRD262152:SRD262153 TAZ262152:TAZ262153 TKV262152:TKV262153 TUR262152:TUR262153 UEN262152:UEN262153 UOJ262152:UOJ262153 UYF262152:UYF262153 VIB262152:VIB262153 VRX262152:VRX262153 WBT262152:WBT262153 WLP262152:WLP262153 WVL262152:WVL262153 D327688:D327689 IZ327688:IZ327689 SV327688:SV327689 ACR327688:ACR327689 AMN327688:AMN327689 AWJ327688:AWJ327689 BGF327688:BGF327689 BQB327688:BQB327689 BZX327688:BZX327689 CJT327688:CJT327689 CTP327688:CTP327689 DDL327688:DDL327689 DNH327688:DNH327689 DXD327688:DXD327689 EGZ327688:EGZ327689 EQV327688:EQV327689 FAR327688:FAR327689 FKN327688:FKN327689 FUJ327688:FUJ327689 GEF327688:GEF327689 GOB327688:GOB327689 GXX327688:GXX327689 HHT327688:HHT327689 HRP327688:HRP327689 IBL327688:IBL327689 ILH327688:ILH327689 IVD327688:IVD327689 JEZ327688:JEZ327689 JOV327688:JOV327689 JYR327688:JYR327689 KIN327688:KIN327689 KSJ327688:KSJ327689 LCF327688:LCF327689 LMB327688:LMB327689 LVX327688:LVX327689 MFT327688:MFT327689 MPP327688:MPP327689 MZL327688:MZL327689 NJH327688:NJH327689 NTD327688:NTD327689 OCZ327688:OCZ327689 OMV327688:OMV327689 OWR327688:OWR327689 PGN327688:PGN327689 PQJ327688:PQJ327689 QAF327688:QAF327689 QKB327688:QKB327689 QTX327688:QTX327689 RDT327688:RDT327689 RNP327688:RNP327689 RXL327688:RXL327689 SHH327688:SHH327689 SRD327688:SRD327689 TAZ327688:TAZ327689 TKV327688:TKV327689 TUR327688:TUR327689 UEN327688:UEN327689 UOJ327688:UOJ327689 UYF327688:UYF327689 VIB327688:VIB327689 VRX327688:VRX327689 WBT327688:WBT327689 WLP327688:WLP327689 WVL327688:WVL327689 D393224:D393225 IZ393224:IZ393225 SV393224:SV393225 ACR393224:ACR393225 AMN393224:AMN393225 AWJ393224:AWJ393225 BGF393224:BGF393225 BQB393224:BQB393225 BZX393224:BZX393225 CJT393224:CJT393225 CTP393224:CTP393225 DDL393224:DDL393225 DNH393224:DNH393225 DXD393224:DXD393225 EGZ393224:EGZ393225 EQV393224:EQV393225 FAR393224:FAR393225 FKN393224:FKN393225 FUJ393224:FUJ393225 GEF393224:GEF393225 GOB393224:GOB393225 GXX393224:GXX393225 HHT393224:HHT393225 HRP393224:HRP393225 IBL393224:IBL393225 ILH393224:ILH393225 IVD393224:IVD393225 JEZ393224:JEZ393225 JOV393224:JOV393225 JYR393224:JYR393225 KIN393224:KIN393225 KSJ393224:KSJ393225 LCF393224:LCF393225 LMB393224:LMB393225 LVX393224:LVX393225 MFT393224:MFT393225 MPP393224:MPP393225 MZL393224:MZL393225 NJH393224:NJH393225 NTD393224:NTD393225 OCZ393224:OCZ393225 OMV393224:OMV393225 OWR393224:OWR393225 PGN393224:PGN393225 PQJ393224:PQJ393225 QAF393224:QAF393225 QKB393224:QKB393225 QTX393224:QTX393225 RDT393224:RDT393225 RNP393224:RNP393225 RXL393224:RXL393225 SHH393224:SHH393225 SRD393224:SRD393225 TAZ393224:TAZ393225 TKV393224:TKV393225 TUR393224:TUR393225 UEN393224:UEN393225 UOJ393224:UOJ393225 UYF393224:UYF393225 VIB393224:VIB393225 VRX393224:VRX393225 WBT393224:WBT393225 WLP393224:WLP393225 WVL393224:WVL393225 D458760:D458761 IZ458760:IZ458761 SV458760:SV458761 ACR458760:ACR458761 AMN458760:AMN458761 AWJ458760:AWJ458761 BGF458760:BGF458761 BQB458760:BQB458761 BZX458760:BZX458761 CJT458760:CJT458761 CTP458760:CTP458761 DDL458760:DDL458761 DNH458760:DNH458761 DXD458760:DXD458761 EGZ458760:EGZ458761 EQV458760:EQV458761 FAR458760:FAR458761 FKN458760:FKN458761 FUJ458760:FUJ458761 GEF458760:GEF458761 GOB458760:GOB458761 GXX458760:GXX458761 HHT458760:HHT458761 HRP458760:HRP458761 IBL458760:IBL458761 ILH458760:ILH458761 IVD458760:IVD458761 JEZ458760:JEZ458761 JOV458760:JOV458761 JYR458760:JYR458761 KIN458760:KIN458761 KSJ458760:KSJ458761 LCF458760:LCF458761 LMB458760:LMB458761 LVX458760:LVX458761 MFT458760:MFT458761 MPP458760:MPP458761 MZL458760:MZL458761 NJH458760:NJH458761 NTD458760:NTD458761 OCZ458760:OCZ458761 OMV458760:OMV458761 OWR458760:OWR458761 PGN458760:PGN458761 PQJ458760:PQJ458761 QAF458760:QAF458761 QKB458760:QKB458761 QTX458760:QTX458761 RDT458760:RDT458761 RNP458760:RNP458761 RXL458760:RXL458761 SHH458760:SHH458761 SRD458760:SRD458761 TAZ458760:TAZ458761 TKV458760:TKV458761 TUR458760:TUR458761 UEN458760:UEN458761 UOJ458760:UOJ458761 UYF458760:UYF458761 VIB458760:VIB458761 VRX458760:VRX458761 WBT458760:WBT458761 WLP458760:WLP458761 WVL458760:WVL458761 D524296:D524297 IZ524296:IZ524297 SV524296:SV524297 ACR524296:ACR524297 AMN524296:AMN524297 AWJ524296:AWJ524297 BGF524296:BGF524297 BQB524296:BQB524297 BZX524296:BZX524297 CJT524296:CJT524297 CTP524296:CTP524297 DDL524296:DDL524297 DNH524296:DNH524297 DXD524296:DXD524297 EGZ524296:EGZ524297 EQV524296:EQV524297 FAR524296:FAR524297 FKN524296:FKN524297 FUJ524296:FUJ524297 GEF524296:GEF524297 GOB524296:GOB524297 GXX524296:GXX524297 HHT524296:HHT524297 HRP524296:HRP524297 IBL524296:IBL524297 ILH524296:ILH524297 IVD524296:IVD524297 JEZ524296:JEZ524297 JOV524296:JOV524297 JYR524296:JYR524297 KIN524296:KIN524297 KSJ524296:KSJ524297 LCF524296:LCF524297 LMB524296:LMB524297 LVX524296:LVX524297 MFT524296:MFT524297 MPP524296:MPP524297 MZL524296:MZL524297 NJH524296:NJH524297 NTD524296:NTD524297 OCZ524296:OCZ524297 OMV524296:OMV524297 OWR524296:OWR524297 PGN524296:PGN524297 PQJ524296:PQJ524297 QAF524296:QAF524297 QKB524296:QKB524297 QTX524296:QTX524297 RDT524296:RDT524297 RNP524296:RNP524297 RXL524296:RXL524297 SHH524296:SHH524297 SRD524296:SRD524297 TAZ524296:TAZ524297 TKV524296:TKV524297 TUR524296:TUR524297 UEN524296:UEN524297 UOJ524296:UOJ524297 UYF524296:UYF524297 VIB524296:VIB524297 VRX524296:VRX524297 WBT524296:WBT524297 WLP524296:WLP524297 WVL524296:WVL524297 D589832:D589833 IZ589832:IZ589833 SV589832:SV589833 ACR589832:ACR589833 AMN589832:AMN589833 AWJ589832:AWJ589833 BGF589832:BGF589833 BQB589832:BQB589833 BZX589832:BZX589833 CJT589832:CJT589833 CTP589832:CTP589833 DDL589832:DDL589833 DNH589832:DNH589833 DXD589832:DXD589833 EGZ589832:EGZ589833 EQV589832:EQV589833 FAR589832:FAR589833 FKN589832:FKN589833 FUJ589832:FUJ589833 GEF589832:GEF589833 GOB589832:GOB589833 GXX589832:GXX589833 HHT589832:HHT589833 HRP589832:HRP589833 IBL589832:IBL589833 ILH589832:ILH589833 IVD589832:IVD589833 JEZ589832:JEZ589833 JOV589832:JOV589833 JYR589832:JYR589833 KIN589832:KIN589833 KSJ589832:KSJ589833 LCF589832:LCF589833 LMB589832:LMB589833 LVX589832:LVX589833 MFT589832:MFT589833 MPP589832:MPP589833 MZL589832:MZL589833 NJH589832:NJH589833 NTD589832:NTD589833 OCZ589832:OCZ589833 OMV589832:OMV589833 OWR589832:OWR589833 PGN589832:PGN589833 PQJ589832:PQJ589833 QAF589832:QAF589833 QKB589832:QKB589833 QTX589832:QTX589833 RDT589832:RDT589833 RNP589832:RNP589833 RXL589832:RXL589833 SHH589832:SHH589833 SRD589832:SRD589833 TAZ589832:TAZ589833 TKV589832:TKV589833 TUR589832:TUR589833 UEN589832:UEN589833 UOJ589832:UOJ589833 UYF589832:UYF589833 VIB589832:VIB589833 VRX589832:VRX589833 WBT589832:WBT589833 WLP589832:WLP589833 WVL589832:WVL589833 D655368:D655369 IZ655368:IZ655369 SV655368:SV655369 ACR655368:ACR655369 AMN655368:AMN655369 AWJ655368:AWJ655369 BGF655368:BGF655369 BQB655368:BQB655369 BZX655368:BZX655369 CJT655368:CJT655369 CTP655368:CTP655369 DDL655368:DDL655369 DNH655368:DNH655369 DXD655368:DXD655369 EGZ655368:EGZ655369 EQV655368:EQV655369 FAR655368:FAR655369 FKN655368:FKN655369 FUJ655368:FUJ655369 GEF655368:GEF655369 GOB655368:GOB655369 GXX655368:GXX655369 HHT655368:HHT655369 HRP655368:HRP655369 IBL655368:IBL655369 ILH655368:ILH655369 IVD655368:IVD655369 JEZ655368:JEZ655369 JOV655368:JOV655369 JYR655368:JYR655369 KIN655368:KIN655369 KSJ655368:KSJ655369 LCF655368:LCF655369 LMB655368:LMB655369 LVX655368:LVX655369 MFT655368:MFT655369 MPP655368:MPP655369 MZL655368:MZL655369 NJH655368:NJH655369 NTD655368:NTD655369 OCZ655368:OCZ655369 OMV655368:OMV655369 OWR655368:OWR655369 PGN655368:PGN655369 PQJ655368:PQJ655369 QAF655368:QAF655369 QKB655368:QKB655369 QTX655368:QTX655369 RDT655368:RDT655369 RNP655368:RNP655369 RXL655368:RXL655369 SHH655368:SHH655369 SRD655368:SRD655369 TAZ655368:TAZ655369 TKV655368:TKV655369 TUR655368:TUR655369 UEN655368:UEN655369 UOJ655368:UOJ655369 UYF655368:UYF655369 VIB655368:VIB655369 VRX655368:VRX655369 WBT655368:WBT655369 WLP655368:WLP655369 WVL655368:WVL655369 D720904:D720905 IZ720904:IZ720905 SV720904:SV720905 ACR720904:ACR720905 AMN720904:AMN720905 AWJ720904:AWJ720905 BGF720904:BGF720905 BQB720904:BQB720905 BZX720904:BZX720905 CJT720904:CJT720905 CTP720904:CTP720905 DDL720904:DDL720905 DNH720904:DNH720905 DXD720904:DXD720905 EGZ720904:EGZ720905 EQV720904:EQV720905 FAR720904:FAR720905 FKN720904:FKN720905 FUJ720904:FUJ720905 GEF720904:GEF720905 GOB720904:GOB720905 GXX720904:GXX720905 HHT720904:HHT720905 HRP720904:HRP720905 IBL720904:IBL720905 ILH720904:ILH720905 IVD720904:IVD720905 JEZ720904:JEZ720905 JOV720904:JOV720905 JYR720904:JYR720905 KIN720904:KIN720905 KSJ720904:KSJ720905 LCF720904:LCF720905 LMB720904:LMB720905 LVX720904:LVX720905 MFT720904:MFT720905 MPP720904:MPP720905 MZL720904:MZL720905 NJH720904:NJH720905 NTD720904:NTD720905 OCZ720904:OCZ720905 OMV720904:OMV720905 OWR720904:OWR720905 PGN720904:PGN720905 PQJ720904:PQJ720905 QAF720904:QAF720905 QKB720904:QKB720905 QTX720904:QTX720905 RDT720904:RDT720905 RNP720904:RNP720905 RXL720904:RXL720905 SHH720904:SHH720905 SRD720904:SRD720905 TAZ720904:TAZ720905 TKV720904:TKV720905 TUR720904:TUR720905 UEN720904:UEN720905 UOJ720904:UOJ720905 UYF720904:UYF720905 VIB720904:VIB720905 VRX720904:VRX720905 WBT720904:WBT720905 WLP720904:WLP720905 WVL720904:WVL720905 D786440:D786441 IZ786440:IZ786441 SV786440:SV786441 ACR786440:ACR786441 AMN786440:AMN786441 AWJ786440:AWJ786441 BGF786440:BGF786441 BQB786440:BQB786441 BZX786440:BZX786441 CJT786440:CJT786441 CTP786440:CTP786441 DDL786440:DDL786441 DNH786440:DNH786441 DXD786440:DXD786441 EGZ786440:EGZ786441 EQV786440:EQV786441 FAR786440:FAR786441 FKN786440:FKN786441 FUJ786440:FUJ786441 GEF786440:GEF786441 GOB786440:GOB786441 GXX786440:GXX786441 HHT786440:HHT786441 HRP786440:HRP786441 IBL786440:IBL786441 ILH786440:ILH786441 IVD786440:IVD786441 JEZ786440:JEZ786441 JOV786440:JOV786441 JYR786440:JYR786441 KIN786440:KIN786441 KSJ786440:KSJ786441 LCF786440:LCF786441 LMB786440:LMB786441 LVX786440:LVX786441 MFT786440:MFT786441 MPP786440:MPP786441 MZL786440:MZL786441 NJH786440:NJH786441 NTD786440:NTD786441 OCZ786440:OCZ786441 OMV786440:OMV786441 OWR786440:OWR786441 PGN786440:PGN786441 PQJ786440:PQJ786441 QAF786440:QAF786441 QKB786440:QKB786441 QTX786440:QTX786441 RDT786440:RDT786441 RNP786440:RNP786441 RXL786440:RXL786441 SHH786440:SHH786441 SRD786440:SRD786441 TAZ786440:TAZ786441 TKV786440:TKV786441 TUR786440:TUR786441 UEN786440:UEN786441 UOJ786440:UOJ786441 UYF786440:UYF786441 VIB786440:VIB786441 VRX786440:VRX786441 WBT786440:WBT786441 WLP786440:WLP786441 WVL786440:WVL786441 D851976:D851977 IZ851976:IZ851977 SV851976:SV851977 ACR851976:ACR851977 AMN851976:AMN851977 AWJ851976:AWJ851977 BGF851976:BGF851977 BQB851976:BQB851977 BZX851976:BZX851977 CJT851976:CJT851977 CTP851976:CTP851977 DDL851976:DDL851977 DNH851976:DNH851977 DXD851976:DXD851977 EGZ851976:EGZ851977 EQV851976:EQV851977 FAR851976:FAR851977 FKN851976:FKN851977 FUJ851976:FUJ851977 GEF851976:GEF851977 GOB851976:GOB851977 GXX851976:GXX851977 HHT851976:HHT851977 HRP851976:HRP851977 IBL851976:IBL851977 ILH851976:ILH851977 IVD851976:IVD851977 JEZ851976:JEZ851977 JOV851976:JOV851977 JYR851976:JYR851977 KIN851976:KIN851977 KSJ851976:KSJ851977 LCF851976:LCF851977 LMB851976:LMB851977 LVX851976:LVX851977 MFT851976:MFT851977 MPP851976:MPP851977 MZL851976:MZL851977 NJH851976:NJH851977 NTD851976:NTD851977 OCZ851976:OCZ851977 OMV851976:OMV851977 OWR851976:OWR851977 PGN851976:PGN851977 PQJ851976:PQJ851977 QAF851976:QAF851977 QKB851976:QKB851977 QTX851976:QTX851977 RDT851976:RDT851977 RNP851976:RNP851977 RXL851976:RXL851977 SHH851976:SHH851977 SRD851976:SRD851977 TAZ851976:TAZ851977 TKV851976:TKV851977 TUR851976:TUR851977 UEN851976:UEN851977 UOJ851976:UOJ851977 UYF851976:UYF851977 VIB851976:VIB851977 VRX851976:VRX851977 WBT851976:WBT851977 WLP851976:WLP851977 WVL851976:WVL851977 D917512:D917513 IZ917512:IZ917513 SV917512:SV917513 ACR917512:ACR917513 AMN917512:AMN917513 AWJ917512:AWJ917513 BGF917512:BGF917513 BQB917512:BQB917513 BZX917512:BZX917513 CJT917512:CJT917513 CTP917512:CTP917513 DDL917512:DDL917513 DNH917512:DNH917513 DXD917512:DXD917513 EGZ917512:EGZ917513 EQV917512:EQV917513 FAR917512:FAR917513 FKN917512:FKN917513 FUJ917512:FUJ917513 GEF917512:GEF917513 GOB917512:GOB917513 GXX917512:GXX917513 HHT917512:HHT917513 HRP917512:HRP917513 IBL917512:IBL917513 ILH917512:ILH917513 IVD917512:IVD917513 JEZ917512:JEZ917513 JOV917512:JOV917513 JYR917512:JYR917513 KIN917512:KIN917513 KSJ917512:KSJ917513 LCF917512:LCF917513 LMB917512:LMB917513 LVX917512:LVX917513 MFT917512:MFT917513 MPP917512:MPP917513 MZL917512:MZL917513 NJH917512:NJH917513 NTD917512:NTD917513 OCZ917512:OCZ917513 OMV917512:OMV917513 OWR917512:OWR917513 PGN917512:PGN917513 PQJ917512:PQJ917513 QAF917512:QAF917513 QKB917512:QKB917513 QTX917512:QTX917513 RDT917512:RDT917513 RNP917512:RNP917513 RXL917512:RXL917513 SHH917512:SHH917513 SRD917512:SRD917513 TAZ917512:TAZ917513 TKV917512:TKV917513 TUR917512:TUR917513 UEN917512:UEN917513 UOJ917512:UOJ917513 UYF917512:UYF917513 VIB917512:VIB917513 VRX917512:VRX917513 WBT917512:WBT917513 WLP917512:WLP917513 WVL917512:WVL917513 D983048:D983049 IZ983048:IZ983049 SV983048:SV983049 ACR983048:ACR983049 AMN983048:AMN983049 AWJ983048:AWJ983049 BGF983048:BGF983049 BQB983048:BQB983049 BZX983048:BZX983049 CJT983048:CJT983049 CTP983048:CTP983049 DDL983048:DDL983049 DNH983048:DNH983049 DXD983048:DXD983049 EGZ983048:EGZ983049 EQV983048:EQV983049 FAR983048:FAR983049 FKN983048:FKN983049 FUJ983048:FUJ983049 GEF983048:GEF983049 GOB983048:GOB983049 GXX983048:GXX983049 HHT983048:HHT983049 HRP983048:HRP983049 IBL983048:IBL983049 ILH983048:ILH983049 IVD983048:IVD983049 JEZ983048:JEZ983049 JOV983048:JOV983049 JYR983048:JYR983049 KIN983048:KIN983049 KSJ983048:KSJ983049 LCF983048:LCF983049 LMB983048:LMB983049 LVX983048:LVX983049 MFT983048:MFT983049 MPP983048:MPP983049 MZL983048:MZL983049 NJH983048:NJH983049 NTD983048:NTD983049 OCZ983048:OCZ983049 OMV983048:OMV983049 OWR983048:OWR983049 PGN983048:PGN983049 PQJ983048:PQJ983049 QAF983048:QAF983049 QKB983048:QKB983049 QTX983048:QTX983049 RDT983048:RDT983049 RNP983048:RNP983049 RXL983048:RXL983049 SHH983048:SHH983049 SRD983048:SRD983049 TAZ983048:TAZ983049 TKV983048:TKV983049 TUR983048:TUR983049 UEN983048:UEN983049 UOJ983048:UOJ983049 UYF983048:UYF983049 VIB983048:VIB983049 VRX983048:VRX983049 WBT983048:WBT983049 WLP983048:WLP983049 WVL983048:WVL983049">
      <formula1>1</formula1>
    </dataValidation>
    <dataValidation type="whole" allowBlank="1" showInputMessage="1" showErrorMessage="1" errorTitle="Years" error="Please enter a whole number of years from 1 to 3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formula1>1</formula1>
      <formula2>30</formula2>
    </dataValidation>
  </dataValidations>
  <printOptions horizontalCentered="1"/>
  <pageMargins left="0.75" right="0.5" top="0.5" bottom="0.5" header="0.5" footer="0.5"/>
  <pageSetup scale="8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8"/>
  <sheetViews>
    <sheetView workbookViewId="0">
      <pane xSplit="1" topLeftCell="B1" activePane="topRight" state="frozen"/>
      <selection pane="topRight" activeCell="E10" sqref="E10"/>
    </sheetView>
  </sheetViews>
  <sheetFormatPr defaultRowHeight="15" x14ac:dyDescent="0.25"/>
  <cols>
    <col min="1" max="1" width="42.5703125" bestFit="1" customWidth="1"/>
    <col min="2" max="2" width="15.7109375" customWidth="1"/>
    <col min="3" max="4" width="15.85546875" customWidth="1"/>
    <col min="5" max="5" width="14.85546875" customWidth="1"/>
    <col min="6" max="7" width="15.5703125" customWidth="1"/>
    <col min="8" max="8" width="15.28515625" customWidth="1"/>
    <col min="9" max="9" width="17.28515625" customWidth="1"/>
    <col min="10" max="10" width="16.42578125" customWidth="1"/>
    <col min="11" max="11" width="16.5703125" customWidth="1"/>
    <col min="12" max="12" width="14.5703125" bestFit="1" customWidth="1"/>
    <col min="13" max="14" width="16" bestFit="1" customWidth="1"/>
    <col min="15" max="17" width="17" bestFit="1" customWidth="1"/>
    <col min="18" max="19" width="18.140625" bestFit="1" customWidth="1"/>
    <col min="20" max="21" width="19.7109375" bestFit="1" customWidth="1"/>
    <col min="22" max="24" width="20.7109375" bestFit="1" customWidth="1"/>
    <col min="25" max="25" width="17.28515625" customWidth="1"/>
    <col min="26" max="26" width="16.7109375" customWidth="1"/>
    <col min="27" max="27" width="16" customWidth="1"/>
    <col min="28" max="28" width="17" customWidth="1"/>
    <col min="29" max="29" width="18" customWidth="1"/>
    <col min="30" max="31" width="24.42578125" bestFit="1" customWidth="1"/>
    <col min="33" max="33" width="11.85546875" bestFit="1" customWidth="1"/>
  </cols>
  <sheetData>
    <row r="1" spans="1:33" x14ac:dyDescent="0.25">
      <c r="A1" s="13"/>
      <c r="B1" s="13"/>
      <c r="C1" s="13"/>
      <c r="D1" s="13"/>
      <c r="E1" s="13"/>
      <c r="F1" s="13"/>
      <c r="G1" s="13"/>
      <c r="H1" s="13"/>
      <c r="I1" s="13"/>
      <c r="J1" s="13"/>
      <c r="K1" s="13"/>
      <c r="T1" s="10"/>
      <c r="U1" s="10"/>
      <c r="V1" s="4"/>
      <c r="W1" s="10"/>
      <c r="X1" s="10"/>
      <c r="Y1" s="10"/>
    </row>
    <row r="2" spans="1:33" ht="15.75" thickBot="1" x14ac:dyDescent="0.3">
      <c r="A2" s="84" t="s">
        <v>14</v>
      </c>
      <c r="B2" s="13"/>
      <c r="C2" s="13"/>
      <c r="D2" s="13"/>
      <c r="E2" s="13"/>
      <c r="F2" s="13"/>
      <c r="G2" s="13"/>
      <c r="H2" s="13"/>
      <c r="I2" s="13"/>
      <c r="J2" s="13"/>
      <c r="K2" s="13"/>
      <c r="T2" s="10"/>
      <c r="U2" s="16"/>
      <c r="V2" s="19"/>
      <c r="W2" s="15"/>
      <c r="X2" s="18"/>
      <c r="Y2" s="17"/>
    </row>
    <row r="3" spans="1:33" x14ac:dyDescent="0.25">
      <c r="A3" s="101" t="s">
        <v>111</v>
      </c>
      <c r="B3" s="102">
        <v>1</v>
      </c>
      <c r="C3" s="103">
        <v>2</v>
      </c>
      <c r="D3" s="102">
        <v>3</v>
      </c>
      <c r="E3" s="102">
        <v>4</v>
      </c>
      <c r="F3" s="102">
        <v>5</v>
      </c>
      <c r="G3" s="103">
        <v>6</v>
      </c>
      <c r="H3" s="102">
        <v>7</v>
      </c>
      <c r="I3" s="102">
        <v>8</v>
      </c>
      <c r="J3" s="102">
        <v>9</v>
      </c>
      <c r="K3" s="103">
        <v>10</v>
      </c>
      <c r="L3" s="102">
        <v>11</v>
      </c>
      <c r="M3" s="102">
        <v>12</v>
      </c>
      <c r="N3" s="102">
        <v>13</v>
      </c>
      <c r="O3" s="103">
        <v>14</v>
      </c>
      <c r="P3" s="102">
        <v>15</v>
      </c>
      <c r="Q3" s="102">
        <v>16</v>
      </c>
      <c r="R3" s="102">
        <v>17</v>
      </c>
      <c r="S3" s="103">
        <v>18</v>
      </c>
      <c r="T3" s="102">
        <v>19</v>
      </c>
      <c r="U3" s="102">
        <v>20</v>
      </c>
      <c r="V3" s="102">
        <v>21</v>
      </c>
      <c r="W3" s="103">
        <v>22</v>
      </c>
      <c r="X3" s="102">
        <v>23</v>
      </c>
      <c r="Y3" s="102">
        <v>24</v>
      </c>
      <c r="Z3" s="102">
        <v>25</v>
      </c>
      <c r="AA3" s="103">
        <v>26</v>
      </c>
      <c r="AB3" s="102">
        <v>27</v>
      </c>
      <c r="AC3" s="102">
        <v>28</v>
      </c>
      <c r="AD3" s="102">
        <v>29</v>
      </c>
      <c r="AE3" s="103">
        <v>30</v>
      </c>
    </row>
    <row r="4" spans="1:33" x14ac:dyDescent="0.25">
      <c r="A4" s="38" t="s">
        <v>13</v>
      </c>
      <c r="B4" s="173">
        <f>'Loan Amortization Schedule'!K4</f>
        <v>4966.4941305781886</v>
      </c>
      <c r="C4" s="173">
        <f>'Loan Amortization Schedule'!K5</f>
        <v>4891.0116394300167</v>
      </c>
      <c r="D4" s="173">
        <f>'Loan Amortization Schedule'!K6</f>
        <v>4811.6673207778631</v>
      </c>
      <c r="E4" s="173">
        <f>'Loan Amortization Schedule'!K7</f>
        <v>4728.2635961973328</v>
      </c>
      <c r="F4" s="173">
        <f>'Loan Amortization Schedule'!K8</f>
        <v>4640.5927787768569</v>
      </c>
      <c r="G4" s="173">
        <f>'Loan Amortization Schedule'!K9</f>
        <v>4548.4365559483067</v>
      </c>
      <c r="H4" s="173">
        <f>'Loan Amortization Schedule'!K10</f>
        <v>4451.5654458582367</v>
      </c>
      <c r="I4" s="173">
        <f>'Loan Amortization Schedule'!K11</f>
        <v>4349.7382259260485</v>
      </c>
      <c r="J4" s="173">
        <f>'Loan Amortization Schedule'!K12</f>
        <v>4242.7013321661079</v>
      </c>
      <c r="K4" s="173">
        <f>'Loan Amortization Schedule'!K13</f>
        <v>4130.1882277780451</v>
      </c>
      <c r="L4" s="104">
        <f>'Loan Amortization Schedule'!O4</f>
        <v>4011.9187394329219</v>
      </c>
      <c r="M4" s="104">
        <f>'Loan Amortization Schedule'!O5</f>
        <v>3887.5983596025617</v>
      </c>
      <c r="N4" s="104">
        <f>'Loan Amortization Schedule'!O6</f>
        <v>3756.9175131947022</v>
      </c>
      <c r="O4" s="104">
        <f>'Loan Amortization Schedule'!O7</f>
        <v>3619.5507866678254</v>
      </c>
      <c r="P4" s="104">
        <f>'Loan Amortization Schedule'!O8</f>
        <v>3475.1561177060325</v>
      </c>
      <c r="Q4" s="104">
        <f>'Loan Amortization Schedule'!O9</f>
        <v>3323.3739434361491</v>
      </c>
      <c r="R4" s="104">
        <f>'Loan Amortization Schedule'!O10</f>
        <v>3163.826305066003</v>
      </c>
      <c r="S4" s="104">
        <f>'Loan Amortization Schedule'!O11</f>
        <v>2996.1159067142912</v>
      </c>
      <c r="T4" s="104">
        <f>'Loan Amortization Schedule'!O12</f>
        <v>2819.8251260884035</v>
      </c>
      <c r="U4" s="104">
        <f>'Loan Amortization Schedule'!O13</f>
        <v>2634.5149745466438</v>
      </c>
      <c r="V4" s="104">
        <f>'Loan Amortization Schedule'!S4</f>
        <v>2439.7240039552557</v>
      </c>
      <c r="W4" s="104">
        <f>'Loan Amortization Schedule'!S5</f>
        <v>2234.9671576181872</v>
      </c>
      <c r="X4" s="104">
        <f>'Loan Amortization Schedule'!S6</f>
        <v>2019.7345624182365</v>
      </c>
      <c r="Y4" s="104">
        <f>'Loan Amortization Schedule'!S7</f>
        <v>1793.4902591618452</v>
      </c>
      <c r="Z4" s="104">
        <f>'Loan Amortization Schedule'!S8</f>
        <v>1555.6708679659264</v>
      </c>
      <c r="AA4" s="104">
        <f>'Loan Amortization Schedule'!S9</f>
        <v>1305.6841853633468</v>
      </c>
      <c r="AB4" s="104">
        <f>'Loan Amortization Schedule'!S10</f>
        <v>1042.9077096336603</v>
      </c>
      <c r="AC4" s="104">
        <f>'Loan Amortization Schedule'!S11</f>
        <v>766.68709068696955</v>
      </c>
      <c r="AD4" s="104">
        <f>'Loan Amortization Schedule'!S12</f>
        <v>476.33450064089925</v>
      </c>
      <c r="AE4" s="104">
        <f>'Loan Amortization Schedule'!S13</f>
        <v>171.12692103319526</v>
      </c>
    </row>
    <row r="5" spans="1:33" x14ac:dyDescent="0.25">
      <c r="A5" s="38" t="s">
        <v>12</v>
      </c>
      <c r="B5" s="104">
        <f>Input!D17</f>
        <v>2400</v>
      </c>
      <c r="C5" s="105">
        <f>B5*(1+Input!D18)</f>
        <v>2448</v>
      </c>
      <c r="D5" s="104">
        <f>C5*(1+Input!D18)</f>
        <v>2496.96</v>
      </c>
      <c r="E5" s="104">
        <f>D5*(1+Input!D18)</f>
        <v>2546.8992000000003</v>
      </c>
      <c r="F5" s="104">
        <f>E5*(1+Input!D18)</f>
        <v>2597.8371840000004</v>
      </c>
      <c r="G5" s="104">
        <f>F5*(1+Input!D18)</f>
        <v>2649.7939276800007</v>
      </c>
      <c r="H5" s="105">
        <f>G5*(1+Input!D18)</f>
        <v>2702.7898062336008</v>
      </c>
      <c r="I5" s="105">
        <f>H5*(1+Input!D18)</f>
        <v>2756.845602358273</v>
      </c>
      <c r="J5" s="104">
        <f>I5*(1+Input!D18)</f>
        <v>2811.9825144054385</v>
      </c>
      <c r="K5" s="104">
        <f>J5*(1+Input!D18)</f>
        <v>2868.2221646935473</v>
      </c>
      <c r="L5" s="104">
        <f>K5*(1+Input!D18)</f>
        <v>2925.5866079874181</v>
      </c>
      <c r="M5" s="104">
        <f>L5*(1+Input!D18)</f>
        <v>2984.0983401471667</v>
      </c>
      <c r="N5" s="104">
        <f>M5*(1+Input!D18)</f>
        <v>3043.7803069501101</v>
      </c>
      <c r="O5" s="104">
        <f>N5*(1+Input!D18)</f>
        <v>3104.6559130891123</v>
      </c>
      <c r="P5" s="104">
        <f>O5*(1+Input!D18)</f>
        <v>3166.7490313508947</v>
      </c>
      <c r="Q5" s="104">
        <f>P5*(1+Input!D18)</f>
        <v>3230.0840119779127</v>
      </c>
      <c r="R5" s="104">
        <f>Q5*(1+Input!D18)</f>
        <v>3294.6856922174711</v>
      </c>
      <c r="S5" s="104">
        <f>R5*(1+Input!D18)</f>
        <v>3360.5794060618205</v>
      </c>
      <c r="T5" s="104">
        <f>S5*(1+Input!D18)</f>
        <v>3427.7909941830571</v>
      </c>
      <c r="U5" s="104">
        <f>T5*(1+Input!D18)</f>
        <v>3496.3468140667183</v>
      </c>
      <c r="V5" s="104">
        <f>U5*(1+Input!D18)</f>
        <v>3566.2737503480525</v>
      </c>
      <c r="W5" s="104">
        <f>V5*(1+Input!D18)</f>
        <v>3637.5992253550135</v>
      </c>
      <c r="X5" s="104">
        <f>W5*(1+Input!D18)</f>
        <v>3710.3512098621136</v>
      </c>
      <c r="Y5" s="104">
        <f>X5*(1+Input!D18)</f>
        <v>3784.558234059356</v>
      </c>
      <c r="Z5" s="104">
        <f>Y5*(1+Input!D18)</f>
        <v>3860.2493987405433</v>
      </c>
      <c r="AA5" s="104">
        <f>Z5*(1+Input!D18)</f>
        <v>3937.4543867153543</v>
      </c>
      <c r="AB5" s="104">
        <f>AA5*(1+Input!D18)</f>
        <v>4016.2034744496614</v>
      </c>
      <c r="AC5" s="104">
        <f>AB5*(1+Input!D18)</f>
        <v>4096.5275439386551</v>
      </c>
      <c r="AD5" s="104">
        <f>AC5*(1+Input!D18)</f>
        <v>4178.458094817428</v>
      </c>
      <c r="AE5" s="104">
        <f>AD5*(1+Input!D18)</f>
        <v>4262.0272567137763</v>
      </c>
    </row>
    <row r="6" spans="1:33" x14ac:dyDescent="0.25">
      <c r="A6" s="38" t="s">
        <v>11</v>
      </c>
      <c r="B6" s="104">
        <f>Input!D21</f>
        <v>0</v>
      </c>
      <c r="C6" s="105">
        <f>B6*(1+Input!D22)</f>
        <v>0</v>
      </c>
      <c r="D6" s="104">
        <f>C6*(1+Input!D22)</f>
        <v>0</v>
      </c>
      <c r="E6" s="104">
        <f>D6*(1+Input!D22)</f>
        <v>0</v>
      </c>
      <c r="F6" s="104">
        <f>E6*(1+Input!D22)</f>
        <v>0</v>
      </c>
      <c r="G6" s="104">
        <f>F6*(1+Input!D22)</f>
        <v>0</v>
      </c>
      <c r="H6" s="105">
        <f>G6*(1+Input!D22)</f>
        <v>0</v>
      </c>
      <c r="I6" s="105">
        <f>H6*(1+Input!D22)</f>
        <v>0</v>
      </c>
      <c r="J6" s="104">
        <f>I6*(1+Input!D22)</f>
        <v>0</v>
      </c>
      <c r="K6" s="104">
        <f>J6*(1+Input!D22)</f>
        <v>0</v>
      </c>
      <c r="L6" s="104">
        <f>K6*(1+Input!D22)</f>
        <v>0</v>
      </c>
      <c r="M6" s="104">
        <f>L6*(1+Input!D22)</f>
        <v>0</v>
      </c>
      <c r="N6" s="104">
        <f>M6*(1+Input!D22)</f>
        <v>0</v>
      </c>
      <c r="O6" s="104">
        <f>N6*(1+Input!D22)</f>
        <v>0</v>
      </c>
      <c r="P6" s="104">
        <f>O6*(1+Input!D22)</f>
        <v>0</v>
      </c>
      <c r="Q6" s="104">
        <f>P6*(1+Input!D22)</f>
        <v>0</v>
      </c>
      <c r="R6" s="104">
        <f>Q6*(1+Input!D22)</f>
        <v>0</v>
      </c>
      <c r="S6" s="104">
        <f>R6*(1+Input!D22)</f>
        <v>0</v>
      </c>
      <c r="T6" s="104">
        <f>S6*(1+Input!D22)</f>
        <v>0</v>
      </c>
      <c r="U6" s="104">
        <f>T6*(1+Input!D22)</f>
        <v>0</v>
      </c>
      <c r="V6" s="104">
        <f>U6*(1+Input!D22)</f>
        <v>0</v>
      </c>
      <c r="W6" s="104">
        <f>V6*(1+Input!D22)</f>
        <v>0</v>
      </c>
      <c r="X6" s="104">
        <f>W6*(1+Input!D22)</f>
        <v>0</v>
      </c>
      <c r="Y6" s="104">
        <f>X6*(1+Input!D22)</f>
        <v>0</v>
      </c>
      <c r="Z6" s="104">
        <f>Y6*(1+Input!D22)</f>
        <v>0</v>
      </c>
      <c r="AA6" s="104">
        <f>Z6*(1+Input!D22)</f>
        <v>0</v>
      </c>
      <c r="AB6" s="104">
        <f>AA6*(1+Input!D22)</f>
        <v>0</v>
      </c>
      <c r="AC6" s="104">
        <f>AB6*(1+Input!D22)</f>
        <v>0</v>
      </c>
      <c r="AD6" s="104">
        <f>AC6*(1+Input!D22)</f>
        <v>0</v>
      </c>
      <c r="AE6" s="104">
        <f>AD6*(1+Input!D22)</f>
        <v>0</v>
      </c>
    </row>
    <row r="7" spans="1:33" x14ac:dyDescent="0.25">
      <c r="A7" s="38" t="s">
        <v>10</v>
      </c>
      <c r="B7" s="104">
        <f>Input!D19</f>
        <v>1000</v>
      </c>
      <c r="C7" s="105">
        <f>B7*(1+Input!D20)</f>
        <v>1020</v>
      </c>
      <c r="D7" s="104">
        <f>C7*(1+Input!D20)</f>
        <v>1040.4000000000001</v>
      </c>
      <c r="E7" s="104">
        <f>D7*(1+Input!D20)</f>
        <v>1061.2080000000001</v>
      </c>
      <c r="F7" s="104">
        <f>E7*(1+Input!D20)</f>
        <v>1082.4321600000001</v>
      </c>
      <c r="G7" s="104">
        <f>F7*(1+Input!D20)</f>
        <v>1104.0808032</v>
      </c>
      <c r="H7" s="105">
        <f>G7*(1+Input!D20)</f>
        <v>1126.1624192639999</v>
      </c>
      <c r="I7" s="105">
        <f>H7*(1+Input!D20)</f>
        <v>1148.68566764928</v>
      </c>
      <c r="J7" s="104">
        <f>I7*(1+Input!D20)</f>
        <v>1171.6593810022657</v>
      </c>
      <c r="K7" s="104">
        <f>J7*(1+Input!D20)</f>
        <v>1195.0925686223111</v>
      </c>
      <c r="L7" s="104">
        <f>K7*(1+Input!D20)</f>
        <v>1218.9944199947574</v>
      </c>
      <c r="M7" s="104">
        <f>L7*(1+Input!D20)</f>
        <v>1243.3743083946526</v>
      </c>
      <c r="N7" s="104">
        <f>M7*(1+Input!D20)</f>
        <v>1268.2417945625457</v>
      </c>
      <c r="O7" s="104">
        <f>N7*(1+Input!D20)</f>
        <v>1293.6066304537967</v>
      </c>
      <c r="P7" s="104">
        <f>O7*(1+Input!D20)</f>
        <v>1319.4787630628728</v>
      </c>
      <c r="Q7" s="104">
        <f>P7*(1+Input!D20)</f>
        <v>1345.8683383241303</v>
      </c>
      <c r="R7" s="104">
        <f>Q7*(1+Input!D20)</f>
        <v>1372.785705090613</v>
      </c>
      <c r="S7" s="104">
        <f>R7*(1+Input!D20)</f>
        <v>1400.2414191924252</v>
      </c>
      <c r="T7" s="104">
        <f>S7*(1+Input!D20)</f>
        <v>1428.2462475762736</v>
      </c>
      <c r="U7" s="104">
        <f>T7*(1+Input!D20)</f>
        <v>1456.811172527799</v>
      </c>
      <c r="V7" s="104">
        <f>U7*(1+Input!D20)</f>
        <v>1485.947395978355</v>
      </c>
      <c r="W7" s="104">
        <f>V7*(1+Input!D20)</f>
        <v>1515.6663438979222</v>
      </c>
      <c r="X7" s="104">
        <f>W7*(1+Input!D20)</f>
        <v>1545.9796707758805</v>
      </c>
      <c r="Y7" s="104">
        <f>X7*(1+Input!D20)</f>
        <v>1576.8992641913983</v>
      </c>
      <c r="Z7" s="104">
        <f>Y7*(1+Input!D20)</f>
        <v>1608.4372494752263</v>
      </c>
      <c r="AA7" s="104">
        <f>Z7*(1+Input!D20)</f>
        <v>1640.6059944647309</v>
      </c>
      <c r="AB7" s="104">
        <f>AA7*(1+Input!D20)</f>
        <v>1673.4181143540254</v>
      </c>
      <c r="AC7" s="104">
        <f>AB7*(1+Input!D20)</f>
        <v>1706.8864766411059</v>
      </c>
      <c r="AD7" s="104">
        <f>AC7*(1+Input!D20)</f>
        <v>1741.024206173928</v>
      </c>
      <c r="AE7" s="104">
        <f>AD7*(1+Input!D20)</f>
        <v>1775.8446902974065</v>
      </c>
    </row>
    <row r="8" spans="1:33" x14ac:dyDescent="0.25">
      <c r="A8" s="38" t="s">
        <v>9</v>
      </c>
      <c r="B8" s="104">
        <f>B12*Input!D23</f>
        <v>1440</v>
      </c>
      <c r="C8" s="105">
        <f>C12*Input!D23</f>
        <v>1483.2</v>
      </c>
      <c r="D8" s="104">
        <f>D12*Input!D23</f>
        <v>1527.6960000000001</v>
      </c>
      <c r="E8" s="104">
        <f>E12*Input!D23</f>
        <v>1573.5268800000003</v>
      </c>
      <c r="F8" s="104">
        <f>F12*Input!D23</f>
        <v>1620.7326864000004</v>
      </c>
      <c r="G8" s="104">
        <f>G12*Input!D23</f>
        <v>1669.3546669920006</v>
      </c>
      <c r="H8" s="105">
        <f>H12*Input!D23</f>
        <v>1719.4353070017605</v>
      </c>
      <c r="I8" s="105">
        <f>I12*Input!D23</f>
        <v>1771.0183662118136</v>
      </c>
      <c r="J8" s="104">
        <f>J12*Input!D23</f>
        <v>1824.1489171981682</v>
      </c>
      <c r="K8" s="104">
        <f>K12*Input!D23</f>
        <v>1878.8733847141132</v>
      </c>
      <c r="L8" s="104">
        <f>L12*Input!D23</f>
        <v>1935.2395862555366</v>
      </c>
      <c r="M8" s="104">
        <f>M12*Input!D23</f>
        <v>1993.2967738432026</v>
      </c>
      <c r="N8" s="104">
        <f>N12*Input!D23</f>
        <v>2053.0956770584985</v>
      </c>
      <c r="O8" s="104">
        <f>O12*Input!D23</f>
        <v>2114.6885473702537</v>
      </c>
      <c r="P8" s="104">
        <f>P12*Input!D23</f>
        <v>2178.1292037913613</v>
      </c>
      <c r="Q8" s="104">
        <f>Q12*Input!D23</f>
        <v>2243.4730799051022</v>
      </c>
      <c r="R8" s="104">
        <f>R12*Input!D23</f>
        <v>2310.7772723022549</v>
      </c>
      <c r="S8" s="104">
        <f>S12*Input!D23</f>
        <v>2380.1005904713229</v>
      </c>
      <c r="T8" s="104">
        <f>T12*Input!D23</f>
        <v>2451.5036081854628</v>
      </c>
      <c r="U8" s="104">
        <f>U12*Input!D23</f>
        <v>2525.0487164310266</v>
      </c>
      <c r="V8" s="104">
        <f>V12*Input!D23</f>
        <v>2600.8001779239571</v>
      </c>
      <c r="W8" s="104">
        <f>W12*Input!D23</f>
        <v>2678.8241832616759</v>
      </c>
      <c r="X8" s="104">
        <f>X12*Input!D23</f>
        <v>2759.1889087595264</v>
      </c>
      <c r="Y8" s="104">
        <f>Y12*Input!D23</f>
        <v>2841.964576022312</v>
      </c>
      <c r="Z8" s="104">
        <f>Z12*Input!D23</f>
        <v>2927.2235133029817</v>
      </c>
      <c r="AA8" s="104">
        <f>AA12*Input!D23</f>
        <v>3015.0402187020713</v>
      </c>
      <c r="AB8" s="104">
        <f>AB12*Input!D23</f>
        <v>3105.4914252631334</v>
      </c>
      <c r="AC8" s="104">
        <f>AC12*Input!D23</f>
        <v>3198.6561680210275</v>
      </c>
      <c r="AD8" s="104">
        <f>AD12*Input!D23</f>
        <v>3294.6158530616581</v>
      </c>
      <c r="AE8" s="104">
        <f>AE12*Input!D23</f>
        <v>3393.4543286535081</v>
      </c>
    </row>
    <row r="9" spans="1:33" x14ac:dyDescent="0.25">
      <c r="A9" s="38" t="s">
        <v>8</v>
      </c>
      <c r="B9" s="104">
        <f>Input!D24</f>
        <v>500</v>
      </c>
      <c r="C9" s="105">
        <f>B9*(1+Input!D25)</f>
        <v>510</v>
      </c>
      <c r="D9" s="104">
        <f>C9*(1+Input!D25)</f>
        <v>520.20000000000005</v>
      </c>
      <c r="E9" s="104">
        <f>D9*(1+Input!D25)</f>
        <v>530.60400000000004</v>
      </c>
      <c r="F9" s="104">
        <f>E9*(1+Input!D25)</f>
        <v>541.21608000000003</v>
      </c>
      <c r="G9" s="104">
        <f>F9*(1+Input!D25)</f>
        <v>552.0404016</v>
      </c>
      <c r="H9" s="105">
        <f>G9*(1+Input!D25)</f>
        <v>563.08120963199997</v>
      </c>
      <c r="I9" s="105">
        <f>H9*(1+Input!D25)</f>
        <v>574.34283382464002</v>
      </c>
      <c r="J9" s="104">
        <f>I9*(1+Input!D25)</f>
        <v>585.82969050113286</v>
      </c>
      <c r="K9" s="104">
        <f>J9*(1+Input!D25)</f>
        <v>597.54628431115555</v>
      </c>
      <c r="L9" s="104">
        <f>K9*(1+Input!D25)</f>
        <v>609.49720999737872</v>
      </c>
      <c r="M9" s="104">
        <f>L9*(1+Input!D25)</f>
        <v>621.68715419732632</v>
      </c>
      <c r="N9" s="104">
        <f>M9*(1+Input!D25)</f>
        <v>634.12089728127285</v>
      </c>
      <c r="O9" s="104">
        <f>N9*(1+Input!D25)</f>
        <v>646.80331522689835</v>
      </c>
      <c r="P9" s="104">
        <f>O9*(1+Input!D25)</f>
        <v>659.73938153143638</v>
      </c>
      <c r="Q9" s="104">
        <f>P9*(1+Input!D25)</f>
        <v>672.93416916206513</v>
      </c>
      <c r="R9" s="104">
        <f>Q9*(1+Input!D25)</f>
        <v>686.39285254530648</v>
      </c>
      <c r="S9" s="104">
        <f>R9*(1+Input!D25)</f>
        <v>700.12070959621258</v>
      </c>
      <c r="T9" s="104">
        <f>S9*(1+Input!D25)</f>
        <v>714.12312378813681</v>
      </c>
      <c r="U9" s="104">
        <f>T9*(1+Input!D25)</f>
        <v>728.40558626389952</v>
      </c>
      <c r="V9" s="104">
        <f>U9*(1+Input!D25)</f>
        <v>742.97369798917748</v>
      </c>
      <c r="W9" s="104">
        <f>V9*(1+Input!D25)</f>
        <v>757.83317194896108</v>
      </c>
      <c r="X9" s="104">
        <f>W9*(1+Input!D25)</f>
        <v>772.98983538794027</v>
      </c>
      <c r="Y9" s="104">
        <f>X9*(1+Input!D25)</f>
        <v>788.44963209569914</v>
      </c>
      <c r="Z9" s="104">
        <f>Y9*(1+Input!D25)</f>
        <v>804.21862473761314</v>
      </c>
      <c r="AA9" s="104">
        <f>Z9*(1+Input!D25)</f>
        <v>820.30299723236544</v>
      </c>
      <c r="AB9" s="104">
        <f>AA9*(1+Input!D25)</f>
        <v>836.70905717701271</v>
      </c>
      <c r="AC9" s="104">
        <f>AB9*(1+Input!D25)</f>
        <v>853.44323832055295</v>
      </c>
      <c r="AD9" s="104">
        <f>AC9*(1+Input!D25)</f>
        <v>870.51210308696398</v>
      </c>
      <c r="AE9" s="104">
        <f>AD9*(1+Input!D25)</f>
        <v>887.92234514870324</v>
      </c>
    </row>
    <row r="10" spans="1:33" x14ac:dyDescent="0.25">
      <c r="A10" s="38" t="s">
        <v>7</v>
      </c>
      <c r="B10" s="104">
        <f>SLN(Input!D3+Input!D15, 0, 27.5)</f>
        <v>4200</v>
      </c>
      <c r="C10" s="105">
        <f>SLN(Input!D3+Input!D15, 0, 27.5)</f>
        <v>4200</v>
      </c>
      <c r="D10" s="104">
        <f>SLN(Input!D3+Input!D15, 0, 27.5)</f>
        <v>4200</v>
      </c>
      <c r="E10" s="104">
        <f>SLN(Input!D3+Input!D15, 0, 27.5)</f>
        <v>4200</v>
      </c>
      <c r="F10" s="104">
        <f>SLN(Input!D3+Input!D15, 0, 27.5)</f>
        <v>4200</v>
      </c>
      <c r="G10" s="104">
        <f>SLN(Input!D3+Input!D15, 0, 27.5)</f>
        <v>4200</v>
      </c>
      <c r="H10" s="105">
        <f>SLN(Input!D3+Input!D15, 0, 27.5)</f>
        <v>4200</v>
      </c>
      <c r="I10" s="105">
        <f>SLN(Input!D3+Input!D15, 0, 27.5)</f>
        <v>4200</v>
      </c>
      <c r="J10" s="104">
        <f>SLN(Input!D3+Input!D15, 0, 27.5)</f>
        <v>4200</v>
      </c>
      <c r="K10" s="104">
        <f>SLN(Input!D3+Input!D15, 0, 27.5)</f>
        <v>4200</v>
      </c>
      <c r="L10" s="104">
        <f>SLN(Input!D3+Input!D15, 0, 27.5)</f>
        <v>4200</v>
      </c>
      <c r="M10" s="104">
        <f>SLN(Input!D3+Input!D15, 0, 27.5)</f>
        <v>4200</v>
      </c>
      <c r="N10" s="104">
        <f>SLN(Input!D3+Input!D15, 0, 27.5)</f>
        <v>4200</v>
      </c>
      <c r="O10" s="104">
        <f>SLN(Input!D3+Input!D15, 0, 27.5)</f>
        <v>4200</v>
      </c>
      <c r="P10" s="104">
        <f>SLN(Input!D3+Input!D15, 0, 27.5)</f>
        <v>4200</v>
      </c>
      <c r="Q10" s="104">
        <f>SLN(Input!D3+Input!D15, 0, 27.5)</f>
        <v>4200</v>
      </c>
      <c r="R10" s="104">
        <f>SLN(Input!D3+Input!D15, 0, 27.5)</f>
        <v>4200</v>
      </c>
      <c r="S10" s="104">
        <f>SLN(Input!D3+Input!D15, 0, 27.5)</f>
        <v>4200</v>
      </c>
      <c r="T10" s="104">
        <f>SLN(Input!D3+Input!D15, 0, 27.5)</f>
        <v>4200</v>
      </c>
      <c r="U10" s="104">
        <f>SLN(Input!D3+Input!D15, 0, 27.5)</f>
        <v>4200</v>
      </c>
      <c r="V10" s="104">
        <f>SLN(Input!D3+Input!D15, 0, 27.5)</f>
        <v>4200</v>
      </c>
      <c r="W10" s="104">
        <f>SLN(Input!D3+Input!D15, 0, 27.5)</f>
        <v>4200</v>
      </c>
      <c r="X10" s="104">
        <f>SLN(Input!D3+Input!D15, 0, 27.5)</f>
        <v>4200</v>
      </c>
      <c r="Y10" s="104">
        <f>SLN(Input!D3+Input!D15, 0, 27.5)</f>
        <v>4200</v>
      </c>
      <c r="Z10" s="104">
        <f>SLN(Input!D3+Input!D15, 0, 27.5)</f>
        <v>4200</v>
      </c>
      <c r="AA10" s="104">
        <f>SLN(Input!D3+Input!D15, 0, 27.5)</f>
        <v>4200</v>
      </c>
      <c r="AB10" s="104">
        <f>SLN(Input!D3+Input!D15, 0, 27.5)</f>
        <v>4200</v>
      </c>
      <c r="AC10" s="104">
        <f>(SLN(Input!D3+Input!D15, 0, 27.5))/2</f>
        <v>2100</v>
      </c>
      <c r="AD10" s="104">
        <v>0</v>
      </c>
      <c r="AE10" s="104">
        <v>0</v>
      </c>
    </row>
    <row r="11" spans="1:33" x14ac:dyDescent="0.25">
      <c r="A11" s="38" t="s">
        <v>6</v>
      </c>
      <c r="B11" s="104">
        <f t="shared" ref="B11:AE11" si="0">SUM(B4:B10)</f>
        <v>14506.494130578189</v>
      </c>
      <c r="C11" s="105">
        <f t="shared" si="0"/>
        <v>14552.211639430017</v>
      </c>
      <c r="D11" s="104">
        <f t="shared" si="0"/>
        <v>14596.923320777863</v>
      </c>
      <c r="E11" s="104">
        <f t="shared" si="0"/>
        <v>14640.501676197335</v>
      </c>
      <c r="F11" s="104">
        <f t="shared" si="0"/>
        <v>14682.810889176859</v>
      </c>
      <c r="G11" s="104">
        <f t="shared" si="0"/>
        <v>14723.706355420309</v>
      </c>
      <c r="H11" s="105">
        <f t="shared" si="0"/>
        <v>14763.034187989599</v>
      </c>
      <c r="I11" s="105">
        <f t="shared" si="0"/>
        <v>14800.630695970056</v>
      </c>
      <c r="J11" s="104">
        <f t="shared" si="0"/>
        <v>14836.321835273113</v>
      </c>
      <c r="K11" s="104">
        <f t="shared" si="0"/>
        <v>14869.922630119174</v>
      </c>
      <c r="L11" s="104">
        <f t="shared" si="0"/>
        <v>14901.236563668012</v>
      </c>
      <c r="M11" s="104">
        <f t="shared" si="0"/>
        <v>14930.054936184912</v>
      </c>
      <c r="N11" s="104">
        <f t="shared" si="0"/>
        <v>14956.156189047129</v>
      </c>
      <c r="O11" s="104">
        <f t="shared" si="0"/>
        <v>14979.305192807886</v>
      </c>
      <c r="P11" s="104">
        <f t="shared" si="0"/>
        <v>14999.252497442598</v>
      </c>
      <c r="Q11" s="104">
        <f t="shared" si="0"/>
        <v>15015.733542805359</v>
      </c>
      <c r="R11" s="104">
        <f t="shared" si="0"/>
        <v>15028.46782722165</v>
      </c>
      <c r="S11" s="104">
        <f t="shared" si="0"/>
        <v>15037.158032036074</v>
      </c>
      <c r="T11" s="104">
        <f t="shared" si="0"/>
        <v>15041.489099821334</v>
      </c>
      <c r="U11" s="104">
        <f t="shared" si="0"/>
        <v>15041.127263836088</v>
      </c>
      <c r="V11" s="104">
        <f t="shared" si="0"/>
        <v>15035.719026194796</v>
      </c>
      <c r="W11" s="104">
        <f t="shared" si="0"/>
        <v>15024.89008208176</v>
      </c>
      <c r="X11" s="104">
        <f t="shared" si="0"/>
        <v>15008.244187203698</v>
      </c>
      <c r="Y11" s="104">
        <f t="shared" si="0"/>
        <v>14985.36196553061</v>
      </c>
      <c r="Z11" s="104">
        <f t="shared" si="0"/>
        <v>14955.799654222292</v>
      </c>
      <c r="AA11" s="104">
        <f t="shared" si="0"/>
        <v>14919.087782477869</v>
      </c>
      <c r="AB11" s="104">
        <f t="shared" si="0"/>
        <v>14874.729780877493</v>
      </c>
      <c r="AC11" s="104">
        <f t="shared" si="0"/>
        <v>12722.200517608311</v>
      </c>
      <c r="AD11" s="104">
        <f t="shared" si="0"/>
        <v>10560.944757780877</v>
      </c>
      <c r="AE11" s="104">
        <f t="shared" si="0"/>
        <v>10490.37554184659</v>
      </c>
      <c r="AG11" s="36"/>
    </row>
    <row r="12" spans="1:33" x14ac:dyDescent="0.25">
      <c r="A12" s="38" t="s">
        <v>5</v>
      </c>
      <c r="B12" s="104">
        <f>Input!D27*12</f>
        <v>14400</v>
      </c>
      <c r="C12" s="105">
        <f>B12*(1+Input!D28)</f>
        <v>14832</v>
      </c>
      <c r="D12" s="104">
        <f>C12*(1+Input!D28)</f>
        <v>15276.960000000001</v>
      </c>
      <c r="E12" s="104">
        <f>D12*(1+Input!D28)</f>
        <v>15735.268800000002</v>
      </c>
      <c r="F12" s="104">
        <f>E12*(1+Input!D28)</f>
        <v>16207.326864000002</v>
      </c>
      <c r="G12" s="104">
        <f>F12*(1+Input!D28)</f>
        <v>16693.546669920004</v>
      </c>
      <c r="H12" s="105">
        <f>G12*(1+Input!D28)</f>
        <v>17194.353070017605</v>
      </c>
      <c r="I12" s="105">
        <f>H12*(1+Input!D28)</f>
        <v>17710.183662118136</v>
      </c>
      <c r="J12" s="104">
        <f>I12*(1+Input!D28)</f>
        <v>18241.489171981681</v>
      </c>
      <c r="K12" s="104">
        <f>J12*(1+Input!D28)</f>
        <v>18788.733847141131</v>
      </c>
      <c r="L12" s="104">
        <f>K12*(1+Input!D28)</f>
        <v>19352.395862555364</v>
      </c>
      <c r="M12" s="104">
        <f>L12*(1+Input!D28)</f>
        <v>19932.967738432024</v>
      </c>
      <c r="N12" s="104">
        <f>M12*(1+Input!D28)</f>
        <v>20530.956770584984</v>
      </c>
      <c r="O12" s="104">
        <f>N12*(1+Input!D28)</f>
        <v>21146.885473702536</v>
      </c>
      <c r="P12" s="104">
        <f>O12*(1+Input!D28)</f>
        <v>21781.292037913612</v>
      </c>
      <c r="Q12" s="104">
        <f>P12*(1+Input!D28)</f>
        <v>22434.73079905102</v>
      </c>
      <c r="R12" s="104">
        <f>Q12*(1+Input!D28)</f>
        <v>23107.77272302255</v>
      </c>
      <c r="S12" s="104">
        <f>R12*(1+Input!D28)</f>
        <v>23801.005904713227</v>
      </c>
      <c r="T12" s="104">
        <f>S12*(1+Input!D28)</f>
        <v>24515.036081854625</v>
      </c>
      <c r="U12" s="104">
        <f>T12*(1+Input!D28)</f>
        <v>25250.487164310263</v>
      </c>
      <c r="V12" s="104">
        <f>U12*(1+Input!D28)</f>
        <v>26008.00177923957</v>
      </c>
      <c r="W12" s="104">
        <f>V12*(1+Input!D28)</f>
        <v>26788.241832616757</v>
      </c>
      <c r="X12" s="104">
        <f>W12*(1+Input!D28)</f>
        <v>27591.88908759526</v>
      </c>
      <c r="Y12" s="104">
        <f>X12*(1+Input!D28)</f>
        <v>28419.64576022312</v>
      </c>
      <c r="Z12" s="104">
        <f>Y12*(1+Input!D28)</f>
        <v>29272.235133029815</v>
      </c>
      <c r="AA12" s="104">
        <f>Z12*(1+Input!D28)</f>
        <v>30150.402187020711</v>
      </c>
      <c r="AB12" s="104">
        <f>AA12*(1+Input!D28)</f>
        <v>31054.914252631334</v>
      </c>
      <c r="AC12" s="104">
        <f>AB12*(1+Input!D28)</f>
        <v>31986.561680210274</v>
      </c>
      <c r="AD12" s="104">
        <f>AC12*(1+Input!D28)</f>
        <v>32946.15853061658</v>
      </c>
      <c r="AE12" s="104">
        <f>AD12*(1+Input!D28)</f>
        <v>33934.543286535081</v>
      </c>
    </row>
    <row r="13" spans="1:33" s="91" customFormat="1" x14ac:dyDescent="0.25">
      <c r="A13" s="38" t="s">
        <v>4</v>
      </c>
      <c r="B13" s="174">
        <f>'Loan Amortization Schedule'!L4</f>
        <v>1475.3653455674805</v>
      </c>
      <c r="C13" s="175">
        <f>'Loan Amortization Schedule'!L5</f>
        <v>1550.8478367156533</v>
      </c>
      <c r="D13" s="174">
        <f>'Loan Amortization Schedule'!L6</f>
        <v>1630.1921553678062</v>
      </c>
      <c r="E13" s="174">
        <f>'Loan Amortization Schedule'!L7</f>
        <v>1713.5958799483365</v>
      </c>
      <c r="F13" s="174">
        <f>'Loan Amortization Schedule'!L8</f>
        <v>1801.2666973688122</v>
      </c>
      <c r="G13" s="174">
        <f>'Loan Amortization Schedule'!L9</f>
        <v>1893.4229201973617</v>
      </c>
      <c r="H13" s="175">
        <f>'Loan Amortization Schedule'!L10</f>
        <v>1990.294030287432</v>
      </c>
      <c r="I13" s="175">
        <f>'Loan Amortization Schedule'!L11</f>
        <v>2092.1212502196204</v>
      </c>
      <c r="J13" s="174">
        <f>'Loan Amortization Schedule'!L12</f>
        <v>2199.1581439795614</v>
      </c>
      <c r="K13" s="174">
        <f>'Loan Amortization Schedule'!L13</f>
        <v>2311.6712483676242</v>
      </c>
      <c r="L13" s="174">
        <f>'Loan Amortization Schedule'!P4</f>
        <v>2429.9407367127469</v>
      </c>
      <c r="M13" s="174">
        <f>'Loan Amortization Schedule'!P5</f>
        <v>2554.2611165431076</v>
      </c>
      <c r="N13" s="174">
        <f>'Loan Amortization Schedule'!P6</f>
        <v>2684.9419629509666</v>
      </c>
      <c r="O13" s="174">
        <f>'Loan Amortization Schedule'!P7</f>
        <v>2822.3086894778435</v>
      </c>
      <c r="P13" s="174">
        <f>'Loan Amortization Schedule'!P8</f>
        <v>2966.7033584396368</v>
      </c>
      <c r="Q13" s="174">
        <f>'Loan Amortization Schedule'!P9</f>
        <v>3118.4855327095197</v>
      </c>
      <c r="R13" s="174">
        <f>'Loan Amortization Schedule'!P10</f>
        <v>3278.0331710796659</v>
      </c>
      <c r="S13" s="174">
        <f>'Loan Amortization Schedule'!P11</f>
        <v>3445.7435694313772</v>
      </c>
      <c r="T13" s="174">
        <f>'Loan Amortization Schedule'!P12</f>
        <v>3622.0343500572653</v>
      </c>
      <c r="U13" s="174">
        <f>'Loan Amortization Schedule'!P13</f>
        <v>3807.3445015990255</v>
      </c>
      <c r="V13" s="174">
        <f>'Loan Amortization Schedule'!T4</f>
        <v>4002.1354721904127</v>
      </c>
      <c r="W13" s="174">
        <f>'Loan Amortization Schedule'!T5</f>
        <v>4206.8923185274816</v>
      </c>
      <c r="X13" s="174">
        <f>'Loan Amortization Schedule'!T6</f>
        <v>4422.1249137274317</v>
      </c>
      <c r="Y13" s="174">
        <f>'Loan Amortization Schedule'!T7</f>
        <v>4648.3692169838232</v>
      </c>
      <c r="Z13" s="174">
        <f>'Loan Amortization Schedule'!T8</f>
        <v>4886.1886081797429</v>
      </c>
      <c r="AA13" s="174">
        <f>'Loan Amortization Schedule'!T9</f>
        <v>5136.1752907823229</v>
      </c>
      <c r="AB13" s="174">
        <f>'Loan Amortization Schedule'!T10</f>
        <v>5398.9517665120084</v>
      </c>
      <c r="AC13" s="174">
        <f>'Loan Amortization Schedule'!T11</f>
        <v>5675.172385458699</v>
      </c>
      <c r="AD13" s="174">
        <f>'Loan Amortization Schedule'!T12</f>
        <v>5965.5249755047698</v>
      </c>
      <c r="AE13" s="174">
        <f>'Loan Amortization Schedule'!T13</f>
        <v>6268.5050794983472</v>
      </c>
    </row>
    <row r="14" spans="1:33" x14ac:dyDescent="0.25">
      <c r="A14" s="38" t="s">
        <v>86</v>
      </c>
      <c r="B14" s="106">
        <f>Input!D16</f>
        <v>1500</v>
      </c>
      <c r="C14" s="107"/>
      <c r="D14" s="106"/>
      <c r="E14" s="106"/>
      <c r="F14" s="106"/>
      <c r="G14" s="106"/>
      <c r="H14" s="107"/>
      <c r="I14" s="107"/>
      <c r="J14" s="106"/>
      <c r="K14" s="106"/>
      <c r="L14" s="106"/>
      <c r="M14" s="106"/>
      <c r="N14" s="106"/>
      <c r="O14" s="106"/>
      <c r="P14" s="106"/>
      <c r="Q14" s="106"/>
      <c r="R14" s="106"/>
      <c r="S14" s="106"/>
      <c r="T14" s="106"/>
      <c r="U14" s="106"/>
      <c r="V14" s="106"/>
      <c r="W14" s="106"/>
      <c r="X14" s="106"/>
      <c r="Y14" s="106"/>
      <c r="Z14" s="106"/>
      <c r="AA14" s="106"/>
      <c r="AB14" s="106"/>
      <c r="AC14" s="106"/>
      <c r="AD14" s="106"/>
      <c r="AE14" s="106"/>
    </row>
    <row r="15" spans="1:33" x14ac:dyDescent="0.25">
      <c r="A15" s="39" t="s">
        <v>3</v>
      </c>
      <c r="B15" s="108">
        <f>B12-SUM(B4:B9)-B13-B14</f>
        <v>1118.1405238543311</v>
      </c>
      <c r="C15" s="108">
        <f t="shared" ref="C15:AE15" si="1">C12-SUM(C4:C9)-C13</f>
        <v>2928.9405238543295</v>
      </c>
      <c r="D15" s="108">
        <f t="shared" si="1"/>
        <v>3249.8445238543313</v>
      </c>
      <c r="E15" s="108">
        <f t="shared" si="1"/>
        <v>3581.1712438543304</v>
      </c>
      <c r="F15" s="108">
        <f t="shared" si="1"/>
        <v>3923.2492774543316</v>
      </c>
      <c r="G15" s="108">
        <f t="shared" si="1"/>
        <v>4276.4173943023343</v>
      </c>
      <c r="H15" s="108">
        <f t="shared" si="1"/>
        <v>4641.0248517405744</v>
      </c>
      <c r="I15" s="108">
        <f t="shared" si="1"/>
        <v>5017.4317159284592</v>
      </c>
      <c r="J15" s="108">
        <f t="shared" si="1"/>
        <v>5406.0091927290068</v>
      </c>
      <c r="K15" s="108">
        <f t="shared" si="1"/>
        <v>5807.1399686543336</v>
      </c>
      <c r="L15" s="108">
        <f t="shared" si="1"/>
        <v>6221.2185621746057</v>
      </c>
      <c r="M15" s="108">
        <f t="shared" si="1"/>
        <v>6648.6516857040042</v>
      </c>
      <c r="N15" s="108">
        <f t="shared" si="1"/>
        <v>7089.858618586888</v>
      </c>
      <c r="O15" s="108">
        <f t="shared" si="1"/>
        <v>7545.2715914168066</v>
      </c>
      <c r="P15" s="108">
        <f t="shared" si="1"/>
        <v>8015.3361820313776</v>
      </c>
      <c r="Q15" s="108">
        <f t="shared" si="1"/>
        <v>8500.5117235361413</v>
      </c>
      <c r="R15" s="108">
        <f t="shared" si="1"/>
        <v>9001.2717247212349</v>
      </c>
      <c r="S15" s="108">
        <f t="shared" si="1"/>
        <v>9518.1043032457765</v>
      </c>
      <c r="T15" s="108">
        <f t="shared" si="1"/>
        <v>10051.512631976026</v>
      </c>
      <c r="U15" s="108">
        <f t="shared" si="1"/>
        <v>10602.01539887515</v>
      </c>
      <c r="V15" s="108">
        <f t="shared" si="1"/>
        <v>11170.147280854362</v>
      </c>
      <c r="W15" s="108">
        <f t="shared" si="1"/>
        <v>11756.459432007516</v>
      </c>
      <c r="X15" s="108">
        <f t="shared" si="1"/>
        <v>12361.519986664131</v>
      </c>
      <c r="Y15" s="108">
        <f t="shared" si="1"/>
        <v>12985.914577708687</v>
      </c>
      <c r="Z15" s="108">
        <f t="shared" si="1"/>
        <v>13630.24687062778</v>
      </c>
      <c r="AA15" s="108">
        <f t="shared" si="1"/>
        <v>14295.139113760519</v>
      </c>
      <c r="AB15" s="108">
        <f t="shared" si="1"/>
        <v>14981.232705241833</v>
      </c>
      <c r="AC15" s="108">
        <f t="shared" si="1"/>
        <v>15689.188777143263</v>
      </c>
      <c r="AD15" s="108">
        <f t="shared" si="1"/>
        <v>16419.688797330935</v>
      </c>
      <c r="AE15" s="108">
        <f t="shared" si="1"/>
        <v>17175.662665190146</v>
      </c>
    </row>
    <row r="16" spans="1:33" ht="15.75" thickBot="1" x14ac:dyDescent="0.3">
      <c r="A16" s="40" t="s">
        <v>76</v>
      </c>
      <c r="B16" s="109">
        <f t="shared" ref="B16:AE16" si="2">B12-B11</f>
        <v>-106.49413057818856</v>
      </c>
      <c r="C16" s="109">
        <f t="shared" si="2"/>
        <v>279.78836056998261</v>
      </c>
      <c r="D16" s="109">
        <f t="shared" si="2"/>
        <v>680.03667922213754</v>
      </c>
      <c r="E16" s="109">
        <f t="shared" si="2"/>
        <v>1094.7671238026669</v>
      </c>
      <c r="F16" s="109">
        <f t="shared" si="2"/>
        <v>1524.5159748231436</v>
      </c>
      <c r="G16" s="109">
        <f t="shared" si="2"/>
        <v>1969.8403144996955</v>
      </c>
      <c r="H16" s="109">
        <f t="shared" si="2"/>
        <v>2431.3188820280066</v>
      </c>
      <c r="I16" s="109">
        <f t="shared" si="2"/>
        <v>2909.5529661480796</v>
      </c>
      <c r="J16" s="109">
        <f t="shared" si="2"/>
        <v>3405.1673367085677</v>
      </c>
      <c r="K16" s="109">
        <f t="shared" si="2"/>
        <v>3918.8112170219574</v>
      </c>
      <c r="L16" s="109">
        <f t="shared" si="2"/>
        <v>4451.1592988873526</v>
      </c>
      <c r="M16" s="109">
        <f t="shared" si="2"/>
        <v>5002.9128022471123</v>
      </c>
      <c r="N16" s="109">
        <f t="shared" si="2"/>
        <v>5574.8005815378547</v>
      </c>
      <c r="O16" s="109">
        <f t="shared" si="2"/>
        <v>6167.5802808946501</v>
      </c>
      <c r="P16" s="109">
        <f t="shared" si="2"/>
        <v>6782.0395404710143</v>
      </c>
      <c r="Q16" s="109">
        <f t="shared" si="2"/>
        <v>7418.9972562456605</v>
      </c>
      <c r="R16" s="109">
        <f t="shared" si="2"/>
        <v>8079.3048958009003</v>
      </c>
      <c r="S16" s="109">
        <f t="shared" si="2"/>
        <v>8763.8478726771536</v>
      </c>
      <c r="T16" s="109">
        <f t="shared" si="2"/>
        <v>9473.546982033291</v>
      </c>
      <c r="U16" s="109">
        <f t="shared" si="2"/>
        <v>10209.359900474175</v>
      </c>
      <c r="V16" s="109">
        <f t="shared" si="2"/>
        <v>10972.282753044774</v>
      </c>
      <c r="W16" s="109">
        <f t="shared" si="2"/>
        <v>11763.351750534997</v>
      </c>
      <c r="X16" s="109">
        <f t="shared" si="2"/>
        <v>12583.644900391562</v>
      </c>
      <c r="Y16" s="109">
        <f t="shared" si="2"/>
        <v>13434.28379469251</v>
      </c>
      <c r="Z16" s="109">
        <f t="shared" si="2"/>
        <v>14316.435478807523</v>
      </c>
      <c r="AA16" s="109">
        <f t="shared" si="2"/>
        <v>15231.314404542842</v>
      </c>
      <c r="AB16" s="109">
        <f t="shared" si="2"/>
        <v>16180.184471753841</v>
      </c>
      <c r="AC16" s="109">
        <f t="shared" si="2"/>
        <v>19264.361162601963</v>
      </c>
      <c r="AD16" s="109">
        <f t="shared" si="2"/>
        <v>22385.213772835705</v>
      </c>
      <c r="AE16" s="109">
        <f t="shared" si="2"/>
        <v>23444.167744688493</v>
      </c>
    </row>
    <row r="17" spans="1:31" ht="15.75" customHeight="1" x14ac:dyDescent="0.25">
      <c r="A17" s="11"/>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row>
    <row r="18" spans="1:31" ht="15.75" thickBot="1" x14ac:dyDescent="0.3">
      <c r="A18" s="85" t="s">
        <v>87</v>
      </c>
      <c r="B18" s="7"/>
      <c r="C18" s="6"/>
      <c r="D18" s="6"/>
      <c r="E18" s="6"/>
      <c r="F18" s="6"/>
      <c r="G18" s="6"/>
      <c r="H18" s="6"/>
      <c r="I18" s="6"/>
      <c r="J18" s="6"/>
      <c r="K18" s="6"/>
      <c r="L18" s="6"/>
      <c r="M18" s="6"/>
      <c r="N18" s="6"/>
      <c r="O18" s="6"/>
      <c r="P18" s="6"/>
      <c r="Q18" s="6"/>
      <c r="R18" s="6"/>
      <c r="S18" s="6"/>
      <c r="T18" s="6"/>
      <c r="U18" s="6"/>
      <c r="V18" s="6"/>
      <c r="W18" s="6"/>
      <c r="X18" s="6"/>
      <c r="Y18" s="6"/>
      <c r="Z18" s="6"/>
      <c r="AA18" s="7"/>
      <c r="AB18" s="6"/>
      <c r="AC18" s="6"/>
      <c r="AD18" s="6"/>
      <c r="AE18" s="6"/>
    </row>
    <row r="19" spans="1:31" s="91" customFormat="1" x14ac:dyDescent="0.25">
      <c r="A19" s="41" t="s">
        <v>103</v>
      </c>
      <c r="B19" s="245">
        <f>B16*B35</f>
        <v>-85.615529524623682</v>
      </c>
      <c r="C19" s="245">
        <f t="shared" ref="C19:N19" si="3">C16*C35</f>
        <v>225.33226269320579</v>
      </c>
      <c r="D19" s="245">
        <f t="shared" si="3"/>
        <v>548.23676836031837</v>
      </c>
      <c r="E19" s="245">
        <f t="shared" si="3"/>
        <v>882.75506734749706</v>
      </c>
      <c r="F19" s="245">
        <f t="shared" si="3"/>
        <v>1228.3853752750449</v>
      </c>
      <c r="G19" s="245">
        <f t="shared" si="3"/>
        <v>1584.4381061438348</v>
      </c>
      <c r="H19" s="245">
        <f t="shared" si="3"/>
        <v>1950.0022488620837</v>
      </c>
      <c r="I19" s="245">
        <f t="shared" si="3"/>
        <v>2323.9062895902171</v>
      </c>
      <c r="J19" s="245">
        <f t="shared" si="3"/>
        <v>2704.6727778989475</v>
      </c>
      <c r="K19" s="245">
        <f t="shared" si="3"/>
        <v>3090.4654753466534</v>
      </c>
      <c r="L19" s="245">
        <f t="shared" si="3"/>
        <v>3479.0278348891457</v>
      </c>
      <c r="M19" s="245">
        <f t="shared" si="3"/>
        <v>3867.6113319540464</v>
      </c>
      <c r="N19" s="245">
        <f t="shared" si="3"/>
        <v>4252.8918948972869</v>
      </c>
      <c r="O19" s="110">
        <f t="shared" ref="O19:AE19" si="4">(O16*O35)</f>
        <v>4630.8723537911783</v>
      </c>
      <c r="P19" s="110">
        <f t="shared" si="4"/>
        <v>4996.7684294506271</v>
      </c>
      <c r="Q19" s="110">
        <f t="shared" si="4"/>
        <v>5344.8753034717556</v>
      </c>
      <c r="R19" s="110">
        <f t="shared" si="4"/>
        <v>5668.411224933483</v>
      </c>
      <c r="S19" s="110">
        <f t="shared" si="4"/>
        <v>5959.3338951290198</v>
      </c>
      <c r="T19" s="110">
        <f t="shared" si="4"/>
        <v>6208.1244962637647</v>
      </c>
      <c r="U19" s="110">
        <f t="shared" si="4"/>
        <v>6403.5331526133159</v>
      </c>
      <c r="V19" s="110">
        <f t="shared" si="4"/>
        <v>6532.2782806840296</v>
      </c>
      <c r="W19" s="110">
        <f t="shared" si="4"/>
        <v>6578.6906306326282</v>
      </c>
      <c r="X19" s="110">
        <f t="shared" si="4"/>
        <v>6524.2907564173111</v>
      </c>
      <c r="Y19" s="110">
        <f t="shared" si="4"/>
        <v>6347.2860615399131</v>
      </c>
      <c r="Z19" s="110">
        <f t="shared" si="4"/>
        <v>6021.9702989183052</v>
      </c>
      <c r="AA19" s="110">
        <f t="shared" si="4"/>
        <v>5518.0042559747271</v>
      </c>
      <c r="AB19" s="110">
        <f t="shared" si="4"/>
        <v>4799.5510603156408</v>
      </c>
      <c r="AC19" s="110">
        <f t="shared" si="4"/>
        <v>4225.5944806815505</v>
      </c>
      <c r="AD19" s="110">
        <f t="shared" si="4"/>
        <v>2983.4493947967649</v>
      </c>
      <c r="AE19" s="111">
        <f t="shared" si="4"/>
        <v>1003.506361938614</v>
      </c>
    </row>
    <row r="20" spans="1:31" s="100" customFormat="1" x14ac:dyDescent="0.25">
      <c r="A20" s="99" t="s">
        <v>105</v>
      </c>
      <c r="B20" s="246">
        <v>0</v>
      </c>
      <c r="C20" s="246">
        <f ca="1">B25</f>
        <v>85.615529524623682</v>
      </c>
      <c r="D20" s="246">
        <f ca="1">C25</f>
        <v>0</v>
      </c>
      <c r="E20" s="246">
        <f ca="1">D25</f>
        <v>0</v>
      </c>
      <c r="F20" s="246">
        <f t="shared" ref="F20:N20" ca="1" si="5">E25</f>
        <v>0</v>
      </c>
      <c r="G20" s="246">
        <f t="shared" ca="1" si="5"/>
        <v>0</v>
      </c>
      <c r="H20" s="246">
        <f t="shared" ca="1" si="5"/>
        <v>0</v>
      </c>
      <c r="I20" s="246">
        <f t="shared" ca="1" si="5"/>
        <v>0</v>
      </c>
      <c r="J20" s="246">
        <f t="shared" ca="1" si="5"/>
        <v>0</v>
      </c>
      <c r="K20" s="246">
        <f t="shared" ca="1" si="5"/>
        <v>0</v>
      </c>
      <c r="L20" s="246">
        <f t="shared" ca="1" si="5"/>
        <v>0</v>
      </c>
      <c r="M20" s="246">
        <f t="shared" ca="1" si="5"/>
        <v>0</v>
      </c>
      <c r="N20" s="246">
        <f t="shared" ca="1" si="5"/>
        <v>0</v>
      </c>
      <c r="O20" s="112">
        <f t="shared" ref="O20:AE20" ca="1" si="6">N25</f>
        <v>0</v>
      </c>
      <c r="P20" s="112">
        <f t="shared" ca="1" si="6"/>
        <v>0</v>
      </c>
      <c r="Q20" s="112">
        <f t="shared" ca="1" si="6"/>
        <v>0</v>
      </c>
      <c r="R20" s="112">
        <f t="shared" ca="1" si="6"/>
        <v>0</v>
      </c>
      <c r="S20" s="112">
        <f t="shared" ca="1" si="6"/>
        <v>0</v>
      </c>
      <c r="T20" s="112">
        <f t="shared" ca="1" si="6"/>
        <v>0</v>
      </c>
      <c r="U20" s="112">
        <f t="shared" ca="1" si="6"/>
        <v>0</v>
      </c>
      <c r="V20" s="112">
        <f t="shared" ca="1" si="6"/>
        <v>0</v>
      </c>
      <c r="W20" s="112">
        <f t="shared" ca="1" si="6"/>
        <v>0</v>
      </c>
      <c r="X20" s="112">
        <f t="shared" ca="1" si="6"/>
        <v>0</v>
      </c>
      <c r="Y20" s="112">
        <f t="shared" ca="1" si="6"/>
        <v>0</v>
      </c>
      <c r="Z20" s="112">
        <f t="shared" ca="1" si="6"/>
        <v>0</v>
      </c>
      <c r="AA20" s="112">
        <f t="shared" ca="1" si="6"/>
        <v>0</v>
      </c>
      <c r="AB20" s="112">
        <f t="shared" ca="1" si="6"/>
        <v>0</v>
      </c>
      <c r="AC20" s="112">
        <f t="shared" ca="1" si="6"/>
        <v>0</v>
      </c>
      <c r="AD20" s="112">
        <f t="shared" ca="1" si="6"/>
        <v>0</v>
      </c>
      <c r="AE20" s="112">
        <f t="shared" ca="1" si="6"/>
        <v>0</v>
      </c>
    </row>
    <row r="21" spans="1:31" s="156" customFormat="1" x14ac:dyDescent="0.25">
      <c r="A21" s="154" t="s">
        <v>99</v>
      </c>
      <c r="B21" s="155">
        <f t="shared" ref="B21:D21" ca="1" si="7">B29</f>
        <v>0</v>
      </c>
      <c r="C21" s="155">
        <f t="shared" ca="1" si="7"/>
        <v>0</v>
      </c>
      <c r="D21" s="155">
        <f t="shared" ca="1" si="7"/>
        <v>0</v>
      </c>
      <c r="E21" s="155">
        <f ca="1">E29</f>
        <v>0</v>
      </c>
      <c r="F21" s="155">
        <f t="shared" ref="F21:N21" ca="1" si="8">F29</f>
        <v>0</v>
      </c>
      <c r="G21" s="155">
        <f t="shared" ca="1" si="8"/>
        <v>0</v>
      </c>
      <c r="H21" s="155">
        <f t="shared" ca="1" si="8"/>
        <v>0</v>
      </c>
      <c r="I21" s="155">
        <f t="shared" ca="1" si="8"/>
        <v>0</v>
      </c>
      <c r="J21" s="155">
        <f t="shared" ca="1" si="8"/>
        <v>0</v>
      </c>
      <c r="K21" s="155">
        <f t="shared" ca="1" si="8"/>
        <v>0</v>
      </c>
      <c r="L21" s="155">
        <f t="shared" ca="1" si="8"/>
        <v>0</v>
      </c>
      <c r="M21" s="155">
        <f t="shared" ca="1" si="8"/>
        <v>0</v>
      </c>
      <c r="N21" s="155">
        <f t="shared" ca="1" si="8"/>
        <v>0</v>
      </c>
      <c r="O21" s="155">
        <f t="shared" ref="O21:AE21" ca="1" si="9">O29</f>
        <v>0</v>
      </c>
      <c r="P21" s="155">
        <f t="shared" ca="1" si="9"/>
        <v>0</v>
      </c>
      <c r="Q21" s="155">
        <f t="shared" ca="1" si="9"/>
        <v>0</v>
      </c>
      <c r="R21" s="155">
        <f t="shared" ca="1" si="9"/>
        <v>0</v>
      </c>
      <c r="S21" s="155">
        <f t="shared" ca="1" si="9"/>
        <v>0</v>
      </c>
      <c r="T21" s="155">
        <f t="shared" ca="1" si="9"/>
        <v>0</v>
      </c>
      <c r="U21" s="155">
        <f t="shared" ca="1" si="9"/>
        <v>0</v>
      </c>
      <c r="V21" s="155">
        <f t="shared" ca="1" si="9"/>
        <v>0</v>
      </c>
      <c r="W21" s="155">
        <f t="shared" ca="1" si="9"/>
        <v>0</v>
      </c>
      <c r="X21" s="155">
        <f t="shared" ca="1" si="9"/>
        <v>0</v>
      </c>
      <c r="Y21" s="155">
        <f t="shared" ca="1" si="9"/>
        <v>0</v>
      </c>
      <c r="Z21" s="155">
        <f t="shared" ca="1" si="9"/>
        <v>0</v>
      </c>
      <c r="AA21" s="155">
        <f t="shared" ca="1" si="9"/>
        <v>0</v>
      </c>
      <c r="AB21" s="155">
        <f t="shared" ca="1" si="9"/>
        <v>0</v>
      </c>
      <c r="AC21" s="155">
        <f t="shared" ca="1" si="9"/>
        <v>0</v>
      </c>
      <c r="AD21" s="155">
        <f t="shared" ca="1" si="9"/>
        <v>0</v>
      </c>
      <c r="AE21" s="155">
        <f t="shared" ca="1" si="9"/>
        <v>0</v>
      </c>
    </row>
    <row r="22" spans="1:31" s="156" customFormat="1" x14ac:dyDescent="0.25">
      <c r="A22" s="154" t="s">
        <v>100</v>
      </c>
      <c r="B22" s="155">
        <f ca="1">IF(B20-B21&lt;0,0,B20-B21)</f>
        <v>0</v>
      </c>
      <c r="C22" s="155">
        <f t="shared" ref="C22:AE22" ca="1" si="10">IF(C20-C21&lt;0,0,C20-C21)</f>
        <v>85.615529524623682</v>
      </c>
      <c r="D22" s="155">
        <f t="shared" ca="1" si="10"/>
        <v>0</v>
      </c>
      <c r="E22" s="155">
        <f t="shared" ca="1" si="10"/>
        <v>0</v>
      </c>
      <c r="F22" s="155">
        <f t="shared" ca="1" si="10"/>
        <v>0</v>
      </c>
      <c r="G22" s="155">
        <f t="shared" ca="1" si="10"/>
        <v>0</v>
      </c>
      <c r="H22" s="155">
        <f t="shared" ca="1" si="10"/>
        <v>0</v>
      </c>
      <c r="I22" s="155">
        <f t="shared" ca="1" si="10"/>
        <v>0</v>
      </c>
      <c r="J22" s="155">
        <f t="shared" ca="1" si="10"/>
        <v>0</v>
      </c>
      <c r="K22" s="155">
        <f t="shared" ca="1" si="10"/>
        <v>0</v>
      </c>
      <c r="L22" s="155">
        <f t="shared" ca="1" si="10"/>
        <v>0</v>
      </c>
      <c r="M22" s="155">
        <f t="shared" ca="1" si="10"/>
        <v>0</v>
      </c>
      <c r="N22" s="155">
        <f t="shared" ca="1" si="10"/>
        <v>0</v>
      </c>
      <c r="O22" s="155">
        <f t="shared" ca="1" si="10"/>
        <v>0</v>
      </c>
      <c r="P22" s="155">
        <f t="shared" ca="1" si="10"/>
        <v>0</v>
      </c>
      <c r="Q22" s="155">
        <f t="shared" ca="1" si="10"/>
        <v>0</v>
      </c>
      <c r="R22" s="155">
        <f t="shared" ca="1" si="10"/>
        <v>0</v>
      </c>
      <c r="S22" s="155">
        <f t="shared" ca="1" si="10"/>
        <v>0</v>
      </c>
      <c r="T22" s="155">
        <f t="shared" ca="1" si="10"/>
        <v>0</v>
      </c>
      <c r="U22" s="155">
        <f t="shared" ca="1" si="10"/>
        <v>0</v>
      </c>
      <c r="V22" s="155">
        <f t="shared" ca="1" si="10"/>
        <v>0</v>
      </c>
      <c r="W22" s="155">
        <f t="shared" ca="1" si="10"/>
        <v>0</v>
      </c>
      <c r="X22" s="155">
        <f t="shared" ca="1" si="10"/>
        <v>0</v>
      </c>
      <c r="Y22" s="155">
        <f t="shared" ca="1" si="10"/>
        <v>0</v>
      </c>
      <c r="Z22" s="155">
        <f t="shared" ca="1" si="10"/>
        <v>0</v>
      </c>
      <c r="AA22" s="155">
        <f t="shared" ca="1" si="10"/>
        <v>0</v>
      </c>
      <c r="AB22" s="155">
        <f t="shared" ca="1" si="10"/>
        <v>0</v>
      </c>
      <c r="AC22" s="155">
        <f t="shared" ca="1" si="10"/>
        <v>0</v>
      </c>
      <c r="AD22" s="155">
        <f t="shared" ca="1" si="10"/>
        <v>0</v>
      </c>
      <c r="AE22" s="155">
        <f t="shared" ca="1" si="10"/>
        <v>0</v>
      </c>
    </row>
    <row r="23" spans="1:31" s="156" customFormat="1" x14ac:dyDescent="0.25">
      <c r="A23" s="154" t="s">
        <v>101</v>
      </c>
      <c r="B23" s="155">
        <f t="shared" ref="B23:D23" si="11">MAX(-B19,0)</f>
        <v>85.615529524623682</v>
      </c>
      <c r="C23" s="155">
        <f t="shared" si="11"/>
        <v>0</v>
      </c>
      <c r="D23" s="155">
        <f t="shared" si="11"/>
        <v>0</v>
      </c>
      <c r="E23" s="155">
        <f>MAX(-E19,0)</f>
        <v>0</v>
      </c>
      <c r="F23" s="155">
        <f t="shared" ref="F23:N23" si="12">MAX(-F19,0)</f>
        <v>0</v>
      </c>
      <c r="G23" s="155">
        <f t="shared" si="12"/>
        <v>0</v>
      </c>
      <c r="H23" s="155">
        <f t="shared" si="12"/>
        <v>0</v>
      </c>
      <c r="I23" s="155">
        <f t="shared" si="12"/>
        <v>0</v>
      </c>
      <c r="J23" s="155">
        <f t="shared" si="12"/>
        <v>0</v>
      </c>
      <c r="K23" s="155">
        <f t="shared" si="12"/>
        <v>0</v>
      </c>
      <c r="L23" s="155">
        <f t="shared" si="12"/>
        <v>0</v>
      </c>
      <c r="M23" s="155">
        <f t="shared" si="12"/>
        <v>0</v>
      </c>
      <c r="N23" s="155">
        <f t="shared" si="12"/>
        <v>0</v>
      </c>
      <c r="O23" s="155">
        <f t="shared" ref="O23:AE23" si="13">MAX(-O19,0)</f>
        <v>0</v>
      </c>
      <c r="P23" s="155">
        <f t="shared" si="13"/>
        <v>0</v>
      </c>
      <c r="Q23" s="155">
        <f t="shared" si="13"/>
        <v>0</v>
      </c>
      <c r="R23" s="155">
        <f t="shared" si="13"/>
        <v>0</v>
      </c>
      <c r="S23" s="155">
        <f t="shared" si="13"/>
        <v>0</v>
      </c>
      <c r="T23" s="155">
        <f t="shared" si="13"/>
        <v>0</v>
      </c>
      <c r="U23" s="155">
        <f t="shared" si="13"/>
        <v>0</v>
      </c>
      <c r="V23" s="155">
        <f t="shared" si="13"/>
        <v>0</v>
      </c>
      <c r="W23" s="155">
        <f t="shared" si="13"/>
        <v>0</v>
      </c>
      <c r="X23" s="155">
        <f t="shared" si="13"/>
        <v>0</v>
      </c>
      <c r="Y23" s="155">
        <f t="shared" si="13"/>
        <v>0</v>
      </c>
      <c r="Z23" s="155">
        <f t="shared" si="13"/>
        <v>0</v>
      </c>
      <c r="AA23" s="155">
        <f t="shared" si="13"/>
        <v>0</v>
      </c>
      <c r="AB23" s="155">
        <f t="shared" si="13"/>
        <v>0</v>
      </c>
      <c r="AC23" s="155">
        <f t="shared" si="13"/>
        <v>0</v>
      </c>
      <c r="AD23" s="155">
        <f t="shared" si="13"/>
        <v>0</v>
      </c>
      <c r="AE23" s="155">
        <f t="shared" si="13"/>
        <v>0</v>
      </c>
    </row>
    <row r="24" spans="1:31" s="156" customFormat="1" x14ac:dyDescent="0.25">
      <c r="A24" s="154" t="s">
        <v>102</v>
      </c>
      <c r="B24" s="155">
        <f t="shared" ref="B24:D24" ca="1" si="14">MIN(MAX(B19,0),B22)</f>
        <v>0</v>
      </c>
      <c r="C24" s="155">
        <f t="shared" ca="1" si="14"/>
        <v>85.615529524623682</v>
      </c>
      <c r="D24" s="155">
        <f t="shared" ca="1" si="14"/>
        <v>0</v>
      </c>
      <c r="E24" s="155">
        <f ca="1">MIN(MAX(E19,0),E22)</f>
        <v>0</v>
      </c>
      <c r="F24" s="155">
        <f t="shared" ref="F24:N24" ca="1" si="15">MIN(MAX(F19,0),F22)</f>
        <v>0</v>
      </c>
      <c r="G24" s="155">
        <f t="shared" ca="1" si="15"/>
        <v>0</v>
      </c>
      <c r="H24" s="155">
        <f t="shared" ca="1" si="15"/>
        <v>0</v>
      </c>
      <c r="I24" s="155">
        <f t="shared" ca="1" si="15"/>
        <v>0</v>
      </c>
      <c r="J24" s="155">
        <f t="shared" ca="1" si="15"/>
        <v>0</v>
      </c>
      <c r="K24" s="155">
        <f t="shared" ca="1" si="15"/>
        <v>0</v>
      </c>
      <c r="L24" s="155">
        <f t="shared" ca="1" si="15"/>
        <v>0</v>
      </c>
      <c r="M24" s="155">
        <f t="shared" ca="1" si="15"/>
        <v>0</v>
      </c>
      <c r="N24" s="155">
        <f t="shared" ca="1" si="15"/>
        <v>0</v>
      </c>
      <c r="O24" s="155">
        <f t="shared" ref="O24:AE24" ca="1" si="16">MIN(MAX(O19,0),O22)</f>
        <v>0</v>
      </c>
      <c r="P24" s="155">
        <f t="shared" ca="1" si="16"/>
        <v>0</v>
      </c>
      <c r="Q24" s="155">
        <f t="shared" ca="1" si="16"/>
        <v>0</v>
      </c>
      <c r="R24" s="155">
        <f t="shared" ca="1" si="16"/>
        <v>0</v>
      </c>
      <c r="S24" s="155">
        <f t="shared" ca="1" si="16"/>
        <v>0</v>
      </c>
      <c r="T24" s="155">
        <f t="shared" ca="1" si="16"/>
        <v>0</v>
      </c>
      <c r="U24" s="155">
        <f t="shared" ca="1" si="16"/>
        <v>0</v>
      </c>
      <c r="V24" s="155">
        <f t="shared" ca="1" si="16"/>
        <v>0</v>
      </c>
      <c r="W24" s="155">
        <f t="shared" ca="1" si="16"/>
        <v>0</v>
      </c>
      <c r="X24" s="155">
        <f t="shared" ca="1" si="16"/>
        <v>0</v>
      </c>
      <c r="Y24" s="155">
        <f t="shared" ca="1" si="16"/>
        <v>0</v>
      </c>
      <c r="Z24" s="155">
        <f t="shared" ca="1" si="16"/>
        <v>0</v>
      </c>
      <c r="AA24" s="155">
        <f t="shared" ca="1" si="16"/>
        <v>0</v>
      </c>
      <c r="AB24" s="155">
        <f t="shared" ca="1" si="16"/>
        <v>0</v>
      </c>
      <c r="AC24" s="155">
        <f t="shared" ca="1" si="16"/>
        <v>0</v>
      </c>
      <c r="AD24" s="155">
        <f t="shared" ca="1" si="16"/>
        <v>0</v>
      </c>
      <c r="AE24" s="155">
        <f t="shared" ca="1" si="16"/>
        <v>0</v>
      </c>
    </row>
    <row r="25" spans="1:31" s="156" customFormat="1" x14ac:dyDescent="0.25">
      <c r="A25" s="154" t="s">
        <v>67</v>
      </c>
      <c r="B25" s="155">
        <f t="shared" ref="B25:D25" ca="1" si="17">B20-B21+B23-B24</f>
        <v>85.615529524623682</v>
      </c>
      <c r="C25" s="155">
        <f t="shared" ca="1" si="17"/>
        <v>0</v>
      </c>
      <c r="D25" s="155">
        <f t="shared" ca="1" si="17"/>
        <v>0</v>
      </c>
      <c r="E25" s="155">
        <f ca="1">E20-E21+E23-E24</f>
        <v>0</v>
      </c>
      <c r="F25" s="155">
        <f t="shared" ref="F25" ca="1" si="18">F20-F21+F23-F24</f>
        <v>0</v>
      </c>
      <c r="G25" s="155">
        <f t="shared" ref="G25:H25" ca="1" si="19">G20-G21+G23-G24</f>
        <v>0</v>
      </c>
      <c r="H25" s="155">
        <f t="shared" ca="1" si="19"/>
        <v>0</v>
      </c>
      <c r="I25" s="155">
        <f t="shared" ref="I25" ca="1" si="20">I20-I21+I23-I24</f>
        <v>0</v>
      </c>
      <c r="J25" s="155">
        <f t="shared" ref="J25:K25" ca="1" si="21">J20-J21+J23-J24</f>
        <v>0</v>
      </c>
      <c r="K25" s="155">
        <f t="shared" ca="1" si="21"/>
        <v>0</v>
      </c>
      <c r="L25" s="155">
        <f t="shared" ref="L25" ca="1" si="22">L20-L21+L23-L24</f>
        <v>0</v>
      </c>
      <c r="M25" s="155">
        <f t="shared" ref="M25:N25" ca="1" si="23">M20-M21+M23-M24</f>
        <v>0</v>
      </c>
      <c r="N25" s="155">
        <f t="shared" ca="1" si="23"/>
        <v>0</v>
      </c>
      <c r="O25" s="155">
        <f t="shared" ref="O25" ca="1" si="24">O20-O21+O23-O24</f>
        <v>0</v>
      </c>
      <c r="P25" s="155">
        <f t="shared" ref="P25" ca="1" si="25">P20-P21+P23-P24</f>
        <v>0</v>
      </c>
      <c r="Q25" s="155">
        <f t="shared" ref="Q25" ca="1" si="26">Q20-Q21+Q23-Q24</f>
        <v>0</v>
      </c>
      <c r="R25" s="155">
        <f t="shared" ref="R25" ca="1" si="27">R20-R21+R23-R24</f>
        <v>0</v>
      </c>
      <c r="S25" s="155">
        <f t="shared" ref="S25" ca="1" si="28">S20-S21+S23-S24</f>
        <v>0</v>
      </c>
      <c r="T25" s="155">
        <f t="shared" ref="T25" ca="1" si="29">T20-T21+T23-T24</f>
        <v>0</v>
      </c>
      <c r="U25" s="155">
        <f t="shared" ref="U25" ca="1" si="30">U20-U21+U23-U24</f>
        <v>0</v>
      </c>
      <c r="V25" s="155">
        <f t="shared" ref="V25" ca="1" si="31">V20-V21+V23-V24</f>
        <v>0</v>
      </c>
      <c r="W25" s="155">
        <f t="shared" ref="W25" ca="1" si="32">W20-W21+W23-W24</f>
        <v>0</v>
      </c>
      <c r="X25" s="155">
        <f t="shared" ref="X25" ca="1" si="33">X20-X21+X23-X24</f>
        <v>0</v>
      </c>
      <c r="Y25" s="155">
        <f t="shared" ref="Y25" ca="1" si="34">Y20-Y21+Y23-Y24</f>
        <v>0</v>
      </c>
      <c r="Z25" s="155">
        <f t="shared" ref="Z25" ca="1" si="35">Z20-Z21+Z23-Z24</f>
        <v>0</v>
      </c>
      <c r="AA25" s="155">
        <f t="shared" ref="AA25" ca="1" si="36">AA20-AA21+AA23-AA24</f>
        <v>0</v>
      </c>
      <c r="AB25" s="155">
        <f t="shared" ref="AB25" ca="1" si="37">AB20-AB21+AB23-AB24</f>
        <v>0</v>
      </c>
      <c r="AC25" s="155">
        <f t="shared" ref="AC25" ca="1" si="38">AC20-AC21+AC23-AC24</f>
        <v>0</v>
      </c>
      <c r="AD25" s="155">
        <f t="shared" ref="AD25" ca="1" si="39">AD20-AD21+AD23-AD24</f>
        <v>0</v>
      </c>
      <c r="AE25" s="155">
        <f t="shared" ref="AE25" ca="1" si="40">AE20-AE21+AE23-AE24</f>
        <v>0</v>
      </c>
    </row>
    <row r="26" spans="1:31" s="156" customFormat="1" x14ac:dyDescent="0.25">
      <c r="A26" s="154" t="s">
        <v>107</v>
      </c>
      <c r="B26" s="155" t="b">
        <f>B3&gt;$B$38</f>
        <v>0</v>
      </c>
      <c r="C26" s="155" t="b">
        <f t="shared" ref="C26:E26" si="41">C3&gt;$B$38</f>
        <v>0</v>
      </c>
      <c r="D26" s="155" t="b">
        <f t="shared" si="41"/>
        <v>0</v>
      </c>
      <c r="E26" s="155" t="b">
        <f t="shared" si="41"/>
        <v>0</v>
      </c>
      <c r="F26" s="155" t="b">
        <f t="shared" ref="F26:N26" si="42">F3&gt;$B$38</f>
        <v>0</v>
      </c>
      <c r="G26" s="155" t="b">
        <f t="shared" si="42"/>
        <v>0</v>
      </c>
      <c r="H26" s="155" t="b">
        <f t="shared" si="42"/>
        <v>0</v>
      </c>
      <c r="I26" s="155" t="b">
        <f t="shared" si="42"/>
        <v>0</v>
      </c>
      <c r="J26" s="155" t="b">
        <f t="shared" si="42"/>
        <v>0</v>
      </c>
      <c r="K26" s="155" t="b">
        <f t="shared" si="42"/>
        <v>0</v>
      </c>
      <c r="L26" s="155" t="b">
        <f t="shared" si="42"/>
        <v>0</v>
      </c>
      <c r="M26" s="155" t="b">
        <f t="shared" si="42"/>
        <v>0</v>
      </c>
      <c r="N26" s="155" t="b">
        <f t="shared" si="42"/>
        <v>0</v>
      </c>
      <c r="O26" s="155" t="b">
        <f t="shared" ref="O26:AE26" si="43">O3&gt;$B$38</f>
        <v>0</v>
      </c>
      <c r="P26" s="155" t="b">
        <f t="shared" si="43"/>
        <v>0</v>
      </c>
      <c r="Q26" s="155" t="b">
        <f t="shared" si="43"/>
        <v>0</v>
      </c>
      <c r="R26" s="155" t="b">
        <f t="shared" si="43"/>
        <v>0</v>
      </c>
      <c r="S26" s="155" t="b">
        <f t="shared" si="43"/>
        <v>0</v>
      </c>
      <c r="T26" s="155" t="b">
        <f t="shared" si="43"/>
        <v>0</v>
      </c>
      <c r="U26" s="155" t="b">
        <f t="shared" si="43"/>
        <v>0</v>
      </c>
      <c r="V26" s="155" t="b">
        <f t="shared" si="43"/>
        <v>1</v>
      </c>
      <c r="W26" s="155" t="b">
        <f t="shared" si="43"/>
        <v>1</v>
      </c>
      <c r="X26" s="155" t="b">
        <f t="shared" si="43"/>
        <v>1</v>
      </c>
      <c r="Y26" s="155" t="b">
        <f t="shared" si="43"/>
        <v>1</v>
      </c>
      <c r="Z26" s="155" t="b">
        <f t="shared" si="43"/>
        <v>1</v>
      </c>
      <c r="AA26" s="155" t="b">
        <f t="shared" si="43"/>
        <v>1</v>
      </c>
      <c r="AB26" s="155" t="b">
        <f t="shared" si="43"/>
        <v>1</v>
      </c>
      <c r="AC26" s="155" t="b">
        <f t="shared" si="43"/>
        <v>1</v>
      </c>
      <c r="AD26" s="155" t="b">
        <f t="shared" si="43"/>
        <v>1</v>
      </c>
      <c r="AE26" s="155" t="b">
        <f t="shared" si="43"/>
        <v>1</v>
      </c>
    </row>
    <row r="27" spans="1:31" s="156" customFormat="1" x14ac:dyDescent="0.25">
      <c r="A27" s="154" t="s">
        <v>108</v>
      </c>
      <c r="B27" s="155" t="b">
        <f ca="1">IF(B26,OFFSET(B23,0,-$B$38))</f>
        <v>0</v>
      </c>
      <c r="C27" s="155" t="b">
        <f t="shared" ref="C27:E27" ca="1" si="44">IF(C26,OFFSET(C23,0,-$B$38))</f>
        <v>0</v>
      </c>
      <c r="D27" s="155" t="b">
        <f t="shared" ca="1" si="44"/>
        <v>0</v>
      </c>
      <c r="E27" s="155" t="b">
        <f t="shared" ca="1" si="44"/>
        <v>0</v>
      </c>
      <c r="F27" s="155" t="b">
        <f t="shared" ref="F27" ca="1" si="45">IF(F26,OFFSET(F23,0,-$B$38))</f>
        <v>0</v>
      </c>
      <c r="G27" s="155" t="b">
        <f t="shared" ref="G27" ca="1" si="46">IF(G26,OFFSET(G23,0,-$B$38))</f>
        <v>0</v>
      </c>
      <c r="H27" s="155" t="b">
        <f t="shared" ref="H27" ca="1" si="47">IF(H26,OFFSET(H23,0,-$B$38))</f>
        <v>0</v>
      </c>
      <c r="I27" s="155" t="b">
        <f t="shared" ref="I27" ca="1" si="48">IF(I26,OFFSET(I23,0,-$B$38))</f>
        <v>0</v>
      </c>
      <c r="J27" s="155" t="b">
        <f t="shared" ref="J27" ca="1" si="49">IF(J26,OFFSET(J23,0,-$B$38))</f>
        <v>0</v>
      </c>
      <c r="K27" s="155" t="b">
        <f t="shared" ref="K27" ca="1" si="50">IF(K26,OFFSET(K23,0,-$B$38))</f>
        <v>0</v>
      </c>
      <c r="L27" s="155" t="b">
        <f t="shared" ref="L27" ca="1" si="51">IF(L26,OFFSET(L23,0,-$B$38))</f>
        <v>0</v>
      </c>
      <c r="M27" s="155" t="b">
        <f t="shared" ref="M27" ca="1" si="52">IF(M26,OFFSET(M23,0,-$B$38))</f>
        <v>0</v>
      </c>
      <c r="N27" s="155" t="b">
        <f t="shared" ref="N27" ca="1" si="53">IF(N26,OFFSET(N23,0,-$B$38))</f>
        <v>0</v>
      </c>
      <c r="O27" s="155" t="b">
        <f t="shared" ref="O27" ca="1" si="54">IF(O26,OFFSET(O23,0,-$B$38))</f>
        <v>0</v>
      </c>
      <c r="P27" s="155" t="b">
        <f t="shared" ref="P27" ca="1" si="55">IF(P26,OFFSET(P23,0,-$B$38))</f>
        <v>0</v>
      </c>
      <c r="Q27" s="155" t="b">
        <f t="shared" ref="Q27" ca="1" si="56">IF(Q26,OFFSET(Q23,0,-$B$38))</f>
        <v>0</v>
      </c>
      <c r="R27" s="155" t="b">
        <f t="shared" ref="R27" ca="1" si="57">IF(R26,OFFSET(R23,0,-$B$38))</f>
        <v>0</v>
      </c>
      <c r="S27" s="155" t="b">
        <f t="shared" ref="S27" ca="1" si="58">IF(S26,OFFSET(S23,0,-$B$38))</f>
        <v>0</v>
      </c>
      <c r="T27" s="155" t="b">
        <f t="shared" ref="T27" ca="1" si="59">IF(T26,OFFSET(T23,0,-$B$38))</f>
        <v>0</v>
      </c>
      <c r="U27" s="155" t="b">
        <f t="shared" ref="U27" ca="1" si="60">IF(U26,OFFSET(U23,0,-$B$38))</f>
        <v>0</v>
      </c>
      <c r="V27" s="155">
        <f t="shared" ref="V27" ca="1" si="61">IF(V26,OFFSET(V23,0,-$B$38))</f>
        <v>85.615529524623682</v>
      </c>
      <c r="W27" s="155">
        <f t="shared" ref="W27" ca="1" si="62">IF(W26,OFFSET(W23,0,-$B$38))</f>
        <v>0</v>
      </c>
      <c r="X27" s="155">
        <f t="shared" ref="X27" ca="1" si="63">IF(X26,OFFSET(X23,0,-$B$38))</f>
        <v>0</v>
      </c>
      <c r="Y27" s="155">
        <f t="shared" ref="Y27" ca="1" si="64">IF(Y26,OFFSET(Y23,0,-$B$38))</f>
        <v>0</v>
      </c>
      <c r="Z27" s="155">
        <f t="shared" ref="Z27" ca="1" si="65">IF(Z26,OFFSET(Z23,0,-$B$38))</f>
        <v>0</v>
      </c>
      <c r="AA27" s="155">
        <f t="shared" ref="AA27" ca="1" si="66">IF(AA26,OFFSET(AA23,0,-$B$38))</f>
        <v>0</v>
      </c>
      <c r="AB27" s="155">
        <f t="shared" ref="AB27" ca="1" si="67">IF(AB26,OFFSET(AB23,0,-$B$38))</f>
        <v>0</v>
      </c>
      <c r="AC27" s="155">
        <f t="shared" ref="AC27" ca="1" si="68">IF(AC26,OFFSET(AC23,0,-$B$38))</f>
        <v>0</v>
      </c>
      <c r="AD27" s="155">
        <f t="shared" ref="AD27" ca="1" si="69">IF(AD26,OFFSET(AD23,0,-$B$38))</f>
        <v>0</v>
      </c>
      <c r="AE27" s="155">
        <f t="shared" ref="AE27" ca="1" si="70">IF(AE26,OFFSET(AE23,0,-$B$38))</f>
        <v>0</v>
      </c>
    </row>
    <row r="28" spans="1:31" s="156" customFormat="1" x14ac:dyDescent="0.25">
      <c r="A28" s="154" t="s">
        <v>109</v>
      </c>
      <c r="B28" s="155" t="b">
        <f ca="1">IF(B26,SUM(OFFSET(B24,0,-$B$38,1,$B$38)))</f>
        <v>0</v>
      </c>
      <c r="C28" s="155">
        <f ca="1">IF(C26,SUM(OFFSET(C24,0,-$B$38,1,$B$38)))-B29</f>
        <v>0</v>
      </c>
      <c r="D28" s="155">
        <f t="shared" ref="D28:N28" ca="1" si="71">IF(D26,SUM(OFFSET(D24,0,-$B$38,1,$B$38)))-C29</f>
        <v>0</v>
      </c>
      <c r="E28" s="155">
        <f t="shared" ca="1" si="71"/>
        <v>0</v>
      </c>
      <c r="F28" s="155">
        <f t="shared" ca="1" si="71"/>
        <v>0</v>
      </c>
      <c r="G28" s="155">
        <f t="shared" ca="1" si="71"/>
        <v>0</v>
      </c>
      <c r="H28" s="155">
        <f t="shared" ca="1" si="71"/>
        <v>0</v>
      </c>
      <c r="I28" s="155">
        <f t="shared" ca="1" si="71"/>
        <v>0</v>
      </c>
      <c r="J28" s="155">
        <f t="shared" ca="1" si="71"/>
        <v>0</v>
      </c>
      <c r="K28" s="155">
        <f t="shared" ca="1" si="71"/>
        <v>0</v>
      </c>
      <c r="L28" s="155">
        <f t="shared" ca="1" si="71"/>
        <v>0</v>
      </c>
      <c r="M28" s="155">
        <f t="shared" ca="1" si="71"/>
        <v>0</v>
      </c>
      <c r="N28" s="155">
        <f t="shared" ca="1" si="71"/>
        <v>0</v>
      </c>
      <c r="O28" s="155">
        <f t="shared" ref="O28:AE28" ca="1" si="72">IF(O26,SUM(OFFSET(O24,0,-$B$38,1,$B$38)))-N29</f>
        <v>0</v>
      </c>
      <c r="P28" s="155">
        <f t="shared" ca="1" si="72"/>
        <v>0</v>
      </c>
      <c r="Q28" s="155">
        <f t="shared" ca="1" si="72"/>
        <v>0</v>
      </c>
      <c r="R28" s="155">
        <f t="shared" ca="1" si="72"/>
        <v>0</v>
      </c>
      <c r="S28" s="155">
        <f t="shared" ca="1" si="72"/>
        <v>0</v>
      </c>
      <c r="T28" s="155">
        <f t="shared" ca="1" si="72"/>
        <v>0</v>
      </c>
      <c r="U28" s="155">
        <f t="shared" ca="1" si="72"/>
        <v>0</v>
      </c>
      <c r="V28" s="155">
        <f t="shared" ca="1" si="72"/>
        <v>85.615529524623682</v>
      </c>
      <c r="W28" s="155">
        <f t="shared" ca="1" si="72"/>
        <v>85.615529524623682</v>
      </c>
      <c r="X28" s="155">
        <f t="shared" ca="1" si="72"/>
        <v>0</v>
      </c>
      <c r="Y28" s="155">
        <f t="shared" ca="1" si="72"/>
        <v>0</v>
      </c>
      <c r="Z28" s="155">
        <f t="shared" ca="1" si="72"/>
        <v>0</v>
      </c>
      <c r="AA28" s="155">
        <f t="shared" ca="1" si="72"/>
        <v>0</v>
      </c>
      <c r="AB28" s="155">
        <f t="shared" ca="1" si="72"/>
        <v>0</v>
      </c>
      <c r="AC28" s="155">
        <f t="shared" ca="1" si="72"/>
        <v>0</v>
      </c>
      <c r="AD28" s="155">
        <f t="shared" ca="1" si="72"/>
        <v>0</v>
      </c>
      <c r="AE28" s="155">
        <f t="shared" ca="1" si="72"/>
        <v>0</v>
      </c>
    </row>
    <row r="29" spans="1:31" s="156" customFormat="1" x14ac:dyDescent="0.25">
      <c r="A29" s="154" t="s">
        <v>110</v>
      </c>
      <c r="B29" s="155">
        <f ca="1">IF(B27-B28&lt;0,0,B27-B28)</f>
        <v>0</v>
      </c>
      <c r="C29" s="155">
        <f t="shared" ref="C29:N29" ca="1" si="73">IF(C27-C28&lt;0,0,C27-C28)</f>
        <v>0</v>
      </c>
      <c r="D29" s="155">
        <f t="shared" ca="1" si="73"/>
        <v>0</v>
      </c>
      <c r="E29" s="155">
        <f t="shared" ca="1" si="73"/>
        <v>0</v>
      </c>
      <c r="F29" s="155">
        <f t="shared" ca="1" si="73"/>
        <v>0</v>
      </c>
      <c r="G29" s="155">
        <f t="shared" ca="1" si="73"/>
        <v>0</v>
      </c>
      <c r="H29" s="155">
        <f t="shared" ca="1" si="73"/>
        <v>0</v>
      </c>
      <c r="I29" s="155">
        <f t="shared" ca="1" si="73"/>
        <v>0</v>
      </c>
      <c r="J29" s="155">
        <f t="shared" ca="1" si="73"/>
        <v>0</v>
      </c>
      <c r="K29" s="155">
        <f t="shared" ca="1" si="73"/>
        <v>0</v>
      </c>
      <c r="L29" s="155">
        <f t="shared" ca="1" si="73"/>
        <v>0</v>
      </c>
      <c r="M29" s="155">
        <f t="shared" ca="1" si="73"/>
        <v>0</v>
      </c>
      <c r="N29" s="155">
        <f t="shared" ca="1" si="73"/>
        <v>0</v>
      </c>
      <c r="O29" s="155">
        <f t="shared" ref="O29" ca="1" si="74">IF(O27-O28&lt;0,0,O27-O28)</f>
        <v>0</v>
      </c>
      <c r="P29" s="155">
        <f t="shared" ref="P29" ca="1" si="75">IF(P27-P28&lt;0,0,P27-P28)</f>
        <v>0</v>
      </c>
      <c r="Q29" s="155">
        <f t="shared" ref="Q29" ca="1" si="76">IF(Q27-Q28&lt;0,0,Q27-Q28)</f>
        <v>0</v>
      </c>
      <c r="R29" s="155">
        <f t="shared" ref="R29" ca="1" si="77">IF(R27-R28&lt;0,0,R27-R28)</f>
        <v>0</v>
      </c>
      <c r="S29" s="155">
        <f t="shared" ref="S29" ca="1" si="78">IF(S27-S28&lt;0,0,S27-S28)</f>
        <v>0</v>
      </c>
      <c r="T29" s="155">
        <f t="shared" ref="T29" ca="1" si="79">IF(T27-T28&lt;0,0,T27-T28)</f>
        <v>0</v>
      </c>
      <c r="U29" s="155">
        <f t="shared" ref="U29" ca="1" si="80">IF(U27-U28&lt;0,0,U27-U28)</f>
        <v>0</v>
      </c>
      <c r="V29" s="155">
        <f t="shared" ref="V29" ca="1" si="81">IF(V27-V28&lt;0,0,V27-V28)</f>
        <v>0</v>
      </c>
      <c r="W29" s="155">
        <f t="shared" ref="W29" ca="1" si="82">IF(W27-W28&lt;0,0,W27-W28)</f>
        <v>0</v>
      </c>
      <c r="X29" s="155">
        <f t="shared" ref="X29" ca="1" si="83">IF(X27-X28&lt;0,0,X27-X28)</f>
        <v>0</v>
      </c>
      <c r="Y29" s="155">
        <f t="shared" ref="Y29" ca="1" si="84">IF(Y27-Y28&lt;0,0,Y27-Y28)</f>
        <v>0</v>
      </c>
      <c r="Z29" s="155">
        <f t="shared" ref="Z29" ca="1" si="85">IF(Z27-Z28&lt;0,0,Z27-Z28)</f>
        <v>0</v>
      </c>
      <c r="AA29" s="155">
        <f t="shared" ref="AA29" ca="1" si="86">IF(AA27-AA28&lt;0,0,AA27-AA28)</f>
        <v>0</v>
      </c>
      <c r="AB29" s="155">
        <f t="shared" ref="AB29" ca="1" si="87">IF(AB27-AB28&lt;0,0,AB27-AB28)</f>
        <v>0</v>
      </c>
      <c r="AC29" s="155">
        <f t="shared" ref="AC29" ca="1" si="88">IF(AC27-AC28&lt;0,0,AC27-AC28)</f>
        <v>0</v>
      </c>
      <c r="AD29" s="155">
        <f t="shared" ref="AD29" ca="1" si="89">IF(AD27-AD28&lt;0,0,AD27-AD28)</f>
        <v>0</v>
      </c>
      <c r="AE29" s="155">
        <f t="shared" ref="AE29" ca="1" si="90">IF(AE27-AE28&lt;0,0,AE27-AE28)</f>
        <v>0</v>
      </c>
    </row>
    <row r="30" spans="1:31" s="156" customFormat="1" x14ac:dyDescent="0.25">
      <c r="A30" s="154" t="s">
        <v>98</v>
      </c>
      <c r="B30" s="155">
        <f ca="1">B19-B24</f>
        <v>-85.615529524623682</v>
      </c>
      <c r="C30" s="155">
        <f t="shared" ref="C30:AE30" ca="1" si="91">C19-C24</f>
        <v>139.7167331685821</v>
      </c>
      <c r="D30" s="155">
        <f t="shared" ca="1" si="91"/>
        <v>548.23676836031837</v>
      </c>
      <c r="E30" s="155">
        <f t="shared" ca="1" si="91"/>
        <v>882.75506734749706</v>
      </c>
      <c r="F30" s="155">
        <f t="shared" ca="1" si="91"/>
        <v>1228.3853752750449</v>
      </c>
      <c r="G30" s="155">
        <f t="shared" ca="1" si="91"/>
        <v>1584.4381061438348</v>
      </c>
      <c r="H30" s="155">
        <f t="shared" ca="1" si="91"/>
        <v>1950.0022488620837</v>
      </c>
      <c r="I30" s="155">
        <f t="shared" ca="1" si="91"/>
        <v>2323.9062895902171</v>
      </c>
      <c r="J30" s="155">
        <f t="shared" ca="1" si="91"/>
        <v>2704.6727778989475</v>
      </c>
      <c r="K30" s="155">
        <f t="shared" ca="1" si="91"/>
        <v>3090.4654753466534</v>
      </c>
      <c r="L30" s="155">
        <f t="shared" ca="1" si="91"/>
        <v>3479.0278348891457</v>
      </c>
      <c r="M30" s="155">
        <f t="shared" ca="1" si="91"/>
        <v>3867.6113319540464</v>
      </c>
      <c r="N30" s="155">
        <f t="shared" ca="1" si="91"/>
        <v>4252.8918948972869</v>
      </c>
      <c r="O30" s="155">
        <f t="shared" ca="1" si="91"/>
        <v>4630.8723537911783</v>
      </c>
      <c r="P30" s="155">
        <f t="shared" ca="1" si="91"/>
        <v>4996.7684294506271</v>
      </c>
      <c r="Q30" s="155">
        <f t="shared" ca="1" si="91"/>
        <v>5344.8753034717556</v>
      </c>
      <c r="R30" s="155">
        <f t="shared" ca="1" si="91"/>
        <v>5668.411224933483</v>
      </c>
      <c r="S30" s="155">
        <f t="shared" ca="1" si="91"/>
        <v>5959.3338951290198</v>
      </c>
      <c r="T30" s="155">
        <f t="shared" ca="1" si="91"/>
        <v>6208.1244962637647</v>
      </c>
      <c r="U30" s="155">
        <f t="shared" ca="1" si="91"/>
        <v>6403.5331526133159</v>
      </c>
      <c r="V30" s="155">
        <f t="shared" ca="1" si="91"/>
        <v>6532.2782806840296</v>
      </c>
      <c r="W30" s="155">
        <f t="shared" ca="1" si="91"/>
        <v>6578.6906306326282</v>
      </c>
      <c r="X30" s="155">
        <f t="shared" ca="1" si="91"/>
        <v>6524.2907564173111</v>
      </c>
      <c r="Y30" s="155">
        <f t="shared" ca="1" si="91"/>
        <v>6347.2860615399131</v>
      </c>
      <c r="Z30" s="155">
        <f t="shared" ca="1" si="91"/>
        <v>6021.9702989183052</v>
      </c>
      <c r="AA30" s="155">
        <f t="shared" ca="1" si="91"/>
        <v>5518.0042559747271</v>
      </c>
      <c r="AB30" s="155">
        <f t="shared" ca="1" si="91"/>
        <v>4799.5510603156408</v>
      </c>
      <c r="AC30" s="155">
        <f t="shared" ca="1" si="91"/>
        <v>4225.5944806815505</v>
      </c>
      <c r="AD30" s="155">
        <f t="shared" ca="1" si="91"/>
        <v>2983.4493947967649</v>
      </c>
      <c r="AE30" s="155">
        <f t="shared" ca="1" si="91"/>
        <v>1003.506361938614</v>
      </c>
    </row>
    <row r="31" spans="1:31" s="159" customFormat="1" x14ac:dyDescent="0.25">
      <c r="A31" s="157" t="s">
        <v>104</v>
      </c>
      <c r="B31" s="158">
        <f ca="1">IF(B30&lt;0,0,B30)</f>
        <v>0</v>
      </c>
      <c r="C31" s="158">
        <f t="shared" ref="C31:AE31" ca="1" si="92">IF(C30&lt;0,0,C30)</f>
        <v>139.7167331685821</v>
      </c>
      <c r="D31" s="158">
        <f t="shared" ca="1" si="92"/>
        <v>548.23676836031837</v>
      </c>
      <c r="E31" s="158">
        <f t="shared" ca="1" si="92"/>
        <v>882.75506734749706</v>
      </c>
      <c r="F31" s="158">
        <f t="shared" ca="1" si="92"/>
        <v>1228.3853752750449</v>
      </c>
      <c r="G31" s="158">
        <f t="shared" ca="1" si="92"/>
        <v>1584.4381061438348</v>
      </c>
      <c r="H31" s="158">
        <f t="shared" ca="1" si="92"/>
        <v>1950.0022488620837</v>
      </c>
      <c r="I31" s="158">
        <f t="shared" ca="1" si="92"/>
        <v>2323.9062895902171</v>
      </c>
      <c r="J31" s="158">
        <f t="shared" ca="1" si="92"/>
        <v>2704.6727778989475</v>
      </c>
      <c r="K31" s="158">
        <f t="shared" ca="1" si="92"/>
        <v>3090.4654753466534</v>
      </c>
      <c r="L31" s="158">
        <f t="shared" ca="1" si="92"/>
        <v>3479.0278348891457</v>
      </c>
      <c r="M31" s="158">
        <f t="shared" ca="1" si="92"/>
        <v>3867.6113319540464</v>
      </c>
      <c r="N31" s="158">
        <f t="shared" ca="1" si="92"/>
        <v>4252.8918948972869</v>
      </c>
      <c r="O31" s="158">
        <f t="shared" ca="1" si="92"/>
        <v>4630.8723537911783</v>
      </c>
      <c r="P31" s="158">
        <f t="shared" ca="1" si="92"/>
        <v>4996.7684294506271</v>
      </c>
      <c r="Q31" s="158">
        <f t="shared" ca="1" si="92"/>
        <v>5344.8753034717556</v>
      </c>
      <c r="R31" s="158">
        <f t="shared" ca="1" si="92"/>
        <v>5668.411224933483</v>
      </c>
      <c r="S31" s="158">
        <f t="shared" ca="1" si="92"/>
        <v>5959.3338951290198</v>
      </c>
      <c r="T31" s="158">
        <f t="shared" ca="1" si="92"/>
        <v>6208.1244962637647</v>
      </c>
      <c r="U31" s="158">
        <f t="shared" ca="1" si="92"/>
        <v>6403.5331526133159</v>
      </c>
      <c r="V31" s="158">
        <f t="shared" ca="1" si="92"/>
        <v>6532.2782806840296</v>
      </c>
      <c r="W31" s="158">
        <f t="shared" ca="1" si="92"/>
        <v>6578.6906306326282</v>
      </c>
      <c r="X31" s="158">
        <f t="shared" ca="1" si="92"/>
        <v>6524.2907564173111</v>
      </c>
      <c r="Y31" s="158">
        <f t="shared" ca="1" si="92"/>
        <v>6347.2860615399131</v>
      </c>
      <c r="Z31" s="158">
        <f t="shared" ca="1" si="92"/>
        <v>6021.9702989183052</v>
      </c>
      <c r="AA31" s="158">
        <f t="shared" ca="1" si="92"/>
        <v>5518.0042559747271</v>
      </c>
      <c r="AB31" s="158">
        <f t="shared" ca="1" si="92"/>
        <v>4799.5510603156408</v>
      </c>
      <c r="AC31" s="158">
        <f t="shared" ca="1" si="92"/>
        <v>4225.5944806815505</v>
      </c>
      <c r="AD31" s="158">
        <f t="shared" ca="1" si="92"/>
        <v>2983.4493947967649</v>
      </c>
      <c r="AE31" s="158">
        <f t="shared" ca="1" si="92"/>
        <v>1003.506361938614</v>
      </c>
    </row>
    <row r="32" spans="1:31" s="161" customFormat="1" x14ac:dyDescent="0.25">
      <c r="A32" s="160" t="s">
        <v>112</v>
      </c>
      <c r="B32" s="158">
        <f ca="1">IF(B31-1000&lt;0, 0, B31-1000)</f>
        <v>0</v>
      </c>
      <c r="C32" s="158">
        <f t="shared" ref="C32:AE32" ca="1" si="93">IF(C31-1000&lt;0, 0, C31-1000)</f>
        <v>0</v>
      </c>
      <c r="D32" s="158">
        <f t="shared" ca="1" si="93"/>
        <v>0</v>
      </c>
      <c r="E32" s="158">
        <f t="shared" ca="1" si="93"/>
        <v>0</v>
      </c>
      <c r="F32" s="158">
        <f t="shared" ca="1" si="93"/>
        <v>228.38537527504491</v>
      </c>
      <c r="G32" s="158">
        <f t="shared" ca="1" si="93"/>
        <v>584.43810614383483</v>
      </c>
      <c r="H32" s="158">
        <f t="shared" ca="1" si="93"/>
        <v>950.00224886208366</v>
      </c>
      <c r="I32" s="158">
        <f t="shared" ca="1" si="93"/>
        <v>1323.9062895902171</v>
      </c>
      <c r="J32" s="158">
        <f t="shared" ca="1" si="93"/>
        <v>1704.6727778989475</v>
      </c>
      <c r="K32" s="158">
        <f t="shared" ca="1" si="93"/>
        <v>2090.4654753466534</v>
      </c>
      <c r="L32" s="158">
        <f t="shared" ca="1" si="93"/>
        <v>2479.0278348891457</v>
      </c>
      <c r="M32" s="158">
        <f t="shared" ca="1" si="93"/>
        <v>2867.6113319540464</v>
      </c>
      <c r="N32" s="158">
        <f t="shared" ca="1" si="93"/>
        <v>3252.8918948972869</v>
      </c>
      <c r="O32" s="158">
        <f t="shared" ca="1" si="93"/>
        <v>3630.8723537911783</v>
      </c>
      <c r="P32" s="158">
        <f t="shared" ca="1" si="93"/>
        <v>3996.7684294506271</v>
      </c>
      <c r="Q32" s="158">
        <f t="shared" ca="1" si="93"/>
        <v>4344.8753034717556</v>
      </c>
      <c r="R32" s="158">
        <f t="shared" ca="1" si="93"/>
        <v>4668.411224933483</v>
      </c>
      <c r="S32" s="158">
        <f t="shared" ca="1" si="93"/>
        <v>4959.3338951290198</v>
      </c>
      <c r="T32" s="158">
        <f t="shared" ca="1" si="93"/>
        <v>5208.1244962637647</v>
      </c>
      <c r="U32" s="158">
        <f t="shared" ca="1" si="93"/>
        <v>5403.5331526133159</v>
      </c>
      <c r="V32" s="158">
        <f t="shared" ca="1" si="93"/>
        <v>5532.2782806840296</v>
      </c>
      <c r="W32" s="158">
        <f t="shared" ca="1" si="93"/>
        <v>5578.6906306326282</v>
      </c>
      <c r="X32" s="158">
        <f t="shared" ca="1" si="93"/>
        <v>5524.2907564173111</v>
      </c>
      <c r="Y32" s="158">
        <f t="shared" ca="1" si="93"/>
        <v>5347.2860615399131</v>
      </c>
      <c r="Z32" s="158">
        <f t="shared" ca="1" si="93"/>
        <v>5021.9702989183052</v>
      </c>
      <c r="AA32" s="158">
        <f t="shared" ca="1" si="93"/>
        <v>4518.0042559747271</v>
      </c>
      <c r="AB32" s="158">
        <f t="shared" ca="1" si="93"/>
        <v>3799.5510603156408</v>
      </c>
      <c r="AC32" s="158">
        <f t="shared" ca="1" si="93"/>
        <v>3225.5944806815505</v>
      </c>
      <c r="AD32" s="158">
        <f t="shared" ca="1" si="93"/>
        <v>1983.4493947967649</v>
      </c>
      <c r="AE32" s="158">
        <f t="shared" ca="1" si="93"/>
        <v>3.5063619386139635</v>
      </c>
    </row>
    <row r="33" spans="1:31" s="91" customFormat="1" x14ac:dyDescent="0.25">
      <c r="A33" s="41" t="s">
        <v>2</v>
      </c>
      <c r="B33" s="113">
        <f>IFERROR(AVERAGE('Loan Amortization Schedule'!I18:I29), 0 )</f>
        <v>99206.935499433137</v>
      </c>
      <c r="C33" s="113">
        <f>IFERROR(AVERAGE('Loan Amortization Schedule'!I30:I41),0)</f>
        <v>97690.995468874011</v>
      </c>
      <c r="D33" s="113">
        <f>IFERROR(AVERAGE('Loan Amortization Schedule'!I42:I53),0)</f>
        <v>96097.497069276593</v>
      </c>
      <c r="E33" s="113">
        <f>IFERROR(AVERAGE('Loan Amortization Schedule'!I54:I65),0)</f>
        <v>94422.472267284291</v>
      </c>
      <c r="F33" s="113">
        <f>IFERROR(AVERAGE('Loan Amortization Schedule'!I66:I77),0)</f>
        <v>92661.750017423066</v>
      </c>
      <c r="G33" s="113">
        <f>IFERROR(AVERAGE('Loan Amortization Schedule'!I78:I89),0)</f>
        <v>90810.945875616351</v>
      </c>
      <c r="H33" s="113">
        <f>IFERROR(AVERAGE('Loan Amortization Schedule'!I90:I101),0)</f>
        <v>88865.45108130743</v>
      </c>
      <c r="I33" s="113">
        <f>IFERROR(AVERAGE('Loan Amortization Schedule'!I102:I113),0)</f>
        <v>86820.421081002671</v>
      </c>
      <c r="J33" s="113">
        <f>IFERROR(AVERAGE('Loan Amortization Schedule'!I114:I125),0)</f>
        <v>84670.763464657182</v>
      </c>
      <c r="K33" s="113">
        <f>IFERROR(AVERAGE('Loan Amortization Schedule'!I126:I137),0)</f>
        <v>82411.125284863592</v>
      </c>
      <c r="L33" s="113">
        <f>IFERROR(AVERAGE('Loan Amortization Schedule'!I138:I149),0)</f>
        <v>80035.87972726571</v>
      </c>
      <c r="M33" s="113">
        <f>IFERROR(AVERAGE('Loan Amortization Schedule'!I150:I161),0)</f>
        <v>77539.112099005957</v>
      </c>
      <c r="N33" s="113">
        <f>IFERROR(AVERAGE('Loan Amortization Schedule'!I162:I173),0)</f>
        <v>74914.605100314788</v>
      </c>
      <c r="O33" s="113">
        <f>IFERROR(AVERAGE('Loan Amortization Schedule'!I174:I185),0)</f>
        <v>72155.823342566684</v>
      </c>
      <c r="P33" s="113">
        <f>IFERROR(AVERAGE('Loan Amortization Schedule'!I186:I197),0)</f>
        <v>69255.897074250679</v>
      </c>
      <c r="Q33" s="113">
        <f>IFERROR(AVERAGE('Loan Amortization Schedule'!I198:I209),0)</f>
        <v>66207.60507433051</v>
      </c>
      <c r="R33" s="113">
        <f>IFERROR(AVERAGE('Loan Amortization Schedule'!I210:I221),0)</f>
        <v>63003.356670396752</v>
      </c>
      <c r="S33" s="113">
        <f>IFERROR(AVERAGE('Loan Amortization Schedule'!I222:I233),0)</f>
        <v>59635.172836833197</v>
      </c>
      <c r="T33" s="113">
        <f>IFERROR(AVERAGE('Loan Amortization Schedule'!I234:I245),0)</f>
        <v>56094.66632592996</v>
      </c>
      <c r="U33" s="113">
        <f>IFERROR(AVERAGE('Loan Amortization Schedule'!I246:I257),0)</f>
        <v>52373.020782466287</v>
      </c>
      <c r="V33" s="113">
        <f>IFERROR(AVERAGE('Loan Amortization Schedule'!I258:I269),0)</f>
        <v>48460.96878975592</v>
      </c>
      <c r="W33" s="113">
        <f>IFERROR(AVERAGE('Loan Amortization Schedule'!I270:I281),0)</f>
        <v>44348.768792486459</v>
      </c>
      <c r="X33" s="113">
        <f>IFERROR(AVERAGE('Loan Amortization Schedule'!I282:I293),0)</f>
        <v>40026.180838887441</v>
      </c>
      <c r="Y33" s="113">
        <f>IFERROR(AVERAGE('Loan Amortization Schedule'!I294:I305),0)</f>
        <v>35482.441081821584</v>
      </c>
      <c r="Z33" s="113">
        <f>IFERROR(AVERAGE('Loan Amortization Schedule'!I306:I317),0)</f>
        <v>30706.234975303552</v>
      </c>
      <c r="AA33" s="113">
        <f>IFERROR(AVERAGE('Loan Amortization Schedule'!I318:I329),0)</f>
        <v>25685.669099701743</v>
      </c>
      <c r="AB33" s="113">
        <f>IFERROR(AVERAGE('Loan Amortization Schedule'!I330:I341),0)</f>
        <v>20408.241545463869</v>
      </c>
      <c r="AC33" s="113">
        <f>IFERROR(AVERAGE('Loan Amortization Schedule'!I342:I353),0)</f>
        <v>14860.810781617831</v>
      </c>
      <c r="AD33" s="113">
        <f>IFERROR(AVERAGE('Loan Amortization Schedule'!I354:I365),0)</f>
        <v>9029.5629315259212</v>
      </c>
      <c r="AE33" s="114">
        <f>IFERROR(AVERAGE('Loan Amortization Schedule'!I366:I377),0)</f>
        <v>2899.9773744045292</v>
      </c>
    </row>
    <row r="34" spans="1:31" x14ac:dyDescent="0.25">
      <c r="A34" s="41" t="s">
        <v>1</v>
      </c>
      <c r="B34" s="113">
        <f>(Input!D4+Input!D15+(Input!D4+Input!D15-B10))/2</f>
        <v>123400</v>
      </c>
      <c r="C34" s="113">
        <f t="shared" ref="C34:AE34" si="94">(B34+(B34-C10))/2</f>
        <v>121300</v>
      </c>
      <c r="D34" s="113">
        <f t="shared" si="94"/>
        <v>119200</v>
      </c>
      <c r="E34" s="113">
        <f t="shared" si="94"/>
        <v>117100</v>
      </c>
      <c r="F34" s="113">
        <f t="shared" si="94"/>
        <v>115000</v>
      </c>
      <c r="G34" s="113">
        <f t="shared" si="94"/>
        <v>112900</v>
      </c>
      <c r="H34" s="113">
        <f t="shared" si="94"/>
        <v>110800</v>
      </c>
      <c r="I34" s="113">
        <f t="shared" si="94"/>
        <v>108700</v>
      </c>
      <c r="J34" s="113">
        <f t="shared" si="94"/>
        <v>106600</v>
      </c>
      <c r="K34" s="113">
        <f t="shared" si="94"/>
        <v>104500</v>
      </c>
      <c r="L34" s="113">
        <f t="shared" si="94"/>
        <v>102400</v>
      </c>
      <c r="M34" s="113">
        <f t="shared" si="94"/>
        <v>100300</v>
      </c>
      <c r="N34" s="113">
        <f t="shared" si="94"/>
        <v>98200</v>
      </c>
      <c r="O34" s="113">
        <f t="shared" si="94"/>
        <v>96100</v>
      </c>
      <c r="P34" s="113">
        <f t="shared" si="94"/>
        <v>94000</v>
      </c>
      <c r="Q34" s="113">
        <f t="shared" si="94"/>
        <v>91900</v>
      </c>
      <c r="R34" s="113">
        <f t="shared" si="94"/>
        <v>89800</v>
      </c>
      <c r="S34" s="113">
        <f t="shared" si="94"/>
        <v>87700</v>
      </c>
      <c r="T34" s="113">
        <f t="shared" si="94"/>
        <v>85600</v>
      </c>
      <c r="U34" s="113">
        <f t="shared" si="94"/>
        <v>83500</v>
      </c>
      <c r="V34" s="113">
        <f t="shared" si="94"/>
        <v>81400</v>
      </c>
      <c r="W34" s="113">
        <f t="shared" si="94"/>
        <v>79300</v>
      </c>
      <c r="X34" s="113">
        <f t="shared" si="94"/>
        <v>77200</v>
      </c>
      <c r="Y34" s="113">
        <f t="shared" si="94"/>
        <v>75100</v>
      </c>
      <c r="Z34" s="113">
        <f t="shared" si="94"/>
        <v>73000</v>
      </c>
      <c r="AA34" s="113">
        <f t="shared" si="94"/>
        <v>70900</v>
      </c>
      <c r="AB34" s="113">
        <f t="shared" si="94"/>
        <v>68800</v>
      </c>
      <c r="AC34" s="113">
        <f t="shared" si="94"/>
        <v>67750</v>
      </c>
      <c r="AD34" s="113">
        <f t="shared" si="94"/>
        <v>67750</v>
      </c>
      <c r="AE34" s="114">
        <f t="shared" si="94"/>
        <v>67750</v>
      </c>
    </row>
    <row r="35" spans="1:31" x14ac:dyDescent="0.25">
      <c r="A35" s="42" t="s">
        <v>0</v>
      </c>
      <c r="B35" s="43">
        <f>IF(B33/B34&gt;1,1,B33/B34)</f>
        <v>0.80394599270205136</v>
      </c>
      <c r="C35" s="43">
        <f>IF(C33/C34&gt;1,1,C33/C34)</f>
        <v>0.80536682167249807</v>
      </c>
      <c r="D35" s="43">
        <f t="shared" ref="D35:AE35" si="95">IF(D33/D34&gt;1,1,D33/D34)</f>
        <v>0.80618705595030704</v>
      </c>
      <c r="E35" s="43">
        <f t="shared" si="95"/>
        <v>0.80634049758568993</v>
      </c>
      <c r="F35" s="43">
        <f t="shared" si="95"/>
        <v>0.80575434797759193</v>
      </c>
      <c r="G35" s="43">
        <f t="shared" si="95"/>
        <v>0.80434850199837338</v>
      </c>
      <c r="H35" s="43">
        <f t="shared" si="95"/>
        <v>0.80203475705151106</v>
      </c>
      <c r="I35" s="43">
        <f t="shared" si="95"/>
        <v>0.79871592530821223</v>
      </c>
      <c r="J35" s="43">
        <f t="shared" si="95"/>
        <v>0.79428483550335072</v>
      </c>
      <c r="K35" s="43">
        <f t="shared" si="95"/>
        <v>0.78862320846759415</v>
      </c>
      <c r="L35" s="43">
        <f t="shared" si="95"/>
        <v>0.78160038796157916</v>
      </c>
      <c r="M35" s="43">
        <f t="shared" si="95"/>
        <v>0.77307190527423686</v>
      </c>
      <c r="N35" s="43">
        <f t="shared" si="95"/>
        <v>0.76287785234536443</v>
      </c>
      <c r="O35" s="43">
        <f t="shared" si="95"/>
        <v>0.75084103374158884</v>
      </c>
      <c r="P35" s="43">
        <f t="shared" si="95"/>
        <v>0.73676486249202855</v>
      </c>
      <c r="Q35" s="43">
        <f t="shared" si="95"/>
        <v>0.72043095837138749</v>
      </c>
      <c r="R35" s="43">
        <f t="shared" si="95"/>
        <v>0.70159639944762531</v>
      </c>
      <c r="S35" s="43">
        <f t="shared" si="95"/>
        <v>0.67999056826491677</v>
      </c>
      <c r="T35" s="43">
        <f t="shared" si="95"/>
        <v>0.65531152249918179</v>
      </c>
      <c r="U35" s="43">
        <f t="shared" si="95"/>
        <v>0.62722180577803932</v>
      </c>
      <c r="V35" s="43">
        <f t="shared" si="95"/>
        <v>0.59534359692574845</v>
      </c>
      <c r="W35" s="43">
        <f t="shared" si="95"/>
        <v>0.55925307430626048</v>
      </c>
      <c r="X35" s="43">
        <f t="shared" si="95"/>
        <v>0.51847384506330885</v>
      </c>
      <c r="Y35" s="43">
        <f t="shared" si="95"/>
        <v>0.47246925541706503</v>
      </c>
      <c r="Z35" s="43">
        <f t="shared" si="95"/>
        <v>0.42063335582607608</v>
      </c>
      <c r="AA35" s="43">
        <f t="shared" si="95"/>
        <v>0.36228024118056057</v>
      </c>
      <c r="AB35" s="43">
        <f t="shared" si="95"/>
        <v>0.29663141781197483</v>
      </c>
      <c r="AC35" s="43">
        <f t="shared" si="95"/>
        <v>0.21934776061428532</v>
      </c>
      <c r="AD35" s="43">
        <f t="shared" si="95"/>
        <v>0.13327768164613907</v>
      </c>
      <c r="AE35" s="43">
        <f t="shared" si="95"/>
        <v>4.2804094087151724E-2</v>
      </c>
    </row>
    <row r="36" spans="1:31" ht="15.75" thickBot="1" x14ac:dyDescent="0.3">
      <c r="A36" s="44" t="s">
        <v>77</v>
      </c>
      <c r="B36" s="45">
        <f ca="1">IF(B32&lt;Reference!$C$10, B32*Reference!$D$10, IF(B32&lt;Reference!$C$11, Reference!$E$10+(B32-Reference!$B$11)*Reference!$D$11, IF(B32&lt;Reference!$C$12, Reference!$E$11+(B32-Reference!$B$12)*Reference!$D$12, IF(B32&lt;Reference!$C$13, Reference!$E$12+(B32-Reference!$B$13)*Reference!$D$13, IF(B32&gt;=Reference!$B$14, Reference!$E$13+(B32-Reference!$B$14)*Reference!$D$14)))))</f>
        <v>0</v>
      </c>
      <c r="C36" s="45">
        <f ca="1">IF(C32&lt;Reference!$C$10, C32*Reference!$D$10, IF(C32&lt;Reference!$C$11, Reference!$E$10+(C32-Reference!$B$11)*Reference!$D$11, IF(C32&lt;Reference!$C$12, Reference!$E$11+(C32-Reference!$B$12)*Reference!$D$12, IF(C32&lt;Reference!$C$13, Reference!$E$12+(C32-Reference!$B$13)*Reference!$D$13, IF(C32&gt;=Reference!$B$14, Reference!$E$13+(C32-Reference!$B$14)*Reference!$D$14)))))</f>
        <v>0</v>
      </c>
      <c r="D36" s="45">
        <f ca="1">IF(D32&lt;Reference!$C$10, D32*Reference!$D$10, IF(D32&lt;Reference!$C$11, Reference!$E$10+(D32-Reference!$B$11)*Reference!$D$11, IF(D32&lt;Reference!$C$12, Reference!$E$11+(D32-Reference!$B$12)*Reference!$D$12, IF(D32&lt;Reference!$C$13, Reference!$E$12+(D32-Reference!$B$13)*Reference!$D$13, IF(D32&gt;=Reference!$B$14, Reference!$E$13+(D32-Reference!$B$14)*Reference!$D$14)))))</f>
        <v>0</v>
      </c>
      <c r="E36" s="45">
        <f ca="1">IF(E32&lt;Reference!$C$10, E32*Reference!$D$10, IF(E32&lt;Reference!$C$11, Reference!$E$10+(E32-Reference!$B$11)*Reference!$D$11, IF(E32&lt;Reference!$C$12, Reference!$E$11+(E32-Reference!$B$12)*Reference!$D$12, IF(E32&lt;Reference!$C$13, Reference!$E$12+(E32-Reference!$B$13)*Reference!$D$13, IF(E32&gt;=Reference!$B$14, Reference!$E$13+(E32-Reference!$B$14)*Reference!$D$14)))))</f>
        <v>0</v>
      </c>
      <c r="F36" s="45">
        <f ca="1">IF(F32&lt;Reference!$C$10, F32*Reference!$D$10, IF(F32&lt;Reference!$C$11, Reference!$E$10+(F32-Reference!$B$11)*Reference!$D$11, IF(F32&lt;Reference!$C$12, Reference!$E$11+(F32-Reference!$B$12)*Reference!$D$12, IF(F32&lt;Reference!$C$13, Reference!$E$12+(F32-Reference!$B$13)*Reference!$D$13, IF(F32&gt;=Reference!$B$14, Reference!$E$13+(F32-Reference!$B$14)*Reference!$D$14)))))</f>
        <v>34.257806291256735</v>
      </c>
      <c r="G36" s="45">
        <f ca="1">IF(G32&lt;Reference!$C$10, G32*Reference!$D$10, IF(G32&lt;Reference!$C$11, Reference!$E$10+(G32-Reference!$B$11)*Reference!$D$11, IF(G32&lt;Reference!$C$12, Reference!$E$11+(G32-Reference!$B$12)*Reference!$D$12, IF(G32&lt;Reference!$C$13, Reference!$E$12+(G32-Reference!$B$13)*Reference!$D$13, IF(G32&gt;=Reference!$B$14, Reference!$E$13+(G32-Reference!$B$14)*Reference!$D$14)))))</f>
        <v>87.665715921575227</v>
      </c>
      <c r="H36" s="45">
        <f ca="1">IF(H32&lt;Reference!$C$10, H32*Reference!$D$10, IF(H32&lt;Reference!$C$11, Reference!$E$10+(H32-Reference!$B$11)*Reference!$D$11, IF(H32&lt;Reference!$C$12, Reference!$E$11+(H32-Reference!$B$12)*Reference!$D$12, IF(H32&lt;Reference!$C$13, Reference!$E$12+(H32-Reference!$B$13)*Reference!$D$13, IF(H32&gt;=Reference!$B$14, Reference!$E$13+(H32-Reference!$B$14)*Reference!$D$14)))))</f>
        <v>142.50033732931254</v>
      </c>
      <c r="I36" s="45">
        <f ca="1">IF(I32&lt;Reference!$C$10, I32*Reference!$D$10, IF(I32&lt;Reference!$C$11, Reference!$E$10+(I32-Reference!$B$11)*Reference!$D$11, IF(I32&lt;Reference!$C$12, Reference!$E$11+(I32-Reference!$B$12)*Reference!$D$12, IF(I32&lt;Reference!$C$13, Reference!$E$12+(I32-Reference!$B$13)*Reference!$D$13, IF(I32&gt;=Reference!$B$14, Reference!$E$13+(I32-Reference!$B$14)*Reference!$D$14)))))</f>
        <v>198.58594343853255</v>
      </c>
      <c r="J36" s="45">
        <f ca="1">IF(J32&lt;Reference!$C$10, J32*Reference!$D$10, IF(J32&lt;Reference!$C$11, Reference!$E$10+(J32-Reference!$B$11)*Reference!$D$11, IF(J32&lt;Reference!$C$12, Reference!$E$11+(J32-Reference!$B$12)*Reference!$D$12, IF(J32&lt;Reference!$C$13, Reference!$E$12+(J32-Reference!$B$13)*Reference!$D$13, IF(J32&gt;=Reference!$B$14, Reference!$E$13+(J32-Reference!$B$14)*Reference!$D$14)))))</f>
        <v>255.70091668484213</v>
      </c>
      <c r="K36" s="45">
        <f ca="1">IF(K32&lt;Reference!$C$10, K32*Reference!$D$10, IF(K32&lt;Reference!$C$11, Reference!$E$10+(K32-Reference!$B$11)*Reference!$D$11, IF(K32&lt;Reference!$C$12, Reference!$E$11+(K32-Reference!$B$12)*Reference!$D$12, IF(K32&lt;Reference!$C$13, Reference!$E$12+(K32-Reference!$B$13)*Reference!$D$13, IF(K32&gt;=Reference!$B$14, Reference!$E$13+(K32-Reference!$B$14)*Reference!$D$14)))))</f>
        <v>313.56982130199799</v>
      </c>
      <c r="L36" s="45">
        <f ca="1">IF(L32&lt;Reference!$C$10, L32*Reference!$D$10, IF(L32&lt;Reference!$C$11, Reference!$E$10+(L32-Reference!$B$11)*Reference!$D$11, IF(L32&lt;Reference!$C$12, Reference!$E$11+(L32-Reference!$B$12)*Reference!$D$12, IF(L32&lt;Reference!$C$13, Reference!$E$12+(L32-Reference!$B$13)*Reference!$D$13, IF(L32&gt;=Reference!$B$14, Reference!$E$13+(L32-Reference!$B$14)*Reference!$D$14)))))</f>
        <v>371.85417523337185</v>
      </c>
      <c r="M36" s="45">
        <f ca="1">IF(M32&lt;Reference!$C$10, M32*Reference!$D$10, IF(M32&lt;Reference!$C$11, Reference!$E$10+(M32-Reference!$B$11)*Reference!$D$11, IF(M32&lt;Reference!$C$12, Reference!$E$11+(M32-Reference!$B$12)*Reference!$D$12, IF(M32&lt;Reference!$C$13, Reference!$E$12+(M32-Reference!$B$13)*Reference!$D$13, IF(M32&gt;=Reference!$B$14, Reference!$E$13+(M32-Reference!$B$14)*Reference!$D$14)))))</f>
        <v>461.90283298851159</v>
      </c>
      <c r="N36" s="45">
        <f ca="1">IF(N32&lt;Reference!$C$10, N32*Reference!$D$10, IF(N32&lt;Reference!$C$11, Reference!$E$10+(N32-Reference!$B$11)*Reference!$D$11, IF(N32&lt;Reference!$C$12, Reference!$E$11+(N32-Reference!$B$12)*Reference!$D$12, IF(N32&lt;Reference!$C$13, Reference!$E$12+(N32-Reference!$B$13)*Reference!$D$13, IF(N32&gt;=Reference!$B$14, Reference!$E$13+(N32-Reference!$B$14)*Reference!$D$14)))))</f>
        <v>558.22297372432172</v>
      </c>
      <c r="O36" s="45">
        <f ca="1">IF(O32&lt;Reference!$C$10, O32*Reference!$D$10, IF(O32&lt;Reference!$C$11, Reference!$E$10+(O32-Reference!$B$11)*Reference!$D$11, IF(O32&lt;Reference!$C$12, Reference!$E$11+(O32-Reference!$B$12)*Reference!$D$12, IF(O32&lt;Reference!$C$13, Reference!$E$12+(O32-Reference!$B$13)*Reference!$D$13, IF(O32&gt;=Reference!$B$14, Reference!$E$13+(O32-Reference!$B$14)*Reference!$D$14)))))</f>
        <v>652.71808844779457</v>
      </c>
      <c r="P36" s="45">
        <f ca="1">IF(P32&lt;Reference!$C$10, P32*Reference!$D$10, IF(P32&lt;Reference!$C$11, Reference!$E$10+(P32-Reference!$B$11)*Reference!$D$11, IF(P32&lt;Reference!$C$12, Reference!$E$11+(P32-Reference!$B$12)*Reference!$D$12, IF(P32&lt;Reference!$C$13, Reference!$E$12+(P32-Reference!$B$13)*Reference!$D$13, IF(P32&gt;=Reference!$B$14, Reference!$E$13+(P32-Reference!$B$14)*Reference!$D$14)))))</f>
        <v>744.19210736265677</v>
      </c>
      <c r="Q36" s="45">
        <f ca="1">IF(Q32&lt;Reference!$C$10, Q32*Reference!$D$10, IF(Q32&lt;Reference!$C$11, Reference!$E$10+(Q32-Reference!$B$11)*Reference!$D$11, IF(Q32&lt;Reference!$C$12, Reference!$E$11+(Q32-Reference!$B$12)*Reference!$D$12, IF(Q32&lt;Reference!$C$13, Reference!$E$12+(Q32-Reference!$B$13)*Reference!$D$13, IF(Q32&gt;=Reference!$B$14, Reference!$E$13+(Q32-Reference!$B$14)*Reference!$D$14)))))</f>
        <v>831.2188258679389</v>
      </c>
      <c r="R36" s="45">
        <f ca="1">IF(R32&lt;Reference!$C$10, R32*Reference!$D$10, IF(R32&lt;Reference!$C$11, Reference!$E$10+(R32-Reference!$B$11)*Reference!$D$11, IF(R32&lt;Reference!$C$12, Reference!$E$11+(R32-Reference!$B$12)*Reference!$D$12, IF(R32&lt;Reference!$C$13, Reference!$E$12+(R32-Reference!$B$13)*Reference!$D$13, IF(R32&gt;=Reference!$B$14, Reference!$E$13+(R32-Reference!$B$14)*Reference!$D$14)))))</f>
        <v>912.10280623337076</v>
      </c>
      <c r="S36" s="45">
        <f ca="1">IF(S32&lt;Reference!$C$10, S32*Reference!$D$10, IF(S32&lt;Reference!$C$11, Reference!$E$10+(S32-Reference!$B$11)*Reference!$D$11, IF(S32&lt;Reference!$C$12, Reference!$E$11+(S32-Reference!$B$12)*Reference!$D$12, IF(S32&lt;Reference!$C$13, Reference!$E$12+(S32-Reference!$B$13)*Reference!$D$13, IF(S32&gt;=Reference!$B$14, Reference!$E$13+(S32-Reference!$B$14)*Reference!$D$14)))))</f>
        <v>984.83347378225494</v>
      </c>
      <c r="T36" s="45">
        <f ca="1">IF(T32&lt;Reference!$C$10, T32*Reference!$D$10, IF(T32&lt;Reference!$C$11, Reference!$E$10+(T32-Reference!$B$11)*Reference!$D$11, IF(T32&lt;Reference!$C$12, Reference!$E$11+(T32-Reference!$B$12)*Reference!$D$12, IF(T32&lt;Reference!$C$13, Reference!$E$12+(T32-Reference!$B$13)*Reference!$D$13, IF(T32&gt;=Reference!$B$14, Reference!$E$13+(T32-Reference!$B$14)*Reference!$D$14)))))</f>
        <v>1047.0311240659412</v>
      </c>
      <c r="U36" s="45">
        <f ca="1">IF(U32&lt;Reference!$C$10, U32*Reference!$D$10, IF(U32&lt;Reference!$C$11, Reference!$E$10+(U32-Reference!$B$11)*Reference!$D$11, IF(U32&lt;Reference!$C$12, Reference!$E$11+(U32-Reference!$B$12)*Reference!$D$12, IF(U32&lt;Reference!$C$13, Reference!$E$12+(U32-Reference!$B$13)*Reference!$D$13, IF(U32&gt;=Reference!$B$14, Reference!$E$13+(U32-Reference!$B$14)*Reference!$D$14)))))</f>
        <v>1095.883288153329</v>
      </c>
      <c r="V36" s="45">
        <f ca="1">IF(V32&lt;Reference!$C$10, V32*Reference!$D$10, IF(V32&lt;Reference!$C$11, Reference!$E$10+(V32-Reference!$B$11)*Reference!$D$11, IF(V32&lt;Reference!$C$12, Reference!$E$11+(V32-Reference!$B$12)*Reference!$D$12, IF(V32&lt;Reference!$C$13, Reference!$E$12+(V32-Reference!$B$13)*Reference!$D$13, IF(V32&gt;=Reference!$B$14, Reference!$E$13+(V32-Reference!$B$14)*Reference!$D$14)))))</f>
        <v>1128.0695701710074</v>
      </c>
      <c r="W36" s="45">
        <f ca="1">IF(W32&lt;Reference!$C$10, W32*Reference!$D$10, IF(W32&lt;Reference!$C$11, Reference!$E$10+(W32-Reference!$B$11)*Reference!$D$11, IF(W32&lt;Reference!$C$12, Reference!$E$11+(W32-Reference!$B$12)*Reference!$D$12, IF(W32&lt;Reference!$C$13, Reference!$E$12+(W32-Reference!$B$13)*Reference!$D$13, IF(W32&gt;=Reference!$B$14, Reference!$E$13+(W32-Reference!$B$14)*Reference!$D$14)))))</f>
        <v>1139.672657658157</v>
      </c>
      <c r="X36" s="45">
        <f ca="1">IF(X32&lt;Reference!$C$10, X32*Reference!$D$10, IF(X32&lt;Reference!$C$11, Reference!$E$10+(X32-Reference!$B$11)*Reference!$D$11, IF(X32&lt;Reference!$C$12, Reference!$E$11+(X32-Reference!$B$12)*Reference!$D$12, IF(X32&lt;Reference!$C$13, Reference!$E$12+(X32-Reference!$B$13)*Reference!$D$13, IF(X32&gt;=Reference!$B$14, Reference!$E$13+(X32-Reference!$B$14)*Reference!$D$14)))))</f>
        <v>1126.0726891043278</v>
      </c>
      <c r="Y36" s="45">
        <f ca="1">IF(Y32&lt;Reference!$C$10, Y32*Reference!$D$10, IF(Y32&lt;Reference!$C$11, Reference!$E$10+(Y32-Reference!$B$11)*Reference!$D$11, IF(Y32&lt;Reference!$C$12, Reference!$E$11+(Y32-Reference!$B$12)*Reference!$D$12, IF(Y32&lt;Reference!$C$13, Reference!$E$12+(Y32-Reference!$B$13)*Reference!$D$13, IF(Y32&gt;=Reference!$B$14, Reference!$E$13+(Y32-Reference!$B$14)*Reference!$D$14)))))</f>
        <v>1081.8215153849783</v>
      </c>
      <c r="Z36" s="45">
        <f ca="1">IF(Z32&lt;Reference!$C$10, Z32*Reference!$D$10, IF(Z32&lt;Reference!$C$11, Reference!$E$10+(Z32-Reference!$B$11)*Reference!$D$11, IF(Z32&lt;Reference!$C$12, Reference!$E$11+(Z32-Reference!$B$12)*Reference!$D$12, IF(Z32&lt;Reference!$C$13, Reference!$E$12+(Z32-Reference!$B$13)*Reference!$D$13, IF(Z32&gt;=Reference!$B$14, Reference!$E$13+(Z32-Reference!$B$14)*Reference!$D$14)))))</f>
        <v>1000.4925747295763</v>
      </c>
      <c r="AA36" s="45">
        <f ca="1">IF(AA32&lt;Reference!$C$10, AA32*Reference!$D$10, IF(AA32&lt;Reference!$C$11, Reference!$E$10+(AA32-Reference!$B$11)*Reference!$D$11, IF(AA32&lt;Reference!$C$12, Reference!$E$11+(AA32-Reference!$B$12)*Reference!$D$12, IF(AA32&lt;Reference!$C$13, Reference!$E$12+(AA32-Reference!$B$13)*Reference!$D$13, IF(AA32&gt;=Reference!$B$14, Reference!$E$13+(AA32-Reference!$B$14)*Reference!$D$14)))))</f>
        <v>874.50106399368178</v>
      </c>
      <c r="AB36" s="45">
        <f ca="1">IF(AB32&lt;Reference!$C$10, AB32*Reference!$D$10, IF(AB32&lt;Reference!$C$11, Reference!$E$10+(AB32-Reference!$B$11)*Reference!$D$11, IF(AB32&lt;Reference!$C$12, Reference!$E$11+(AB32-Reference!$B$12)*Reference!$D$12, IF(AB32&lt;Reference!$C$13, Reference!$E$12+(AB32-Reference!$B$13)*Reference!$D$13, IF(AB32&gt;=Reference!$B$14, Reference!$E$13+(AB32-Reference!$B$14)*Reference!$D$14)))))</f>
        <v>694.88776507891021</v>
      </c>
      <c r="AC36" s="45">
        <f ca="1">IF(AC32&lt;Reference!$C$10, AC32*Reference!$D$10, IF(AC32&lt;Reference!$C$11, Reference!$E$10+(AC32-Reference!$B$11)*Reference!$D$11, IF(AC32&lt;Reference!$C$12, Reference!$E$11+(AC32-Reference!$B$12)*Reference!$D$12, IF(AC32&lt;Reference!$C$13, Reference!$E$12+(AC32-Reference!$B$13)*Reference!$D$13, IF(AC32&gt;=Reference!$B$14, Reference!$E$13+(AC32-Reference!$B$14)*Reference!$D$14)))))</f>
        <v>551.39862017038763</v>
      </c>
      <c r="AD36" s="45">
        <f ca="1">IF(AD32&lt;Reference!$C$10, AD32*Reference!$D$10, IF(AD32&lt;Reference!$C$11, Reference!$E$10+(AD32-Reference!$B$11)*Reference!$D$11, IF(AD32&lt;Reference!$C$12, Reference!$E$11+(AD32-Reference!$B$12)*Reference!$D$12, IF(AD32&lt;Reference!$C$13, Reference!$E$12+(AD32-Reference!$B$13)*Reference!$D$13, IF(AD32&gt;=Reference!$B$14, Reference!$E$13+(AD32-Reference!$B$14)*Reference!$D$14)))))</f>
        <v>297.51740921951472</v>
      </c>
      <c r="AE36" s="46">
        <f ca="1">IF(AE32&lt;Reference!$C$10, AE32*Reference!$D$10, IF(AE32&lt;Reference!$C$11, Reference!$E$10+(AE32-Reference!$B$11)*Reference!$D$11, IF(AE32&lt;Reference!$C$12, Reference!$E$11+(AE32-Reference!$B$12)*Reference!$D$12, IF(AE32&lt;Reference!$C$13, Reference!$E$12+(AE32-Reference!$B$13)*Reference!$D$13, IF(AE32&gt;=Reference!$B$14, Reference!$E$13+(AE32-Reference!$B$14)*Reference!$D$14)))))</f>
        <v>0.52595429079209455</v>
      </c>
    </row>
    <row r="37" spans="1:31" x14ac:dyDescent="0.25">
      <c r="G37" s="184"/>
      <c r="H37" s="184"/>
      <c r="I37" s="184"/>
      <c r="J37" s="184"/>
    </row>
    <row r="38" spans="1:31" s="97" customFormat="1" x14ac:dyDescent="0.25">
      <c r="A38" s="95" t="s">
        <v>106</v>
      </c>
      <c r="B38" s="96">
        <v>20</v>
      </c>
      <c r="J38" s="98"/>
    </row>
    <row r="39" spans="1:31" x14ac:dyDescent="0.25">
      <c r="A39" s="32"/>
      <c r="B39" s="47"/>
      <c r="J39" s="8"/>
      <c r="V39" s="12"/>
    </row>
    <row r="40" spans="1:31" x14ac:dyDescent="0.25">
      <c r="A40" s="32"/>
      <c r="B40" s="4"/>
      <c r="J40" s="8"/>
    </row>
    <row r="41" spans="1:31" x14ac:dyDescent="0.25">
      <c r="A41" s="32"/>
      <c r="B41" s="14"/>
      <c r="J41" s="8"/>
    </row>
    <row r="42" spans="1:31" x14ac:dyDescent="0.25">
      <c r="A42" s="32"/>
      <c r="B42" s="14"/>
      <c r="C42" s="3"/>
      <c r="J42" s="10"/>
    </row>
    <row r="43" spans="1:31" x14ac:dyDescent="0.25">
      <c r="A43" s="32"/>
      <c r="B43" s="4"/>
      <c r="J43" s="10"/>
    </row>
    <row r="44" spans="1:31" x14ac:dyDescent="0.25">
      <c r="A44" s="32"/>
      <c r="B44" s="4"/>
      <c r="G44" s="184"/>
      <c r="H44" s="184"/>
      <c r="I44" s="184"/>
      <c r="J44" s="184"/>
    </row>
    <row r="45" spans="1:31" x14ac:dyDescent="0.25">
      <c r="A45" s="32"/>
      <c r="B45" s="5"/>
      <c r="G45" s="2"/>
      <c r="H45" s="2"/>
      <c r="I45" s="1"/>
      <c r="J45" s="8"/>
    </row>
    <row r="46" spans="1:31" x14ac:dyDescent="0.25">
      <c r="A46" s="32"/>
      <c r="B46" s="48"/>
      <c r="G46" s="2"/>
      <c r="H46" s="2"/>
      <c r="I46" s="1"/>
      <c r="J46" s="8"/>
    </row>
    <row r="47" spans="1:31" x14ac:dyDescent="0.25">
      <c r="A47" s="10"/>
      <c r="B47" s="10"/>
      <c r="G47" s="2"/>
      <c r="H47" s="2"/>
      <c r="I47" s="1"/>
      <c r="J47" s="8"/>
    </row>
    <row r="48" spans="1:31" x14ac:dyDescent="0.25">
      <c r="G48" s="2"/>
      <c r="H48" s="2"/>
      <c r="I48" s="1"/>
      <c r="J48" s="8"/>
    </row>
  </sheetData>
  <mergeCells count="2">
    <mergeCell ref="G44:J44"/>
    <mergeCell ref="G37:J37"/>
  </mergeCells>
  <conditionalFormatting sqref="B19:AE34">
    <cfRule type="cellIs" dxfId="0" priority="1" operator="less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7"/>
  <sheetViews>
    <sheetView tabSelected="1" workbookViewId="0">
      <selection activeCell="D29" sqref="D29"/>
    </sheetView>
  </sheetViews>
  <sheetFormatPr defaultRowHeight="15" x14ac:dyDescent="0.25"/>
  <cols>
    <col min="1" max="1" width="10.5703125" customWidth="1"/>
    <col min="2" max="2" width="11.7109375" customWidth="1"/>
    <col min="3" max="3" width="16.7109375" customWidth="1"/>
    <col min="4" max="5" width="11.7109375" customWidth="1"/>
    <col min="6" max="6" width="11.42578125" customWidth="1"/>
    <col min="8" max="8" width="11.5703125" customWidth="1"/>
    <col min="9" max="18" width="12.7109375" customWidth="1"/>
  </cols>
  <sheetData>
    <row r="1" spans="1:20" ht="15.75" thickBot="1" x14ac:dyDescent="0.3">
      <c r="A1" s="25"/>
      <c r="F1" s="21"/>
      <c r="G1" s="21"/>
      <c r="H1" s="21"/>
      <c r="I1" s="26"/>
      <c r="J1" s="21"/>
      <c r="K1" s="27"/>
      <c r="L1" s="21"/>
    </row>
    <row r="2" spans="1:20" ht="15.75" thickBot="1" x14ac:dyDescent="0.3">
      <c r="A2" s="24"/>
      <c r="B2" s="208" t="s">
        <v>16</v>
      </c>
      <c r="C2" s="209"/>
      <c r="D2" s="209"/>
      <c r="E2" s="210"/>
      <c r="F2" s="21"/>
      <c r="G2" s="232"/>
      <c r="H2" s="233"/>
      <c r="I2" s="62" t="s">
        <v>32</v>
      </c>
      <c r="J2" s="62" t="s">
        <v>33</v>
      </c>
      <c r="K2" s="62" t="s">
        <v>34</v>
      </c>
      <c r="L2" s="62" t="s">
        <v>35</v>
      </c>
      <c r="M2" s="62" t="s">
        <v>36</v>
      </c>
      <c r="N2" s="62" t="s">
        <v>37</v>
      </c>
      <c r="O2" s="62" t="s">
        <v>38</v>
      </c>
      <c r="P2" s="62" t="s">
        <v>39</v>
      </c>
      <c r="Q2" s="62" t="s">
        <v>40</v>
      </c>
      <c r="R2" s="63" t="s">
        <v>41</v>
      </c>
      <c r="S2" s="240" t="s">
        <v>82</v>
      </c>
      <c r="T2" s="241"/>
    </row>
    <row r="3" spans="1:20" x14ac:dyDescent="0.25">
      <c r="A3" s="24"/>
      <c r="B3" s="185" t="s">
        <v>80</v>
      </c>
      <c r="C3" s="186"/>
      <c r="D3" s="211">
        <v>115000</v>
      </c>
      <c r="E3" s="212"/>
      <c r="F3" s="28"/>
      <c r="G3" s="234" t="s">
        <v>79</v>
      </c>
      <c r="H3" s="235"/>
      <c r="I3" s="78">
        <f ca="1">Data!B36</f>
        <v>0</v>
      </c>
      <c r="J3" s="78">
        <f ca="1">Data!C36</f>
        <v>0</v>
      </c>
      <c r="K3" s="78">
        <f ca="1">Data!D36</f>
        <v>0</v>
      </c>
      <c r="L3" s="78">
        <f ca="1">Data!E36</f>
        <v>0</v>
      </c>
      <c r="M3" s="78">
        <f ca="1">Data!F36</f>
        <v>34.257806291256735</v>
      </c>
      <c r="N3" s="78">
        <f ca="1">Data!G36</f>
        <v>87.665715921575227</v>
      </c>
      <c r="O3" s="78">
        <f ca="1">Data!H36</f>
        <v>142.50033732931254</v>
      </c>
      <c r="P3" s="78">
        <f ca="1">Data!I36</f>
        <v>198.58594343853255</v>
      </c>
      <c r="Q3" s="78">
        <f ca="1">Data!J36</f>
        <v>255.70091668484213</v>
      </c>
      <c r="R3" s="79">
        <f ca="1">Data!K36</f>
        <v>313.56982130199799</v>
      </c>
      <c r="S3" s="236" t="s">
        <v>83</v>
      </c>
      <c r="T3" s="237"/>
    </row>
    <row r="4" spans="1:20" x14ac:dyDescent="0.25">
      <c r="A4" s="24"/>
      <c r="B4" s="185" t="s">
        <v>17</v>
      </c>
      <c r="C4" s="186"/>
      <c r="D4" s="215">
        <v>125000</v>
      </c>
      <c r="E4" s="216"/>
      <c r="F4" s="21"/>
      <c r="G4" s="234" t="s">
        <v>94</v>
      </c>
      <c r="H4" s="235"/>
      <c r="I4" s="78">
        <f>Data!B15</f>
        <v>1118.1405238543311</v>
      </c>
      <c r="J4" s="78">
        <f>Data!C15</f>
        <v>2928.9405238543295</v>
      </c>
      <c r="K4" s="78">
        <f>Data!D15</f>
        <v>3249.8445238543313</v>
      </c>
      <c r="L4" s="78">
        <f>Data!E15</f>
        <v>3581.1712438543304</v>
      </c>
      <c r="M4" s="78">
        <f>Data!F15</f>
        <v>3923.2492774543316</v>
      </c>
      <c r="N4" s="78">
        <f>Data!G15</f>
        <v>4276.4173943023343</v>
      </c>
      <c r="O4" s="78">
        <f>Data!H15</f>
        <v>4641.0248517405744</v>
      </c>
      <c r="P4" s="78">
        <f>Data!I15</f>
        <v>5017.4317159284592</v>
      </c>
      <c r="Q4" s="78">
        <f>Data!J15</f>
        <v>5406.0091927290068</v>
      </c>
      <c r="R4" s="79">
        <f>Data!K15</f>
        <v>5807.1399686543336</v>
      </c>
      <c r="S4" s="236"/>
      <c r="T4" s="237"/>
    </row>
    <row r="5" spans="1:20" ht="15.75" thickBot="1" x14ac:dyDescent="0.3">
      <c r="A5" s="24"/>
      <c r="B5" s="185" t="s">
        <v>18</v>
      </c>
      <c r="C5" s="186"/>
      <c r="D5" s="228">
        <v>25000</v>
      </c>
      <c r="E5" s="229"/>
      <c r="F5" s="21"/>
      <c r="G5" s="230" t="s">
        <v>95</v>
      </c>
      <c r="H5" s="231"/>
      <c r="I5" s="80">
        <f ca="1">I4-I3</f>
        <v>1118.1405238543311</v>
      </c>
      <c r="J5" s="80">
        <f t="shared" ref="J5:R5" ca="1" si="0">J4-J3</f>
        <v>2928.9405238543295</v>
      </c>
      <c r="K5" s="80">
        <f t="shared" ca="1" si="0"/>
        <v>3249.8445238543313</v>
      </c>
      <c r="L5" s="80">
        <f t="shared" ca="1" si="0"/>
        <v>3581.1712438543304</v>
      </c>
      <c r="M5" s="80">
        <f t="shared" ca="1" si="0"/>
        <v>3888.9914711630749</v>
      </c>
      <c r="N5" s="80">
        <f t="shared" ca="1" si="0"/>
        <v>4188.7516783807587</v>
      </c>
      <c r="O5" s="80">
        <f t="shared" ca="1" si="0"/>
        <v>4498.5245144112614</v>
      </c>
      <c r="P5" s="80">
        <f t="shared" ca="1" si="0"/>
        <v>4818.8457724899263</v>
      </c>
      <c r="Q5" s="80">
        <f t="shared" ca="1" si="0"/>
        <v>5150.3082760441648</v>
      </c>
      <c r="R5" s="81">
        <f t="shared" ca="1" si="0"/>
        <v>5493.5701473523359</v>
      </c>
      <c r="S5" s="238">
        <f ca="1">SUM(I5:R5)</f>
        <v>38917.088675258841</v>
      </c>
      <c r="T5" s="239"/>
    </row>
    <row r="6" spans="1:20" x14ac:dyDescent="0.25">
      <c r="A6" s="24"/>
      <c r="B6" s="195" t="s">
        <v>19</v>
      </c>
      <c r="C6" s="196"/>
      <c r="D6" s="219">
        <f>D4-D5</f>
        <v>100000</v>
      </c>
      <c r="E6" s="202"/>
      <c r="F6" s="21"/>
      <c r="G6" s="230" t="s">
        <v>81</v>
      </c>
      <c r="H6" s="231"/>
      <c r="I6" s="56">
        <f ca="1">I3/I4</f>
        <v>0</v>
      </c>
      <c r="J6" s="56">
        <f t="shared" ref="J6:R6" ca="1" si="1">J3/J4</f>
        <v>0</v>
      </c>
      <c r="K6" s="56">
        <f t="shared" ca="1" si="1"/>
        <v>0</v>
      </c>
      <c r="L6" s="56">
        <f t="shared" ca="1" si="1"/>
        <v>0</v>
      </c>
      <c r="M6" s="56">
        <f t="shared" ca="1" si="1"/>
        <v>8.7319983688330678E-3</v>
      </c>
      <c r="N6" s="56">
        <f t="shared" ca="1" si="1"/>
        <v>2.0499803419183601E-2</v>
      </c>
      <c r="O6" s="56">
        <f t="shared" ca="1" si="1"/>
        <v>3.070449779553951E-2</v>
      </c>
      <c r="P6" s="56">
        <f t="shared" ca="1" si="1"/>
        <v>3.9579202006496041E-2</v>
      </c>
      <c r="Q6" s="56">
        <f t="shared" ca="1" si="1"/>
        <v>4.7299386214280884E-2</v>
      </c>
      <c r="R6" s="57">
        <f t="shared" ca="1" si="1"/>
        <v>5.3997290059233809E-2</v>
      </c>
      <c r="S6" s="10"/>
      <c r="T6" s="10"/>
    </row>
    <row r="7" spans="1:20" ht="15.75" thickBot="1" x14ac:dyDescent="0.3">
      <c r="A7" s="24"/>
      <c r="B7" s="195" t="s">
        <v>20</v>
      </c>
      <c r="C7" s="196"/>
      <c r="D7" s="217">
        <f>D6/D4</f>
        <v>0.8</v>
      </c>
      <c r="E7" s="218"/>
      <c r="F7" s="21"/>
      <c r="G7" s="52"/>
      <c r="H7" s="65"/>
      <c r="I7" s="50"/>
      <c r="J7" s="50"/>
      <c r="K7" s="50"/>
      <c r="L7" s="50"/>
      <c r="M7" s="50"/>
      <c r="N7" s="50"/>
      <c r="O7" s="50"/>
      <c r="P7" s="50"/>
      <c r="Q7" s="50"/>
      <c r="R7" s="51"/>
    </row>
    <row r="8" spans="1:20" x14ac:dyDescent="0.25">
      <c r="A8" s="24"/>
      <c r="B8" s="195" t="s">
        <v>75</v>
      </c>
      <c r="C8" s="196"/>
      <c r="D8" s="219" t="s">
        <v>21</v>
      </c>
      <c r="E8" s="202"/>
      <c r="F8" s="21"/>
      <c r="G8" s="49"/>
      <c r="H8" s="61"/>
      <c r="I8" s="60" t="s">
        <v>42</v>
      </c>
      <c r="J8" s="60" t="s">
        <v>43</v>
      </c>
      <c r="K8" s="60" t="s">
        <v>44</v>
      </c>
      <c r="L8" s="60" t="s">
        <v>45</v>
      </c>
      <c r="M8" s="60" t="s">
        <v>46</v>
      </c>
      <c r="N8" s="60" t="s">
        <v>47</v>
      </c>
      <c r="O8" s="60" t="s">
        <v>48</v>
      </c>
      <c r="P8" s="60" t="s">
        <v>49</v>
      </c>
      <c r="Q8" s="60" t="s">
        <v>50</v>
      </c>
      <c r="R8" s="64" t="s">
        <v>51</v>
      </c>
      <c r="S8" s="240" t="s">
        <v>82</v>
      </c>
      <c r="T8" s="241"/>
    </row>
    <row r="9" spans="1:20" x14ac:dyDescent="0.25">
      <c r="A9" s="24"/>
      <c r="B9" s="195" t="s">
        <v>74</v>
      </c>
      <c r="C9" s="196"/>
      <c r="D9" s="213">
        <v>30</v>
      </c>
      <c r="E9" s="214"/>
      <c r="F9" s="21"/>
      <c r="G9" s="234" t="s">
        <v>79</v>
      </c>
      <c r="H9" s="235"/>
      <c r="I9" s="82">
        <f ca="1">Data!L36</f>
        <v>371.85417523337185</v>
      </c>
      <c r="J9" s="82">
        <f ca="1">Data!M36</f>
        <v>461.90283298851159</v>
      </c>
      <c r="K9" s="82">
        <f ca="1">Data!N36</f>
        <v>558.22297372432172</v>
      </c>
      <c r="L9" s="82">
        <f ca="1">Data!O36</f>
        <v>652.71808844779457</v>
      </c>
      <c r="M9" s="82">
        <f ca="1">Data!P36</f>
        <v>744.19210736265677</v>
      </c>
      <c r="N9" s="82">
        <f ca="1">Data!Q36</f>
        <v>831.2188258679389</v>
      </c>
      <c r="O9" s="82">
        <f ca="1">Data!R36</f>
        <v>912.10280623337076</v>
      </c>
      <c r="P9" s="82">
        <f ca="1">Data!S36</f>
        <v>984.83347378225494</v>
      </c>
      <c r="Q9" s="82">
        <f ca="1">Data!T36</f>
        <v>1047.0311240659412</v>
      </c>
      <c r="R9" s="83">
        <f ca="1">Data!U36</f>
        <v>1095.883288153329</v>
      </c>
      <c r="S9" s="236" t="s">
        <v>84</v>
      </c>
      <c r="T9" s="237"/>
    </row>
    <row r="10" spans="1:20" x14ac:dyDescent="0.25">
      <c r="A10" s="21"/>
      <c r="B10" s="195" t="s">
        <v>22</v>
      </c>
      <c r="C10" s="196"/>
      <c r="D10" s="187">
        <v>0.05</v>
      </c>
      <c r="E10" s="188"/>
      <c r="F10" s="21"/>
      <c r="G10" s="234" t="s">
        <v>94</v>
      </c>
      <c r="H10" s="235"/>
      <c r="I10" s="82">
        <f>Data!L15</f>
        <v>6221.2185621746057</v>
      </c>
      <c r="J10" s="82">
        <f>Data!M15</f>
        <v>6648.6516857040042</v>
      </c>
      <c r="K10" s="82">
        <f>Data!N15</f>
        <v>7089.858618586888</v>
      </c>
      <c r="L10" s="82">
        <f>Data!O15</f>
        <v>7545.2715914168066</v>
      </c>
      <c r="M10" s="82">
        <f>Data!P15</f>
        <v>8015.3361820313776</v>
      </c>
      <c r="N10" s="82">
        <f>Data!Q15</f>
        <v>8500.5117235361413</v>
      </c>
      <c r="O10" s="82">
        <f>Data!R15</f>
        <v>9001.2717247212349</v>
      </c>
      <c r="P10" s="82">
        <f>Data!S15</f>
        <v>9518.1043032457765</v>
      </c>
      <c r="Q10" s="82">
        <f>Data!T15</f>
        <v>10051.512631976026</v>
      </c>
      <c r="R10" s="83">
        <f>Data!U15</f>
        <v>10602.01539887515</v>
      </c>
      <c r="S10" s="236"/>
      <c r="T10" s="237"/>
    </row>
    <row r="11" spans="1:20" ht="15.75" thickBot="1" x14ac:dyDescent="0.3">
      <c r="B11" s="185" t="s">
        <v>128</v>
      </c>
      <c r="C11" s="186"/>
      <c r="D11" s="219">
        <f>'Loan Amortization Schedule'!H5</f>
        <v>536.82162301213907</v>
      </c>
      <c r="E11" s="202"/>
      <c r="G11" s="230" t="s">
        <v>95</v>
      </c>
      <c r="H11" s="231"/>
      <c r="I11" s="80">
        <f ca="1">I10-I9</f>
        <v>5849.3643869412335</v>
      </c>
      <c r="J11" s="80">
        <f t="shared" ref="J11:R11" ca="1" si="2">J10-J9</f>
        <v>6186.7488527154928</v>
      </c>
      <c r="K11" s="80">
        <f t="shared" ca="1" si="2"/>
        <v>6531.6356448625666</v>
      </c>
      <c r="L11" s="80">
        <f t="shared" ca="1" si="2"/>
        <v>6892.5535029690118</v>
      </c>
      <c r="M11" s="80">
        <f t="shared" ca="1" si="2"/>
        <v>7271.1440746687204</v>
      </c>
      <c r="N11" s="80">
        <f t="shared" ca="1" si="2"/>
        <v>7669.2928976682024</v>
      </c>
      <c r="O11" s="80">
        <f t="shared" ca="1" si="2"/>
        <v>8089.1689184878642</v>
      </c>
      <c r="P11" s="80">
        <f t="shared" ca="1" si="2"/>
        <v>8533.2708294635213</v>
      </c>
      <c r="Q11" s="80">
        <f t="shared" ca="1" si="2"/>
        <v>9004.4815079100845</v>
      </c>
      <c r="R11" s="81">
        <f t="shared" ca="1" si="2"/>
        <v>9506.1321107218209</v>
      </c>
      <c r="S11" s="238">
        <f ca="1">SUM(I11:R11)</f>
        <v>75533.792726408516</v>
      </c>
      <c r="T11" s="239"/>
    </row>
    <row r="12" spans="1:20" x14ac:dyDescent="0.25">
      <c r="B12" s="115"/>
      <c r="C12" s="116" t="s">
        <v>129</v>
      </c>
      <c r="D12" s="203">
        <v>0</v>
      </c>
      <c r="E12" s="204"/>
      <c r="G12" s="230" t="s">
        <v>81</v>
      </c>
      <c r="H12" s="231"/>
      <c r="I12" s="56">
        <f ca="1">I9/I10</f>
        <v>5.9771919523012466E-2</v>
      </c>
      <c r="J12" s="56">
        <f t="shared" ref="J12:R12" ca="1" si="3">J9/J10</f>
        <v>6.947315859269626E-2</v>
      </c>
      <c r="K12" s="56">
        <f t="shared" ca="1" si="3"/>
        <v>7.8735416847505998E-2</v>
      </c>
      <c r="L12" s="56">
        <f t="shared" ca="1" si="3"/>
        <v>8.650690442876835E-2</v>
      </c>
      <c r="M12" s="56">
        <f t="shared" ca="1" si="3"/>
        <v>9.2846025476881672E-2</v>
      </c>
      <c r="N12" s="56">
        <f t="shared" ca="1" si="3"/>
        <v>9.778456320064445E-2</v>
      </c>
      <c r="O12" s="56">
        <f t="shared" ca="1" si="3"/>
        <v>0.10133043797893104</v>
      </c>
      <c r="P12" s="56">
        <f t="shared" ca="1" si="3"/>
        <v>0.10346949795942204</v>
      </c>
      <c r="Q12" s="56">
        <f t="shared" ca="1" si="3"/>
        <v>0.10416652322906204</v>
      </c>
      <c r="R12" s="57">
        <f t="shared" ca="1" si="3"/>
        <v>0.10336556276550964</v>
      </c>
    </row>
    <row r="13" spans="1:20" ht="15.75" thickBot="1" x14ac:dyDescent="0.3">
      <c r="B13" s="115"/>
      <c r="C13" s="116" t="s">
        <v>130</v>
      </c>
      <c r="D13" s="224">
        <f>'Loan Amortization Schedule'!H6-'Loan Amortization Schedule'!H7</f>
        <v>0</v>
      </c>
      <c r="E13" s="225"/>
      <c r="G13" s="49"/>
      <c r="H13" s="66"/>
      <c r="I13" s="53"/>
      <c r="J13" s="53"/>
      <c r="K13" s="53"/>
      <c r="L13" s="55"/>
      <c r="M13" s="55"/>
      <c r="N13" s="53"/>
      <c r="O13" s="53"/>
      <c r="P13" s="53"/>
      <c r="Q13" s="53"/>
      <c r="R13" s="54"/>
    </row>
    <row r="14" spans="1:20" x14ac:dyDescent="0.25">
      <c r="B14" s="115"/>
      <c r="C14" s="116" t="s">
        <v>131</v>
      </c>
      <c r="D14" s="226">
        <f>'Loan Amortization Schedule'!H8</f>
        <v>0</v>
      </c>
      <c r="E14" s="227"/>
      <c r="G14" s="52"/>
      <c r="H14" s="61"/>
      <c r="I14" s="60" t="s">
        <v>52</v>
      </c>
      <c r="J14" s="60" t="s">
        <v>53</v>
      </c>
      <c r="K14" s="60" t="s">
        <v>54</v>
      </c>
      <c r="L14" s="60" t="s">
        <v>55</v>
      </c>
      <c r="M14" s="60" t="s">
        <v>56</v>
      </c>
      <c r="N14" s="60" t="s">
        <v>68</v>
      </c>
      <c r="O14" s="60" t="s">
        <v>69</v>
      </c>
      <c r="P14" s="60" t="s">
        <v>70</v>
      </c>
      <c r="Q14" s="60" t="s">
        <v>71</v>
      </c>
      <c r="R14" s="64" t="s">
        <v>72</v>
      </c>
      <c r="S14" s="240" t="s">
        <v>82</v>
      </c>
      <c r="T14" s="241"/>
    </row>
    <row r="15" spans="1:20" x14ac:dyDescent="0.25">
      <c r="B15" s="220" t="s">
        <v>91</v>
      </c>
      <c r="C15" s="221"/>
      <c r="D15" s="203">
        <v>500</v>
      </c>
      <c r="E15" s="204"/>
      <c r="G15" s="234" t="s">
        <v>79</v>
      </c>
      <c r="H15" s="235"/>
      <c r="I15" s="82">
        <f ca="1">Data!V36</f>
        <v>1128.0695701710074</v>
      </c>
      <c r="J15" s="82">
        <f ca="1">Data!W36</f>
        <v>1139.672657658157</v>
      </c>
      <c r="K15" s="82">
        <f ca="1">Data!X36</f>
        <v>1126.0726891043278</v>
      </c>
      <c r="L15" s="82">
        <f ca="1">Data!Y36</f>
        <v>1081.8215153849783</v>
      </c>
      <c r="M15" s="82">
        <f ca="1">Data!Z36</f>
        <v>1000.4925747295763</v>
      </c>
      <c r="N15" s="82">
        <f ca="1">Data!AA36</f>
        <v>874.50106399368178</v>
      </c>
      <c r="O15" s="82">
        <f ca="1">Data!AB36</f>
        <v>694.88776507891021</v>
      </c>
      <c r="P15" s="82">
        <f ca="1">Data!AC36</f>
        <v>551.39862017038763</v>
      </c>
      <c r="Q15" s="82">
        <f ca="1">Data!AD36</f>
        <v>297.51740921951472</v>
      </c>
      <c r="R15" s="83">
        <f ca="1">Data!AE36</f>
        <v>0.52595429079209455</v>
      </c>
      <c r="S15" s="236" t="s">
        <v>85</v>
      </c>
      <c r="T15" s="237"/>
    </row>
    <row r="16" spans="1:20" x14ac:dyDescent="0.25">
      <c r="B16" s="77"/>
      <c r="C16" s="86" t="s">
        <v>92</v>
      </c>
      <c r="D16" s="222">
        <v>1500</v>
      </c>
      <c r="E16" s="223"/>
      <c r="G16" s="234" t="s">
        <v>94</v>
      </c>
      <c r="H16" s="235"/>
      <c r="I16" s="82">
        <f>Data!V15</f>
        <v>11170.147280854362</v>
      </c>
      <c r="J16" s="82">
        <f>Data!W15</f>
        <v>11756.459432007516</v>
      </c>
      <c r="K16" s="82">
        <f>Data!X15</f>
        <v>12361.519986664131</v>
      </c>
      <c r="L16" s="82">
        <f>Data!Y15</f>
        <v>12985.914577708687</v>
      </c>
      <c r="M16" s="82">
        <f>Data!Z15</f>
        <v>13630.24687062778</v>
      </c>
      <c r="N16" s="82">
        <f>Data!AA15</f>
        <v>14295.139113760519</v>
      </c>
      <c r="O16" s="82">
        <f>Data!AB15</f>
        <v>14981.232705241833</v>
      </c>
      <c r="P16" s="82">
        <f>Data!AC15</f>
        <v>15689.188777143263</v>
      </c>
      <c r="Q16" s="82">
        <f>Data!AD15</f>
        <v>16419.688797330935</v>
      </c>
      <c r="R16" s="83">
        <f>Data!AE15</f>
        <v>17175.662665190146</v>
      </c>
      <c r="S16" s="236"/>
      <c r="T16" s="237"/>
    </row>
    <row r="17" spans="2:21" ht="15.75" thickBot="1" x14ac:dyDescent="0.3">
      <c r="B17" s="185" t="s">
        <v>23</v>
      </c>
      <c r="C17" s="186"/>
      <c r="D17" s="203">
        <v>2400</v>
      </c>
      <c r="E17" s="204"/>
      <c r="G17" s="230" t="s">
        <v>95</v>
      </c>
      <c r="H17" s="231"/>
      <c r="I17" s="80">
        <f ca="1">I16-I15</f>
        <v>10042.077710683356</v>
      </c>
      <c r="J17" s="80">
        <f t="shared" ref="J17:R17" ca="1" si="4">J16-J15</f>
        <v>10616.786774349359</v>
      </c>
      <c r="K17" s="80">
        <f t="shared" ca="1" si="4"/>
        <v>11235.447297559804</v>
      </c>
      <c r="L17" s="80">
        <f t="shared" ca="1" si="4"/>
        <v>11904.093062323709</v>
      </c>
      <c r="M17" s="80">
        <f t="shared" ca="1" si="4"/>
        <v>12629.754295898203</v>
      </c>
      <c r="N17" s="80">
        <f t="shared" ca="1" si="4"/>
        <v>13420.638049766836</v>
      </c>
      <c r="O17" s="80">
        <f t="shared" ca="1" si="4"/>
        <v>14286.344940162922</v>
      </c>
      <c r="P17" s="80">
        <f t="shared" ca="1" si="4"/>
        <v>15137.790156972875</v>
      </c>
      <c r="Q17" s="80">
        <f t="shared" ca="1" si="4"/>
        <v>16122.171388111421</v>
      </c>
      <c r="R17" s="81">
        <f t="shared" ca="1" si="4"/>
        <v>17175.136710899355</v>
      </c>
      <c r="S17" s="238">
        <f ca="1">SUM(I17:R17)</f>
        <v>132570.24038672785</v>
      </c>
      <c r="T17" s="239"/>
    </row>
    <row r="18" spans="2:21" ht="15.75" thickBot="1" x14ac:dyDescent="0.3">
      <c r="B18" s="185" t="s">
        <v>24</v>
      </c>
      <c r="C18" s="186"/>
      <c r="D18" s="187">
        <v>0.02</v>
      </c>
      <c r="E18" s="188"/>
      <c r="G18" s="206" t="s">
        <v>81</v>
      </c>
      <c r="H18" s="207"/>
      <c r="I18" s="58">
        <f ca="1">I15/I16</f>
        <v>0.10098967737914424</v>
      </c>
      <c r="J18" s="58">
        <f t="shared" ref="J18:R18" ca="1" si="5">J15/J16</f>
        <v>9.6940125915404809E-2</v>
      </c>
      <c r="K18" s="58">
        <f t="shared" ca="1" si="5"/>
        <v>9.1095002096761468E-2</v>
      </c>
      <c r="L18" s="58">
        <f t="shared" ca="1" si="5"/>
        <v>8.3307302609398601E-2</v>
      </c>
      <c r="M18" s="58">
        <f t="shared" ca="1" si="5"/>
        <v>7.3402381059257796E-2</v>
      </c>
      <c r="N18" s="58">
        <f t="shared" ca="1" si="5"/>
        <v>6.1174715197551729E-2</v>
      </c>
      <c r="O18" s="58">
        <f t="shared" ca="1" si="5"/>
        <v>4.6383884340557208E-2</v>
      </c>
      <c r="P18" s="58">
        <f t="shared" ca="1" si="5"/>
        <v>3.5145132613465059E-2</v>
      </c>
      <c r="Q18" s="58">
        <f t="shared" ca="1" si="5"/>
        <v>1.8119552257767332E-2</v>
      </c>
      <c r="R18" s="59">
        <f t="shared" ca="1" si="5"/>
        <v>3.0622066877107699E-5</v>
      </c>
    </row>
    <row r="19" spans="2:21" x14ac:dyDescent="0.25">
      <c r="B19" s="185" t="s">
        <v>25</v>
      </c>
      <c r="C19" s="186"/>
      <c r="D19" s="203">
        <v>1000</v>
      </c>
      <c r="E19" s="204"/>
      <c r="G19" s="32"/>
      <c r="H19" s="37"/>
      <c r="I19" s="37"/>
      <c r="J19" s="37"/>
      <c r="K19" s="30"/>
    </row>
    <row r="20" spans="2:21" x14ac:dyDescent="0.25">
      <c r="B20" s="185" t="s">
        <v>26</v>
      </c>
      <c r="C20" s="186"/>
      <c r="D20" s="187">
        <v>0.02</v>
      </c>
      <c r="E20" s="188"/>
      <c r="G20" s="68"/>
      <c r="H20" s="21"/>
      <c r="I20" s="21"/>
      <c r="J20" s="21"/>
      <c r="K20" s="21"/>
      <c r="L20" s="21"/>
      <c r="M20" s="21"/>
      <c r="N20" s="21"/>
      <c r="O20" s="21"/>
      <c r="P20" s="21"/>
      <c r="Q20" s="21"/>
      <c r="R20" s="21"/>
      <c r="S20" s="21"/>
      <c r="T20" s="21"/>
      <c r="U20" s="21"/>
    </row>
    <row r="21" spans="2:21" x14ac:dyDescent="0.25">
      <c r="B21" s="185" t="s">
        <v>27</v>
      </c>
      <c r="C21" s="186"/>
      <c r="D21" s="203">
        <v>0</v>
      </c>
      <c r="E21" s="204"/>
      <c r="G21" s="243"/>
      <c r="H21" s="243"/>
      <c r="I21" s="21"/>
    </row>
    <row r="22" spans="2:21" x14ac:dyDescent="0.25">
      <c r="B22" s="185" t="s">
        <v>28</v>
      </c>
      <c r="C22" s="186"/>
      <c r="D22" s="187">
        <v>0.02</v>
      </c>
      <c r="E22" s="188"/>
      <c r="G22" s="189"/>
      <c r="H22" s="189"/>
      <c r="I22" s="70"/>
      <c r="J22" s="70"/>
      <c r="K22" s="70"/>
      <c r="L22" s="70"/>
      <c r="M22" s="70"/>
      <c r="N22" s="70"/>
      <c r="O22" s="70"/>
      <c r="P22" s="70"/>
      <c r="Q22" s="70"/>
      <c r="R22" s="70"/>
      <c r="S22" s="243"/>
      <c r="T22" s="243"/>
      <c r="U22" s="21"/>
    </row>
    <row r="23" spans="2:21" x14ac:dyDescent="0.25">
      <c r="B23" s="185" t="s">
        <v>78</v>
      </c>
      <c r="C23" s="186"/>
      <c r="D23" s="187">
        <v>0.1</v>
      </c>
      <c r="E23" s="188"/>
      <c r="F23" s="21"/>
      <c r="G23" s="189"/>
      <c r="H23" s="189"/>
      <c r="I23" s="70"/>
      <c r="J23" s="70"/>
      <c r="K23" s="70"/>
      <c r="L23" s="70"/>
      <c r="M23" s="70"/>
      <c r="N23" s="70"/>
      <c r="O23" s="70"/>
      <c r="P23" s="70"/>
      <c r="Q23" s="70"/>
      <c r="R23" s="70"/>
      <c r="S23" s="243"/>
      <c r="T23" s="243"/>
      <c r="U23" s="21"/>
    </row>
    <row r="24" spans="2:21" x14ac:dyDescent="0.25">
      <c r="B24" s="195" t="s">
        <v>88</v>
      </c>
      <c r="C24" s="196"/>
      <c r="D24" s="197">
        <v>500</v>
      </c>
      <c r="E24" s="198"/>
      <c r="F24" s="21"/>
      <c r="G24" s="242"/>
      <c r="H24" s="242"/>
      <c r="I24" s="71"/>
      <c r="J24" s="71"/>
      <c r="K24" s="71"/>
      <c r="L24" s="71"/>
      <c r="M24" s="71"/>
      <c r="N24" s="71"/>
      <c r="O24" s="71"/>
      <c r="P24" s="71"/>
      <c r="Q24" s="71"/>
      <c r="R24" s="71"/>
      <c r="S24" s="244"/>
      <c r="T24" s="244"/>
      <c r="U24" s="21"/>
    </row>
    <row r="25" spans="2:21" x14ac:dyDescent="0.25">
      <c r="B25" s="195" t="s">
        <v>89</v>
      </c>
      <c r="C25" s="196"/>
      <c r="D25" s="199">
        <v>0.02</v>
      </c>
      <c r="E25" s="200"/>
      <c r="F25" s="21"/>
      <c r="G25" s="242"/>
      <c r="H25" s="242"/>
      <c r="I25" s="72"/>
      <c r="J25" s="72"/>
      <c r="K25" s="72"/>
      <c r="L25" s="72"/>
      <c r="M25" s="72"/>
      <c r="N25" s="72"/>
      <c r="O25" s="72"/>
      <c r="P25" s="72"/>
      <c r="Q25" s="72"/>
      <c r="R25" s="72"/>
      <c r="S25" s="21"/>
      <c r="T25" s="21"/>
      <c r="U25" s="21"/>
    </row>
    <row r="26" spans="2:21" x14ac:dyDescent="0.25">
      <c r="B26" s="195" t="s">
        <v>29</v>
      </c>
      <c r="C26" s="196"/>
      <c r="D26" s="201">
        <f>SLN(D3,0,27.5)</f>
        <v>4181.818181818182</v>
      </c>
      <c r="E26" s="202"/>
      <c r="F26" s="21"/>
      <c r="G26" s="68"/>
      <c r="H26" s="73"/>
      <c r="I26" s="70"/>
      <c r="J26" s="70"/>
      <c r="K26" s="70"/>
      <c r="L26" s="70"/>
      <c r="M26" s="70"/>
      <c r="N26" s="70"/>
      <c r="O26" s="70"/>
      <c r="P26" s="70"/>
      <c r="Q26" s="70"/>
      <c r="R26" s="70"/>
      <c r="S26" s="21"/>
      <c r="T26" s="21"/>
      <c r="U26" s="21"/>
    </row>
    <row r="27" spans="2:21" x14ac:dyDescent="0.25">
      <c r="B27" s="195" t="s">
        <v>30</v>
      </c>
      <c r="C27" s="196"/>
      <c r="D27" s="203">
        <v>1200</v>
      </c>
      <c r="E27" s="204"/>
      <c r="F27" s="21"/>
      <c r="G27" s="74"/>
      <c r="H27" s="75"/>
      <c r="I27" s="69"/>
      <c r="J27" s="69"/>
      <c r="K27" s="69"/>
      <c r="L27" s="69"/>
      <c r="M27" s="69"/>
      <c r="N27" s="69"/>
      <c r="O27" s="69"/>
      <c r="P27" s="69"/>
      <c r="Q27" s="69"/>
      <c r="R27" s="69"/>
      <c r="S27" s="243"/>
      <c r="T27" s="243"/>
      <c r="U27" s="21"/>
    </row>
    <row r="28" spans="2:21" ht="15.75" thickBot="1" x14ac:dyDescent="0.3">
      <c r="B28" s="191" t="s">
        <v>31</v>
      </c>
      <c r="C28" s="192"/>
      <c r="D28" s="193">
        <v>0.03</v>
      </c>
      <c r="E28" s="194"/>
      <c r="G28" s="189"/>
      <c r="H28" s="189"/>
      <c r="I28" s="76"/>
      <c r="J28" s="76"/>
      <c r="K28" s="76"/>
      <c r="L28" s="76"/>
      <c r="M28" s="76"/>
      <c r="N28" s="76"/>
      <c r="O28" s="76"/>
      <c r="P28" s="76"/>
      <c r="Q28" s="76"/>
      <c r="R28" s="76"/>
      <c r="S28" s="243"/>
      <c r="T28" s="243"/>
      <c r="U28" s="21"/>
    </row>
    <row r="29" spans="2:21" x14ac:dyDescent="0.25">
      <c r="B29" s="23"/>
      <c r="C29" s="23"/>
      <c r="D29" s="31"/>
      <c r="E29" s="31"/>
      <c r="G29" s="189"/>
      <c r="H29" s="189"/>
      <c r="I29" s="76"/>
      <c r="J29" s="76"/>
      <c r="K29" s="76"/>
      <c r="L29" s="76"/>
      <c r="M29" s="76"/>
      <c r="N29" s="76"/>
      <c r="O29" s="76"/>
      <c r="P29" s="76"/>
      <c r="Q29" s="76"/>
      <c r="R29" s="76"/>
      <c r="S29" s="243"/>
      <c r="T29" s="243"/>
      <c r="U29" s="21"/>
    </row>
    <row r="30" spans="2:21" x14ac:dyDescent="0.25">
      <c r="B30" s="34"/>
      <c r="C30" s="21"/>
      <c r="D30" s="21"/>
      <c r="E30" s="21"/>
      <c r="G30" s="242"/>
      <c r="H30" s="242"/>
      <c r="I30" s="71"/>
      <c r="J30" s="71"/>
      <c r="K30" s="71"/>
      <c r="L30" s="71"/>
      <c r="M30" s="71"/>
      <c r="N30" s="71"/>
      <c r="O30" s="71"/>
      <c r="P30" s="71"/>
      <c r="Q30" s="71"/>
      <c r="R30" s="71"/>
      <c r="S30" s="244"/>
      <c r="T30" s="243"/>
      <c r="U30" s="21"/>
    </row>
    <row r="31" spans="2:21" x14ac:dyDescent="0.25">
      <c r="B31" s="34" t="s">
        <v>90</v>
      </c>
      <c r="C31" s="34"/>
      <c r="D31" s="87"/>
      <c r="E31" s="87"/>
      <c r="G31" s="242"/>
      <c r="H31" s="242"/>
      <c r="I31" s="72"/>
      <c r="J31" s="72"/>
      <c r="K31" s="72"/>
      <c r="L31" s="72"/>
      <c r="M31" s="72"/>
      <c r="N31" s="72"/>
      <c r="O31" s="72"/>
      <c r="P31" s="72"/>
      <c r="Q31" s="72"/>
      <c r="R31" s="72"/>
      <c r="S31" s="21"/>
      <c r="T31" s="21"/>
      <c r="U31" s="21"/>
    </row>
    <row r="32" spans="2:21" ht="13.5" customHeight="1" x14ac:dyDescent="0.25">
      <c r="B32" s="205" t="s">
        <v>93</v>
      </c>
      <c r="C32" s="205"/>
      <c r="D32" s="205"/>
      <c r="E32" s="88"/>
      <c r="G32" s="74"/>
      <c r="H32" s="67"/>
      <c r="I32" s="21"/>
      <c r="J32" s="21"/>
      <c r="K32" s="21"/>
      <c r="L32" s="34"/>
      <c r="M32" s="34"/>
      <c r="N32" s="21"/>
      <c r="O32" s="21"/>
      <c r="P32" s="21"/>
      <c r="Q32" s="21"/>
      <c r="R32" s="21"/>
      <c r="S32" s="21"/>
      <c r="T32" s="21"/>
      <c r="U32" s="21"/>
    </row>
    <row r="33" spans="2:21" x14ac:dyDescent="0.25">
      <c r="B33" s="189"/>
      <c r="C33" s="189"/>
      <c r="D33" s="190"/>
      <c r="E33" s="190"/>
      <c r="G33" s="68"/>
      <c r="H33" s="75"/>
      <c r="I33" s="69"/>
      <c r="J33" s="69"/>
      <c r="K33" s="69"/>
      <c r="L33" s="69"/>
      <c r="M33" s="69"/>
      <c r="N33" s="69"/>
      <c r="O33" s="69"/>
      <c r="P33" s="69"/>
      <c r="Q33" s="69"/>
      <c r="R33" s="69"/>
      <c r="S33" s="243"/>
      <c r="T33" s="243"/>
      <c r="U33" s="21"/>
    </row>
    <row r="34" spans="2:21" x14ac:dyDescent="0.25">
      <c r="G34" s="189"/>
      <c r="H34" s="189"/>
      <c r="I34" s="76"/>
      <c r="J34" s="76"/>
      <c r="K34" s="76"/>
      <c r="L34" s="76"/>
      <c r="M34" s="76"/>
      <c r="N34" s="76"/>
      <c r="O34" s="76"/>
      <c r="P34" s="76"/>
      <c r="Q34" s="76"/>
      <c r="R34" s="76"/>
      <c r="S34" s="243"/>
      <c r="T34" s="243"/>
      <c r="U34" s="21"/>
    </row>
    <row r="35" spans="2:21" x14ac:dyDescent="0.25">
      <c r="G35" s="189"/>
      <c r="H35" s="189"/>
      <c r="I35" s="76"/>
      <c r="J35" s="76"/>
      <c r="K35" s="76"/>
      <c r="L35" s="76"/>
      <c r="M35" s="76"/>
      <c r="N35" s="76"/>
      <c r="O35" s="76"/>
      <c r="P35" s="76"/>
      <c r="Q35" s="76"/>
      <c r="R35" s="76"/>
      <c r="S35" s="243"/>
      <c r="T35" s="243"/>
      <c r="U35" s="21"/>
    </row>
    <row r="36" spans="2:21" x14ac:dyDescent="0.25">
      <c r="G36" s="242"/>
      <c r="H36" s="242"/>
      <c r="I36" s="71"/>
      <c r="J36" s="71"/>
      <c r="K36" s="71"/>
      <c r="L36" s="71"/>
      <c r="M36" s="71"/>
      <c r="N36" s="71"/>
      <c r="O36" s="71"/>
      <c r="P36" s="71"/>
      <c r="Q36" s="71"/>
      <c r="R36" s="71"/>
      <c r="S36" s="244"/>
      <c r="T36" s="243"/>
      <c r="U36" s="21"/>
    </row>
    <row r="37" spans="2:21" x14ac:dyDescent="0.25">
      <c r="G37" s="242"/>
      <c r="H37" s="242"/>
      <c r="I37" s="72"/>
      <c r="J37" s="72"/>
      <c r="K37" s="72"/>
      <c r="L37" s="72"/>
      <c r="M37" s="72"/>
      <c r="N37" s="72"/>
      <c r="O37" s="72"/>
      <c r="P37" s="72"/>
      <c r="Q37" s="72"/>
      <c r="R37" s="72"/>
      <c r="S37" s="21"/>
      <c r="T37" s="21"/>
      <c r="U37" s="21"/>
    </row>
    <row r="46" spans="2:21" x14ac:dyDescent="0.25">
      <c r="D46" s="21"/>
      <c r="E46" s="21"/>
    </row>
    <row r="47" spans="2:21" x14ac:dyDescent="0.25">
      <c r="D47" s="21"/>
      <c r="E47" s="21"/>
    </row>
    <row r="48" spans="2:21" x14ac:dyDescent="0.25">
      <c r="D48" s="21"/>
      <c r="E48" s="21"/>
    </row>
    <row r="49" spans="2:5" x14ac:dyDescent="0.25">
      <c r="D49" s="29"/>
      <c r="E49" s="21"/>
    </row>
    <row r="50" spans="2:5" x14ac:dyDescent="0.25">
      <c r="D50" s="27"/>
      <c r="E50" s="21"/>
    </row>
    <row r="51" spans="2:5" x14ac:dyDescent="0.25">
      <c r="D51" s="21"/>
      <c r="E51" s="21"/>
    </row>
    <row r="52" spans="2:5" x14ac:dyDescent="0.25">
      <c r="D52" s="21"/>
      <c r="E52" s="21"/>
    </row>
    <row r="53" spans="2:5" x14ac:dyDescent="0.25">
      <c r="D53" s="21"/>
      <c r="E53" s="21"/>
    </row>
    <row r="54" spans="2:5" x14ac:dyDescent="0.25">
      <c r="B54" s="21"/>
      <c r="C54" s="26"/>
      <c r="D54" s="21"/>
      <c r="E54" s="21"/>
    </row>
    <row r="55" spans="2:5" x14ac:dyDescent="0.25">
      <c r="B55" s="21"/>
      <c r="C55" s="33"/>
      <c r="D55" s="21"/>
      <c r="E55" s="21"/>
    </row>
    <row r="56" spans="2:5" x14ac:dyDescent="0.25">
      <c r="B56" s="21"/>
      <c r="C56" s="21"/>
      <c r="D56" s="21"/>
      <c r="E56" s="21"/>
    </row>
    <row r="57" spans="2:5" x14ac:dyDescent="0.25">
      <c r="B57" s="21"/>
      <c r="C57" s="21"/>
      <c r="D57" s="21"/>
      <c r="E57" s="21"/>
    </row>
  </sheetData>
  <mergeCells count="101">
    <mergeCell ref="S28:T28"/>
    <mergeCell ref="S29:T29"/>
    <mergeCell ref="S30:T30"/>
    <mergeCell ref="G16:H16"/>
    <mergeCell ref="S33:T33"/>
    <mergeCell ref="S34:T34"/>
    <mergeCell ref="S35:T35"/>
    <mergeCell ref="S22:T22"/>
    <mergeCell ref="S23:T23"/>
    <mergeCell ref="G34:H34"/>
    <mergeCell ref="G35:H35"/>
    <mergeCell ref="G29:H29"/>
    <mergeCell ref="G30:H30"/>
    <mergeCell ref="G31:H31"/>
    <mergeCell ref="G17:H17"/>
    <mergeCell ref="S10:T10"/>
    <mergeCell ref="S11:T11"/>
    <mergeCell ref="S14:T14"/>
    <mergeCell ref="S15:T15"/>
    <mergeCell ref="G15:H15"/>
    <mergeCell ref="G36:H36"/>
    <mergeCell ref="G37:H37"/>
    <mergeCell ref="S2:T2"/>
    <mergeCell ref="S3:T3"/>
    <mergeCell ref="S4:T4"/>
    <mergeCell ref="S5:T5"/>
    <mergeCell ref="S8:T8"/>
    <mergeCell ref="G22:H22"/>
    <mergeCell ref="G23:H23"/>
    <mergeCell ref="G24:H24"/>
    <mergeCell ref="S16:T16"/>
    <mergeCell ref="S17:T17"/>
    <mergeCell ref="G21:H21"/>
    <mergeCell ref="G25:H25"/>
    <mergeCell ref="G28:H28"/>
    <mergeCell ref="S9:T9"/>
    <mergeCell ref="S36:T36"/>
    <mergeCell ref="S24:T24"/>
    <mergeCell ref="S27:T27"/>
    <mergeCell ref="G6:H6"/>
    <mergeCell ref="G12:H12"/>
    <mergeCell ref="G2:H2"/>
    <mergeCell ref="G3:H3"/>
    <mergeCell ref="G4:H4"/>
    <mergeCell ref="G5:H5"/>
    <mergeCell ref="G9:H9"/>
    <mergeCell ref="G10:H10"/>
    <mergeCell ref="G11:H11"/>
    <mergeCell ref="B11:C11"/>
    <mergeCell ref="D11:E11"/>
    <mergeCell ref="B15:C15"/>
    <mergeCell ref="D15:E15"/>
    <mergeCell ref="D16:E16"/>
    <mergeCell ref="D12:E12"/>
    <mergeCell ref="D13:E13"/>
    <mergeCell ref="D14:E14"/>
    <mergeCell ref="D8:E8"/>
    <mergeCell ref="B2:E2"/>
    <mergeCell ref="B3:C3"/>
    <mergeCell ref="D3:E3"/>
    <mergeCell ref="B9:C9"/>
    <mergeCell ref="D9:E9"/>
    <mergeCell ref="B10:C10"/>
    <mergeCell ref="D10:E10"/>
    <mergeCell ref="B4:C4"/>
    <mergeCell ref="D4:E4"/>
    <mergeCell ref="B7:C7"/>
    <mergeCell ref="D7:E7"/>
    <mergeCell ref="B8:C8"/>
    <mergeCell ref="B5:C5"/>
    <mergeCell ref="D5:E5"/>
    <mergeCell ref="B6:C6"/>
    <mergeCell ref="D6:E6"/>
    <mergeCell ref="B21:C21"/>
    <mergeCell ref="D21:E21"/>
    <mergeCell ref="B22:C22"/>
    <mergeCell ref="D22:E22"/>
    <mergeCell ref="G18:H18"/>
    <mergeCell ref="B17:C17"/>
    <mergeCell ref="D17:E17"/>
    <mergeCell ref="B18:C18"/>
    <mergeCell ref="D18:E18"/>
    <mergeCell ref="B19:C19"/>
    <mergeCell ref="D19:E19"/>
    <mergeCell ref="B20:C20"/>
    <mergeCell ref="D20:E20"/>
    <mergeCell ref="B23:C23"/>
    <mergeCell ref="D23:E23"/>
    <mergeCell ref="B33:C33"/>
    <mergeCell ref="D33:E33"/>
    <mergeCell ref="B28:C28"/>
    <mergeCell ref="D28:E28"/>
    <mergeCell ref="B24:C24"/>
    <mergeCell ref="D24:E24"/>
    <mergeCell ref="B25:C25"/>
    <mergeCell ref="D25:E25"/>
    <mergeCell ref="B26:C26"/>
    <mergeCell ref="D26:E26"/>
    <mergeCell ref="B27:C27"/>
    <mergeCell ref="D27:E27"/>
    <mergeCell ref="B32:D32"/>
  </mergeCells>
  <dataValidations count="1">
    <dataValidation type="list" allowBlank="1" showInputMessage="1" showErrorMessage="1" promptTitle="Term or Amortization Schedule" sqref="D9:E9">
      <formula1>Amortization_Schedule2</formula1>
    </dataValidation>
  </dataValidations>
  <hyperlinks>
    <hyperlink ref="B32" r:id="rId1"/>
    <hyperlink ref="B32:D32" r:id="rId2" display="See here for closing cost breakdown"/>
  </hyperlink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A11"/>
  <sheetViews>
    <sheetView workbookViewId="0">
      <selection activeCell="W5" sqref="W5"/>
    </sheetView>
  </sheetViews>
  <sheetFormatPr defaultRowHeight="15" x14ac:dyDescent="0.25"/>
  <cols>
    <col min="2" max="2" width="17" customWidth="1"/>
  </cols>
  <sheetData>
    <row r="3" spans="2:27" x14ac:dyDescent="0.25">
      <c r="B3" t="s">
        <v>96</v>
      </c>
      <c r="C3">
        <v>1</v>
      </c>
      <c r="D3">
        <v>2</v>
      </c>
      <c r="E3">
        <v>3</v>
      </c>
      <c r="F3">
        <v>4</v>
      </c>
      <c r="G3">
        <v>5</v>
      </c>
      <c r="H3">
        <v>6</v>
      </c>
      <c r="I3">
        <v>7</v>
      </c>
      <c r="J3">
        <v>8</v>
      </c>
      <c r="K3">
        <v>9</v>
      </c>
      <c r="L3">
        <v>10</v>
      </c>
      <c r="M3">
        <v>11</v>
      </c>
      <c r="N3">
        <v>12</v>
      </c>
      <c r="O3">
        <v>13</v>
      </c>
      <c r="P3">
        <v>14</v>
      </c>
      <c r="Q3">
        <v>15</v>
      </c>
      <c r="R3">
        <v>16</v>
      </c>
      <c r="S3">
        <v>17</v>
      </c>
      <c r="T3">
        <v>18</v>
      </c>
      <c r="U3">
        <v>19</v>
      </c>
      <c r="V3">
        <v>20</v>
      </c>
      <c r="W3" s="90">
        <v>21</v>
      </c>
      <c r="X3">
        <v>22</v>
      </c>
      <c r="Y3">
        <v>23</v>
      </c>
      <c r="Z3">
        <v>24</v>
      </c>
    </row>
    <row r="4" spans="2:27" x14ac:dyDescent="0.25">
      <c r="B4" t="s">
        <v>97</v>
      </c>
      <c r="C4" s="93">
        <v>-200</v>
      </c>
      <c r="D4" s="93">
        <v>10</v>
      </c>
      <c r="E4" s="93">
        <v>10</v>
      </c>
      <c r="F4" s="93">
        <v>10</v>
      </c>
      <c r="G4" s="93">
        <v>10</v>
      </c>
      <c r="H4" s="93">
        <v>10</v>
      </c>
      <c r="I4" s="93">
        <v>10</v>
      </c>
      <c r="J4" s="93">
        <v>10</v>
      </c>
      <c r="K4" s="93">
        <v>10</v>
      </c>
      <c r="L4" s="93">
        <v>10</v>
      </c>
      <c r="M4" s="93">
        <v>10</v>
      </c>
      <c r="N4" s="93">
        <v>10</v>
      </c>
      <c r="O4" s="93">
        <v>10</v>
      </c>
      <c r="P4" s="93">
        <v>10</v>
      </c>
      <c r="Q4" s="93">
        <v>10</v>
      </c>
      <c r="R4" s="93">
        <v>10</v>
      </c>
      <c r="S4" s="93">
        <v>10</v>
      </c>
      <c r="T4" s="93">
        <v>10</v>
      </c>
      <c r="U4" s="93">
        <v>10</v>
      </c>
      <c r="V4" s="93">
        <v>10</v>
      </c>
      <c r="W4" s="94">
        <v>50</v>
      </c>
      <c r="X4" s="93">
        <v>0</v>
      </c>
      <c r="Y4" s="93">
        <v>0</v>
      </c>
      <c r="Z4" s="93">
        <v>0</v>
      </c>
      <c r="AA4" s="93">
        <v>0</v>
      </c>
    </row>
    <row r="5" spans="2:27" x14ac:dyDescent="0.25">
      <c r="B5" t="s">
        <v>98</v>
      </c>
      <c r="C5" s="89">
        <f>MAX(0,SUM($B$4:C4)-SUM($B$5:B5))</f>
        <v>0</v>
      </c>
      <c r="D5" s="89">
        <f>MAX(0,SUM($B$4:D4)-SUM($B$5:C5))</f>
        <v>0</v>
      </c>
      <c r="E5" s="89">
        <f>MAX(0,SUM($B$4:E4)-SUM($B$5:D5))</f>
        <v>0</v>
      </c>
      <c r="F5" s="89">
        <f>MAX(0,SUM($B$4:F4)-SUM($B$5:E5))</f>
        <v>0</v>
      </c>
      <c r="G5" s="89">
        <f>MAX(0,SUM($B$4:G4)-SUM($B$5:F5))</f>
        <v>0</v>
      </c>
      <c r="H5" s="89">
        <f>MAX(0,SUM($B$4:H4)-SUM($B$5:G5))</f>
        <v>0</v>
      </c>
      <c r="I5" s="89">
        <f>MAX(0,SUM($B$4:I4)-SUM($B$5:H5))</f>
        <v>0</v>
      </c>
      <c r="J5" s="89">
        <f>MAX(0,SUM($B$4:J4)-SUM($B$5:I5))</f>
        <v>0</v>
      </c>
      <c r="K5" s="89">
        <f>MAX(0,SUM($B$4:K4)-SUM($B$5:J5))</f>
        <v>0</v>
      </c>
      <c r="L5" s="89">
        <f>MAX(0,SUM($B$4:L4)-SUM($B$5:K5))</f>
        <v>0</v>
      </c>
      <c r="M5" s="89">
        <f>MAX(0,SUM($B$4:M4)-SUM($B$5:L5))</f>
        <v>0</v>
      </c>
      <c r="N5" s="89">
        <f>MAX(0,SUM($B$4:N4)-SUM($B$5:M5))</f>
        <v>0</v>
      </c>
      <c r="O5" s="89">
        <f>MAX(0,SUM($B$4:O4)-SUM($B$5:N5))</f>
        <v>0</v>
      </c>
      <c r="P5" s="89">
        <f>MAX(0,SUM($B$4:P4)-SUM($B$5:O5))</f>
        <v>0</v>
      </c>
      <c r="Q5" s="89">
        <f>MAX(0,SUM($B$4:Q4)-SUM($B$5:P5))</f>
        <v>0</v>
      </c>
      <c r="R5" s="89">
        <f>MAX(0,SUM($B$4:R4)-SUM($B$5:Q5))</f>
        <v>0</v>
      </c>
      <c r="S5" s="89">
        <f>MAX(0,SUM($B$4:S4)-SUM($B$5:R5))</f>
        <v>0</v>
      </c>
      <c r="T5" s="89">
        <f>MAX(0,SUM($B$4:T4)-SUM($B$5:S5))</f>
        <v>0</v>
      </c>
      <c r="U5" s="89">
        <f>MAX(0,SUM($B$4:U4)-SUM($B$5:T5))</f>
        <v>0</v>
      </c>
      <c r="V5" s="89">
        <f>MAX(0,SUM($B$4:V4)-SUM($B$5:U5))</f>
        <v>0</v>
      </c>
      <c r="W5" s="92">
        <f>MAX(0,SUM($B$4:W4)-SUM($B$5:V5))</f>
        <v>40</v>
      </c>
      <c r="X5" s="89">
        <f>MAX(0,SUM($B$4:X4)-SUM($B$5:W5))</f>
        <v>0</v>
      </c>
      <c r="Y5" s="89">
        <f>MAX(0,SUM($B$4:Y4)-SUM($B$5:X5))</f>
        <v>0</v>
      </c>
      <c r="Z5" s="89">
        <f>MAX(0,SUM($B$4:Z4)-SUM($B$5:Y5))</f>
        <v>0</v>
      </c>
      <c r="AA5" s="89"/>
    </row>
    <row r="6" spans="2:27" x14ac:dyDescent="0.25">
      <c r="W6" s="90"/>
    </row>
    <row r="11" spans="2:27" x14ac:dyDescent="0.25">
      <c r="H11" s="93">
        <f>SUM(D4:V4)</f>
        <v>190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Reference</vt:lpstr>
      <vt:lpstr>Loan Amortization Schedule</vt:lpstr>
      <vt:lpstr>Data</vt:lpstr>
      <vt:lpstr>Input</vt:lpstr>
      <vt:lpstr>Sheet1</vt:lpstr>
      <vt:lpstr>Amortization_Schedule</vt:lpstr>
      <vt:lpstr>Amortization_Schedule1</vt:lpstr>
      <vt:lpstr>Amortization_Schedule2</vt:lpstr>
      <vt:lpstr>'Loan Amortization Schedule'!Beg_Bal</vt:lpstr>
      <vt:lpstr>Cum_Int</vt:lpstr>
      <vt:lpstr>Data</vt:lpstr>
      <vt:lpstr>'Loan Amortization Schedule'!End_Bal</vt:lpstr>
      <vt:lpstr>'Loan Amortization Schedule'!Extra_Pay</vt:lpstr>
      <vt:lpstr>'Loan Amortization Schedule'!Full_Print</vt:lpstr>
      <vt:lpstr>'Loan Amortization Schedule'!Int</vt:lpstr>
      <vt:lpstr>'Loan Amortization Schedule'!Interest_Rate</vt:lpstr>
      <vt:lpstr>'Loan Amortization Schedule'!Loan_Amount</vt:lpstr>
      <vt:lpstr>'Loan Amortization Schedule'!Loan_Start</vt:lpstr>
      <vt:lpstr>'Loan Amortization Schedule'!Loan_Years</vt:lpstr>
      <vt:lpstr>'Loan Amortization Schedule'!Num_Pmt_Per_Year</vt:lpstr>
      <vt:lpstr>Pay_Date</vt:lpstr>
      <vt:lpstr>'Loan Amortization Schedule'!Pay_Num</vt:lpstr>
      <vt:lpstr>'Loan Amortization Schedule'!Princ</vt:lpstr>
      <vt:lpstr>'Loan Amortization Schedule'!Print_Titles</vt:lpstr>
      <vt:lpstr>'Loan Amortization Schedule'!Sched_Pay</vt:lpstr>
      <vt:lpstr>'Loan Amortization Schedule'!Scheduled_Extra_Payments</vt:lpstr>
      <vt:lpstr>Scheduled_Interest_Rate</vt:lpstr>
      <vt:lpstr>'Loan Amortization Schedule'!Scheduled_Monthly_Payment</vt:lpstr>
      <vt:lpstr>'Loan Amortization Schedule'!Total_Interest</vt:lpstr>
      <vt:lpstr>'Loan Amortization Schedule'!Total_Pay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Sundstrom</dc:creator>
  <cp:lastModifiedBy>Nick Sundstrom</cp:lastModifiedBy>
  <dcterms:created xsi:type="dcterms:W3CDTF">2015-03-03T17:00:09Z</dcterms:created>
  <dcterms:modified xsi:type="dcterms:W3CDTF">2016-03-04T17:20:02Z</dcterms:modified>
</cp:coreProperties>
</file>