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Financial Model\"/>
    </mc:Choice>
  </mc:AlternateContent>
  <bookViews>
    <workbookView xWindow="0" yWindow="0" windowWidth="23040" windowHeight="9192" firstSheet="6" activeTab="12"/>
  </bookViews>
  <sheets>
    <sheet name="Profit &amp; Loss" sheetId="1" r:id="rId1"/>
    <sheet name="Quarters" sheetId="3" r:id="rId2"/>
    <sheet name="Balance Sheet" sheetId="2" r:id="rId3"/>
    <sheet name="Cash Flow" sheetId="4" r:id="rId4"/>
    <sheet name="Data Sheet" sheetId="6" r:id="rId5"/>
    <sheet name="Historical FS" sheetId="7" r:id="rId6"/>
    <sheet name="Ratio Analysis" sheetId="9" r:id="rId7"/>
    <sheet name="Forecast" sheetId="11" r:id="rId8"/>
    <sheet name="Common size statement" sheetId="13" r:id="rId9"/>
    <sheet name="WACC" sheetId="16" r:id="rId10"/>
    <sheet name="Beta - Regression" sheetId="14" r:id="rId11"/>
    <sheet name="Intrisic growth" sheetId="20" r:id="rId12"/>
    <sheet name="DCF" sheetId="21" r:id="rId13"/>
    <sheet name="Sheet1" sheetId="19" r:id="rId14"/>
    <sheet name="Beta - comps" sheetId="17" r:id="rId15"/>
    <sheet name="Data Room" sheetId="15" r:id="rId16"/>
    <sheet name="Relative Valuation" sheetId="22" r:id="rId17"/>
    <sheet name="Football Field " sheetId="24" r:id="rId18"/>
    <sheet name="RV data" sheetId="23" r:id="rId19"/>
    <sheet name="Var Calculation" sheetId="25" r:id="rId20"/>
    <sheet name="Sheet4" sheetId="26" r:id="rId21"/>
    <sheet name="Cash Flow data" sheetId="8" r:id="rId22"/>
    <sheet name="Sheet2" sheetId="18" r:id="rId23"/>
  </sheets>
  <definedNames>
    <definedName name="_xlnm._FilterDatabase" localSheetId="10" hidden="1">'Beta - Regression'!$B$9:$G$115</definedName>
    <definedName name="UPDATE">'Data Sheet'!$E$1</definedName>
  </definedNames>
  <calcPr calcId="162913" iterate="1" iterateDelta="9.9999999999994451E-4"/>
  <extLst>
    <ext xmlns:x14="http://schemas.microsoft.com/office/spreadsheetml/2009/9/main" uri="{79F54976-1DA5-4618-B147-4CDE4B953A38}">
      <x14:workbookPr defaultImageDpi="330"/>
    </ext>
  </extLst>
</workbook>
</file>

<file path=xl/calcChain.xml><?xml version="1.0" encoding="utf-8"?>
<calcChain xmlns="http://schemas.openxmlformats.org/spreadsheetml/2006/main">
  <c r="D24" i="21" l="1"/>
  <c r="D25" i="21"/>
  <c r="G6" i="20" l="1"/>
  <c r="H6" i="20"/>
  <c r="I6" i="20"/>
  <c r="J6" i="20"/>
  <c r="K6" i="20"/>
  <c r="M13" i="22" l="1"/>
  <c r="M14" i="22"/>
  <c r="M15" i="22"/>
  <c r="M16" i="22"/>
  <c r="M17" i="22"/>
  <c r="M18" i="22"/>
  <c r="M19" i="22"/>
  <c r="M20" i="22"/>
  <c r="M21" i="22"/>
  <c r="M12" i="22"/>
  <c r="K13" i="22"/>
  <c r="K14" i="22"/>
  <c r="K15" i="22"/>
  <c r="K16" i="22"/>
  <c r="K17" i="22"/>
  <c r="K18" i="22"/>
  <c r="K19" i="22"/>
  <c r="K20" i="22"/>
  <c r="K21" i="22"/>
  <c r="K12" i="22"/>
  <c r="I10" i="23"/>
  <c r="G20" i="22" s="1"/>
  <c r="I3" i="23"/>
  <c r="G13" i="22" s="1"/>
  <c r="I4" i="23"/>
  <c r="G14" i="22" s="1"/>
  <c r="I5" i="23"/>
  <c r="G15" i="22" s="1"/>
  <c r="I6" i="23"/>
  <c r="G16" i="22" s="1"/>
  <c r="I7" i="23"/>
  <c r="G17" i="22" s="1"/>
  <c r="I8" i="23"/>
  <c r="G18" i="22" s="1"/>
  <c r="I9" i="23"/>
  <c r="G19" i="22" s="1"/>
  <c r="I11" i="23"/>
  <c r="G21" i="22" s="1"/>
  <c r="I2" i="23"/>
  <c r="G12" i="22" s="1"/>
  <c r="O33" i="22" s="1"/>
  <c r="D13" i="22"/>
  <c r="E13" i="22"/>
  <c r="D14" i="22"/>
  <c r="E14" i="22"/>
  <c r="D15" i="22"/>
  <c r="E15" i="22"/>
  <c r="D16" i="22"/>
  <c r="E16" i="22"/>
  <c r="D17" i="22"/>
  <c r="E17" i="22"/>
  <c r="D18" i="22"/>
  <c r="E18" i="22"/>
  <c r="D19" i="22"/>
  <c r="E19" i="22"/>
  <c r="D20" i="22"/>
  <c r="E20" i="22"/>
  <c r="D21" i="22"/>
  <c r="E21" i="22"/>
  <c r="E12" i="22"/>
  <c r="D12" i="22"/>
  <c r="B13" i="22"/>
  <c r="B14" i="22"/>
  <c r="B15" i="22"/>
  <c r="B16" i="22"/>
  <c r="B17" i="22"/>
  <c r="B18" i="22"/>
  <c r="B19" i="22"/>
  <c r="B20" i="22"/>
  <c r="B21" i="22"/>
  <c r="B12" i="22"/>
  <c r="F3" i="23"/>
  <c r="J3" i="23" s="1"/>
  <c r="L3" i="23" s="1"/>
  <c r="L13" i="22" s="1"/>
  <c r="F4" i="23"/>
  <c r="J4" i="23" s="1"/>
  <c r="L4" i="23" s="1"/>
  <c r="L14" i="22" s="1"/>
  <c r="F5" i="23"/>
  <c r="J5" i="23" s="1"/>
  <c r="L5" i="23" s="1"/>
  <c r="L15" i="22" s="1"/>
  <c r="F6" i="23"/>
  <c r="J6" i="23" s="1"/>
  <c r="L6" i="23" s="1"/>
  <c r="L16" i="22" s="1"/>
  <c r="F7" i="23"/>
  <c r="J7" i="23" s="1"/>
  <c r="L7" i="23" s="1"/>
  <c r="L17" i="22" s="1"/>
  <c r="F8" i="23"/>
  <c r="J8" i="23" s="1"/>
  <c r="L8" i="23" s="1"/>
  <c r="L18" i="22" s="1"/>
  <c r="F9" i="23"/>
  <c r="J9" i="23" s="1"/>
  <c r="L9" i="23" s="1"/>
  <c r="L19" i="22" s="1"/>
  <c r="F10" i="23"/>
  <c r="J10" i="23" s="1"/>
  <c r="L10" i="23" s="1"/>
  <c r="L20" i="22" s="1"/>
  <c r="F11" i="23"/>
  <c r="J11" i="23" s="1"/>
  <c r="L11" i="23" s="1"/>
  <c r="L21" i="22" s="1"/>
  <c r="F2" i="23"/>
  <c r="J2" i="23" s="1"/>
  <c r="L2" i="23" s="1"/>
  <c r="L12" i="22" s="1"/>
  <c r="P33" i="22" l="1"/>
  <c r="Q33" i="22"/>
  <c r="Q35" i="22"/>
  <c r="O35" i="22"/>
  <c r="P35" i="22"/>
  <c r="F16" i="22"/>
  <c r="F21" i="22"/>
  <c r="F19" i="22"/>
  <c r="F17" i="22"/>
  <c r="F15" i="22"/>
  <c r="F13" i="22"/>
  <c r="F12" i="22"/>
  <c r="F20" i="22"/>
  <c r="H20" i="22" s="1"/>
  <c r="O20" i="22" s="1"/>
  <c r="F18" i="22"/>
  <c r="F14" i="22"/>
  <c r="H17" i="22" l="1"/>
  <c r="Q17" i="22"/>
  <c r="H19" i="22"/>
  <c r="Q19" i="22"/>
  <c r="H14" i="22"/>
  <c r="P14" i="22" s="1"/>
  <c r="Q14" i="22"/>
  <c r="H13" i="22"/>
  <c r="Q13" i="22"/>
  <c r="H21" i="22"/>
  <c r="Q21" i="22"/>
  <c r="P20" i="22"/>
  <c r="Q20" i="22"/>
  <c r="H12" i="22"/>
  <c r="Q12" i="22"/>
  <c r="H18" i="22"/>
  <c r="Q18" i="22"/>
  <c r="H15" i="22"/>
  <c r="P15" i="22" s="1"/>
  <c r="Q15" i="22"/>
  <c r="H16" i="22"/>
  <c r="Q16" i="22"/>
  <c r="D36" i="21"/>
  <c r="F12" i="21"/>
  <c r="G12" i="21" s="1"/>
  <c r="H12" i="21" s="1"/>
  <c r="I12" i="21" s="1"/>
  <c r="J12" i="21" s="1"/>
  <c r="H45" i="20"/>
  <c r="I45" i="20"/>
  <c r="J45" i="20"/>
  <c r="K45" i="20"/>
  <c r="G45" i="20"/>
  <c r="G25" i="20"/>
  <c r="G24" i="20"/>
  <c r="G23" i="20"/>
  <c r="G16" i="20"/>
  <c r="G10" i="20"/>
  <c r="G11" i="20"/>
  <c r="G9" i="20"/>
  <c r="G8" i="20"/>
  <c r="G13" i="20" l="1"/>
  <c r="P16" i="22"/>
  <c r="O16" i="22"/>
  <c r="P18" i="22"/>
  <c r="O18" i="22"/>
  <c r="O13" i="22"/>
  <c r="P13" i="22"/>
  <c r="P19" i="22"/>
  <c r="O19" i="22"/>
  <c r="O15" i="22"/>
  <c r="O22" i="22"/>
  <c r="O12" i="22"/>
  <c r="P12" i="22"/>
  <c r="P21" i="22"/>
  <c r="O21" i="22"/>
  <c r="O14" i="22"/>
  <c r="P17" i="22"/>
  <c r="O17" i="22"/>
  <c r="Q26" i="22"/>
  <c r="Q34" i="22" s="1"/>
  <c r="Q32" i="22" s="1"/>
  <c r="Q23" i="22"/>
  <c r="Q25" i="22"/>
  <c r="Q27" i="22"/>
  <c r="Q24" i="22"/>
  <c r="Q28" i="22"/>
  <c r="F8" i="21"/>
  <c r="G8" i="21" s="1"/>
  <c r="H8" i="21" s="1"/>
  <c r="I8" i="21" s="1"/>
  <c r="J8" i="21" s="1"/>
  <c r="P25" i="22" l="1"/>
  <c r="O24" i="22"/>
  <c r="O25" i="22"/>
  <c r="P23" i="22"/>
  <c r="P27" i="22"/>
  <c r="P24" i="22"/>
  <c r="P26" i="22"/>
  <c r="P28" i="22"/>
  <c r="O23" i="22"/>
  <c r="O28" i="22"/>
  <c r="O26" i="22"/>
  <c r="O32" i="22" s="1"/>
  <c r="O27" i="22"/>
  <c r="Q37" i="22"/>
  <c r="Q39" i="22" s="1"/>
  <c r="H59" i="20"/>
  <c r="I59" i="20"/>
  <c r="J59" i="20"/>
  <c r="K59" i="20"/>
  <c r="G59" i="20"/>
  <c r="H43" i="20"/>
  <c r="I43" i="20"/>
  <c r="J43" i="20"/>
  <c r="K43" i="20"/>
  <c r="G43" i="20"/>
  <c r="H34" i="20"/>
  <c r="I34" i="20"/>
  <c r="J34" i="20"/>
  <c r="K34" i="20"/>
  <c r="G34" i="20"/>
  <c r="B34" i="20"/>
  <c r="H24" i="20"/>
  <c r="I24" i="20"/>
  <c r="J24" i="20"/>
  <c r="K24" i="20"/>
  <c r="H25" i="20"/>
  <c r="I25" i="20"/>
  <c r="J25" i="20"/>
  <c r="K25" i="20"/>
  <c r="G26" i="20"/>
  <c r="H26" i="20"/>
  <c r="I26" i="20"/>
  <c r="J26" i="20"/>
  <c r="K26" i="20"/>
  <c r="G27" i="20"/>
  <c r="H27" i="20"/>
  <c r="I27" i="20"/>
  <c r="J27" i="20"/>
  <c r="K27" i="20"/>
  <c r="G28" i="20"/>
  <c r="H28" i="20"/>
  <c r="I28" i="20"/>
  <c r="J28" i="20"/>
  <c r="K28" i="20"/>
  <c r="G29" i="20"/>
  <c r="H29" i="20"/>
  <c r="I29" i="20"/>
  <c r="J29" i="20"/>
  <c r="K29" i="20"/>
  <c r="G30" i="20"/>
  <c r="H30" i="20"/>
  <c r="I30" i="20"/>
  <c r="J30" i="20"/>
  <c r="K30" i="20"/>
  <c r="G31" i="20"/>
  <c r="H31" i="20"/>
  <c r="I31" i="20"/>
  <c r="J31" i="20"/>
  <c r="K31" i="20"/>
  <c r="H23" i="20"/>
  <c r="I23" i="20"/>
  <c r="J23" i="20"/>
  <c r="K23" i="20"/>
  <c r="B24" i="20"/>
  <c r="B25" i="20"/>
  <c r="B26" i="20"/>
  <c r="B27" i="20"/>
  <c r="B28" i="20"/>
  <c r="B29" i="20"/>
  <c r="B30" i="20"/>
  <c r="B31" i="20"/>
  <c r="B23" i="20"/>
  <c r="G17" i="20"/>
  <c r="H17" i="20"/>
  <c r="I17" i="20"/>
  <c r="J17" i="20"/>
  <c r="K17" i="20"/>
  <c r="H16" i="20"/>
  <c r="H18" i="20" s="1"/>
  <c r="I16" i="20"/>
  <c r="I18" i="20" s="1"/>
  <c r="J16" i="20"/>
  <c r="J18" i="20" s="1"/>
  <c r="K16" i="20"/>
  <c r="B17" i="20"/>
  <c r="B16" i="20"/>
  <c r="H10" i="20"/>
  <c r="I10" i="20"/>
  <c r="J10" i="20"/>
  <c r="K10" i="20"/>
  <c r="H11" i="20"/>
  <c r="I11" i="20"/>
  <c r="J11" i="20"/>
  <c r="K11" i="20"/>
  <c r="H8" i="20"/>
  <c r="I8" i="20"/>
  <c r="J8" i="20"/>
  <c r="K8" i="20"/>
  <c r="H9" i="20"/>
  <c r="I9" i="20"/>
  <c r="J9" i="20"/>
  <c r="K9" i="20"/>
  <c r="B12" i="20"/>
  <c r="B11" i="20"/>
  <c r="B10" i="20"/>
  <c r="B9" i="20"/>
  <c r="E5" i="21"/>
  <c r="F5" i="21" s="1"/>
  <c r="G5" i="21" s="1"/>
  <c r="H5" i="21" s="1"/>
  <c r="I5" i="21" s="1"/>
  <c r="J5" i="21" s="1"/>
  <c r="D29" i="19"/>
  <c r="E29" i="19"/>
  <c r="F29" i="19"/>
  <c r="G29" i="19"/>
  <c r="H29" i="19"/>
  <c r="I29" i="19"/>
  <c r="J29" i="19"/>
  <c r="K29" i="19"/>
  <c r="L29" i="19"/>
  <c r="M29" i="19"/>
  <c r="N29" i="19"/>
  <c r="C29" i="19"/>
  <c r="P32" i="22" l="1"/>
  <c r="P34" i="22" s="1"/>
  <c r="P37" i="22" s="1"/>
  <c r="P39" i="22" s="1"/>
  <c r="O34" i="22"/>
  <c r="O37" i="22" s="1"/>
  <c r="O39" i="22" s="1"/>
  <c r="G33" i="20"/>
  <c r="G35" i="20" s="1"/>
  <c r="K18" i="20"/>
  <c r="G18" i="20"/>
  <c r="I33" i="20"/>
  <c r="I35" i="20" s="1"/>
  <c r="J13" i="20"/>
  <c r="J20" i="20" s="1"/>
  <c r="K13" i="20"/>
  <c r="K20" i="20" s="1"/>
  <c r="H33" i="20"/>
  <c r="H35" i="20" s="1"/>
  <c r="I13" i="20"/>
  <c r="I20" i="20" s="1"/>
  <c r="H13" i="20"/>
  <c r="H20" i="20" s="1"/>
  <c r="J33" i="20"/>
  <c r="J35" i="20" s="1"/>
  <c r="K33" i="20"/>
  <c r="K35" i="20" s="1"/>
  <c r="E25" i="16"/>
  <c r="E27" i="16" s="1"/>
  <c r="K44" i="16" s="1"/>
  <c r="H9" i="18"/>
  <c r="H11" i="18" s="1"/>
  <c r="K26" i="16" s="1"/>
  <c r="F14" i="16"/>
  <c r="F15" i="16"/>
  <c r="F16" i="16"/>
  <c r="F17" i="16"/>
  <c r="F13" i="16"/>
  <c r="C35" i="16" s="1"/>
  <c r="E14" i="16"/>
  <c r="E15" i="16"/>
  <c r="I15" i="16" s="1"/>
  <c r="E16" i="16"/>
  <c r="E17" i="16"/>
  <c r="H17" i="16" s="1"/>
  <c r="K17" i="16" s="1"/>
  <c r="E13" i="16"/>
  <c r="C34" i="16" s="1"/>
  <c r="J46" i="20" l="1"/>
  <c r="K46" i="20"/>
  <c r="I46" i="20"/>
  <c r="H14" i="16"/>
  <c r="K14" i="16" s="1"/>
  <c r="J52" i="20"/>
  <c r="K52" i="20"/>
  <c r="G20" i="20"/>
  <c r="H46" i="20" s="1"/>
  <c r="J37" i="20"/>
  <c r="K37" i="20"/>
  <c r="H37" i="20"/>
  <c r="I37" i="20"/>
  <c r="I16" i="16"/>
  <c r="I13" i="16"/>
  <c r="I17" i="16"/>
  <c r="I14" i="16"/>
  <c r="H16" i="16"/>
  <c r="K16" i="16" s="1"/>
  <c r="H15" i="16"/>
  <c r="K15" i="16" s="1"/>
  <c r="H13" i="16"/>
  <c r="K35" i="16"/>
  <c r="G37" i="20" l="1"/>
  <c r="I52" i="20"/>
  <c r="H52" i="20"/>
  <c r="C36" i="16"/>
  <c r="D36" i="16" s="1"/>
  <c r="G20" i="16"/>
  <c r="G19" i="16"/>
  <c r="I19" i="16" l="1"/>
  <c r="E34" i="16" s="1"/>
  <c r="K45" i="16" s="1"/>
  <c r="D35" i="16"/>
  <c r="H20" i="16"/>
  <c r="I20" i="16"/>
  <c r="H19" i="16"/>
  <c r="D34" i="16"/>
  <c r="M12" i="14"/>
  <c r="J9" i="14" s="1"/>
  <c r="J13" i="16" s="1"/>
  <c r="J15" i="14" l="1"/>
  <c r="J20" i="16"/>
  <c r="K13" i="16"/>
  <c r="J19" i="16"/>
  <c r="E35" i="16"/>
  <c r="K42" i="16" s="1"/>
  <c r="D38" i="16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" i="14"/>
  <c r="K19" i="16" l="1"/>
  <c r="K20" i="16"/>
  <c r="K33" i="16" s="1"/>
  <c r="E38" i="16"/>
  <c r="M10" i="14"/>
  <c r="M9" i="14"/>
  <c r="K34" i="16" l="1"/>
  <c r="K36" i="16" s="1"/>
  <c r="K27" i="16" s="1"/>
  <c r="B6" i="13"/>
  <c r="C8" i="13"/>
  <c r="D8" i="13"/>
  <c r="E8" i="13"/>
  <c r="F8" i="13"/>
  <c r="G8" i="13"/>
  <c r="H8" i="13"/>
  <c r="I8" i="13"/>
  <c r="J8" i="13"/>
  <c r="K8" i="13"/>
  <c r="L8" i="13"/>
  <c r="B27" i="13"/>
  <c r="C74" i="6"/>
  <c r="D74" i="6"/>
  <c r="E74" i="6"/>
  <c r="F74" i="6"/>
  <c r="G74" i="6"/>
  <c r="H74" i="6"/>
  <c r="I74" i="6"/>
  <c r="J74" i="6"/>
  <c r="K74" i="6"/>
  <c r="B74" i="6"/>
  <c r="C76" i="6"/>
  <c r="D44" i="13" s="1"/>
  <c r="D76" i="6"/>
  <c r="E40" i="13" s="1"/>
  <c r="E76" i="6"/>
  <c r="F39" i="13" s="1"/>
  <c r="F76" i="6"/>
  <c r="G38" i="13" s="1"/>
  <c r="G76" i="6"/>
  <c r="H38" i="13" s="1"/>
  <c r="H76" i="6"/>
  <c r="I40" i="13" s="1"/>
  <c r="I76" i="6"/>
  <c r="J39" i="13" s="1"/>
  <c r="J76" i="6"/>
  <c r="K38" i="13" s="1"/>
  <c r="K76" i="6"/>
  <c r="L37" i="13" s="1"/>
  <c r="B76" i="6"/>
  <c r="C44" i="13" s="1"/>
  <c r="C33" i="13"/>
  <c r="D33" i="13"/>
  <c r="E33" i="13"/>
  <c r="F33" i="13"/>
  <c r="G33" i="13"/>
  <c r="H33" i="13"/>
  <c r="I33" i="13"/>
  <c r="J33" i="13"/>
  <c r="K33" i="13"/>
  <c r="L33" i="13"/>
  <c r="C34" i="13"/>
  <c r="D34" i="13"/>
  <c r="E34" i="13"/>
  <c r="F34" i="13"/>
  <c r="G34" i="13"/>
  <c r="H34" i="13"/>
  <c r="I34" i="13"/>
  <c r="J34" i="13"/>
  <c r="K34" i="13"/>
  <c r="L34" i="13"/>
  <c r="C35" i="13"/>
  <c r="D35" i="13"/>
  <c r="E35" i="13"/>
  <c r="F35" i="13"/>
  <c r="G35" i="13"/>
  <c r="H35" i="13"/>
  <c r="I35" i="13"/>
  <c r="J35" i="13"/>
  <c r="K35" i="13"/>
  <c r="L35" i="13"/>
  <c r="D32" i="13"/>
  <c r="E32" i="13"/>
  <c r="F32" i="13"/>
  <c r="G32" i="13"/>
  <c r="H32" i="13"/>
  <c r="I32" i="13"/>
  <c r="J32" i="13"/>
  <c r="K32" i="13"/>
  <c r="L32" i="13"/>
  <c r="C34" i="6"/>
  <c r="C32" i="13"/>
  <c r="D31" i="13"/>
  <c r="E31" i="13"/>
  <c r="F31" i="13"/>
  <c r="G31" i="13"/>
  <c r="H31" i="13"/>
  <c r="I31" i="13"/>
  <c r="J31" i="13"/>
  <c r="K31" i="13"/>
  <c r="L31" i="13"/>
  <c r="C31" i="13"/>
  <c r="B32" i="13"/>
  <c r="B33" i="13"/>
  <c r="B34" i="13"/>
  <c r="B35" i="13"/>
  <c r="B38" i="13"/>
  <c r="B39" i="13"/>
  <c r="B40" i="13"/>
  <c r="B41" i="13"/>
  <c r="B42" i="13"/>
  <c r="B43" i="13"/>
  <c r="B44" i="13"/>
  <c r="C41" i="13" l="1"/>
  <c r="L41" i="13"/>
  <c r="H41" i="13"/>
  <c r="D41" i="13"/>
  <c r="K41" i="13"/>
  <c r="G41" i="13"/>
  <c r="J42" i="13"/>
  <c r="C40" i="13"/>
  <c r="I43" i="13"/>
  <c r="E39" i="13"/>
  <c r="J41" i="13"/>
  <c r="F41" i="13"/>
  <c r="G43" i="13"/>
  <c r="G42" i="13"/>
  <c r="K39" i="13"/>
  <c r="J38" i="13"/>
  <c r="C43" i="13"/>
  <c r="E43" i="13"/>
  <c r="F42" i="13"/>
  <c r="I39" i="13"/>
  <c r="F38" i="13"/>
  <c r="K43" i="13"/>
  <c r="K42" i="13"/>
  <c r="G39" i="13"/>
  <c r="H37" i="13"/>
  <c r="D37" i="13"/>
  <c r="L44" i="13"/>
  <c r="H44" i="13"/>
  <c r="L40" i="13"/>
  <c r="H40" i="13"/>
  <c r="D40" i="13"/>
  <c r="K37" i="13"/>
  <c r="G37" i="13"/>
  <c r="C38" i="13"/>
  <c r="C42" i="13"/>
  <c r="K44" i="13"/>
  <c r="G44" i="13"/>
  <c r="L43" i="13"/>
  <c r="H43" i="13"/>
  <c r="D43" i="13"/>
  <c r="I42" i="13"/>
  <c r="E42" i="13"/>
  <c r="K40" i="13"/>
  <c r="G40" i="13"/>
  <c r="L39" i="13"/>
  <c r="H39" i="13"/>
  <c r="D39" i="13"/>
  <c r="I38" i="13"/>
  <c r="E38" i="13"/>
  <c r="J37" i="13"/>
  <c r="F37" i="13"/>
  <c r="J44" i="13"/>
  <c r="F44" i="13"/>
  <c r="L42" i="13"/>
  <c r="H42" i="13"/>
  <c r="D42" i="13"/>
  <c r="I41" i="13"/>
  <c r="E41" i="13"/>
  <c r="J40" i="13"/>
  <c r="F40" i="13"/>
  <c r="L38" i="13"/>
  <c r="D38" i="13"/>
  <c r="C37" i="13"/>
  <c r="I37" i="13"/>
  <c r="E37" i="13"/>
  <c r="C39" i="13"/>
  <c r="I44" i="13"/>
  <c r="E44" i="13"/>
  <c r="J43" i="13"/>
  <c r="F43" i="13"/>
  <c r="K28" i="16"/>
  <c r="K41" i="16" s="1"/>
  <c r="K47" i="16" s="1"/>
  <c r="D19" i="21" s="1"/>
  <c r="C11" i="13"/>
  <c r="D11" i="13"/>
  <c r="E11" i="13"/>
  <c r="F11" i="13"/>
  <c r="G11" i="13"/>
  <c r="H11" i="13"/>
  <c r="I11" i="13"/>
  <c r="J11" i="13"/>
  <c r="K11" i="13"/>
  <c r="L11" i="13"/>
  <c r="C12" i="13"/>
  <c r="D12" i="13"/>
  <c r="E12" i="13"/>
  <c r="F12" i="13"/>
  <c r="G12" i="13"/>
  <c r="H12" i="13"/>
  <c r="I12" i="13"/>
  <c r="J12" i="13"/>
  <c r="K12" i="13"/>
  <c r="L12" i="13"/>
  <c r="C13" i="13"/>
  <c r="D13" i="13"/>
  <c r="E13" i="13"/>
  <c r="F13" i="13"/>
  <c r="G13" i="13"/>
  <c r="H13" i="13"/>
  <c r="I13" i="13"/>
  <c r="J13" i="13"/>
  <c r="K13" i="13"/>
  <c r="L13" i="13"/>
  <c r="C14" i="13"/>
  <c r="D14" i="13"/>
  <c r="E14" i="13"/>
  <c r="F14" i="13"/>
  <c r="G14" i="13"/>
  <c r="H14" i="13"/>
  <c r="I14" i="13"/>
  <c r="J14" i="13"/>
  <c r="K14" i="13"/>
  <c r="L14" i="13"/>
  <c r="C15" i="13"/>
  <c r="D15" i="13"/>
  <c r="E15" i="13"/>
  <c r="F15" i="13"/>
  <c r="G15" i="13"/>
  <c r="H15" i="13"/>
  <c r="I15" i="13"/>
  <c r="J15" i="13"/>
  <c r="K15" i="13"/>
  <c r="L15" i="13"/>
  <c r="C16" i="13"/>
  <c r="D16" i="13"/>
  <c r="E16" i="13"/>
  <c r="F16" i="13"/>
  <c r="G16" i="13"/>
  <c r="H16" i="13"/>
  <c r="I16" i="13"/>
  <c r="J16" i="13"/>
  <c r="K16" i="13"/>
  <c r="L16" i="13"/>
  <c r="C17" i="13"/>
  <c r="D17" i="13"/>
  <c r="E17" i="13"/>
  <c r="F17" i="13"/>
  <c r="G17" i="13"/>
  <c r="H17" i="13"/>
  <c r="I17" i="13"/>
  <c r="J17" i="13"/>
  <c r="K17" i="13"/>
  <c r="L17" i="13"/>
  <c r="C18" i="13"/>
  <c r="D18" i="13"/>
  <c r="E18" i="13"/>
  <c r="F18" i="13"/>
  <c r="G18" i="13"/>
  <c r="H18" i="13"/>
  <c r="I18" i="13"/>
  <c r="J18" i="13"/>
  <c r="K18" i="13"/>
  <c r="L18" i="13"/>
  <c r="C19" i="13"/>
  <c r="D19" i="13"/>
  <c r="E19" i="13"/>
  <c r="F19" i="13"/>
  <c r="G19" i="13"/>
  <c r="H19" i="13"/>
  <c r="I19" i="13"/>
  <c r="J19" i="13"/>
  <c r="K19" i="13"/>
  <c r="L19" i="13"/>
  <c r="C20" i="13"/>
  <c r="D20" i="13"/>
  <c r="E20" i="13"/>
  <c r="F20" i="13"/>
  <c r="G20" i="13"/>
  <c r="H20" i="13"/>
  <c r="I20" i="13"/>
  <c r="J20" i="13"/>
  <c r="K20" i="13"/>
  <c r="L20" i="13"/>
  <c r="C21" i="13"/>
  <c r="D21" i="13"/>
  <c r="E21" i="13"/>
  <c r="F21" i="13"/>
  <c r="G21" i="13"/>
  <c r="H21" i="13"/>
  <c r="I21" i="13"/>
  <c r="J21" i="13"/>
  <c r="K21" i="13"/>
  <c r="L21" i="13"/>
  <c r="C22" i="13"/>
  <c r="D22" i="13"/>
  <c r="E22" i="13"/>
  <c r="F22" i="13"/>
  <c r="G22" i="13"/>
  <c r="H22" i="13"/>
  <c r="I22" i="13"/>
  <c r="J22" i="13"/>
  <c r="K22" i="13"/>
  <c r="L22" i="13"/>
  <c r="C23" i="13"/>
  <c r="D23" i="13"/>
  <c r="E23" i="13"/>
  <c r="F23" i="13"/>
  <c r="G23" i="13"/>
  <c r="H23" i="13"/>
  <c r="I23" i="13"/>
  <c r="J23" i="13"/>
  <c r="K23" i="13"/>
  <c r="L23" i="13"/>
  <c r="C24" i="13"/>
  <c r="D24" i="13"/>
  <c r="E24" i="13"/>
  <c r="F24" i="13"/>
  <c r="G24" i="13"/>
  <c r="H24" i="13"/>
  <c r="I24" i="13"/>
  <c r="J24" i="13"/>
  <c r="K24" i="13"/>
  <c r="L24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C32" i="6"/>
  <c r="D25" i="13" s="1"/>
  <c r="D32" i="6"/>
  <c r="E25" i="13" s="1"/>
  <c r="E32" i="6"/>
  <c r="F25" i="13" s="1"/>
  <c r="F32" i="6"/>
  <c r="G25" i="13" s="1"/>
  <c r="G32" i="6"/>
  <c r="H25" i="13" s="1"/>
  <c r="H32" i="6"/>
  <c r="I25" i="13" s="1"/>
  <c r="I32" i="6"/>
  <c r="J25" i="13" s="1"/>
  <c r="J32" i="6"/>
  <c r="K25" i="13" s="1"/>
  <c r="K32" i="6"/>
  <c r="E7" i="21" s="1"/>
  <c r="E9" i="21" s="1"/>
  <c r="B32" i="6"/>
  <c r="C25" i="13" s="1"/>
  <c r="L25" i="13" l="1"/>
  <c r="J13" i="21"/>
  <c r="I13" i="21"/>
  <c r="H13" i="21"/>
  <c r="F13" i="21"/>
  <c r="G13" i="21"/>
  <c r="D10" i="13"/>
  <c r="E10" i="13"/>
  <c r="F10" i="13"/>
  <c r="G10" i="13"/>
  <c r="H10" i="13"/>
  <c r="I10" i="13"/>
  <c r="J10" i="13"/>
  <c r="K10" i="13"/>
  <c r="L10" i="13"/>
  <c r="C10" i="13"/>
  <c r="B10" i="13"/>
  <c r="D29" i="13" l="1"/>
  <c r="E29" i="13"/>
  <c r="F29" i="13"/>
  <c r="G29" i="13"/>
  <c r="H29" i="13"/>
  <c r="I29" i="13"/>
  <c r="J29" i="13"/>
  <c r="K29" i="13"/>
  <c r="L29" i="13"/>
  <c r="C29" i="13"/>
  <c r="L6" i="11" l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L9" i="11"/>
  <c r="L10" i="11" s="1"/>
  <c r="L11" i="11" s="1"/>
  <c r="L12" i="11" s="1"/>
  <c r="L13" i="11" s="1"/>
  <c r="L14" i="11" s="1"/>
  <c r="L15" i="11" s="1"/>
  <c r="L16" i="11" s="1"/>
  <c r="L17" i="11" s="1"/>
  <c r="L18" i="11" s="1"/>
  <c r="G6" i="11"/>
  <c r="B6" i="11"/>
  <c r="H9" i="11"/>
  <c r="H10" i="11" s="1"/>
  <c r="H11" i="11" s="1"/>
  <c r="H12" i="11" s="1"/>
  <c r="H13" i="11" s="1"/>
  <c r="H14" i="11" s="1"/>
  <c r="H15" i="11" s="1"/>
  <c r="H16" i="11" s="1"/>
  <c r="H17" i="11" s="1"/>
  <c r="H18" i="11" s="1"/>
  <c r="H19" i="11" s="1"/>
  <c r="H20" i="11" s="1"/>
  <c r="H21" i="11" s="1"/>
  <c r="H22" i="11" s="1"/>
  <c r="G9" i="11"/>
  <c r="G10" i="11" s="1"/>
  <c r="G11" i="11" s="1"/>
  <c r="G12" i="11" s="1"/>
  <c r="G13" i="11" s="1"/>
  <c r="G14" i="11" s="1"/>
  <c r="G15" i="11" s="1"/>
  <c r="G16" i="11" s="1"/>
  <c r="G17" i="11" s="1"/>
  <c r="G18" i="11" s="1"/>
  <c r="E10" i="11"/>
  <c r="E11" i="11"/>
  <c r="E12" i="11"/>
  <c r="E13" i="11"/>
  <c r="E14" i="11"/>
  <c r="E15" i="11"/>
  <c r="E16" i="11"/>
  <c r="E17" i="11"/>
  <c r="E9" i="11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B9" i="11"/>
  <c r="B10" i="11" s="1"/>
  <c r="B11" i="11" s="1"/>
  <c r="B12" i="11" s="1"/>
  <c r="B13" i="11" s="1"/>
  <c r="B14" i="11" s="1"/>
  <c r="B15" i="11" s="1"/>
  <c r="B16" i="11" s="1"/>
  <c r="B17" i="11" s="1"/>
  <c r="B18" i="11" s="1"/>
  <c r="B19" i="11" l="1"/>
  <c r="D18" i="11"/>
  <c r="E18" i="11" s="1"/>
  <c r="L19" i="11"/>
  <c r="G19" i="11"/>
  <c r="B6" i="9"/>
  <c r="L7" i="9"/>
  <c r="K7" i="9"/>
  <c r="J7" i="9"/>
  <c r="I7" i="9"/>
  <c r="H7" i="9"/>
  <c r="G7" i="9"/>
  <c r="F7" i="9"/>
  <c r="E7" i="9"/>
  <c r="D7" i="9"/>
  <c r="C7" i="9"/>
  <c r="I19" i="7"/>
  <c r="D77" i="7"/>
  <c r="E77" i="7"/>
  <c r="F77" i="7"/>
  <c r="G77" i="7"/>
  <c r="H77" i="7"/>
  <c r="I77" i="7"/>
  <c r="J77" i="7"/>
  <c r="K77" i="7"/>
  <c r="L77" i="7"/>
  <c r="C77" i="7"/>
  <c r="D75" i="7"/>
  <c r="E75" i="7"/>
  <c r="F75" i="7"/>
  <c r="G75" i="7"/>
  <c r="H75" i="7"/>
  <c r="I75" i="7"/>
  <c r="J75" i="7"/>
  <c r="K75" i="7"/>
  <c r="L75" i="7"/>
  <c r="C75" i="7"/>
  <c r="D73" i="7"/>
  <c r="E73" i="7"/>
  <c r="F73" i="7"/>
  <c r="G73" i="7"/>
  <c r="H73" i="7"/>
  <c r="I73" i="7"/>
  <c r="J73" i="7"/>
  <c r="K73" i="7"/>
  <c r="L73" i="7"/>
  <c r="C73" i="7"/>
  <c r="B20" i="11" l="1"/>
  <c r="D19" i="11"/>
  <c r="E19" i="11" s="1"/>
  <c r="L20" i="11"/>
  <c r="G20" i="11"/>
  <c r="D40" i="7"/>
  <c r="E40" i="7"/>
  <c r="F40" i="7"/>
  <c r="G40" i="7"/>
  <c r="H40" i="7"/>
  <c r="I40" i="7"/>
  <c r="J40" i="7"/>
  <c r="K40" i="7"/>
  <c r="L40" i="7"/>
  <c r="C40" i="7"/>
  <c r="B21" i="11" l="1"/>
  <c r="D20" i="11"/>
  <c r="E20" i="11" s="1"/>
  <c r="L21" i="11"/>
  <c r="G21" i="11"/>
  <c r="L79" i="7"/>
  <c r="H13" i="7"/>
  <c r="D60" i="7"/>
  <c r="E60" i="7"/>
  <c r="F60" i="7"/>
  <c r="G60" i="7"/>
  <c r="H60" i="7"/>
  <c r="I60" i="7"/>
  <c r="J60" i="7"/>
  <c r="K60" i="7"/>
  <c r="L60" i="7"/>
  <c r="C60" i="7"/>
  <c r="D63" i="7"/>
  <c r="E63" i="7"/>
  <c r="F63" i="7"/>
  <c r="G63" i="7"/>
  <c r="H63" i="7"/>
  <c r="I63" i="7"/>
  <c r="J63" i="7"/>
  <c r="K63" i="7"/>
  <c r="L63" i="7"/>
  <c r="D64" i="7"/>
  <c r="E64" i="7"/>
  <c r="F64" i="7"/>
  <c r="G64" i="7"/>
  <c r="H64" i="7"/>
  <c r="I64" i="7"/>
  <c r="J64" i="7"/>
  <c r="K64" i="7"/>
  <c r="L64" i="7"/>
  <c r="D65" i="7"/>
  <c r="E65" i="7"/>
  <c r="F65" i="7"/>
  <c r="G65" i="7"/>
  <c r="H65" i="7"/>
  <c r="I65" i="7"/>
  <c r="J65" i="7"/>
  <c r="K65" i="7"/>
  <c r="L65" i="7"/>
  <c r="C64" i="7"/>
  <c r="C65" i="7"/>
  <c r="C63" i="7"/>
  <c r="C58" i="7"/>
  <c r="D58" i="7"/>
  <c r="E58" i="7"/>
  <c r="F58" i="7"/>
  <c r="G58" i="7"/>
  <c r="H58" i="7"/>
  <c r="I58" i="7"/>
  <c r="J58" i="7"/>
  <c r="K58" i="7"/>
  <c r="L58" i="7"/>
  <c r="C59" i="7"/>
  <c r="D59" i="7"/>
  <c r="E59" i="7"/>
  <c r="F59" i="7"/>
  <c r="G59" i="7"/>
  <c r="H59" i="7"/>
  <c r="I59" i="7"/>
  <c r="J59" i="7"/>
  <c r="K59" i="7"/>
  <c r="L59" i="7"/>
  <c r="C57" i="7"/>
  <c r="D57" i="7"/>
  <c r="E57" i="7"/>
  <c r="F57" i="7"/>
  <c r="G57" i="7"/>
  <c r="H57" i="7"/>
  <c r="I57" i="7"/>
  <c r="J57" i="7"/>
  <c r="K57" i="7"/>
  <c r="L57" i="7"/>
  <c r="C52" i="7"/>
  <c r="D52" i="7"/>
  <c r="E52" i="7"/>
  <c r="F52" i="7"/>
  <c r="G52" i="7"/>
  <c r="H52" i="7"/>
  <c r="I52" i="7"/>
  <c r="J52" i="7"/>
  <c r="K52" i="7"/>
  <c r="L52" i="7"/>
  <c r="C53" i="7"/>
  <c r="C44" i="9" s="1"/>
  <c r="D53" i="7"/>
  <c r="D44" i="9" s="1"/>
  <c r="E53" i="7"/>
  <c r="E44" i="9" s="1"/>
  <c r="F53" i="7"/>
  <c r="F44" i="9" s="1"/>
  <c r="G53" i="7"/>
  <c r="G44" i="9" s="1"/>
  <c r="H53" i="7"/>
  <c r="H44" i="9" s="1"/>
  <c r="I53" i="7"/>
  <c r="I44" i="9" s="1"/>
  <c r="J53" i="7"/>
  <c r="J44" i="9" s="1"/>
  <c r="K53" i="7"/>
  <c r="K44" i="9" s="1"/>
  <c r="L53" i="7"/>
  <c r="C54" i="7"/>
  <c r="D54" i="7"/>
  <c r="E54" i="7"/>
  <c r="F54" i="7"/>
  <c r="G54" i="7"/>
  <c r="H54" i="7"/>
  <c r="I54" i="7"/>
  <c r="J54" i="7"/>
  <c r="K54" i="7"/>
  <c r="L54" i="7"/>
  <c r="C55" i="7"/>
  <c r="D55" i="7"/>
  <c r="E55" i="7"/>
  <c r="F55" i="7"/>
  <c r="G55" i="7"/>
  <c r="H55" i="7"/>
  <c r="I55" i="7"/>
  <c r="J55" i="7"/>
  <c r="K55" i="7"/>
  <c r="L55" i="7"/>
  <c r="D51" i="7"/>
  <c r="E51" i="7"/>
  <c r="F51" i="7"/>
  <c r="G51" i="7"/>
  <c r="H51" i="7"/>
  <c r="I51" i="7"/>
  <c r="J51" i="7"/>
  <c r="K51" i="7"/>
  <c r="L51" i="7"/>
  <c r="C51" i="7"/>
  <c r="D45" i="7"/>
  <c r="D13" i="9" s="1"/>
  <c r="E45" i="7"/>
  <c r="E13" i="9" s="1"/>
  <c r="F45" i="7"/>
  <c r="F13" i="9" s="1"/>
  <c r="G45" i="7"/>
  <c r="G13" i="9" s="1"/>
  <c r="H45" i="7"/>
  <c r="H13" i="9" s="1"/>
  <c r="I45" i="7"/>
  <c r="I13" i="9" s="1"/>
  <c r="J45" i="7"/>
  <c r="J13" i="9" s="1"/>
  <c r="K45" i="7"/>
  <c r="K13" i="9" s="1"/>
  <c r="L45" i="7"/>
  <c r="L13" i="9" s="1"/>
  <c r="C45" i="7"/>
  <c r="C34" i="7"/>
  <c r="B22" i="11" l="1"/>
  <c r="D22" i="11" s="1"/>
  <c r="D21" i="11"/>
  <c r="E21" i="11" s="1"/>
  <c r="L44" i="9"/>
  <c r="N44" i="9" s="1"/>
  <c r="D37" i="21"/>
  <c r="L22" i="11"/>
  <c r="G22" i="11"/>
  <c r="O44" i="9"/>
  <c r="J61" i="7"/>
  <c r="F61" i="7"/>
  <c r="I61" i="7"/>
  <c r="E61" i="7"/>
  <c r="C61" i="7"/>
  <c r="J66" i="7"/>
  <c r="F66" i="7"/>
  <c r="H79" i="7"/>
  <c r="D79" i="7"/>
  <c r="L66" i="7"/>
  <c r="H66" i="7"/>
  <c r="D66" i="7"/>
  <c r="K79" i="7"/>
  <c r="L61" i="7"/>
  <c r="H61" i="7"/>
  <c r="D61" i="7"/>
  <c r="C66" i="7"/>
  <c r="C68" i="7" s="1"/>
  <c r="I66" i="7"/>
  <c r="E66" i="7"/>
  <c r="K66" i="7"/>
  <c r="G66" i="7"/>
  <c r="J79" i="7"/>
  <c r="K61" i="7"/>
  <c r="G61" i="7"/>
  <c r="I79" i="7"/>
  <c r="E79" i="7"/>
  <c r="D34" i="7"/>
  <c r="E34" i="7"/>
  <c r="F34" i="7"/>
  <c r="G34" i="7"/>
  <c r="H34" i="7"/>
  <c r="I34" i="7"/>
  <c r="J34" i="7"/>
  <c r="K34" i="7"/>
  <c r="L34" i="7"/>
  <c r="E22" i="11" l="1"/>
  <c r="J68" i="7"/>
  <c r="J70" i="7"/>
  <c r="J43" i="9"/>
  <c r="E68" i="7"/>
  <c r="C70" i="7"/>
  <c r="C43" i="9"/>
  <c r="F68" i="7"/>
  <c r="I68" i="7"/>
  <c r="H68" i="7"/>
  <c r="D68" i="7"/>
  <c r="K68" i="7"/>
  <c r="G68" i="7"/>
  <c r="F79" i="7"/>
  <c r="G79" i="7"/>
  <c r="L68" i="7"/>
  <c r="C79" i="7"/>
  <c r="D28" i="7"/>
  <c r="E28" i="7"/>
  <c r="F28" i="7"/>
  <c r="G28" i="7"/>
  <c r="H28" i="7"/>
  <c r="I28" i="7"/>
  <c r="J28" i="7"/>
  <c r="K28" i="7"/>
  <c r="L28" i="7"/>
  <c r="C28" i="7"/>
  <c r="D25" i="7"/>
  <c r="E25" i="7"/>
  <c r="F25" i="7"/>
  <c r="G25" i="7"/>
  <c r="H25" i="7"/>
  <c r="I25" i="7"/>
  <c r="J25" i="7"/>
  <c r="K25" i="7"/>
  <c r="L25" i="7"/>
  <c r="C25" i="7"/>
  <c r="D19" i="7"/>
  <c r="E19" i="7"/>
  <c r="F19" i="7"/>
  <c r="G19" i="7"/>
  <c r="H19" i="7"/>
  <c r="J19" i="7"/>
  <c r="K19" i="7"/>
  <c r="L19" i="7"/>
  <c r="C19" i="7"/>
  <c r="G70" i="7" l="1"/>
  <c r="G43" i="9"/>
  <c r="E70" i="7"/>
  <c r="E43" i="9"/>
  <c r="L70" i="7"/>
  <c r="L43" i="9"/>
  <c r="K70" i="7"/>
  <c r="K43" i="9"/>
  <c r="F70" i="7"/>
  <c r="F43" i="9"/>
  <c r="H70" i="7"/>
  <c r="H43" i="9"/>
  <c r="I70" i="7"/>
  <c r="I43" i="9"/>
  <c r="D70" i="7"/>
  <c r="D43" i="9"/>
  <c r="D13" i="7"/>
  <c r="E13" i="7"/>
  <c r="F13" i="7"/>
  <c r="G13" i="7"/>
  <c r="I13" i="7"/>
  <c r="J13" i="7"/>
  <c r="K13" i="7"/>
  <c r="L13" i="7"/>
  <c r="C13" i="7"/>
  <c r="D10" i="7"/>
  <c r="E10" i="7"/>
  <c r="F10" i="7"/>
  <c r="G10" i="7"/>
  <c r="H10" i="7"/>
  <c r="I10" i="7"/>
  <c r="J10" i="7"/>
  <c r="K10" i="7"/>
  <c r="L10" i="7"/>
  <c r="C10" i="7"/>
  <c r="C7" i="7"/>
  <c r="D7" i="7"/>
  <c r="E7" i="7"/>
  <c r="F7" i="7"/>
  <c r="G7" i="7"/>
  <c r="H7" i="7"/>
  <c r="I7" i="7"/>
  <c r="J7" i="7"/>
  <c r="K7" i="7"/>
  <c r="L7" i="7"/>
  <c r="B6" i="7"/>
  <c r="L35" i="9" l="1"/>
  <c r="L31" i="9"/>
  <c r="L37" i="9" s="1"/>
  <c r="L33" i="9"/>
  <c r="L39" i="9" s="1"/>
  <c r="L34" i="9"/>
  <c r="L32" i="9"/>
  <c r="L38" i="9" s="1"/>
  <c r="L42" i="9"/>
  <c r="D29" i="7"/>
  <c r="D22" i="9" s="1"/>
  <c r="D35" i="9"/>
  <c r="D31" i="9"/>
  <c r="D37" i="9" s="1"/>
  <c r="D33" i="9"/>
  <c r="D39" i="9" s="1"/>
  <c r="D34" i="9"/>
  <c r="D32" i="9"/>
  <c r="D38" i="9" s="1"/>
  <c r="D42" i="9"/>
  <c r="J20" i="7"/>
  <c r="J21" i="9" s="1"/>
  <c r="J33" i="9"/>
  <c r="J39" i="9" s="1"/>
  <c r="J35" i="9"/>
  <c r="J31" i="9"/>
  <c r="J37" i="9" s="1"/>
  <c r="J34" i="9"/>
  <c r="J32" i="9"/>
  <c r="J38" i="9" s="1"/>
  <c r="J42" i="9"/>
  <c r="H29" i="7"/>
  <c r="H22" i="9" s="1"/>
  <c r="H35" i="9"/>
  <c r="H31" i="9"/>
  <c r="H37" i="9" s="1"/>
  <c r="H33" i="9"/>
  <c r="H39" i="9" s="1"/>
  <c r="H34" i="9"/>
  <c r="H32" i="9"/>
  <c r="H38" i="9" s="1"/>
  <c r="H42" i="9"/>
  <c r="K32" i="9"/>
  <c r="K38" i="9" s="1"/>
  <c r="K34" i="9"/>
  <c r="K35" i="9"/>
  <c r="K31" i="9"/>
  <c r="K37" i="9" s="1"/>
  <c r="K33" i="9"/>
  <c r="K39" i="9" s="1"/>
  <c r="K42" i="9"/>
  <c r="G32" i="9"/>
  <c r="G38" i="9" s="1"/>
  <c r="G34" i="9"/>
  <c r="G31" i="9"/>
  <c r="G37" i="9" s="1"/>
  <c r="G35" i="9"/>
  <c r="G33" i="9"/>
  <c r="G39" i="9" s="1"/>
  <c r="G42" i="9"/>
  <c r="F20" i="7"/>
  <c r="F21" i="9" s="1"/>
  <c r="F33" i="9"/>
  <c r="F39" i="9" s="1"/>
  <c r="F35" i="9"/>
  <c r="F31" i="9"/>
  <c r="F37" i="9" s="1"/>
  <c r="F32" i="9"/>
  <c r="F38" i="9" s="1"/>
  <c r="F34" i="9"/>
  <c r="F42" i="9"/>
  <c r="C26" i="7"/>
  <c r="C32" i="9"/>
  <c r="C34" i="9"/>
  <c r="C31" i="9"/>
  <c r="C35" i="9"/>
  <c r="C33" i="9"/>
  <c r="C42" i="9"/>
  <c r="I20" i="7"/>
  <c r="I21" i="9" s="1"/>
  <c r="I34" i="9"/>
  <c r="I32" i="9"/>
  <c r="I38" i="9" s="1"/>
  <c r="I33" i="9"/>
  <c r="I39" i="9" s="1"/>
  <c r="I31" i="9"/>
  <c r="I37" i="9" s="1"/>
  <c r="I35" i="9"/>
  <c r="I42" i="9"/>
  <c r="E34" i="9"/>
  <c r="E32" i="9"/>
  <c r="E38" i="9" s="1"/>
  <c r="E33" i="9"/>
  <c r="E39" i="9" s="1"/>
  <c r="E35" i="9"/>
  <c r="E31" i="9"/>
  <c r="E37" i="9" s="1"/>
  <c r="E42" i="9"/>
  <c r="L29" i="7"/>
  <c r="L22" i="9" s="1"/>
  <c r="E16" i="7"/>
  <c r="E17" i="7" s="1"/>
  <c r="E15" i="9" s="1"/>
  <c r="K14" i="7"/>
  <c r="H14" i="7"/>
  <c r="D14" i="7"/>
  <c r="L14" i="7"/>
  <c r="G14" i="7"/>
  <c r="J16" i="7"/>
  <c r="C14" i="7"/>
  <c r="I14" i="7"/>
  <c r="E14" i="7"/>
  <c r="F16" i="7"/>
  <c r="F17" i="7" s="1"/>
  <c r="F15" i="9" s="1"/>
  <c r="J26" i="7"/>
  <c r="D20" i="7"/>
  <c r="D21" i="9" s="1"/>
  <c r="L11" i="7"/>
  <c r="L9" i="9" s="1"/>
  <c r="H11" i="7"/>
  <c r="H9" i="9" s="1"/>
  <c r="I16" i="7"/>
  <c r="I17" i="7" s="1"/>
  <c r="I15" i="9" s="1"/>
  <c r="D26" i="7"/>
  <c r="C20" i="7"/>
  <c r="C21" i="9" s="1"/>
  <c r="J14" i="7"/>
  <c r="F14" i="7"/>
  <c r="L16" i="7"/>
  <c r="L17" i="7" s="1"/>
  <c r="L15" i="9" s="1"/>
  <c r="H16" i="7"/>
  <c r="H17" i="7" s="1"/>
  <c r="H15" i="9" s="1"/>
  <c r="D16" i="7"/>
  <c r="D17" i="7" s="1"/>
  <c r="D15" i="9" s="1"/>
  <c r="H26" i="7"/>
  <c r="E29" i="7"/>
  <c r="E22" i="9" s="1"/>
  <c r="H20" i="7"/>
  <c r="H21" i="9" s="1"/>
  <c r="E26" i="7"/>
  <c r="J29" i="7"/>
  <c r="J22" i="9" s="1"/>
  <c r="I11" i="7"/>
  <c r="I9" i="9" s="1"/>
  <c r="E11" i="7"/>
  <c r="E9" i="9" s="1"/>
  <c r="I26" i="7"/>
  <c r="C29" i="7"/>
  <c r="C22" i="9" s="1"/>
  <c r="E20" i="7"/>
  <c r="E21" i="9" s="1"/>
  <c r="C16" i="7"/>
  <c r="L20" i="7"/>
  <c r="L21" i="9" s="1"/>
  <c r="K20" i="7"/>
  <c r="K21" i="9" s="1"/>
  <c r="K26" i="7"/>
  <c r="K29" i="7"/>
  <c r="K22" i="9" s="1"/>
  <c r="G20" i="7"/>
  <c r="G21" i="9" s="1"/>
  <c r="G29" i="7"/>
  <c r="G22" i="9" s="1"/>
  <c r="G26" i="7"/>
  <c r="K11" i="7"/>
  <c r="K9" i="9" s="1"/>
  <c r="G11" i="7"/>
  <c r="G9" i="9" s="1"/>
  <c r="D11" i="7"/>
  <c r="D9" i="9" s="1"/>
  <c r="J11" i="7"/>
  <c r="J9" i="9" s="1"/>
  <c r="F11" i="7"/>
  <c r="F9" i="9" s="1"/>
  <c r="K16" i="7"/>
  <c r="K17" i="7" s="1"/>
  <c r="K15" i="9" s="1"/>
  <c r="G16" i="7"/>
  <c r="G17" i="7" s="1"/>
  <c r="G15" i="9" s="1"/>
  <c r="L26" i="7"/>
  <c r="I29" i="7"/>
  <c r="I22" i="9" s="1"/>
  <c r="F29" i="7"/>
  <c r="F22" i="9" s="1"/>
  <c r="F26" i="7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B6" i="6"/>
  <c r="D39" i="21" s="1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F4" i="2"/>
  <c r="G4" i="2"/>
  <c r="H4" i="2"/>
  <c r="I4" i="2"/>
  <c r="I5" i="2"/>
  <c r="J4" i="2"/>
  <c r="J5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D14" i="3" s="1"/>
  <c r="E4" i="3"/>
  <c r="F4" i="3"/>
  <c r="G4" i="3"/>
  <c r="H4" i="3"/>
  <c r="H14" i="3" s="1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J6" i="1" s="1"/>
  <c r="J19" i="1" s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D26" i="1" s="1"/>
  <c r="E11" i="1"/>
  <c r="E26" i="1" s="1"/>
  <c r="F11" i="1"/>
  <c r="G11" i="1"/>
  <c r="H11" i="1"/>
  <c r="H26" i="1" s="1"/>
  <c r="I11" i="1"/>
  <c r="I26" i="1" s="1"/>
  <c r="J11" i="1"/>
  <c r="K11" i="1"/>
  <c r="C12" i="1"/>
  <c r="C13" i="1" s="1"/>
  <c r="D12" i="1"/>
  <c r="D23" i="2" s="1"/>
  <c r="E12" i="1"/>
  <c r="F12" i="1"/>
  <c r="F13" i="1" s="1"/>
  <c r="G12" i="1"/>
  <c r="H12" i="1"/>
  <c r="H13" i="1" s="1"/>
  <c r="I12" i="1"/>
  <c r="I13" i="1" s="1"/>
  <c r="J12" i="1"/>
  <c r="J13" i="1" s="1"/>
  <c r="K12" i="1"/>
  <c r="K13" i="1" s="1"/>
  <c r="C15" i="1"/>
  <c r="C14" i="1" s="1"/>
  <c r="D15" i="1"/>
  <c r="E15" i="1"/>
  <c r="F15" i="1"/>
  <c r="F14" i="1" s="1"/>
  <c r="G15" i="1"/>
  <c r="H15" i="1"/>
  <c r="I15" i="1"/>
  <c r="J15" i="1"/>
  <c r="K15" i="1"/>
  <c r="K14" i="1" s="1"/>
  <c r="B15" i="1"/>
  <c r="B14" i="1" s="1"/>
  <c r="B7" i="1"/>
  <c r="B4" i="1"/>
  <c r="A1" i="1"/>
  <c r="A1" i="3" s="1"/>
  <c r="E1" i="6"/>
  <c r="H1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B18" i="2"/>
  <c r="B13" i="2"/>
  <c r="B12" i="2"/>
  <c r="B11" i="2"/>
  <c r="B10" i="2"/>
  <c r="B8" i="2"/>
  <c r="B7" i="2"/>
  <c r="B6" i="2"/>
  <c r="B3" i="2"/>
  <c r="B12" i="3"/>
  <c r="B11" i="3"/>
  <c r="B10" i="3"/>
  <c r="B9" i="3"/>
  <c r="B8" i="3"/>
  <c r="B7" i="3"/>
  <c r="B4" i="3"/>
  <c r="B3" i="3"/>
  <c r="L15" i="1"/>
  <c r="B12" i="1"/>
  <c r="B13" i="1" s="1"/>
  <c r="B11" i="1"/>
  <c r="B10" i="1"/>
  <c r="B9" i="1"/>
  <c r="B8" i="1"/>
  <c r="B3" i="1"/>
  <c r="C23" i="2" l="1"/>
  <c r="K16" i="3"/>
  <c r="I21" i="2"/>
  <c r="E20" i="2"/>
  <c r="L12" i="1"/>
  <c r="L13" i="1" s="1"/>
  <c r="L14" i="1" s="1"/>
  <c r="L25" i="1" s="1"/>
  <c r="J16" i="3"/>
  <c r="F16" i="3"/>
  <c r="D20" i="2"/>
  <c r="G6" i="1"/>
  <c r="G19" i="1" s="1"/>
  <c r="J23" i="1"/>
  <c r="G16" i="3"/>
  <c r="E1" i="3"/>
  <c r="K26" i="1"/>
  <c r="G26" i="1"/>
  <c r="C26" i="1"/>
  <c r="J40" i="9"/>
  <c r="K40" i="9"/>
  <c r="B26" i="1"/>
  <c r="B14" i="3"/>
  <c r="E21" i="2"/>
  <c r="D40" i="9"/>
  <c r="A1" i="2"/>
  <c r="A1" i="4" s="1"/>
  <c r="E1" i="2"/>
  <c r="I16" i="3"/>
  <c r="E16" i="3"/>
  <c r="J21" i="2"/>
  <c r="B21" i="2"/>
  <c r="I6" i="1"/>
  <c r="I19" i="1" s="1"/>
  <c r="J26" i="1"/>
  <c r="F26" i="1"/>
  <c r="H16" i="3"/>
  <c r="D16" i="3"/>
  <c r="D17" i="3" s="1"/>
  <c r="H16" i="2"/>
  <c r="L10" i="1"/>
  <c r="L5" i="1"/>
  <c r="I14" i="3"/>
  <c r="E14" i="3"/>
  <c r="J16" i="2"/>
  <c r="F16" i="2"/>
  <c r="H21" i="2"/>
  <c r="D21" i="2"/>
  <c r="D6" i="1"/>
  <c r="D19" i="1" s="1"/>
  <c r="C17" i="7"/>
  <c r="C15" i="9" s="1"/>
  <c r="C22" i="7"/>
  <c r="O9" i="9"/>
  <c r="N9" i="9"/>
  <c r="O35" i="9"/>
  <c r="N35" i="9"/>
  <c r="L4" i="1"/>
  <c r="L23" i="1" s="1"/>
  <c r="B20" i="2"/>
  <c r="N42" i="9"/>
  <c r="O34" i="9"/>
  <c r="N34" i="9"/>
  <c r="E40" i="9"/>
  <c r="C37" i="9"/>
  <c r="H40" i="9"/>
  <c r="F21" i="2"/>
  <c r="B6" i="1"/>
  <c r="B19" i="1" s="1"/>
  <c r="E6" i="1"/>
  <c r="E19" i="1" s="1"/>
  <c r="K21" i="2"/>
  <c r="G21" i="2"/>
  <c r="C6" i="1"/>
  <c r="C19" i="1" s="1"/>
  <c r="L11" i="1"/>
  <c r="J14" i="3"/>
  <c r="F14" i="3"/>
  <c r="K16" i="2"/>
  <c r="C16" i="2"/>
  <c r="D16" i="2"/>
  <c r="H23" i="2"/>
  <c r="F23" i="2"/>
  <c r="L6" i="1"/>
  <c r="L19" i="1" s="1"/>
  <c r="L24" i="1" s="1"/>
  <c r="G14" i="3"/>
  <c r="I40" i="9"/>
  <c r="C39" i="9"/>
  <c r="O42" i="9" s="1"/>
  <c r="O33" i="9"/>
  <c r="N33" i="9"/>
  <c r="C38" i="9"/>
  <c r="F40" i="9"/>
  <c r="G40" i="9"/>
  <c r="L40" i="9"/>
  <c r="E22" i="7"/>
  <c r="E31" i="7" s="1"/>
  <c r="I23" i="1"/>
  <c r="K20" i="2"/>
  <c r="K6" i="1"/>
  <c r="K19" i="1" s="1"/>
  <c r="F20" i="2"/>
  <c r="E23" i="2"/>
  <c r="H23" i="1"/>
  <c r="C20" i="2"/>
  <c r="G20" i="2"/>
  <c r="C21" i="2"/>
  <c r="G23" i="2"/>
  <c r="J20" i="2"/>
  <c r="J14" i="1"/>
  <c r="K14" i="3"/>
  <c r="C14" i="3"/>
  <c r="I16" i="2"/>
  <c r="J22" i="7"/>
  <c r="J17" i="7"/>
  <c r="J15" i="9" s="1"/>
  <c r="F22" i="7"/>
  <c r="K22" i="7"/>
  <c r="D22" i="7"/>
  <c r="H22" i="7"/>
  <c r="L22" i="7"/>
  <c r="G22" i="7"/>
  <c r="I22" i="7"/>
  <c r="B16" i="2"/>
  <c r="B23" i="2"/>
  <c r="H14" i="1"/>
  <c r="G16" i="2"/>
  <c r="G24" i="2"/>
  <c r="E24" i="2"/>
  <c r="G13" i="1"/>
  <c r="G14" i="1" s="1"/>
  <c r="D13" i="1"/>
  <c r="E13" i="1" s="1"/>
  <c r="E14" i="1" s="1"/>
  <c r="L9" i="1"/>
  <c r="M9" i="1" s="1"/>
  <c r="L8" i="1"/>
  <c r="N8" i="1" s="1"/>
  <c r="L7" i="1"/>
  <c r="E16" i="2"/>
  <c r="J23" i="2"/>
  <c r="J24" i="2"/>
  <c r="D24" i="2"/>
  <c r="K24" i="2"/>
  <c r="I24" i="2"/>
  <c r="K23" i="2"/>
  <c r="I14" i="1"/>
  <c r="C24" i="2"/>
  <c r="I23" i="2"/>
  <c r="H24" i="2"/>
  <c r="F24" i="2"/>
  <c r="N9" i="1"/>
  <c r="I20" i="2"/>
  <c r="H20" i="2"/>
  <c r="K23" i="1"/>
  <c r="H6" i="1"/>
  <c r="H19" i="1" s="1"/>
  <c r="F6" i="1"/>
  <c r="F19" i="1" s="1"/>
  <c r="E1" i="4"/>
  <c r="N11" i="1" l="1"/>
  <c r="I25" i="1"/>
  <c r="K25" i="1"/>
  <c r="M25" i="1" s="1"/>
  <c r="M14" i="1" s="1"/>
  <c r="M11" i="1"/>
  <c r="K24" i="1"/>
  <c r="M24" i="1" s="1"/>
  <c r="I8" i="11" a="1"/>
  <c r="L25" i="9"/>
  <c r="L17" i="9"/>
  <c r="L23" i="9" s="1"/>
  <c r="L29" i="9"/>
  <c r="L10" i="9"/>
  <c r="I10" i="9"/>
  <c r="I25" i="9"/>
  <c r="I17" i="9"/>
  <c r="I23" i="9" s="1"/>
  <c r="I29" i="9"/>
  <c r="F23" i="7"/>
  <c r="F16" i="9" s="1"/>
  <c r="F29" i="9"/>
  <c r="F17" i="9"/>
  <c r="F23" i="9" s="1"/>
  <c r="F25" i="9"/>
  <c r="F10" i="9"/>
  <c r="O39" i="9"/>
  <c r="N39" i="9"/>
  <c r="H17" i="9"/>
  <c r="H23" i="9" s="1"/>
  <c r="H29" i="9"/>
  <c r="H25" i="9"/>
  <c r="H10" i="9"/>
  <c r="N38" i="9"/>
  <c r="O38" i="9"/>
  <c r="C40" i="9"/>
  <c r="N37" i="9"/>
  <c r="O37" i="9"/>
  <c r="J24" i="1"/>
  <c r="G25" i="9"/>
  <c r="G10" i="9"/>
  <c r="G29" i="9"/>
  <c r="G17" i="9"/>
  <c r="G23" i="9" s="1"/>
  <c r="D17" i="9"/>
  <c r="D23" i="9" s="1"/>
  <c r="D10" i="9"/>
  <c r="D29" i="9"/>
  <c r="D25" i="9"/>
  <c r="M23" i="1"/>
  <c r="M4" i="1" s="1"/>
  <c r="M8" i="1"/>
  <c r="C25" i="9"/>
  <c r="C17" i="9"/>
  <c r="C29" i="9"/>
  <c r="K25" i="9"/>
  <c r="K10" i="9"/>
  <c r="K29" i="9"/>
  <c r="K17" i="9"/>
  <c r="K23" i="9" s="1"/>
  <c r="J23" i="7"/>
  <c r="J16" i="9" s="1"/>
  <c r="J29" i="9"/>
  <c r="J17" i="9"/>
  <c r="J23" i="9" s="1"/>
  <c r="J25" i="9"/>
  <c r="J10" i="9"/>
  <c r="E23" i="7"/>
  <c r="E16" i="9" s="1"/>
  <c r="E10" i="9"/>
  <c r="E25" i="9"/>
  <c r="E17" i="9"/>
  <c r="E23" i="9" s="1"/>
  <c r="E29" i="9"/>
  <c r="J31" i="7"/>
  <c r="I38" i="20" s="1"/>
  <c r="D14" i="1"/>
  <c r="H25" i="1" s="1"/>
  <c r="H24" i="1"/>
  <c r="J25" i="1"/>
  <c r="F31" i="7"/>
  <c r="E37" i="7"/>
  <c r="E32" i="7"/>
  <c r="E18" i="9" s="1"/>
  <c r="E35" i="7"/>
  <c r="L23" i="7"/>
  <c r="L16" i="9" s="1"/>
  <c r="L31" i="7"/>
  <c r="K38" i="20" s="1"/>
  <c r="D23" i="7"/>
  <c r="D16" i="9" s="1"/>
  <c r="D31" i="7"/>
  <c r="E11" i="9" s="1"/>
  <c r="G23" i="7"/>
  <c r="G16" i="9" s="1"/>
  <c r="G31" i="7"/>
  <c r="H23" i="7"/>
  <c r="H16" i="9" s="1"/>
  <c r="H31" i="7"/>
  <c r="G38" i="20" s="1"/>
  <c r="K23" i="7"/>
  <c r="K16" i="9" s="1"/>
  <c r="K31" i="7"/>
  <c r="I23" i="7"/>
  <c r="I16" i="9" s="1"/>
  <c r="I31" i="7"/>
  <c r="C23" i="7"/>
  <c r="C16" i="9" s="1"/>
  <c r="C31" i="7"/>
  <c r="N23" i="1"/>
  <c r="N4" i="1" s="1"/>
  <c r="I24" i="1"/>
  <c r="M6" i="1" l="1"/>
  <c r="O32" i="9"/>
  <c r="N32" i="9"/>
  <c r="O43" i="9"/>
  <c r="N43" i="9"/>
  <c r="O13" i="9"/>
  <c r="G11" i="9"/>
  <c r="M10" i="1"/>
  <c r="M12" i="1" s="1"/>
  <c r="M13" i="1" s="1"/>
  <c r="M15" i="1" s="1"/>
  <c r="K11" i="9"/>
  <c r="J38" i="20"/>
  <c r="I48" i="20"/>
  <c r="I50" i="20" s="1"/>
  <c r="I54" i="20" s="1"/>
  <c r="I61" i="20" s="1"/>
  <c r="I40" i="20"/>
  <c r="I62" i="20" s="1"/>
  <c r="G48" i="20"/>
  <c r="G50" i="20" s="1"/>
  <c r="G40" i="20"/>
  <c r="K48" i="20"/>
  <c r="K50" i="20" s="1"/>
  <c r="K54" i="20" s="1"/>
  <c r="K61" i="20" s="1"/>
  <c r="K40" i="20"/>
  <c r="K62" i="20" s="1"/>
  <c r="I11" i="9"/>
  <c r="H38" i="20"/>
  <c r="I8" i="11"/>
  <c r="I10" i="11"/>
  <c r="I13" i="11"/>
  <c r="I16" i="11"/>
  <c r="I12" i="11"/>
  <c r="I9" i="11"/>
  <c r="I15" i="11"/>
  <c r="I11" i="11"/>
  <c r="I14" i="11"/>
  <c r="I17" i="11"/>
  <c r="N10" i="9"/>
  <c r="O10" i="9"/>
  <c r="L11" i="9"/>
  <c r="E27" i="9"/>
  <c r="F37" i="7"/>
  <c r="F38" i="7" s="1"/>
  <c r="F19" i="9" s="1"/>
  <c r="F11" i="9"/>
  <c r="J32" i="7"/>
  <c r="J18" i="9" s="1"/>
  <c r="J11" i="9"/>
  <c r="C23" i="9"/>
  <c r="N17" i="9"/>
  <c r="O17" i="9"/>
  <c r="N40" i="9"/>
  <c r="O40" i="9"/>
  <c r="O16" i="9"/>
  <c r="N16" i="9"/>
  <c r="N24" i="1"/>
  <c r="N6" i="1" s="1"/>
  <c r="H11" i="9"/>
  <c r="D11" i="9"/>
  <c r="O25" i="9"/>
  <c r="N25" i="9"/>
  <c r="J37" i="7"/>
  <c r="J35" i="7"/>
  <c r="N25" i="1"/>
  <c r="N14" i="1" s="1"/>
  <c r="F35" i="7"/>
  <c r="F32" i="7"/>
  <c r="F18" i="9" s="1"/>
  <c r="E38" i="7"/>
  <c r="E19" i="9" s="1"/>
  <c r="E42" i="7"/>
  <c r="C37" i="7"/>
  <c r="C27" i="9" s="1"/>
  <c r="C32" i="7"/>
  <c r="C18" i="9" s="1"/>
  <c r="C35" i="7"/>
  <c r="K37" i="7"/>
  <c r="K32" i="7"/>
  <c r="K18" i="9" s="1"/>
  <c r="K35" i="7"/>
  <c r="G37" i="7"/>
  <c r="G32" i="7"/>
  <c r="G18" i="9" s="1"/>
  <c r="G35" i="7"/>
  <c r="L37" i="7"/>
  <c r="L32" i="7"/>
  <c r="L18" i="9" s="1"/>
  <c r="L35" i="7"/>
  <c r="I37" i="7"/>
  <c r="I32" i="7"/>
  <c r="I18" i="9" s="1"/>
  <c r="I35" i="7"/>
  <c r="H37" i="7"/>
  <c r="H32" i="7"/>
  <c r="H18" i="9" s="1"/>
  <c r="H35" i="7"/>
  <c r="D37" i="7"/>
  <c r="E12" i="9" s="1"/>
  <c r="D32" i="7"/>
  <c r="D18" i="9" s="1"/>
  <c r="D35" i="7"/>
  <c r="M5" i="1"/>
  <c r="J16" i="11" l="1"/>
  <c r="O21" i="9"/>
  <c r="N21" i="9"/>
  <c r="J14" i="11"/>
  <c r="J17" i="11"/>
  <c r="J9" i="11"/>
  <c r="J11" i="11"/>
  <c r="J10" i="11"/>
  <c r="J12" i="11"/>
  <c r="I19" i="11"/>
  <c r="I22" i="11"/>
  <c r="I18" i="11"/>
  <c r="J18" i="11" s="1"/>
  <c r="I20" i="11"/>
  <c r="I21" i="11"/>
  <c r="K64" i="20"/>
  <c r="I64" i="20"/>
  <c r="H48" i="20"/>
  <c r="H50" i="20" s="1"/>
  <c r="H54" i="20" s="1"/>
  <c r="H40" i="20"/>
  <c r="H62" i="20" s="1"/>
  <c r="J48" i="20"/>
  <c r="J50" i="20" s="1"/>
  <c r="J54" i="20" s="1"/>
  <c r="J61" i="20" s="1"/>
  <c r="J40" i="20"/>
  <c r="J62" i="20" s="1"/>
  <c r="J15" i="11"/>
  <c r="J13" i="11"/>
  <c r="L27" i="9"/>
  <c r="L12" i="9"/>
  <c r="O18" i="9"/>
  <c r="N18" i="9"/>
  <c r="J38" i="7"/>
  <c r="J19" i="9" s="1"/>
  <c r="J27" i="9"/>
  <c r="J12" i="9"/>
  <c r="I12" i="9"/>
  <c r="I27" i="9"/>
  <c r="H12" i="9"/>
  <c r="H27" i="9"/>
  <c r="K27" i="9"/>
  <c r="K12" i="9"/>
  <c r="O23" i="9"/>
  <c r="N23" i="9"/>
  <c r="F27" i="9"/>
  <c r="F12" i="9"/>
  <c r="F42" i="7"/>
  <c r="F46" i="7" s="1"/>
  <c r="F48" i="7" s="1"/>
  <c r="F26" i="9" s="1"/>
  <c r="D12" i="9"/>
  <c r="D27" i="9"/>
  <c r="G27" i="9"/>
  <c r="G12" i="9"/>
  <c r="O11" i="9"/>
  <c r="N11" i="9"/>
  <c r="J42" i="7"/>
  <c r="J46" i="7" s="1"/>
  <c r="J48" i="7" s="1"/>
  <c r="J26" i="9" s="1"/>
  <c r="H42" i="7"/>
  <c r="H38" i="7"/>
  <c r="H19" i="9" s="1"/>
  <c r="L42" i="7"/>
  <c r="L38" i="7"/>
  <c r="L19" i="9" s="1"/>
  <c r="F43" i="7"/>
  <c r="D42" i="7"/>
  <c r="D38" i="7"/>
  <c r="D19" i="9" s="1"/>
  <c r="C38" i="7"/>
  <c r="C19" i="9" s="1"/>
  <c r="C42" i="7"/>
  <c r="K38" i="7"/>
  <c r="K19" i="9" s="1"/>
  <c r="K42" i="7"/>
  <c r="E46" i="7"/>
  <c r="E48" i="7" s="1"/>
  <c r="E26" i="9" s="1"/>
  <c r="E28" i="9" s="1"/>
  <c r="I38" i="7"/>
  <c r="I19" i="9" s="1"/>
  <c r="I42" i="7"/>
  <c r="G38" i="7"/>
  <c r="G19" i="9" s="1"/>
  <c r="G42" i="7"/>
  <c r="N10" i="1"/>
  <c r="N12" i="1" s="1"/>
  <c r="N13" i="1" s="1"/>
  <c r="N15" i="1" s="1"/>
  <c r="N5" i="1"/>
  <c r="O15" i="9" l="1"/>
  <c r="N15" i="9"/>
  <c r="O22" i="9"/>
  <c r="N22" i="9"/>
  <c r="J28" i="9"/>
  <c r="J43" i="7"/>
  <c r="N8" i="11" a="1"/>
  <c r="N13" i="11" s="1"/>
  <c r="J20" i="11"/>
  <c r="J64" i="20"/>
  <c r="J22" i="11"/>
  <c r="H61" i="20"/>
  <c r="H64" i="20" s="1"/>
  <c r="K56" i="20"/>
  <c r="K57" i="20"/>
  <c r="E10" i="21" s="1"/>
  <c r="E11" i="21" s="1"/>
  <c r="N27" i="9"/>
  <c r="J21" i="11"/>
  <c r="J19" i="11"/>
  <c r="F28" i="9"/>
  <c r="O27" i="9"/>
  <c r="O19" i="9"/>
  <c r="N19" i="9"/>
  <c r="N12" i="9"/>
  <c r="O12" i="9"/>
  <c r="G43" i="7"/>
  <c r="G46" i="7"/>
  <c r="G48" i="7" s="1"/>
  <c r="G26" i="9" s="1"/>
  <c r="G28" i="9" s="1"/>
  <c r="D43" i="7"/>
  <c r="D46" i="7"/>
  <c r="D48" i="7" s="1"/>
  <c r="D26" i="9" s="1"/>
  <c r="D28" i="9" s="1"/>
  <c r="K43" i="7"/>
  <c r="K46" i="7"/>
  <c r="K48" i="7" s="1"/>
  <c r="K26" i="9" s="1"/>
  <c r="K28" i="9" s="1"/>
  <c r="H43" i="7"/>
  <c r="H46" i="7"/>
  <c r="H48" i="7" s="1"/>
  <c r="H26" i="9" s="1"/>
  <c r="H28" i="9" s="1"/>
  <c r="C46" i="7"/>
  <c r="C48" i="7" s="1"/>
  <c r="C26" i="9" s="1"/>
  <c r="L43" i="7"/>
  <c r="L46" i="7"/>
  <c r="L48" i="7" s="1"/>
  <c r="L26" i="9" s="1"/>
  <c r="L28" i="9" s="1"/>
  <c r="I43" i="7"/>
  <c r="I46" i="7"/>
  <c r="I48" i="7" s="1"/>
  <c r="I26" i="9" s="1"/>
  <c r="I28" i="9" s="1"/>
  <c r="E43" i="7"/>
  <c r="O29" i="9" l="1"/>
  <c r="N29" i="9"/>
  <c r="N14" i="11"/>
  <c r="O15" i="11" s="1"/>
  <c r="N8" i="11"/>
  <c r="N15" i="11"/>
  <c r="N17" i="11"/>
  <c r="N10" i="11"/>
  <c r="N12" i="11"/>
  <c r="O13" i="11" s="1"/>
  <c r="N9" i="11"/>
  <c r="N11" i="11"/>
  <c r="N16" i="11"/>
  <c r="K67" i="20"/>
  <c r="K66" i="20"/>
  <c r="D17" i="21" s="1"/>
  <c r="F7" i="21" s="1"/>
  <c r="O26" i="9"/>
  <c r="N26" i="9"/>
  <c r="C28" i="9"/>
  <c r="O14" i="11" l="1"/>
  <c r="N21" i="11"/>
  <c r="O9" i="11"/>
  <c r="N31" i="9"/>
  <c r="O31" i="9"/>
  <c r="O17" i="11"/>
  <c r="O11" i="11"/>
  <c r="N22" i="11"/>
  <c r="O22" i="11" s="1"/>
  <c r="N20" i="11"/>
  <c r="O10" i="11"/>
  <c r="N18" i="11"/>
  <c r="O18" i="11" s="1"/>
  <c r="N19" i="11"/>
  <c r="O16" i="11"/>
  <c r="O12" i="11"/>
  <c r="F9" i="21"/>
  <c r="G7" i="21"/>
  <c r="O28" i="9"/>
  <c r="N28" i="9"/>
  <c r="O21" i="11" l="1"/>
  <c r="O20" i="11"/>
  <c r="O19" i="11"/>
  <c r="G9" i="21"/>
  <c r="H7" i="21"/>
  <c r="F10" i="21"/>
  <c r="H9" i="21" l="1"/>
  <c r="I7" i="21"/>
  <c r="G10" i="21"/>
  <c r="F11" i="21"/>
  <c r="F15" i="21" s="1"/>
  <c r="I9" i="21" l="1"/>
  <c r="J7" i="21"/>
  <c r="J9" i="21" s="1"/>
  <c r="J11" i="21" s="1"/>
  <c r="H10" i="21"/>
  <c r="G11" i="21"/>
  <c r="G15" i="21" s="1"/>
  <c r="J15" i="21" l="1"/>
  <c r="D23" i="21"/>
  <c r="D27" i="21" s="1"/>
  <c r="I10" i="21"/>
  <c r="I11" i="21" s="1"/>
  <c r="I15" i="21" s="1"/>
  <c r="H11" i="21"/>
  <c r="H15" i="21" s="1"/>
  <c r="D33" i="21" l="1"/>
  <c r="D32" i="21"/>
  <c r="D34" i="21" l="1"/>
  <c r="D38" i="21" l="1"/>
  <c r="D41" i="21" s="1"/>
  <c r="D44" i="21" s="1"/>
  <c r="F22" i="21"/>
</calcChain>
</file>

<file path=xl/sharedStrings.xml><?xml version="1.0" encoding="utf-8"?>
<sst xmlns="http://schemas.openxmlformats.org/spreadsheetml/2006/main" count="2060" uniqueCount="1646">
  <si>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</si>
  <si>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</si>
  <si>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</si>
  <si>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</si>
  <si>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</si>
  <si>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</si>
  <si>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</si>
  <si>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</si>
  <si>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</si>
  <si>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</si>
  <si>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</si>
  <si>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</si>
  <si>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</si>
  <si>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</si>
  <si>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</si>
  <si>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</si>
  <si>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</si>
  <si>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</si>
  <si>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</si>
  <si>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</si>
  <si>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</si>
  <si>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</si>
  <si>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</si>
  <si>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</si>
  <si>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</si>
  <si>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</si>
  <si>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</si>
  <si>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</si>
  <si>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</si>
  <si>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</si>
  <si>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</si>
  <si>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</si>
  <si>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</si>
  <si>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</si>
  <si>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</si>
  <si>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</si>
  <si>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</si>
  <si>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</si>
  <si>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</si>
  <si>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</si>
  <si>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</si>
  <si>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</si>
  <si>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</si>
  <si>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</si>
  <si>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</si>
  <si>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</si>
  <si>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</si>
  <si>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</si>
  <si>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EPS</t>
  </si>
  <si>
    <t>Price</t>
  </si>
  <si>
    <t>Return on Equity</t>
  </si>
  <si>
    <t>Return on Capital Emp</t>
  </si>
  <si>
    <t>LATEST VERSION</t>
  </si>
  <si>
    <t>CURRENT VERSION</t>
  </si>
  <si>
    <t>AVENUE SUPERMARTS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</si>
  <si>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</si>
  <si>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</si>
  <si>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</si>
  <si>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</si>
  <si>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</si>
  <si>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</si>
  <si>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</si>
  <si>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</si>
  <si>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</si>
  <si>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</si>
  <si>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</si>
  <si>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</si>
  <si>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</si>
  <si>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</si>
  <si>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</si>
  <si>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</si>
  <si>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</si>
  <si>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</si>
  <si>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</si>
  <si>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</si>
  <si>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</si>
  <si>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</si>
  <si>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</si>
  <si>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</si>
  <si>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</si>
  <si>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</si>
  <si>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 xml:space="preserve">Year </t>
  </si>
  <si>
    <t>#</t>
  </si>
  <si>
    <t>Income Statement</t>
  </si>
  <si>
    <t>COGS</t>
  </si>
  <si>
    <t>COGS % Sales</t>
  </si>
  <si>
    <t xml:space="preserve">Gross Profit </t>
  </si>
  <si>
    <t>Gross Margins</t>
  </si>
  <si>
    <t>Selling &amp; General Exp.</t>
  </si>
  <si>
    <t>S&amp;G Exp. % Sales</t>
  </si>
  <si>
    <t>EBIDTA</t>
  </si>
  <si>
    <t>EBIDTA Margin</t>
  </si>
  <si>
    <t>Interest % sales</t>
  </si>
  <si>
    <t xml:space="preserve">Depreciation </t>
  </si>
  <si>
    <t>Depreciation % sales</t>
  </si>
  <si>
    <t>Earning before Tax</t>
  </si>
  <si>
    <t>EBT % sales</t>
  </si>
  <si>
    <t>Effective Tax Rate</t>
  </si>
  <si>
    <t>Net Profit</t>
  </si>
  <si>
    <t xml:space="preserve">Net Margin </t>
  </si>
  <si>
    <t>No. of Equity Share</t>
  </si>
  <si>
    <t>Earning Per Share</t>
  </si>
  <si>
    <t>EPS Growth</t>
  </si>
  <si>
    <t>Divident Per Share</t>
  </si>
  <si>
    <t>Divident Payout Ratio</t>
  </si>
  <si>
    <t>Retained Earnings</t>
  </si>
  <si>
    <t>Balance Sheet</t>
  </si>
  <si>
    <t>Total Non Current Assets</t>
  </si>
  <si>
    <t>Total Current Assets</t>
  </si>
  <si>
    <t>Total Assets</t>
  </si>
  <si>
    <t>Check</t>
  </si>
  <si>
    <t>Cash from Operating Activity -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</si>
  <si>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</si>
  <si>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</si>
  <si>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</si>
  <si>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</si>
  <si>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</si>
  <si>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</si>
  <si>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Exceptional CF items</t>
  </si>
  <si>
    <t>Cash from Investing Activity 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</si>
  <si>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</si>
  <si>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</si>
  <si>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</si>
  <si>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</si>
  <si>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</si>
  <si>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</si>
  <si>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Acquisition of companies</t>
  </si>
  <si>
    <t>Other investing items</t>
  </si>
  <si>
    <t>Cash from Financing Activity -</t>
  </si>
  <si>
    <t>Proceeds from shares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</si>
  <si>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</si>
  <si>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</si>
  <si>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</si>
  <si>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</si>
  <si>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</si>
  <si>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</si>
  <si>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Flow Statements</t>
  </si>
  <si>
    <t>Cash from Operating Activities</t>
  </si>
  <si>
    <t>Cash from Investing Activities</t>
  </si>
  <si>
    <t>Cash from Financing Activities</t>
  </si>
  <si>
    <t>Avenue Supermarts Limited (DMart) is a national supermarket chain, with a focus on value-retailing. We offer a wide range of products with a focus on the Foods, Non-Foods (FMCG) and General Merchandise</t>
  </si>
  <si>
    <t>&amp; Apparel product categories.[</t>
  </si>
  <si>
    <r>
      <t>Avenue Supermarts Limited</t>
    </r>
    <r>
      <rPr>
        <sz val="10"/>
        <color rgb="FF202122"/>
        <rFont val="Arial"/>
        <family val="2"/>
      </rPr>
      <t xml:space="preserve"> is an Indian </t>
    </r>
    <r>
      <rPr>
        <sz val="10"/>
        <color theme="1"/>
        <rFont val="Arial"/>
        <family val="2"/>
      </rPr>
      <t>retail</t>
    </r>
    <r>
      <rPr>
        <sz val="10"/>
        <color rgb="FF202122"/>
        <rFont val="Arial"/>
        <family val="2"/>
      </rPr>
      <t> corporation that operates a chain of </t>
    </r>
    <r>
      <rPr>
        <sz val="10"/>
        <color theme="1"/>
        <rFont val="Arial"/>
        <family val="2"/>
      </rPr>
      <t>supermarkets</t>
    </r>
    <r>
      <rPr>
        <sz val="10"/>
        <color rgb="FF202122"/>
        <rFont val="Arial"/>
        <family val="2"/>
      </rPr>
      <t> and </t>
    </r>
    <r>
      <rPr>
        <sz val="10"/>
        <color theme="1"/>
        <rFont val="Arial"/>
        <family val="2"/>
      </rPr>
      <t>hypermarkets</t>
    </r>
    <r>
      <rPr>
        <sz val="10"/>
        <color rgb="FF202122"/>
        <rFont val="Arial"/>
        <family val="2"/>
      </rPr>
      <t>. The company was founded by </t>
    </r>
    <r>
      <rPr>
        <sz val="10"/>
        <color theme="1"/>
        <rFont val="Arial"/>
        <family val="2"/>
      </rPr>
      <t>Radhakishan Damani</t>
    </r>
    <r>
      <rPr>
        <sz val="10"/>
        <color rgb="FF202122"/>
        <rFont val="Arial"/>
        <family val="2"/>
      </rPr>
      <t> and is based in </t>
    </r>
    <r>
      <rPr>
        <sz val="10"/>
        <color theme="1"/>
        <rFont val="Arial"/>
        <family val="2"/>
      </rPr>
      <t>Mumbai</t>
    </r>
    <r>
      <rPr>
        <sz val="10"/>
        <color rgb="FF202122"/>
        <rFont val="Arial"/>
        <family val="2"/>
      </rPr>
      <t>. As of September 2024, DMart has 377 stores across 12 </t>
    </r>
    <r>
      <rPr>
        <sz val="10"/>
        <color theme="1"/>
        <rFont val="Arial"/>
        <family val="2"/>
      </rPr>
      <t>states and union territories</t>
    </r>
    <r>
      <rPr>
        <sz val="10"/>
        <color rgb="FF202122"/>
        <rFont val="Arial"/>
        <family val="2"/>
      </rPr>
      <t> in India</t>
    </r>
  </si>
  <si>
    <t>SalesGrowth</t>
  </si>
  <si>
    <t>EBITDA Growth</t>
  </si>
  <si>
    <t>EBIT Growth</t>
  </si>
  <si>
    <t>Net Profit Growth</t>
  </si>
  <si>
    <t>Dividend Growth</t>
  </si>
  <si>
    <t>Gross Margin</t>
  </si>
  <si>
    <t>EBITDA Margin</t>
  </si>
  <si>
    <t>EBIT Margin</t>
  </si>
  <si>
    <t>EBT Margin</t>
  </si>
  <si>
    <t>Net Profit Margin</t>
  </si>
  <si>
    <t>SalesExpenses%Sales</t>
  </si>
  <si>
    <t>Depreciation%Sales</t>
  </si>
  <si>
    <t>OperatingIncome%Sales</t>
  </si>
  <si>
    <t>Return on Capital Employed</t>
  </si>
  <si>
    <t>Retained Earnings%</t>
  </si>
  <si>
    <t>Return on Equity%</t>
  </si>
  <si>
    <t>Self Sustained Growth Rate</t>
  </si>
  <si>
    <t>Interest Coverage Ratio</t>
  </si>
  <si>
    <t>Debtor Turnover Ratio</t>
  </si>
  <si>
    <t>Creditor Turnover Ratio</t>
  </si>
  <si>
    <t>Fixed Asset Turnover</t>
  </si>
  <si>
    <t>Capital Turnover Ratio</t>
  </si>
  <si>
    <t>Payable Days</t>
  </si>
  <si>
    <t>Inventory Days</t>
  </si>
  <si>
    <t>Cash Conversion Cycle (in days)</t>
  </si>
  <si>
    <t>CFO/Sales</t>
  </si>
  <si>
    <t>CFO/Total Assets</t>
  </si>
  <si>
    <t>CFO/Total Debt</t>
  </si>
  <si>
    <t>Mean</t>
  </si>
  <si>
    <t>Median</t>
  </si>
  <si>
    <t>Trend</t>
  </si>
  <si>
    <t>Year Wight</t>
  </si>
  <si>
    <t xml:space="preserve">Particulars </t>
  </si>
  <si>
    <t>Total Liabilities</t>
  </si>
  <si>
    <t>EBITDA</t>
  </si>
  <si>
    <t>Other</t>
  </si>
  <si>
    <t>Date</t>
  </si>
  <si>
    <t>Adj Close </t>
  </si>
  <si>
    <t>Oct 24, 2024</t>
  </si>
  <si>
    <t>Oct 21, 2024</t>
  </si>
  <si>
    <t>Oct 14, 2024</t>
  </si>
  <si>
    <t>Oct 7, 2024</t>
  </si>
  <si>
    <t>Sep 30, 2024</t>
  </si>
  <si>
    <t>Sep 23, 2024</t>
  </si>
  <si>
    <t>Sep 16, 2024</t>
  </si>
  <si>
    <t>Sep 9, 2024</t>
  </si>
  <si>
    <t>Sep 2, 2024</t>
  </si>
  <si>
    <t>Aug 26, 2024</t>
  </si>
  <si>
    <t>Aug 19, 2024</t>
  </si>
  <si>
    <t>Aug 12, 2024</t>
  </si>
  <si>
    <t>Aug 5, 2024</t>
  </si>
  <si>
    <t>Jul 29, 2024</t>
  </si>
  <si>
    <t>Jul 22, 2024</t>
  </si>
  <si>
    <t>Jul 15, 2024</t>
  </si>
  <si>
    <t>Jul 8, 2024</t>
  </si>
  <si>
    <t>Jul 1, 2024</t>
  </si>
  <si>
    <t>Jun 24, 2024</t>
  </si>
  <si>
    <t>Jun 17, 2024</t>
  </si>
  <si>
    <t>Jun 10, 2024</t>
  </si>
  <si>
    <t>Jun 3, 2024</t>
  </si>
  <si>
    <t>May 27, 2024</t>
  </si>
  <si>
    <t>May 20, 2024</t>
  </si>
  <si>
    <t>May 13, 2024</t>
  </si>
  <si>
    <t>May 6, 2024</t>
  </si>
  <si>
    <t>Apr 29, 2024</t>
  </si>
  <si>
    <t>Apr 22, 2024</t>
  </si>
  <si>
    <t>Apr 15, 2024</t>
  </si>
  <si>
    <t>Apr 8, 2024</t>
  </si>
  <si>
    <t>Apr 1, 2024</t>
  </si>
  <si>
    <t>Mar 25, 2024</t>
  </si>
  <si>
    <t>Mar 18, 2024</t>
  </si>
  <si>
    <t>Mar 11, 2024</t>
  </si>
  <si>
    <t>Mar 4, 2024</t>
  </si>
  <si>
    <t>Feb 26, 2024</t>
  </si>
  <si>
    <t>Feb 19, 2024</t>
  </si>
  <si>
    <t>Feb 12, 2024</t>
  </si>
  <si>
    <t>Feb 5, 2024</t>
  </si>
  <si>
    <t>Jan 29, 2024</t>
  </si>
  <si>
    <t>Jan 22, 2024</t>
  </si>
  <si>
    <t>Jan 15, 2024</t>
  </si>
  <si>
    <t>Jan 8, 2024</t>
  </si>
  <si>
    <t>Jan 1, 2024</t>
  </si>
  <si>
    <t>Dec 25, 2023</t>
  </si>
  <si>
    <t>Dec 18, 2023</t>
  </si>
  <si>
    <t>Dec 11, 2023</t>
  </si>
  <si>
    <t>Dec 4, 2023</t>
  </si>
  <si>
    <t>Nov 27, 2023</t>
  </si>
  <si>
    <t>Nov 20, 2023</t>
  </si>
  <si>
    <t>Nov 13, 2023</t>
  </si>
  <si>
    <t>Nov 6, 2023</t>
  </si>
  <si>
    <t>Oct 30, 2023</t>
  </si>
  <si>
    <t>Oct 23, 2023</t>
  </si>
  <si>
    <t>Oct 16, 2023</t>
  </si>
  <si>
    <t>Oct 9, 2023</t>
  </si>
  <si>
    <t>Oct 2, 2023</t>
  </si>
  <si>
    <t>Sep 25, 2023</t>
  </si>
  <si>
    <t>Sep 18, 2023</t>
  </si>
  <si>
    <t>Sep 11, 2023</t>
  </si>
  <si>
    <t>Sep 4, 2023</t>
  </si>
  <si>
    <t>Aug 28, 2023</t>
  </si>
  <si>
    <t>Aug 21, 2023</t>
  </si>
  <si>
    <t>Aug 14, 2023</t>
  </si>
  <si>
    <t>Aug 7, 2023</t>
  </si>
  <si>
    <t>Jul 31, 2023</t>
  </si>
  <si>
    <t>Jul 24, 2023</t>
  </si>
  <si>
    <t>Jul 17, 2023</t>
  </si>
  <si>
    <t>Jul 10, 2023</t>
  </si>
  <si>
    <t>Jul 3, 2023</t>
  </si>
  <si>
    <t>Jun 26, 2023</t>
  </si>
  <si>
    <t>Jun 19, 2023</t>
  </si>
  <si>
    <t>Jun 12, 2023</t>
  </si>
  <si>
    <t>Jun 5, 2023</t>
  </si>
  <si>
    <t>May 29, 2023</t>
  </si>
  <si>
    <t>May 22, 2023</t>
  </si>
  <si>
    <t>May 15, 2023</t>
  </si>
  <si>
    <t>May 8, 2023</t>
  </si>
  <si>
    <t>May 1, 2023</t>
  </si>
  <si>
    <t>Apr 24, 2023</t>
  </si>
  <si>
    <t>Apr 17, 2023</t>
  </si>
  <si>
    <t>Apr 10, 2023</t>
  </si>
  <si>
    <t>Apr 3, 2023</t>
  </si>
  <si>
    <t>Mar 27, 2023</t>
  </si>
  <si>
    <t>Mar 20, 2023</t>
  </si>
  <si>
    <t>Mar 13, 2023</t>
  </si>
  <si>
    <t>Mar 6, 2023</t>
  </si>
  <si>
    <t>Feb 27, 2023</t>
  </si>
  <si>
    <t>Feb 20, 2023</t>
  </si>
  <si>
    <t>Feb 13, 2023</t>
  </si>
  <si>
    <t>Feb 6, 2023</t>
  </si>
  <si>
    <t>Jan 30, 2023</t>
  </si>
  <si>
    <t>Jan 23, 2023</t>
  </si>
  <si>
    <t>Jan 16, 2023</t>
  </si>
  <si>
    <t>Jan 9, 2023</t>
  </si>
  <si>
    <t>Jan 2, 2023</t>
  </si>
  <si>
    <t>Dec 26, 2022</t>
  </si>
  <si>
    <t>Dec 19, 2022</t>
  </si>
  <si>
    <t>Dec 12, 2022</t>
  </si>
  <si>
    <t>Dec 5, 2022</t>
  </si>
  <si>
    <t>Nov 28, 2022</t>
  </si>
  <si>
    <t>Nov 21, 2022</t>
  </si>
  <si>
    <t>Nov 14, 2022</t>
  </si>
  <si>
    <t>Nov 7, 2022</t>
  </si>
  <si>
    <t>Oct 31, 2022</t>
  </si>
  <si>
    <t>Oct 24, 2022</t>
  </si>
  <si>
    <t>Avenue Supermart</t>
  </si>
  <si>
    <t xml:space="preserve">Closing Price </t>
  </si>
  <si>
    <t>Oct 17, 2022</t>
  </si>
  <si>
    <t>Oct 10, 2022</t>
  </si>
  <si>
    <t>Oct 3, 2022</t>
  </si>
  <si>
    <t xml:space="preserve">Nifty </t>
  </si>
  <si>
    <t>Avenue Supermart Weekly Returns</t>
  </si>
  <si>
    <t>Return</t>
  </si>
  <si>
    <t>Nifty Returns</t>
  </si>
  <si>
    <t>Beta 1</t>
  </si>
  <si>
    <t>Beta 2</t>
  </si>
  <si>
    <t xml:space="preserve">Beta 3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</si>
  <si>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</si>
  <si>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</si>
  <si>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</si>
  <si>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</si>
  <si>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</si>
  <si>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</si>
  <si>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</si>
  <si>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</si>
  <si>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</si>
  <si>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</si>
  <si>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</si>
  <si>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</si>
  <si>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</si>
  <si>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</si>
  <si>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</si>
  <si>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</si>
  <si>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</si>
  <si>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</si>
  <si>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</si>
  <si>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</si>
  <si>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</si>
  <si>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</si>
  <si>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</si>
  <si>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</si>
  <si>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Beta Drifting</t>
  </si>
  <si>
    <t>Levered Raw Beta</t>
  </si>
  <si>
    <t>Raw Beta Weight</t>
  </si>
  <si>
    <t>Market Beta Weight</t>
  </si>
  <si>
    <t>Market Beta</t>
  </si>
  <si>
    <t>Adjusted Beta</t>
  </si>
  <si>
    <t>Regression Beta - 2  Years Weekly</t>
  </si>
  <si>
    <t>Weighted Average Cost of Capital</t>
  </si>
  <si>
    <t>All figures are in INR untill stated otherwise</t>
  </si>
  <si>
    <t xml:space="preserve">Name of the Companies </t>
  </si>
  <si>
    <t>Contry</t>
  </si>
  <si>
    <t>Total Debt</t>
  </si>
  <si>
    <t>Total Equity</t>
  </si>
  <si>
    <r>
      <t xml:space="preserve">Tax Rate </t>
    </r>
    <r>
      <rPr>
        <vertAlign val="superscript"/>
        <sz val="11"/>
        <color theme="1"/>
        <rFont val="Calibri"/>
        <family val="2"/>
        <scheme val="minor"/>
      </rPr>
      <t>1</t>
    </r>
  </si>
  <si>
    <t>Equity</t>
  </si>
  <si>
    <t>Capital</t>
  </si>
  <si>
    <t>Debt/</t>
  </si>
  <si>
    <r>
      <t xml:space="preserve">Beta 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</si>
  <si>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Beta </t>
    </r>
    <r>
      <rPr>
        <vertAlign val="superscript"/>
        <sz val="11"/>
        <color theme="1"/>
        <rFont val="Calibri"/>
        <family val="2"/>
        <scheme val="minor"/>
      </rPr>
      <t>3</t>
    </r>
  </si>
  <si>
    <t>Peer comps</t>
  </si>
  <si>
    <t>Unlevered</t>
  </si>
  <si>
    <t>Levered</t>
  </si>
  <si>
    <t>India</t>
  </si>
  <si>
    <t>Average</t>
  </si>
  <si>
    <t>Cost of Debt</t>
  </si>
  <si>
    <t>Pre- Tax cost of Debt</t>
  </si>
  <si>
    <t>Tax Rate</t>
  </si>
  <si>
    <t>Post Tax Cost of Ddebt</t>
  </si>
  <si>
    <t>Cost of Equity</t>
  </si>
  <si>
    <t>Risk Free Rate</t>
  </si>
  <si>
    <t xml:space="preserve">Equity Risk Premium </t>
  </si>
  <si>
    <r>
      <t xml:space="preserve">Levered Beta </t>
    </r>
    <r>
      <rPr>
        <vertAlign val="superscript"/>
        <sz val="11"/>
        <color theme="1"/>
        <rFont val="Calibri"/>
        <family val="2"/>
        <scheme val="minor"/>
      </rPr>
      <t>4</t>
    </r>
  </si>
  <si>
    <t>Capital  Structure</t>
  </si>
  <si>
    <t>Current</t>
  </si>
  <si>
    <t>Target</t>
  </si>
  <si>
    <t>Total Capital</t>
  </si>
  <si>
    <t>Levered Beta</t>
  </si>
  <si>
    <t>Comp Median Unlevered Beta</t>
  </si>
  <si>
    <t>Target Debt/ Equity</t>
  </si>
  <si>
    <t>Debt/Equity</t>
  </si>
  <si>
    <t>Weighted Average  Cost of Capital</t>
  </si>
  <si>
    <t>Total Weight</t>
  </si>
  <si>
    <t>1. Tax Rate considered as Marginal Tax Rate for the country</t>
  </si>
  <si>
    <t>2. Levered Beta is based on 5 year monthly data</t>
  </si>
  <si>
    <t>3. Unlevered Beta = Levered Beta/(1+(1-Tax Rate) x Debt/Equity)</t>
  </si>
  <si>
    <t>4. Levered Beta = Unlevered Beta*(1+(1-Tax Rate) x Debt/Equity)</t>
  </si>
  <si>
    <t>Name</t>
  </si>
  <si>
    <t>CMP Rs.</t>
  </si>
  <si>
    <t xml:space="preserve">Mar Cap Rs.Cr. </t>
  </si>
  <si>
    <t>Debt Rs.Cr.</t>
  </si>
  <si>
    <t>Debt / Eq</t>
  </si>
  <si>
    <t>Avenue Super.</t>
  </si>
  <si>
    <t>Trent</t>
  </si>
  <si>
    <t>Brainbees Solut.</t>
  </si>
  <si>
    <t>Aditya Bir. Fas.</t>
  </si>
  <si>
    <t>Redtape</t>
  </si>
  <si>
    <t>Annual</t>
  </si>
  <si>
    <t>Year</t>
  </si>
  <si>
    <t>Returns of Markets</t>
  </si>
  <si>
    <t>Average Return</t>
  </si>
  <si>
    <t>Divident Yield</t>
  </si>
  <si>
    <r>
      <t xml:space="preserve">1.16% </t>
    </r>
    <r>
      <rPr>
        <vertAlign val="superscript"/>
        <sz val="11"/>
        <color theme="1"/>
        <rFont val="Calibri"/>
        <family val="2"/>
        <scheme val="minor"/>
      </rPr>
      <t>1</t>
    </r>
  </si>
  <si>
    <t>Total Market Return</t>
  </si>
  <si>
    <t>Equity Weight</t>
  </si>
  <si>
    <t xml:space="preserve">Debt Weight </t>
  </si>
  <si>
    <t>WACC</t>
  </si>
  <si>
    <t>Equity Capital</t>
  </si>
  <si>
    <t>Borrowings -</t>
  </si>
  <si>
    <t>Long term Borrowings</t>
  </si>
  <si>
    <t>Short term Borrowings</t>
  </si>
  <si>
    <t>Lease Liabilities</t>
  </si>
  <si>
    <t>Other Borrowings</t>
  </si>
  <si>
    <t>Other Liabilities -</t>
  </si>
  <si>
    <t>Non controlling int</t>
  </si>
  <si>
    <t>Trade Payables</t>
  </si>
  <si>
    <t>Other liability items</t>
  </si>
  <si>
    <t>Fixed Assets -</t>
  </si>
  <si>
    <t>Land</t>
  </si>
  <si>
    <t>Building</t>
  </si>
  <si>
    <t>Plant Machinery</t>
  </si>
  <si>
    <t>Equipments</t>
  </si>
  <si>
    <t>Computers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</si>
  <si>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</si>
  <si>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</si>
  <si>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</si>
  <si>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</si>
  <si>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</si>
  <si>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</si>
  <si>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</si>
  <si>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Other Assets -</t>
  </si>
  <si>
    <t>Inventories</t>
  </si>
  <si>
    <t>Trade receivables</t>
  </si>
  <si>
    <t>Cash Equivalents</t>
  </si>
  <si>
    <t>Loans n Advances</t>
  </si>
  <si>
    <t>Other asset items</t>
  </si>
  <si>
    <t>Partuculars</t>
  </si>
  <si>
    <t>Calculation of ROIC</t>
  </si>
  <si>
    <t>Currents Assets</t>
  </si>
  <si>
    <t>Total Current Liabilities</t>
  </si>
  <si>
    <t>Current Liabilities</t>
  </si>
  <si>
    <t>o</t>
  </si>
  <si>
    <t>Net  Working Capital</t>
  </si>
  <si>
    <t>Non Current Assets</t>
  </si>
  <si>
    <t>Net Non Current Assets</t>
  </si>
  <si>
    <t>Invested Capital</t>
  </si>
  <si>
    <t>EBIT</t>
  </si>
  <si>
    <t>ROIC</t>
  </si>
  <si>
    <t>Operating investments</t>
  </si>
  <si>
    <t>Investment income</t>
  </si>
  <si>
    <t>Investment in group cos</t>
  </si>
  <si>
    <t>Redemp n Canc of Shares</t>
  </si>
  <si>
    <t>Proceeds from debentures</t>
  </si>
  <si>
    <t>Redemption of debentures</t>
  </si>
  <si>
    <t>Share application money</t>
  </si>
  <si>
    <t>Net Capex</t>
  </si>
  <si>
    <t>Change in Working Capital</t>
  </si>
  <si>
    <t>Marginal Tax Rate</t>
  </si>
  <si>
    <t>Reinvestment</t>
  </si>
  <si>
    <t>EBIT(1-T)</t>
  </si>
  <si>
    <t>Reinvestment Rate</t>
  </si>
  <si>
    <t xml:space="preserve">4 Year Average </t>
  </si>
  <si>
    <t xml:space="preserve">4  Year Median </t>
  </si>
  <si>
    <t>Calculation of Growth Rate</t>
  </si>
  <si>
    <t>Intrinsic  Growth</t>
  </si>
  <si>
    <t>Calculation of PV of FCFF</t>
  </si>
  <si>
    <t>Tax  Rate</t>
  </si>
  <si>
    <t>EBIT (1-T)</t>
  </si>
  <si>
    <t>Less:  Reinvestment Rate</t>
  </si>
  <si>
    <t>Free Cash Flow to Firm (FCFF)</t>
  </si>
  <si>
    <t>Mid Year Convention</t>
  </si>
  <si>
    <t>Discounting Factor</t>
  </si>
  <si>
    <t>PV of FCFF</t>
  </si>
  <si>
    <t>Expected Growth</t>
  </si>
  <si>
    <t>Terminal Growth</t>
  </si>
  <si>
    <t>Calculation of Terminal Value</t>
  </si>
  <si>
    <t>FCFF (n+1)</t>
  </si>
  <si>
    <t>Terminal Growth Rate</t>
  </si>
  <si>
    <t>Terminal value</t>
  </si>
  <si>
    <t>PV of Termminal Value</t>
  </si>
  <si>
    <t>Value of Operating Assets</t>
  </si>
  <si>
    <t>Add: Cash</t>
  </si>
  <si>
    <t>Less: Debt</t>
  </si>
  <si>
    <t>Calculation of Equity Value per Share</t>
  </si>
  <si>
    <t>Value of Equity</t>
  </si>
  <si>
    <t>No. of Shares</t>
  </si>
  <si>
    <t>Share Price</t>
  </si>
  <si>
    <t xml:space="preserve">Discount/Premium </t>
  </si>
  <si>
    <t xml:space="preserve">Comparable company Valuation </t>
  </si>
  <si>
    <t>Share Outstanding</t>
  </si>
  <si>
    <t>Equity Value</t>
  </si>
  <si>
    <t>Net Debt</t>
  </si>
  <si>
    <t>S.No.</t>
  </si>
  <si>
    <t>No. Eq. Shares Cr.</t>
  </si>
  <si>
    <t>Cash End Rs.Cr.</t>
  </si>
  <si>
    <t>Sales Rs.Cr.</t>
  </si>
  <si>
    <t>NP 12M Rs.Cr.</t>
  </si>
  <si>
    <t>Ethos Ltd</t>
  </si>
  <si>
    <t>V-Mart Retail</t>
  </si>
  <si>
    <t>Enterprise value</t>
  </si>
  <si>
    <t xml:space="preserve">Company </t>
  </si>
  <si>
    <t>Ticker</t>
  </si>
  <si>
    <t>EV/Revenue</t>
  </si>
  <si>
    <t>EV/EBITDA</t>
  </si>
  <si>
    <t>Net Income</t>
  </si>
  <si>
    <t>Revenue</t>
  </si>
  <si>
    <t>P/E</t>
  </si>
  <si>
    <t>Market Data</t>
  </si>
  <si>
    <t>Financials</t>
  </si>
  <si>
    <t>Valuation</t>
  </si>
  <si>
    <t>EV / EBITDA</t>
  </si>
  <si>
    <t>Medplus Health</t>
  </si>
  <si>
    <t>Electronics Mart</t>
  </si>
  <si>
    <t>Shoppers Stop</t>
  </si>
  <si>
    <t>EV</t>
  </si>
  <si>
    <t>Avenue Supermarts LTD</t>
  </si>
  <si>
    <t>High</t>
  </si>
  <si>
    <t>75th Percentile</t>
  </si>
  <si>
    <t>25th Percentile</t>
  </si>
  <si>
    <t>Low</t>
  </si>
  <si>
    <t>Avenue Superemarts Comparable  Valuation</t>
  </si>
  <si>
    <t>Implied Enterprise Value</t>
  </si>
  <si>
    <t>Implied Market Value</t>
  </si>
  <si>
    <t xml:space="preserve">Share Outstanding </t>
  </si>
  <si>
    <t>Implied Value Per Share</t>
  </si>
  <si>
    <t>Source: The Valuation School, Screener.in</t>
  </si>
  <si>
    <t>Amount in Crores</t>
  </si>
  <si>
    <t>Fixed Assets Net Block</t>
  </si>
  <si>
    <t>Sensitivity Analysis</t>
  </si>
  <si>
    <t>Value Per Share</t>
  </si>
  <si>
    <t>Football Field  Analysis</t>
  </si>
  <si>
    <t>Comps</t>
  </si>
  <si>
    <t>DCF Bear</t>
  </si>
  <si>
    <t>DCF Base</t>
  </si>
  <si>
    <t>DCF Bull</t>
  </si>
  <si>
    <t xml:space="preserve">52W H/L </t>
  </si>
  <si>
    <t>Open Low</t>
  </si>
  <si>
    <t>Open High</t>
  </si>
  <si>
    <t>Open</t>
  </si>
  <si>
    <t>Close </t>
  </si>
  <si>
    <t>Volume</t>
  </si>
  <si>
    <t>Nov 5, 2024</t>
  </si>
  <si>
    <t>Nov 4, 2024</t>
  </si>
  <si>
    <t>Nov 1, 2024</t>
  </si>
  <si>
    <t>Oct 31, 2024</t>
  </si>
  <si>
    <t>Oct 29, 2024</t>
  </si>
  <si>
    <t>Oct 28, 2024</t>
  </si>
  <si>
    <t>Oct 25, 2024</t>
  </si>
  <si>
    <t>Oct 23, 2024</t>
  </si>
  <si>
    <t>Oct 22, 2024</t>
  </si>
  <si>
    <t>Oct 18, 2024</t>
  </si>
  <si>
    <t>Oct 17, 2024</t>
  </si>
  <si>
    <t>Oct 16, 2024</t>
  </si>
  <si>
    <t>Oct 15, 2024</t>
  </si>
  <si>
    <t>Oct 11, 2024</t>
  </si>
  <si>
    <t>Oct 10, 2024</t>
  </si>
  <si>
    <t>Oct 9, 2024</t>
  </si>
  <si>
    <t>Oct 8, 2024</t>
  </si>
  <si>
    <t>Oct 4, 2024</t>
  </si>
  <si>
    <t>Oct 3, 2024</t>
  </si>
  <si>
    <t>Oct 1, 2024</t>
  </si>
  <si>
    <t>Sep 27, 2024</t>
  </si>
  <si>
    <t>Sep 26, 2024</t>
  </si>
  <si>
    <t>Sep 25, 2024</t>
  </si>
  <si>
    <t>Sep 24, 2024</t>
  </si>
  <si>
    <t>Sep 20, 2024</t>
  </si>
  <si>
    <t>Sep 19, 2024</t>
  </si>
  <si>
    <t>Sep 18, 2024</t>
  </si>
  <si>
    <t>Sep 17, 2024</t>
  </si>
  <si>
    <t>Sep 13, 2024</t>
  </si>
  <si>
    <t>Sep 12, 2024</t>
  </si>
  <si>
    <t>Sep 11, 2024</t>
  </si>
  <si>
    <t>Sep 10, 2024</t>
  </si>
  <si>
    <t>Sep 6, 2024</t>
  </si>
  <si>
    <t>Sep 5, 2024</t>
  </si>
  <si>
    <t>Sep 4, 2024</t>
  </si>
  <si>
    <t>Sep 3, 2024</t>
  </si>
  <si>
    <t>Aug 30, 2024</t>
  </si>
  <si>
    <t>Aug 29, 2024</t>
  </si>
  <si>
    <t>Aug 28, 2024</t>
  </si>
  <si>
    <t>Aug 23, 2024</t>
  </si>
  <si>
    <t>Aug 22, 2024</t>
  </si>
  <si>
    <t>Aug 21, 2024</t>
  </si>
  <si>
    <t>Aug 20, 2024</t>
  </si>
  <si>
    <t>Aug 16, 2024</t>
  </si>
  <si>
    <t>Aug 14, 2024</t>
  </si>
  <si>
    <t>Aug 13, 2024</t>
  </si>
  <si>
    <t>Aug 9, 2024</t>
  </si>
  <si>
    <t>Aug 8, 2024</t>
  </si>
  <si>
    <t>Aug 7, 2024</t>
  </si>
  <si>
    <t>Aug 6, 2024</t>
  </si>
  <si>
    <t>Aug 2, 2024</t>
  </si>
  <si>
    <t>Aug 1, 2024</t>
  </si>
  <si>
    <t>Jul 31, 2024</t>
  </si>
  <si>
    <t>Jul 30, 2024</t>
  </si>
  <si>
    <t>Jul 26, 2024</t>
  </si>
  <si>
    <t>Jul 25, 2024</t>
  </si>
  <si>
    <t>Jul 24, 2024</t>
  </si>
  <si>
    <t>Jul 23, 2024</t>
  </si>
  <si>
    <t>Jul 19, 2024</t>
  </si>
  <si>
    <t>Jul 18, 2024</t>
  </si>
  <si>
    <t>Jul 16, 2024</t>
  </si>
  <si>
    <t>Jul 12, 2024</t>
  </si>
  <si>
    <t>Jul 11, 2024</t>
  </si>
  <si>
    <t>Jul 10, 2024</t>
  </si>
  <si>
    <t>Jul 9, 2024</t>
  </si>
  <si>
    <t>Jul 5, 2024</t>
  </si>
  <si>
    <t>Jul 4, 2024</t>
  </si>
  <si>
    <t>Jul 3, 2024</t>
  </si>
  <si>
    <t>Jul 2, 2024</t>
  </si>
  <si>
    <t>Jun 28, 2024</t>
  </si>
  <si>
    <t>Jun 27, 2024</t>
  </si>
  <si>
    <t>Jun 26, 2024</t>
  </si>
  <si>
    <t>Jun 25, 2024</t>
  </si>
  <si>
    <t>Jun 21, 2024</t>
  </si>
  <si>
    <t>Jun 20, 2024</t>
  </si>
  <si>
    <t>Jun 19, 2024</t>
  </si>
  <si>
    <t>Jun 18, 2024</t>
  </si>
  <si>
    <t>Jun 14, 2024</t>
  </si>
  <si>
    <t>Jun 13, 2024</t>
  </si>
  <si>
    <t>Jun 12, 2024</t>
  </si>
  <si>
    <t>Jun 11, 2024</t>
  </si>
  <si>
    <t>Jun 7, 2024</t>
  </si>
  <si>
    <t>Jun 6, 2024</t>
  </si>
  <si>
    <t>Jun 5, 2024</t>
  </si>
  <si>
    <t>Jun 4, 2024</t>
  </si>
  <si>
    <t>May 31, 2024</t>
  </si>
  <si>
    <t>May 30, 2024</t>
  </si>
  <si>
    <t>May 29, 2024</t>
  </si>
  <si>
    <t>May 28, 2024</t>
  </si>
  <si>
    <t>May 24, 2024</t>
  </si>
  <si>
    <t>May 23, 2024</t>
  </si>
  <si>
    <t>May 22, 2024</t>
  </si>
  <si>
    <t>May 21, 2024</t>
  </si>
  <si>
    <t>May 17, 2024</t>
  </si>
  <si>
    <t>May 16, 2024</t>
  </si>
  <si>
    <t>May 15, 2024</t>
  </si>
  <si>
    <t>May 14, 2024</t>
  </si>
  <si>
    <t>May 10, 2024</t>
  </si>
  <si>
    <t>May 9, 2024</t>
  </si>
  <si>
    <t>May 8, 2024</t>
  </si>
  <si>
    <t>May 7, 2024</t>
  </si>
  <si>
    <t>May 3, 2024</t>
  </si>
  <si>
    <t>May 2, 2024</t>
  </si>
  <si>
    <t>Apr 30, 2024</t>
  </si>
  <si>
    <t>Apr 26, 2024</t>
  </si>
  <si>
    <t>Apr 25, 2024</t>
  </si>
  <si>
    <t>Apr 24, 2024</t>
  </si>
  <si>
    <t>Apr 23, 2024</t>
  </si>
  <si>
    <t>Apr 19, 2024</t>
  </si>
  <si>
    <t>Apr 18, 2024</t>
  </si>
  <si>
    <t>Apr 16, 2024</t>
  </si>
  <si>
    <t>Apr 12, 2024</t>
  </si>
  <si>
    <t>Apr 10, 2024</t>
  </si>
  <si>
    <t>Apr 9, 2024</t>
  </si>
  <si>
    <t>Apr 5, 2024</t>
  </si>
  <si>
    <t>Apr 4, 2024</t>
  </si>
  <si>
    <t>Apr 3, 2024</t>
  </si>
  <si>
    <t>Apr 2, 2024</t>
  </si>
  <si>
    <t>Mar 28, 2024</t>
  </si>
  <si>
    <t>Mar 27, 2024</t>
  </si>
  <si>
    <t>Mar 26, 2024</t>
  </si>
  <si>
    <t>Mar 22, 2024</t>
  </si>
  <si>
    <t>Mar 21, 2024</t>
  </si>
  <si>
    <t>Mar 20, 2024</t>
  </si>
  <si>
    <t>Mar 19, 2024</t>
  </si>
  <si>
    <t>Mar 15, 2024</t>
  </si>
  <si>
    <t>Mar 14, 2024</t>
  </si>
  <si>
    <t>Mar 13, 2024</t>
  </si>
  <si>
    <t>Mar 12, 2024</t>
  </si>
  <si>
    <t>Mar 7, 2024</t>
  </si>
  <si>
    <t>Mar 6, 2024</t>
  </si>
  <si>
    <t>Mar 5, 2024</t>
  </si>
  <si>
    <t>Mar 1, 2024</t>
  </si>
  <si>
    <t>Feb 29, 2024</t>
  </si>
  <si>
    <t>Feb 28, 2024</t>
  </si>
  <si>
    <t>Feb 27, 2024</t>
  </si>
  <si>
    <t>Feb 23, 2024</t>
  </si>
  <si>
    <t>Feb 22, 2024</t>
  </si>
  <si>
    <t>Feb 21, 2024</t>
  </si>
  <si>
    <t>Feb 20, 2024</t>
  </si>
  <si>
    <t>Feb 16, 2024</t>
  </si>
  <si>
    <t>Feb 15, 2024</t>
  </si>
  <si>
    <t>Feb 14, 2024</t>
  </si>
  <si>
    <t>Feb 13, 2024</t>
  </si>
  <si>
    <t>Feb 9, 2024</t>
  </si>
  <si>
    <t>Feb 8, 2024</t>
  </si>
  <si>
    <t>Feb 7, 2024</t>
  </si>
  <si>
    <t>Feb 6, 2024</t>
  </si>
  <si>
    <t>Feb 2, 2024</t>
  </si>
  <si>
    <t>Feb 1, 2024</t>
  </si>
  <si>
    <t>Jan 31, 2024</t>
  </si>
  <si>
    <t>Jan 30, 2024</t>
  </si>
  <si>
    <t>Jan 25, 2024</t>
  </si>
  <si>
    <t>Jan 24, 2024</t>
  </si>
  <si>
    <t>Jan 23, 2024</t>
  </si>
  <si>
    <t>Jan 19, 2024</t>
  </si>
  <si>
    <t>Jan 17, 2024</t>
  </si>
  <si>
    <t>Jan 16, 2024</t>
  </si>
  <si>
    <t>Jan 12, 2024</t>
  </si>
  <si>
    <t>Jan 11, 2024</t>
  </si>
  <si>
    <t>Jan 10, 2024</t>
  </si>
  <si>
    <t>Jan 9, 2024</t>
  </si>
  <si>
    <t>Jan 5, 2024</t>
  </si>
  <si>
    <t>Jan 4, 2024</t>
  </si>
  <si>
    <t>Jan 3, 2024</t>
  </si>
  <si>
    <t>Jan 2, 2024</t>
  </si>
  <si>
    <t>Dec 29, 2023</t>
  </si>
  <si>
    <t>Dec 28, 2023</t>
  </si>
  <si>
    <t>Dec 27, 2023</t>
  </si>
  <si>
    <t>Dec 26, 2023</t>
  </si>
  <si>
    <t>Dec 22, 2023</t>
  </si>
  <si>
    <t>Dec 21, 2023</t>
  </si>
  <si>
    <t>Dec 20, 2023</t>
  </si>
  <si>
    <t>Dec 19, 2023</t>
  </si>
  <si>
    <t>Dec 15, 2023</t>
  </si>
  <si>
    <t>Dec 14, 2023</t>
  </si>
  <si>
    <t>Dec 13, 2023</t>
  </si>
  <si>
    <t>Dec 12, 2023</t>
  </si>
  <si>
    <t>Dec 8, 2023</t>
  </si>
  <si>
    <t>Dec 7, 2023</t>
  </si>
  <si>
    <t>Dec 6, 2023</t>
  </si>
  <si>
    <t>Dec 5, 2023</t>
  </si>
  <si>
    <t>Dec 1, 2023</t>
  </si>
  <si>
    <t>Nov 30, 2023</t>
  </si>
  <si>
    <t>Nov 29, 2023</t>
  </si>
  <si>
    <t>Nov 28, 2023</t>
  </si>
  <si>
    <t>Nov 24, 2023</t>
  </si>
  <si>
    <t>Nov 23, 2023</t>
  </si>
  <si>
    <t>Nov 22, 2023</t>
  </si>
  <si>
    <t>Nov 21, 2023</t>
  </si>
  <si>
    <t>Nov 17, 2023</t>
  </si>
  <si>
    <t>Nov 16, 2023</t>
  </si>
  <si>
    <t>Nov 15, 2023</t>
  </si>
  <si>
    <t>Nov 10, 2023</t>
  </si>
  <si>
    <t>Nov 9, 2023</t>
  </si>
  <si>
    <t>Nov 8, 2023</t>
  </si>
  <si>
    <t>Nov 7, 2023</t>
  </si>
  <si>
    <t>Nov 3, 2023</t>
  </si>
  <si>
    <t>Nov 2, 2023</t>
  </si>
  <si>
    <t>Nov 1, 2023</t>
  </si>
  <si>
    <t>Oct 31, 2023</t>
  </si>
  <si>
    <t>Oct 27, 2023</t>
  </si>
  <si>
    <t>Oct 26, 2023</t>
  </si>
  <si>
    <t>Oct 25, 2023</t>
  </si>
  <si>
    <t>Oct 20, 2023</t>
  </si>
  <si>
    <t>Oct 19, 2023</t>
  </si>
  <si>
    <t>Oct 18, 2023</t>
  </si>
  <si>
    <t>Oct 17, 2023</t>
  </si>
  <si>
    <t>Oct 13, 2023</t>
  </si>
  <si>
    <t>Oct 12, 2023</t>
  </si>
  <si>
    <t>Oct 11, 2023</t>
  </si>
  <si>
    <t>Oct 10, 2023</t>
  </si>
  <si>
    <t>Oct 6, 2023</t>
  </si>
  <si>
    <t>Oct 5, 2023</t>
  </si>
  <si>
    <t>Oct 4, 2023</t>
  </si>
  <si>
    <t>Oct 3, 2023</t>
  </si>
  <si>
    <t>Sep 29, 2023</t>
  </si>
  <si>
    <t>Sep 28, 2023</t>
  </si>
  <si>
    <t>Sep 27, 2023</t>
  </si>
  <si>
    <t>Sep 26, 2023</t>
  </si>
  <si>
    <t>Sep 22, 2023</t>
  </si>
  <si>
    <t>Sep 21, 2023</t>
  </si>
  <si>
    <t>Sep 20, 2023</t>
  </si>
  <si>
    <t>Sep 15, 2023</t>
  </si>
  <si>
    <t>Sep 14, 2023</t>
  </si>
  <si>
    <t>Sep 13, 2023</t>
  </si>
  <si>
    <t>Sep 12, 2023</t>
  </si>
  <si>
    <t>Sep 8, 2023</t>
  </si>
  <si>
    <t>Sep 7, 2023</t>
  </si>
  <si>
    <t>Sep 6, 2023</t>
  </si>
  <si>
    <t>Sep 5, 2023</t>
  </si>
  <si>
    <t>Sep 1, 2023</t>
  </si>
  <si>
    <t>Aug 31, 2023</t>
  </si>
  <si>
    <t>Aug 30, 2023</t>
  </si>
  <si>
    <t>Aug 29, 2023</t>
  </si>
  <si>
    <t>Aug 25, 2023</t>
  </si>
  <si>
    <t>Aug 24, 2023</t>
  </si>
  <si>
    <t>Aug 23, 2023</t>
  </si>
  <si>
    <t>Aug 22, 2023</t>
  </si>
  <si>
    <t>Aug 18, 2023</t>
  </si>
  <si>
    <t>Aug 17, 2023</t>
  </si>
  <si>
    <t>Aug 16, 2023</t>
  </si>
  <si>
    <t>Aug 11, 2023</t>
  </si>
  <si>
    <t>Aug 10, 2023</t>
  </si>
  <si>
    <t>Aug 9, 2023</t>
  </si>
  <si>
    <t>Aug 8, 2023</t>
  </si>
  <si>
    <t>Aug 4, 2023</t>
  </si>
  <si>
    <t>Aug 3, 2023</t>
  </si>
  <si>
    <t>Jul 28, 2023</t>
  </si>
  <si>
    <t>Jul 26, 2023</t>
  </si>
  <si>
    <t>Jul 21, 2023</t>
  </si>
  <si>
    <t>Jul 20, 2023</t>
  </si>
  <si>
    <t>Jul 19, 2023</t>
  </si>
  <si>
    <t>Jul 14, 2023</t>
  </si>
  <si>
    <t>Jul 7, 2023</t>
  </si>
  <si>
    <t>Jun 30, 2023</t>
  </si>
  <si>
    <t>Jun 28, 2023</t>
  </si>
  <si>
    <t>Jun 27, 2023</t>
  </si>
  <si>
    <t>Jun 23, 2023</t>
  </si>
  <si>
    <t>Jun 22, 2023</t>
  </si>
  <si>
    <t>Jun 21, 2023</t>
  </si>
  <si>
    <t>Jun 20, 2023</t>
  </si>
  <si>
    <t>Jun 16, 2023</t>
  </si>
  <si>
    <t>Jun 15, 2023</t>
  </si>
  <si>
    <t>Jun 14, 2023</t>
  </si>
  <si>
    <t>Jun 13, 2023</t>
  </si>
  <si>
    <t>Jun 9, 2023</t>
  </si>
  <si>
    <t>Jun 8, 2023</t>
  </si>
  <si>
    <t>Jun 7, 2023</t>
  </si>
  <si>
    <t>Jun 6, 2023</t>
  </si>
  <si>
    <t>Jun 2, 2023</t>
  </si>
  <si>
    <t>Jun 1, 2023</t>
  </si>
  <si>
    <t>May 31, 2023</t>
  </si>
  <si>
    <t>May 30, 2023</t>
  </si>
  <si>
    <t>May 26, 2023</t>
  </si>
  <si>
    <t>May 25, 2023</t>
  </si>
  <si>
    <t>May 24, 2023</t>
  </si>
  <si>
    <t>May 23, 2023</t>
  </si>
  <si>
    <t>May 19, 2023</t>
  </si>
  <si>
    <t>May 17, 2023</t>
  </si>
  <si>
    <t>May 16, 2023</t>
  </si>
  <si>
    <t>May 12, 2023</t>
  </si>
  <si>
    <t>May 11, 2023</t>
  </si>
  <si>
    <t>May 10, 2023</t>
  </si>
  <si>
    <t>May 9, 2023</t>
  </si>
  <si>
    <t>May 5, 2023</t>
  </si>
  <si>
    <t>May 4, 2023</t>
  </si>
  <si>
    <t>May 3, 2023</t>
  </si>
  <si>
    <t>May 2, 2023</t>
  </si>
  <si>
    <t>Apr 28, 2023</t>
  </si>
  <si>
    <t>Apr 27, 2023</t>
  </si>
  <si>
    <t>Apr 26, 2023</t>
  </si>
  <si>
    <t>Apr 25, 2023</t>
  </si>
  <si>
    <t>Apr 21, 2023</t>
  </si>
  <si>
    <t>Apr 20, 2023</t>
  </si>
  <si>
    <t>Apr 19, 2023</t>
  </si>
  <si>
    <t>Apr 18, 2023</t>
  </si>
  <si>
    <t>Apr 13, 2023</t>
  </si>
  <si>
    <t>Apr 12, 2023</t>
  </si>
  <si>
    <t>Apr 11, 2023</t>
  </si>
  <si>
    <t>Apr 6, 2023</t>
  </si>
  <si>
    <t>Apr 5, 2023</t>
  </si>
  <si>
    <t>Mar 31, 2023</t>
  </si>
  <si>
    <t>Mar 29, 2023</t>
  </si>
  <si>
    <t>Mar 28, 2023</t>
  </si>
  <si>
    <t>Mar 24, 2023</t>
  </si>
  <si>
    <t>Mar 23, 2023</t>
  </si>
  <si>
    <t>Mar 22, 2023</t>
  </si>
  <si>
    <t>Mar 21, 2023</t>
  </si>
  <si>
    <t>Mar 17, 2023</t>
  </si>
  <si>
    <t>Mar 16, 2023</t>
  </si>
  <si>
    <t>Mar 15, 2023</t>
  </si>
  <si>
    <t>Mar 14, 2023</t>
  </si>
  <si>
    <t>Mar 10, 2023</t>
  </si>
  <si>
    <t>Mar 9, 2023</t>
  </si>
  <si>
    <t>Mar 8, 2023</t>
  </si>
  <si>
    <t>Mar 3, 2023</t>
  </si>
  <si>
    <t>Mar 2, 2023</t>
  </si>
  <si>
    <t>Mar 1, 2023</t>
  </si>
  <si>
    <t>Feb 28,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</si>
  <si>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</si>
  <si>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</si>
  <si>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</si>
  <si>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</si>
  <si>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</si>
  <si>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</si>
  <si>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</si>
  <si>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</si>
  <si>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10, 2023</t>
  </si>
  <si>
    <t>Feb 9, 2023</t>
  </si>
  <si>
    <t>Feb 8, 2023</t>
  </si>
  <si>
    <t>Feb 7, 2023</t>
  </si>
  <si>
    <t>Feb 3, 2023</t>
  </si>
  <si>
    <t>Feb 2, 2023</t>
  </si>
  <si>
    <t>Feb 1, 2023</t>
  </si>
  <si>
    <t>Jan 31, 2023</t>
  </si>
  <si>
    <t>Jan 27, 2023</t>
  </si>
  <si>
    <t>Jan 25, 2023</t>
  </si>
  <si>
    <t>Jan 24,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</si>
  <si>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</si>
  <si>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</si>
  <si>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</si>
  <si>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</si>
  <si>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</si>
  <si>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</si>
  <si>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</si>
  <si>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</si>
  <si>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6, 2023</t>
  </si>
  <si>
    <t>Jan 5, 2023</t>
  </si>
  <si>
    <t>Jan 4, 2023</t>
  </si>
  <si>
    <t>Jan 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</si>
  <si>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</si>
  <si>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</si>
  <si>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</si>
  <si>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</si>
  <si>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</si>
  <si>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</si>
  <si>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</si>
  <si>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</si>
  <si>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16, 2022</t>
  </si>
  <si>
    <t>Dec 15, 2022</t>
  </si>
  <si>
    <t>Dec 14, 2022</t>
  </si>
  <si>
    <t>Dec 13, 2022</t>
  </si>
  <si>
    <t>Dec 9, 2022</t>
  </si>
  <si>
    <t>Dec 8, 2022</t>
  </si>
  <si>
    <t>Dec 7, 2022</t>
  </si>
  <si>
    <t>Dec 6, 2022</t>
  </si>
  <si>
    <t>Dec 2, 2022</t>
  </si>
  <si>
    <t>Dec 1, 2022</t>
  </si>
  <si>
    <t>Nov 30, 2022</t>
  </si>
  <si>
    <t>Nov 29, 2022</t>
  </si>
  <si>
    <t>Nov 25, 2022</t>
  </si>
  <si>
    <t>Nov 24, 2022</t>
  </si>
  <si>
    <t>Nov 23, 2022</t>
  </si>
  <si>
    <t>Nov 22, 2022</t>
  </si>
  <si>
    <t>Nov 18, 2022</t>
  </si>
  <si>
    <t>Nov 17, 2022</t>
  </si>
  <si>
    <t>Nov 16, 2022</t>
  </si>
  <si>
    <t>Nov 15, 2022</t>
  </si>
  <si>
    <t>Nov 11, 2022</t>
  </si>
  <si>
    <t>Nov 10, 2022</t>
  </si>
  <si>
    <t>Nov 9, 2022</t>
  </si>
  <si>
    <t>Nov 4, 2022</t>
  </si>
  <si>
    <t>Nov 3, 2022</t>
  </si>
  <si>
    <t>Nov 2, 2022</t>
  </si>
  <si>
    <t>Nov 1, 2022</t>
  </si>
  <si>
    <t>Oct 28, 2022</t>
  </si>
  <si>
    <t>Oct 27, 2022</t>
  </si>
  <si>
    <t>Oct 25, 2022</t>
  </si>
  <si>
    <t>Oct 21, 2022</t>
  </si>
  <si>
    <t>Oct 20, 2022</t>
  </si>
  <si>
    <t>Oct 19, 2022</t>
  </si>
  <si>
    <t>Oct 18, 2022</t>
  </si>
  <si>
    <t>Oct 14, 2022</t>
  </si>
  <si>
    <t>Oct 13, 2022</t>
  </si>
  <si>
    <t>Oct 12, 2022</t>
  </si>
  <si>
    <t>Oct 11, 2022</t>
  </si>
  <si>
    <t>Oct 7, 2022</t>
  </si>
  <si>
    <t>Oct 6, 2022</t>
  </si>
  <si>
    <t>Oct 4,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</si>
  <si>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</si>
  <si>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</si>
  <si>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</si>
  <si>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</si>
  <si>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</si>
  <si>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</si>
  <si>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</si>
  <si>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</si>
  <si>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</si>
  <si>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</si>
  <si>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</si>
  <si>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</si>
  <si>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</si>
  <si>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</si>
  <si>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</si>
  <si>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9, 2022</t>
  </si>
  <si>
    <t>Sep 8, 2022</t>
  </si>
  <si>
    <t>Sep 7, 2022</t>
  </si>
  <si>
    <t>Sep 6, 2022</t>
  </si>
  <si>
    <t>Sep 5, 2022</t>
  </si>
  <si>
    <t>Sep 2, 2022</t>
  </si>
  <si>
    <t>Sep 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</si>
  <si>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</si>
  <si>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</si>
  <si>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</si>
  <si>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</si>
  <si>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</si>
  <si>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</si>
  <si>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</si>
  <si>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</si>
  <si>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</si>
  <si>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</si>
  <si>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</si>
  <si>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12, 2022</t>
  </si>
  <si>
    <t>Aug 11, 2022</t>
  </si>
  <si>
    <t>Aug 10, 2022</t>
  </si>
  <si>
    <t>Aug 8, 2022</t>
  </si>
  <si>
    <t>Aug 5, 2022</t>
  </si>
  <si>
    <t>Aug 4, 2022</t>
  </si>
  <si>
    <t>Aug 3, 2022</t>
  </si>
  <si>
    <t>Aug 2, 2022</t>
  </si>
  <si>
    <t>Aug 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</si>
  <si>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</si>
  <si>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</si>
  <si>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</si>
  <si>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</si>
  <si>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</si>
  <si>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</si>
  <si>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</si>
  <si>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</si>
  <si>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</si>
  <si>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</si>
  <si>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</si>
  <si>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</si>
  <si>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</si>
  <si>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</si>
  <si>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</si>
  <si>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8, 2022</t>
  </si>
  <si>
    <t>Jul 7, 2022</t>
  </si>
  <si>
    <t>Jul 6, 2022</t>
  </si>
  <si>
    <t>Jul 5, 2022</t>
  </si>
  <si>
    <t>Jul 4, 2022</t>
  </si>
  <si>
    <t>Jul 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</si>
  <si>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</si>
  <si>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</si>
  <si>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</si>
  <si>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</si>
  <si>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</si>
  <si>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</si>
  <si>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</si>
  <si>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</si>
  <si>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20, 2022</t>
  </si>
  <si>
    <t>Jun 17, 2022</t>
  </si>
  <si>
    <t>Jun 16, 2022</t>
  </si>
  <si>
    <t>Jun 15, 2022</t>
  </si>
  <si>
    <t>Jun 14, 2022</t>
  </si>
  <si>
    <t>Jun 13, 2022</t>
  </si>
  <si>
    <t>Jun 10, 2022</t>
  </si>
  <si>
    <t>Jun 9, 2022</t>
  </si>
  <si>
    <t>Jun 8, 2022</t>
  </si>
  <si>
    <t>Jun 7, 2022</t>
  </si>
  <si>
    <t>Jun 6, 2022</t>
  </si>
  <si>
    <t>Jun 3, 2022</t>
  </si>
  <si>
    <t>Jun 2, 2022</t>
  </si>
  <si>
    <t>Jun 1, 2022</t>
  </si>
  <si>
    <t>May 31, 2022</t>
  </si>
  <si>
    <t>May 30,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</si>
  <si>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</si>
  <si>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</si>
  <si>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</si>
  <si>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</si>
  <si>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</si>
  <si>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</si>
  <si>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</si>
  <si>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</si>
  <si>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</si>
  <si>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</si>
  <si>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</si>
  <si>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</si>
  <si>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</si>
  <si>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</si>
  <si>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9, 2022</t>
  </si>
  <si>
    <t>May 6, 2022</t>
  </si>
  <si>
    <t>May 5, 2022</t>
  </si>
  <si>
    <t>May 4,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</si>
  <si>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</si>
  <si>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</si>
  <si>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</si>
  <si>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</si>
  <si>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</si>
  <si>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</si>
  <si>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</si>
  <si>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</si>
  <si>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</si>
  <si>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</si>
  <si>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13, 2022</t>
  </si>
  <si>
    <t>Apr 12, 2022</t>
  </si>
  <si>
    <t>Apr 11, 2022</t>
  </si>
  <si>
    <t>Apr 8, 2022</t>
  </si>
  <si>
    <t>Apr 7, 2022</t>
  </si>
  <si>
    <t>Apr 6, 2022</t>
  </si>
  <si>
    <t>Apr 5, 2022</t>
  </si>
  <si>
    <t>Apr 4, 2022</t>
  </si>
  <si>
    <t>Apr 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</si>
  <si>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</si>
  <si>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</si>
  <si>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</si>
  <si>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</si>
  <si>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</si>
  <si>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</si>
  <si>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</si>
  <si>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</si>
  <si>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</si>
  <si>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17, 2022</t>
  </si>
  <si>
    <t>Mar 16, 2022</t>
  </si>
  <si>
    <t>Mar 15, 2022</t>
  </si>
  <si>
    <t>Mar 14, 2022</t>
  </si>
  <si>
    <t>Mar 11, 2022</t>
  </si>
  <si>
    <t>Mar 10, 2022</t>
  </si>
  <si>
    <t>Mar 9, 2022</t>
  </si>
  <si>
    <t>Mar 8, 2022</t>
  </si>
  <si>
    <t>Mar 7, 2022</t>
  </si>
  <si>
    <t>Mar 4, 2022</t>
  </si>
  <si>
    <t>Mar 3, 2022</t>
  </si>
  <si>
    <t>Mar 2, 2022</t>
  </si>
  <si>
    <t>Feb 28, 2022</t>
  </si>
  <si>
    <t>Feb 25, 2022</t>
  </si>
  <si>
    <t>Feb 24, 2022</t>
  </si>
  <si>
    <t>Feb 23, 2022</t>
  </si>
  <si>
    <t>Feb 22, 2022</t>
  </si>
  <si>
    <t>Feb 21, 2022</t>
  </si>
  <si>
    <t>Feb 18, 2022</t>
  </si>
  <si>
    <t>Feb 17, 2022</t>
  </si>
  <si>
    <t>Feb 16, 2022</t>
  </si>
  <si>
    <t>Feb 15, 2022</t>
  </si>
  <si>
    <t>Feb 11, 2022</t>
  </si>
  <si>
    <t>Feb 10, 2022</t>
  </si>
  <si>
    <t>Feb 9, 2022</t>
  </si>
  <si>
    <t>Feb 8, 2022</t>
  </si>
  <si>
    <t>Feb 7, 2022</t>
  </si>
  <si>
    <t>Feb 4, 2022</t>
  </si>
  <si>
    <t>Feb 3, 2022</t>
  </si>
  <si>
    <t>Feb 2, 2022</t>
  </si>
  <si>
    <t>Feb 1, 2022</t>
  </si>
  <si>
    <t>Jan 31, 2022</t>
  </si>
  <si>
    <t>Jan 28, 2022</t>
  </si>
  <si>
    <t>Jan 27, 2022</t>
  </si>
  <si>
    <t>Jan 25, 2022</t>
  </si>
  <si>
    <t>Jan 24, 2022</t>
  </si>
  <si>
    <t>Jan 21, 2022</t>
  </si>
  <si>
    <t>Jan 20, 2022</t>
  </si>
  <si>
    <t>Jan 19, 2022</t>
  </si>
  <si>
    <t>Jan 18, 2022</t>
  </si>
  <si>
    <t>Jan 17, 2022</t>
  </si>
  <si>
    <t>Jan 14, 2022</t>
  </si>
  <si>
    <t>Jan 13, 2022</t>
  </si>
  <si>
    <t>Jan 12, 2022</t>
  </si>
  <si>
    <t>Jan 11, 2022</t>
  </si>
  <si>
    <t>Jan 10, 2022</t>
  </si>
  <si>
    <t>Jan 7, 2022</t>
  </si>
  <si>
    <t>Jan 6, 2022</t>
  </si>
  <si>
    <t>Jan 5, 2022</t>
  </si>
  <si>
    <t>Jan 4, 2022</t>
  </si>
  <si>
    <t>Jan 3, 2022</t>
  </si>
  <si>
    <t>Dec 31, 2021</t>
  </si>
  <si>
    <t>Dec 30, 2021</t>
  </si>
  <si>
    <t>Dec 29, 2021</t>
  </si>
  <si>
    <t>Dec 28, 2021</t>
  </si>
  <si>
    <t>Dec 27, 2021</t>
  </si>
  <si>
    <t>Dec 24,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</si>
  <si>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</si>
  <si>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</si>
  <si>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</si>
  <si>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</si>
  <si>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</si>
  <si>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</si>
  <si>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</si>
  <si>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</si>
  <si>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</si>
  <si>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</si>
  <si>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9, 2021</t>
  </si>
  <si>
    <t>Dec 8, 2021</t>
  </si>
  <si>
    <t>Dec 7, 2021</t>
  </si>
  <si>
    <t>Dec 6, 2021</t>
  </si>
  <si>
    <t>Dec 3, 2021</t>
  </si>
  <si>
    <t>Dec 2, 2021</t>
  </si>
  <si>
    <t>Dec 1, 2021</t>
  </si>
  <si>
    <t>Nov 30, 2021</t>
  </si>
  <si>
    <t>Nov 29, 2021</t>
  </si>
  <si>
    <t>Nov 26, 2021</t>
  </si>
  <si>
    <t>Nov 25, 2021</t>
  </si>
  <si>
    <t>Nov 24, 2021</t>
  </si>
  <si>
    <t>Nov 23, 2021</t>
  </si>
  <si>
    <t>Nov 22,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</si>
  <si>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</si>
  <si>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</si>
  <si>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</si>
  <si>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</si>
  <si>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</si>
  <si>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</si>
  <si>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</si>
  <si>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9, 2021</t>
  </si>
  <si>
    <t>Nov 8, 2021</t>
  </si>
  <si>
    <t>Nov 4, 2021</t>
  </si>
  <si>
    <t>Nov 3, 2021</t>
  </si>
  <si>
    <t>Nov 2, 2021</t>
  </si>
  <si>
    <t>Nov 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</si>
  <si>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</si>
  <si>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</si>
  <si>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</si>
  <si>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</si>
  <si>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</si>
  <si>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</si>
  <si>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</si>
  <si>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</si>
  <si>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</si>
  <si>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</si>
  <si>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14, 2021</t>
  </si>
  <si>
    <t>Oct 13, 2021</t>
  </si>
  <si>
    <t>Oct 12, 2021</t>
  </si>
  <si>
    <t>Oct 11, 2021</t>
  </si>
  <si>
    <t>Oct 8, 2021</t>
  </si>
  <si>
    <t>Oct 7, 2021</t>
  </si>
  <si>
    <t>Oct 6, 2021</t>
  </si>
  <si>
    <t>Oct 5, 2021</t>
  </si>
  <si>
    <t>Oct 4, 2021</t>
  </si>
  <si>
    <t>Oct 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</si>
  <si>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</si>
  <si>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</si>
  <si>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</si>
  <si>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</si>
  <si>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</si>
  <si>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</si>
  <si>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</si>
  <si>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</si>
  <si>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</si>
  <si>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</si>
  <si>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</si>
  <si>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</si>
  <si>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</si>
  <si>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</si>
  <si>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9, 2021</t>
  </si>
  <si>
    <t>Sep 8, 2021</t>
  </si>
  <si>
    <t>Sep 7, 2021</t>
  </si>
  <si>
    <t>Sep 6, 2021</t>
  </si>
  <si>
    <t>Sep 3, 2021</t>
  </si>
  <si>
    <t>Sep 2, 2021</t>
  </si>
  <si>
    <t>Sep 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</si>
  <si>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</si>
  <si>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</si>
  <si>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</si>
  <si>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</si>
  <si>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</si>
  <si>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</si>
  <si>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</si>
  <si>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</si>
  <si>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</si>
  <si>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</si>
  <si>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</si>
  <si>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</si>
  <si>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</si>
  <si>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</si>
  <si>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</si>
  <si>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9, 2021</t>
  </si>
  <si>
    <t>Aug 6, 2021</t>
  </si>
  <si>
    <t>Aug 5, 2021</t>
  </si>
  <si>
    <t>Aug 4, 2021</t>
  </si>
  <si>
    <t>Aug 3, 2021</t>
  </si>
  <si>
    <t>Aug 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</si>
  <si>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</si>
  <si>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</si>
  <si>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</si>
  <si>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</si>
  <si>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</si>
  <si>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</si>
  <si>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</si>
  <si>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</si>
  <si>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</si>
  <si>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</si>
  <si>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</si>
  <si>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</si>
  <si>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</si>
  <si>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</si>
  <si>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9, 2021</t>
  </si>
  <si>
    <t>Jul 8, 2021</t>
  </si>
  <si>
    <t>Jul 7, 2021</t>
  </si>
  <si>
    <t>Jul 6, 2021</t>
  </si>
  <si>
    <t>Jul 5, 2021</t>
  </si>
  <si>
    <t>Jul 2, 2021</t>
  </si>
  <si>
    <t>Jul 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</si>
  <si>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</si>
  <si>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</si>
  <si>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</si>
  <si>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</si>
  <si>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</si>
  <si>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</si>
  <si>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</si>
  <si>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</si>
  <si>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</si>
  <si>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</si>
  <si>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</si>
  <si>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</si>
  <si>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</si>
  <si>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</si>
  <si>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</si>
  <si>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9, 2021</t>
  </si>
  <si>
    <t>Jun 8, 2021</t>
  </si>
  <si>
    <t>Jun 7, 2021</t>
  </si>
  <si>
    <t>Jun 4, 2021</t>
  </si>
  <si>
    <t>Jun 3, 2021</t>
  </si>
  <si>
    <t>Jun 2, 2021</t>
  </si>
  <si>
    <t>Jun 1, 2021</t>
  </si>
  <si>
    <t>May 31,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</si>
  <si>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</si>
  <si>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</si>
  <si>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</si>
  <si>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</si>
  <si>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</si>
  <si>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</si>
  <si>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</si>
  <si>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</si>
  <si>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</si>
  <si>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</si>
  <si>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</si>
  <si>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12, 2021</t>
  </si>
  <si>
    <t>May 11, 2021</t>
  </si>
  <si>
    <t>May 10, 2021</t>
  </si>
  <si>
    <t>May 7, 2021</t>
  </si>
  <si>
    <t>May 6, 2021</t>
  </si>
  <si>
    <t>May 5, 2021</t>
  </si>
  <si>
    <t>May 4, 2021</t>
  </si>
  <si>
    <t>May 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</si>
  <si>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</si>
  <si>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</si>
  <si>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</si>
  <si>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</si>
  <si>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</si>
  <si>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</si>
  <si>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</si>
  <si>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20, 2021</t>
  </si>
  <si>
    <t>Apr 19, 2021</t>
  </si>
  <si>
    <t>Apr 16, 2021</t>
  </si>
  <si>
    <t>Apr 15, 2021</t>
  </si>
  <si>
    <t>Apr 13, 2021</t>
  </si>
  <si>
    <t>Apr 12, 2021</t>
  </si>
  <si>
    <t>Apr 9, 2021</t>
  </si>
  <si>
    <t>Apr 8, 2021</t>
  </si>
  <si>
    <t>Apr 7, 2021</t>
  </si>
  <si>
    <t>Apr 6, 2021</t>
  </si>
  <si>
    <t>Apr 5, 2021</t>
  </si>
  <si>
    <t>Apr 1, 2021</t>
  </si>
  <si>
    <t>Mar 31, 2021</t>
  </si>
  <si>
    <t>Mar 30,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</si>
  <si>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</si>
  <si>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</si>
  <si>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</si>
  <si>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</si>
  <si>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</si>
  <si>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</si>
  <si>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</si>
  <si>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</si>
  <si>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</si>
  <si>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</si>
  <si>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</si>
  <si>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10, 2021</t>
  </si>
  <si>
    <t>Mar 9, 2021</t>
  </si>
  <si>
    <t>Mar 8, 2021</t>
  </si>
  <si>
    <t>Mar 5, 2021</t>
  </si>
  <si>
    <t>Mar 4, 2021</t>
  </si>
  <si>
    <t>Mar 3, 2021</t>
  </si>
  <si>
    <t>Mar 2, 2021</t>
  </si>
  <si>
    <t>Mar 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</si>
  <si>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</si>
  <si>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</si>
  <si>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</si>
  <si>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</si>
  <si>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</si>
  <si>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</si>
  <si>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</si>
  <si>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</si>
  <si>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</si>
  <si>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15, 2021</t>
  </si>
  <si>
    <t>Feb 12, 2021</t>
  </si>
  <si>
    <t>Feb 11, 2021</t>
  </si>
  <si>
    <t>Feb 10, 2021</t>
  </si>
  <si>
    <t>Feb 9, 2021</t>
  </si>
  <si>
    <t>Feb 8, 2021</t>
  </si>
  <si>
    <t>Feb 5, 2021</t>
  </si>
  <si>
    <t>Feb 4, 2021</t>
  </si>
  <si>
    <t>Feb 3, 2021</t>
  </si>
  <si>
    <t>Feb 2, 2021</t>
  </si>
  <si>
    <t>Feb 1, 2021</t>
  </si>
  <si>
    <t>Jan 29, 2021</t>
  </si>
  <si>
    <t>Jan 28, 2021</t>
  </si>
  <si>
    <t>Jan 27, 2021</t>
  </si>
  <si>
    <t>Jan 25, 2021</t>
  </si>
  <si>
    <t>Jan 22, 2021</t>
  </si>
  <si>
    <t>Jan 21, 2021</t>
  </si>
  <si>
    <t>Jan 20, 2021</t>
  </si>
  <si>
    <t>Jan 19, 2021</t>
  </si>
  <si>
    <t>Jan 18, 2021</t>
  </si>
  <si>
    <t>Jan 15, 2021</t>
  </si>
  <si>
    <t>Jan 14, 2021</t>
  </si>
  <si>
    <t>Jan 13, 2021</t>
  </si>
  <si>
    <t>Jan 12, 2021</t>
  </si>
  <si>
    <t>Jan 11, 2021</t>
  </si>
  <si>
    <t>Jan 8, 2021</t>
  </si>
  <si>
    <t>Jan 7, 2021</t>
  </si>
  <si>
    <t>Jan 6, 2021</t>
  </si>
  <si>
    <t>Jan 5, 2021</t>
  </si>
  <si>
    <t>Jan 4, 2021</t>
  </si>
  <si>
    <t>Jan 1,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</si>
  <si>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</si>
  <si>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</si>
  <si>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</si>
  <si>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</si>
  <si>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</si>
  <si>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</si>
  <si>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</si>
  <si>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</si>
  <si>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</si>
  <si>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</si>
  <si>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</si>
  <si>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</si>
  <si>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</si>
  <si>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</si>
  <si>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</si>
  <si>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9, 2020</t>
  </si>
  <si>
    <t>Dec 8, 2020</t>
  </si>
  <si>
    <t>Dec 7, 2020</t>
  </si>
  <si>
    <t>Dec 4, 2020</t>
  </si>
  <si>
    <t>Dec 3, 2020</t>
  </si>
  <si>
    <t>Dec 2, 2020</t>
  </si>
  <si>
    <t>Dec 1, 2020</t>
  </si>
  <si>
    <t>Nov 27, 2020</t>
  </si>
  <si>
    <t>Nov 26,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</si>
  <si>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</si>
  <si>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</si>
  <si>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</si>
  <si>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</si>
  <si>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</si>
  <si>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</si>
  <si>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</si>
  <si>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14, 2020</t>
  </si>
  <si>
    <t>Nov 13, 2020</t>
  </si>
  <si>
    <t>Nov 12, 2020</t>
  </si>
  <si>
    <t>Nov 11, 2020</t>
  </si>
  <si>
    <t>Nov 10, 2020</t>
  </si>
  <si>
    <t>Nov 9, 2020</t>
  </si>
  <si>
    <t>Nov 6, 2020</t>
  </si>
  <si>
    <t>Nov 5, 2020</t>
  </si>
  <si>
    <t>Nov 4, 2020</t>
  </si>
  <si>
    <t>Nov 3, 2020</t>
  </si>
  <si>
    <t>Nov 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</si>
  <si>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</si>
  <si>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</si>
  <si>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</si>
  <si>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</si>
  <si>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</si>
  <si>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</si>
  <si>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</si>
  <si>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</si>
  <si>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</si>
  <si>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</si>
  <si>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</si>
  <si>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</si>
  <si>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</si>
  <si>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</si>
  <si>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</si>
  <si>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9, 2020</t>
  </si>
  <si>
    <t>Oct 8, 2020</t>
  </si>
  <si>
    <t>Oct 7, 2020</t>
  </si>
  <si>
    <t>Oct 6, 2020</t>
  </si>
  <si>
    <t>Oct 5, 2020</t>
  </si>
  <si>
    <t>Oct 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</si>
  <si>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</si>
  <si>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</si>
  <si>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</si>
  <si>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</si>
  <si>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</si>
  <si>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</si>
  <si>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</si>
  <si>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</si>
  <si>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</si>
  <si>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</si>
  <si>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</si>
  <si>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</si>
  <si>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</si>
  <si>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</si>
  <si>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</si>
  <si>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9, 2020</t>
  </si>
  <si>
    <t>Sep 8, 2020</t>
  </si>
  <si>
    <t>Sep 7, 2020</t>
  </si>
  <si>
    <t>Sep 4, 2020</t>
  </si>
  <si>
    <t>Sep 3, 2020</t>
  </si>
  <si>
    <t>Sep 2, 2020</t>
  </si>
  <si>
    <t>Sep 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</si>
  <si>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</si>
  <si>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</si>
  <si>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</si>
  <si>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</si>
  <si>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</si>
  <si>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</si>
  <si>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</si>
  <si>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</si>
  <si>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</si>
  <si>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</si>
  <si>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</si>
  <si>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</si>
  <si>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</si>
  <si>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</si>
  <si>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</si>
  <si>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</si>
  <si>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7, 2020</t>
  </si>
  <si>
    <t>Aug 6, 2020</t>
  </si>
  <si>
    <t>Aug 5, 2020</t>
  </si>
  <si>
    <t>Aug 4, 2020</t>
  </si>
  <si>
    <t>Aug 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</si>
  <si>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</si>
  <si>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</si>
  <si>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</si>
  <si>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</si>
  <si>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</si>
  <si>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</si>
  <si>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</si>
  <si>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</si>
  <si>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</si>
  <si>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</si>
  <si>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</si>
  <si>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</si>
  <si>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</si>
  <si>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</si>
  <si>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</si>
  <si>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</si>
  <si>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9, 2020</t>
  </si>
  <si>
    <t>Jul 8, 2020</t>
  </si>
  <si>
    <t>Jul 7, 2020</t>
  </si>
  <si>
    <t>Jul 6, 2020</t>
  </si>
  <si>
    <t>Jul 2, 2020</t>
  </si>
  <si>
    <t>Jul 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</si>
  <si>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</si>
  <si>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</si>
  <si>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</si>
  <si>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</si>
  <si>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</si>
  <si>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</si>
  <si>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</si>
  <si>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</si>
  <si>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</si>
  <si>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</si>
  <si>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</si>
  <si>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</si>
  <si>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</si>
  <si>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</si>
  <si>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9, 2020</t>
  </si>
  <si>
    <t>Jun 8, 2020</t>
  </si>
  <si>
    <t>Jun 5, 2020</t>
  </si>
  <si>
    <t>Jun 4, 2020</t>
  </si>
  <si>
    <t>Jun 3, 2020</t>
  </si>
  <si>
    <t>Jun 2, 2020</t>
  </si>
  <si>
    <t>Jun 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</si>
  <si>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</si>
  <si>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</si>
  <si>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</si>
  <si>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</si>
  <si>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</si>
  <si>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</si>
  <si>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</si>
  <si>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</si>
  <si>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</si>
  <si>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</si>
  <si>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</si>
  <si>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</si>
  <si>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</si>
  <si>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</si>
  <si>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8, 2020</t>
  </si>
  <si>
    <t>May 7, 2020</t>
  </si>
  <si>
    <t>May 6, 2020</t>
  </si>
  <si>
    <t>May 5, 2020</t>
  </si>
  <si>
    <t>May 4,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</si>
  <si>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</si>
  <si>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</si>
  <si>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</si>
  <si>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</si>
  <si>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</si>
  <si>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</si>
  <si>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</si>
  <si>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</si>
  <si>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</si>
  <si>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</si>
  <si>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</si>
  <si>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</si>
  <si>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13, 2020</t>
  </si>
  <si>
    <t>Apr 9, 2020</t>
  </si>
  <si>
    <t>Apr 8, 2020</t>
  </si>
  <si>
    <t>Apr 7, 2020</t>
  </si>
  <si>
    <t>Apr 3, 2020</t>
  </si>
  <si>
    <t>Apr 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</si>
  <si>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</si>
  <si>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</si>
  <si>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</si>
  <si>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</si>
  <si>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</si>
  <si>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</si>
  <si>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</si>
  <si>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</si>
  <si>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</si>
  <si>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</si>
  <si>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</si>
  <si>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</si>
  <si>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</si>
  <si>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</si>
  <si>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</si>
  <si>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9, 2020</t>
  </si>
  <si>
    <t>Mar 6, 2020</t>
  </si>
  <si>
    <t>Mar 5, 2020</t>
  </si>
  <si>
    <t>Mar 4, 2020</t>
  </si>
  <si>
    <t>Mar 3, 2020</t>
  </si>
  <si>
    <t>Mar 2, 2020</t>
  </si>
  <si>
    <t>Feb 28, 2020</t>
  </si>
  <si>
    <t>Feb 27, 2020</t>
  </si>
  <si>
    <t>Feb 26, 2020</t>
  </si>
  <si>
    <t>Feb 25, 2020</t>
  </si>
  <si>
    <t>Feb 24, 2020</t>
  </si>
  <si>
    <t>Feb 20, 2020</t>
  </si>
  <si>
    <t>Feb 19, 2020</t>
  </si>
  <si>
    <t>Feb 18, 2020</t>
  </si>
  <si>
    <t>Feb 17, 2020</t>
  </si>
  <si>
    <t>Feb 14, 2020</t>
  </si>
  <si>
    <t>Feb 13, 2020</t>
  </si>
  <si>
    <t>Feb 12, 2020</t>
  </si>
  <si>
    <t>Feb 11, 2020</t>
  </si>
  <si>
    <t>Feb 10, 2020</t>
  </si>
  <si>
    <t>Feb 7, 2020</t>
  </si>
  <si>
    <t>Feb 6, 2020</t>
  </si>
  <si>
    <t>Feb 5, 2020</t>
  </si>
  <si>
    <t>Feb 4, 2020</t>
  </si>
  <si>
    <t>Feb 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</si>
  <si>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</si>
  <si>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</si>
  <si>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</si>
  <si>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</si>
  <si>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</si>
  <si>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</si>
  <si>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</si>
  <si>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</si>
  <si>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</si>
  <si>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20, 2020</t>
  </si>
  <si>
    <t>Jan 17, 2020</t>
  </si>
  <si>
    <t>Jan 16, 2020</t>
  </si>
  <si>
    <t>Jan 15, 2020</t>
  </si>
  <si>
    <t>Jan 14, 2020</t>
  </si>
  <si>
    <t>Jan 13, 2020</t>
  </si>
  <si>
    <t>Jan 10, 2020</t>
  </si>
  <si>
    <t>Jan 9, 2020</t>
  </si>
  <si>
    <t>Jan 8, 2020</t>
  </si>
  <si>
    <t>Jan 7, 2020</t>
  </si>
  <si>
    <t>Jan 6, 2020</t>
  </si>
  <si>
    <t>Jan 3, 2020</t>
  </si>
  <si>
    <t>Jan 2, 2020</t>
  </si>
  <si>
    <t>Jan 1,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</si>
  <si>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</si>
  <si>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</si>
  <si>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</si>
  <si>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</si>
  <si>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</si>
  <si>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</si>
  <si>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</si>
  <si>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</si>
  <si>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</si>
  <si>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</si>
  <si>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</si>
  <si>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</si>
  <si>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</si>
  <si>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</si>
  <si>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</si>
  <si>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9, 2019</t>
  </si>
  <si>
    <t>Dec 6, 2019</t>
  </si>
  <si>
    <t>Dec 5, 2019</t>
  </si>
  <si>
    <t>Dec 4, 2019</t>
  </si>
  <si>
    <t>Dec 3, 2019</t>
  </si>
  <si>
    <t>Dec 2, 2019</t>
  </si>
  <si>
    <t>Nov 29, 2019</t>
  </si>
  <si>
    <t>Nov 28,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</si>
  <si>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</si>
  <si>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</si>
  <si>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</si>
  <si>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</si>
  <si>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</si>
  <si>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</si>
  <si>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</si>
  <si>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</si>
  <si>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</si>
  <si>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</si>
  <si>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</si>
  <si>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11, 2019</t>
  </si>
  <si>
    <t>Nov 8, 2019</t>
  </si>
  <si>
    <t>Nov 7, 2019</t>
  </si>
  <si>
    <t>Nov 6, 2019</t>
  </si>
  <si>
    <t>Nov 5, 2019</t>
  </si>
  <si>
    <t xml:space="preserve">NSE Code: DMART </t>
  </si>
  <si>
    <t>BSE Code: 540376</t>
  </si>
  <si>
    <t xml:space="preserve">AVENUE SUPERMARTS LIMITED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</si>
</sst>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43" formatCode="_(* #,##0.00_);_(* \(#,##0.00\);_(* &quot;-&quot;??_);_(@_)"/>
    <numFmt numFmtId="164" formatCode="_ * #,##0.00_ ;_ * \-#,##0.00_ ;_ * &quot;-&quot;??_ ;_ @_ "/>
    <numFmt numFmtId="165" formatCode="[$-409]mmm\-yy;@"/>
    <numFmt numFmtId="166" formatCode="[$₹-4009]\ #,##0.00"/>
    <numFmt numFmtId="167" formatCode="0.0%"/>
    <numFmt numFmtId="168" formatCode="&quot;₹&quot;\ #,##0.00;\(&quot;₹&quot;\ #,##0.00\)"/>
    <numFmt numFmtId="169" formatCode="&quot;₹&quot;\ #,##0.00;\(&quot;₹&quot;\ #,##0.00\);\-"/>
    <numFmt numFmtId="170" formatCode="0.00&quot;x&quot;"/>
    <numFmt numFmtId="171" formatCode="0&quot;A&quot;"/>
    <numFmt numFmtId="172" formatCode="0&quot;E&quot;"/>
    <numFmt numFmtId="173" formatCode="dd/mm/yyyy;@"/>
    <numFmt numFmtId="174" formatCode="dd/mm/yy;@"/>
    <numFmt numFmtId="175" formatCode="#,##0.0;\(#,##0.0\);\-"/>
    <numFmt numFmtId="176" formatCode="mmm\-yy&quot;A&quot;"/>
    <numFmt numFmtId="177" formatCode="mmm\-yy&quot;F&quot;"/>
    <numFmt numFmtId="178" formatCode="0.000"/>
    <numFmt numFmtId="179" formatCode="0.0\x"/>
    <numFmt numFmtId="180" formatCode="#,##0.0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2222F"/>
      <name val="Arial"/>
      <family val="2"/>
    </font>
    <font>
      <sz val="9"/>
      <color rgb="FF606F7B"/>
      <name val="Arial"/>
      <family val="2"/>
    </font>
    <font>
      <b/>
      <sz val="10"/>
      <color rgb="FF202122"/>
      <name val="Arial"/>
      <family val="2"/>
    </font>
    <font>
      <sz val="10"/>
      <color rgb="FF202122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8"/>
      <color rgb="FF232A3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vertAlign val="superscript"/>
      <sz val="11"/>
      <color theme="1"/>
      <name val="Calibri"/>
      <family val="2"/>
      <scheme val="minor"/>
    </font>
    <font>
      <sz val="11"/>
      <color rgb="FF3333FF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4"/>
      <color rgb="FF0054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5400"/>
        <bgColor indexed="64"/>
      </patternFill>
    </fill>
  </fills>
  <borders count="23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theme="7" tint="-0.2499465926084170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ashed">
        <color theme="7" tint="-0.24994659260841701"/>
      </top>
      <bottom style="dashed">
        <color theme="7" tint="-0.24994659260841701"/>
      </bottom>
      <diagonal/>
    </border>
    <border>
      <left/>
      <right/>
      <top style="dashed">
        <color theme="7" tint="-0.24994659260841701"/>
      </top>
      <bottom/>
      <diagonal/>
    </border>
    <border>
      <left/>
      <right/>
      <top/>
      <bottom style="dashed">
        <color theme="7" tint="-0.2499465926084170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ck">
        <color theme="7" tint="-0.24994659260841701"/>
      </top>
      <bottom style="thick">
        <color theme="7" tint="-0.24994659260841701"/>
      </bottom>
      <diagonal/>
    </border>
    <border>
      <left/>
      <right/>
      <top style="hair">
        <color theme="7" tint="-0.24994659260841701"/>
      </top>
      <bottom style="hair">
        <color theme="7" tint="-0.24994659260841701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medium">
        <color rgb="FF002060"/>
      </top>
      <bottom style="thick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/>
      <top/>
      <bottom style="medium">
        <color rgb="FF005400"/>
      </bottom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271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6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7" fillId="0" borderId="0" xfId="1" applyNumberFormat="1" applyFont="1" applyFill="1" applyBorder="1"/>
    <xf numFmtId="0" fontId="0" fillId="0" borderId="0" xfId="0" applyFont="1" applyFill="1" applyBorder="1"/>
    <xf numFmtId="0" fontId="7" fillId="0" borderId="0" xfId="0" applyFont="1" applyFill="1" applyBorder="1"/>
    <xf numFmtId="43" fontId="0" fillId="0" borderId="0" xfId="1" applyNumberFormat="1" applyFont="1" applyBorder="1"/>
    <xf numFmtId="17" fontId="0" fillId="0" borderId="0" xfId="0" applyNumberFormat="1"/>
    <xf numFmtId="0" fontId="2" fillId="6" borderId="0" xfId="0" applyFont="1" applyFill="1"/>
    <xf numFmtId="17" fontId="2" fillId="6" borderId="0" xfId="0" applyNumberFormat="1" applyFont="1" applyFill="1"/>
    <xf numFmtId="166" fontId="0" fillId="0" borderId="0" xfId="0" applyNumberFormat="1"/>
    <xf numFmtId="0" fontId="8" fillId="0" borderId="0" xfId="0" applyFont="1"/>
    <xf numFmtId="10" fontId="8" fillId="0" borderId="0" xfId="6" applyNumberFormat="1" applyFont="1"/>
    <xf numFmtId="0" fontId="2" fillId="7" borderId="0" xfId="0" applyFont="1" applyFill="1"/>
    <xf numFmtId="17" fontId="2" fillId="7" borderId="0" xfId="0" applyNumberFormat="1" applyFont="1" applyFill="1"/>
    <xf numFmtId="0" fontId="9" fillId="0" borderId="0" xfId="0" applyFont="1"/>
    <xf numFmtId="167" fontId="8" fillId="0" borderId="0" xfId="6" applyNumberFormat="1" applyFont="1"/>
    <xf numFmtId="10" fontId="0" fillId="0" borderId="0" xfId="6" applyNumberFormat="1" applyFont="1"/>
    <xf numFmtId="3" fontId="0" fillId="0" borderId="0" xfId="0" applyNumberFormat="1"/>
    <xf numFmtId="0" fontId="1" fillId="7" borderId="0" xfId="0" applyFont="1" applyFill="1"/>
    <xf numFmtId="17" fontId="10" fillId="8" borderId="0" xfId="0" applyNumberFormat="1" applyFont="1" applyFill="1" applyAlignment="1">
      <alignment horizontal="right" vertical="center" wrapText="1"/>
    </xf>
    <xf numFmtId="168" fontId="0" fillId="0" borderId="0" xfId="0" applyNumberFormat="1"/>
    <xf numFmtId="0" fontId="1" fillId="0" borderId="1" xfId="0" applyFont="1" applyBorder="1"/>
    <xf numFmtId="168" fontId="1" fillId="0" borderId="1" xfId="0" applyNumberFormat="1" applyFont="1" applyBorder="1"/>
    <xf numFmtId="164" fontId="1" fillId="0" borderId="1" xfId="1" applyFont="1" applyBorder="1"/>
    <xf numFmtId="166" fontId="1" fillId="0" borderId="1" xfId="0" applyNumberFormat="1" applyFont="1" applyBorder="1"/>
    <xf numFmtId="164" fontId="1" fillId="0" borderId="1" xfId="1" applyFont="1" applyFill="1" applyBorder="1"/>
    <xf numFmtId="4" fontId="0" fillId="0" borderId="0" xfId="0" applyNumberFormat="1"/>
    <xf numFmtId="169" fontId="0" fillId="0" borderId="0" xfId="0" applyNumberFormat="1"/>
    <xf numFmtId="0" fontId="0" fillId="0" borderId="0" xfId="0" applyFont="1"/>
    <xf numFmtId="169" fontId="0" fillId="0" borderId="0" xfId="0" applyNumberFormat="1" applyFont="1"/>
    <xf numFmtId="169" fontId="1" fillId="0" borderId="1" xfId="0" applyNumberFormat="1" applyFont="1" applyBorder="1"/>
    <xf numFmtId="0" fontId="11" fillId="0" borderId="0" xfId="0" applyFont="1"/>
    <xf numFmtId="0" fontId="4" fillId="0" borderId="0" xfId="2" applyAlignment="1" applyProtection="1"/>
    <xf numFmtId="0" fontId="12" fillId="0" borderId="0" xfId="0" applyFont="1"/>
    <xf numFmtId="0" fontId="0" fillId="0" borderId="2" xfId="0" applyBorder="1"/>
    <xf numFmtId="10" fontId="0" fillId="0" borderId="2" xfId="6" applyNumberFormat="1" applyFont="1" applyBorder="1"/>
    <xf numFmtId="10" fontId="0" fillId="0" borderId="0" xfId="6" applyNumberFormat="1" applyFont="1" applyBorder="1"/>
    <xf numFmtId="0" fontId="0" fillId="0" borderId="3" xfId="0" applyBorder="1"/>
    <xf numFmtId="10" fontId="0" fillId="0" borderId="3" xfId="6" applyNumberFormat="1" applyFont="1" applyBorder="1"/>
    <xf numFmtId="170" fontId="0" fillId="0" borderId="3" xfId="0" applyNumberFormat="1" applyBorder="1"/>
    <xf numFmtId="170" fontId="0" fillId="0" borderId="2" xfId="0" applyNumberFormat="1" applyBorder="1"/>
    <xf numFmtId="170" fontId="0" fillId="0" borderId="0" xfId="0" applyNumberFormat="1" applyBorder="1"/>
    <xf numFmtId="1" fontId="0" fillId="0" borderId="2" xfId="0" applyNumberFormat="1" applyBorder="1"/>
    <xf numFmtId="1" fontId="0" fillId="0" borderId="0" xfId="0" applyNumberFormat="1" applyBorder="1"/>
    <xf numFmtId="1" fontId="0" fillId="0" borderId="3" xfId="0" applyNumberFormat="1" applyBorder="1"/>
    <xf numFmtId="10" fontId="0" fillId="0" borderId="0" xfId="6" applyNumberFormat="1" applyFont="1" applyAlignment="1">
      <alignment horizontal="right"/>
    </xf>
    <xf numFmtId="0" fontId="0" fillId="0" borderId="0" xfId="0" applyAlignment="1">
      <alignment horizontal="left"/>
    </xf>
    <xf numFmtId="0" fontId="2" fillId="6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2" fillId="6" borderId="0" xfId="0" applyFont="1" applyFill="1" applyAlignment="1">
      <alignment horizontal="right"/>
    </xf>
    <xf numFmtId="17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9" borderId="0" xfId="0" applyFill="1" applyAlignment="1">
      <alignment horizontal="left"/>
    </xf>
    <xf numFmtId="172" fontId="0" fillId="9" borderId="0" xfId="0" applyNumberFormat="1" applyFill="1" applyAlignment="1">
      <alignment horizontal="right"/>
    </xf>
    <xf numFmtId="0" fontId="0" fillId="9" borderId="0" xfId="0" applyFill="1" applyAlignment="1">
      <alignment horizontal="right"/>
    </xf>
    <xf numFmtId="10" fontId="0" fillId="9" borderId="0" xfId="6" applyNumberFormat="1" applyFont="1" applyFill="1" applyAlignment="1">
      <alignment horizontal="right"/>
    </xf>
    <xf numFmtId="0" fontId="1" fillId="0" borderId="0" xfId="0" applyFont="1"/>
    <xf numFmtId="2" fontId="0" fillId="9" borderId="0" xfId="0" applyNumberFormat="1" applyFill="1" applyAlignment="1">
      <alignment horizontal="right"/>
    </xf>
    <xf numFmtId="0" fontId="2" fillId="0" borderId="0" xfId="0" applyFont="1" applyFill="1" applyAlignment="1">
      <alignment horizontal="center" wrapText="1"/>
    </xf>
    <xf numFmtId="0" fontId="1" fillId="0" borderId="4" xfId="0" applyFont="1" applyBorder="1"/>
    <xf numFmtId="17" fontId="1" fillId="0" borderId="4" xfId="0" applyNumberFormat="1" applyFont="1" applyBorder="1"/>
    <xf numFmtId="17" fontId="1" fillId="0" borderId="0" xfId="0" applyNumberFormat="1" applyFont="1" applyBorder="1"/>
    <xf numFmtId="10" fontId="1" fillId="0" borderId="0" xfId="6" applyNumberFormat="1" applyFont="1"/>
    <xf numFmtId="0" fontId="16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right" vertical="center"/>
    </xf>
    <xf numFmtId="4" fontId="18" fillId="0" borderId="0" xfId="0" applyNumberFormat="1" applyFont="1" applyAlignment="1">
      <alignment horizontal="right" vertical="center"/>
    </xf>
    <xf numFmtId="173" fontId="18" fillId="0" borderId="0" xfId="0" applyNumberFormat="1" applyFont="1" applyAlignment="1">
      <alignment horizontal="left" vertical="center"/>
    </xf>
    <xf numFmtId="174" fontId="18" fillId="0" borderId="0" xfId="0" applyNumberFormat="1" applyFont="1" applyAlignment="1">
      <alignment horizontal="left" vertical="center"/>
    </xf>
    <xf numFmtId="4" fontId="0" fillId="0" borderId="0" xfId="0" applyNumberFormat="1" applyFont="1" applyAlignment="1">
      <alignment horizontal="right" vertical="center"/>
    </xf>
    <xf numFmtId="14" fontId="0" fillId="0" borderId="0" xfId="0" applyNumberFormat="1" applyFont="1"/>
    <xf numFmtId="174" fontId="0" fillId="0" borderId="0" xfId="0" applyNumberFormat="1" applyFont="1"/>
    <xf numFmtId="15" fontId="0" fillId="0" borderId="0" xfId="0" applyNumberFormat="1" applyAlignment="1">
      <alignment wrapText="1"/>
    </xf>
    <xf numFmtId="0" fontId="0" fillId="0" borderId="0" xfId="0" applyFont="1" applyAlignment="1">
      <alignment horizontal="right"/>
    </xf>
    <xf numFmtId="0" fontId="1" fillId="0" borderId="5" xfId="0" applyFont="1" applyBorder="1"/>
    <xf numFmtId="0" fontId="1" fillId="0" borderId="5" xfId="0" applyFont="1" applyBorder="1" applyAlignment="1">
      <alignment horizontal="right"/>
    </xf>
    <xf numFmtId="2" fontId="0" fillId="0" borderId="0" xfId="0" applyNumberFormat="1" applyFont="1"/>
    <xf numFmtId="0" fontId="0" fillId="0" borderId="0" xfId="0" applyFill="1" applyBorder="1" applyAlignment="1"/>
    <xf numFmtId="0" fontId="0" fillId="0" borderId="6" xfId="0" applyFill="1" applyBorder="1" applyAlignment="1"/>
    <xf numFmtId="0" fontId="9" fillId="0" borderId="7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Continuous"/>
    </xf>
    <xf numFmtId="10" fontId="0" fillId="0" borderId="0" xfId="0" applyNumberFormat="1" applyAlignment="1">
      <alignment wrapText="1"/>
    </xf>
    <xf numFmtId="15" fontId="0" fillId="10" borderId="0" xfId="0" applyNumberFormat="1" applyFill="1" applyAlignment="1">
      <alignment wrapText="1"/>
    </xf>
    <xf numFmtId="2" fontId="0" fillId="10" borderId="0" xfId="0" applyNumberFormat="1" applyFill="1" applyAlignment="1">
      <alignment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/>
    <xf numFmtId="0" fontId="0" fillId="0" borderId="5" xfId="0" applyBorder="1"/>
    <xf numFmtId="0" fontId="20" fillId="0" borderId="0" xfId="0" applyFont="1"/>
    <xf numFmtId="10" fontId="20" fillId="0" borderId="0" xfId="0" applyNumberFormat="1" applyFont="1" applyAlignment="1">
      <alignment wrapText="1"/>
    </xf>
    <xf numFmtId="10" fontId="20" fillId="0" borderId="0" xfId="0" applyNumberFormat="1" applyFont="1"/>
    <xf numFmtId="10" fontId="0" fillId="11" borderId="0" xfId="6" applyNumberFormat="1" applyFont="1" applyFill="1"/>
    <xf numFmtId="0" fontId="1" fillId="0" borderId="8" xfId="0" applyFont="1" applyBorder="1"/>
    <xf numFmtId="10" fontId="0" fillId="0" borderId="8" xfId="0" applyNumberFormat="1" applyBorder="1"/>
    <xf numFmtId="10" fontId="0" fillId="0" borderId="5" xfId="0" applyNumberFormat="1" applyBorder="1"/>
    <xf numFmtId="10" fontId="0" fillId="0" borderId="8" xfId="6" applyNumberFormat="1" applyFont="1" applyBorder="1"/>
    <xf numFmtId="10" fontId="0" fillId="0" borderId="5" xfId="6" applyNumberFormat="1" applyFont="1" applyBorder="1"/>
    <xf numFmtId="10" fontId="0" fillId="11" borderId="2" xfId="0" applyNumberFormat="1" applyFill="1" applyBorder="1"/>
    <xf numFmtId="0" fontId="1" fillId="0" borderId="5" xfId="0" applyFont="1" applyBorder="1" applyAlignment="1">
      <alignment horizontal="left"/>
    </xf>
    <xf numFmtId="9" fontId="20" fillId="0" borderId="0" xfId="0" applyNumberFormat="1" applyFont="1"/>
    <xf numFmtId="10" fontId="0" fillId="11" borderId="0" xfId="0" applyNumberFormat="1" applyFill="1"/>
    <xf numFmtId="4" fontId="20" fillId="0" borderId="0" xfId="0" applyNumberFormat="1" applyFont="1"/>
    <xf numFmtId="4" fontId="0" fillId="0" borderId="2" xfId="0" applyNumberFormat="1" applyBorder="1"/>
    <xf numFmtId="0" fontId="1" fillId="0" borderId="0" xfId="0" applyFont="1" applyAlignment="1">
      <alignment horizontal="right"/>
    </xf>
    <xf numFmtId="10" fontId="0" fillId="0" borderId="0" xfId="0" applyNumberFormat="1" applyFont="1"/>
    <xf numFmtId="0" fontId="2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6" borderId="0" xfId="0" applyFill="1"/>
    <xf numFmtId="10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0" fontId="1" fillId="11" borderId="0" xfId="0" applyFont="1" applyFill="1"/>
    <xf numFmtId="9" fontId="1" fillId="11" borderId="0" xfId="0" applyNumberFormat="1" applyFont="1" applyFill="1" applyAlignment="1">
      <alignment horizontal="right"/>
    </xf>
    <xf numFmtId="10" fontId="20" fillId="0" borderId="0" xfId="6" applyNumberFormat="1" applyFont="1"/>
    <xf numFmtId="0" fontId="22" fillId="0" borderId="0" xfId="0" applyFont="1"/>
    <xf numFmtId="0" fontId="0" fillId="0" borderId="0" xfId="0" applyAlignment="1">
      <alignment horizontal="right" wrapText="1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2" fontId="0" fillId="11" borderId="0" xfId="0" applyNumberFormat="1" applyFill="1" applyAlignment="1">
      <alignment horizontal="right"/>
    </xf>
    <xf numFmtId="2" fontId="0" fillId="0" borderId="8" xfId="0" applyNumberFormat="1" applyBorder="1" applyAlignment="1">
      <alignment horizontal="right"/>
    </xf>
    <xf numFmtId="2" fontId="0" fillId="0" borderId="5" xfId="0" applyNumberFormat="1" applyBorder="1" applyAlignment="1">
      <alignment horizontal="right"/>
    </xf>
    <xf numFmtId="10" fontId="20" fillId="0" borderId="0" xfId="0" applyNumberFormat="1" applyFont="1" applyAlignment="1">
      <alignment horizontal="right"/>
    </xf>
    <xf numFmtId="167" fontId="20" fillId="0" borderId="0" xfId="0" applyNumberFormat="1" applyFont="1" applyAlignment="1">
      <alignment horizontal="right"/>
    </xf>
    <xf numFmtId="10" fontId="0" fillId="11" borderId="2" xfId="0" applyNumberFormat="1" applyFill="1" applyBorder="1" applyAlignment="1">
      <alignment horizontal="right"/>
    </xf>
    <xf numFmtId="2" fontId="0" fillId="0" borderId="2" xfId="0" applyNumberFormat="1" applyBorder="1" applyAlignment="1">
      <alignment horizontal="right"/>
    </xf>
    <xf numFmtId="10" fontId="0" fillId="0" borderId="0" xfId="0" applyNumberFormat="1" applyBorder="1" applyAlignment="1">
      <alignment horizontal="right"/>
    </xf>
    <xf numFmtId="10" fontId="0" fillId="0" borderId="0" xfId="6" applyNumberFormat="1" applyFon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17" fontId="1" fillId="0" borderId="0" xfId="0" applyNumberFormat="1" applyFont="1"/>
    <xf numFmtId="0" fontId="1" fillId="0" borderId="9" xfId="0" applyFont="1" applyBorder="1"/>
    <xf numFmtId="3" fontId="1" fillId="0" borderId="5" xfId="0" applyNumberFormat="1" applyFont="1" applyBorder="1"/>
    <xf numFmtId="0" fontId="0" fillId="0" borderId="10" xfId="0" applyBorder="1"/>
    <xf numFmtId="175" fontId="0" fillId="0" borderId="10" xfId="0" applyNumberFormat="1" applyBorder="1"/>
    <xf numFmtId="175" fontId="1" fillId="0" borderId="5" xfId="0" applyNumberFormat="1" applyFont="1" applyBorder="1"/>
    <xf numFmtId="175" fontId="1" fillId="0" borderId="10" xfId="0" applyNumberFormat="1" applyFont="1" applyBorder="1"/>
    <xf numFmtId="175" fontId="0" fillId="0" borderId="11" xfId="0" applyNumberFormat="1" applyBorder="1"/>
    <xf numFmtId="175" fontId="0" fillId="0" borderId="12" xfId="0" applyNumberFormat="1" applyBorder="1"/>
    <xf numFmtId="175" fontId="0" fillId="0" borderId="8" xfId="0" applyNumberFormat="1" applyBorder="1"/>
    <xf numFmtId="175" fontId="0" fillId="0" borderId="0" xfId="0" applyNumberFormat="1" applyBorder="1"/>
    <xf numFmtId="0" fontId="1" fillId="0" borderId="13" xfId="0" applyFont="1" applyBorder="1"/>
    <xf numFmtId="0" fontId="0" fillId="0" borderId="1" xfId="0" applyBorder="1"/>
    <xf numFmtId="0" fontId="1" fillId="0" borderId="14" xfId="0" applyFont="1" applyBorder="1"/>
    <xf numFmtId="0" fontId="1" fillId="0" borderId="15" xfId="0" applyFont="1" applyBorder="1"/>
    <xf numFmtId="10" fontId="1" fillId="0" borderId="15" xfId="6" applyNumberFormat="1" applyFont="1" applyBorder="1"/>
    <xf numFmtId="175" fontId="0" fillId="0" borderId="0" xfId="0" applyNumberFormat="1"/>
    <xf numFmtId="175" fontId="1" fillId="0" borderId="8" xfId="0" applyNumberFormat="1" applyFont="1" applyBorder="1"/>
    <xf numFmtId="175" fontId="1" fillId="0" borderId="0" xfId="0" applyNumberFormat="1" applyFont="1" applyBorder="1"/>
    <xf numFmtId="175" fontId="1" fillId="0" borderId="13" xfId="0" applyNumberFormat="1" applyFont="1" applyBorder="1"/>
    <xf numFmtId="175" fontId="0" fillId="0" borderId="1" xfId="0" applyNumberFormat="1" applyBorder="1"/>
    <xf numFmtId="175" fontId="1" fillId="0" borderId="14" xfId="0" applyNumberFormat="1" applyFont="1" applyBorder="1"/>
    <xf numFmtId="175" fontId="1" fillId="0" borderId="0" xfId="0" applyNumberFormat="1" applyFont="1"/>
    <xf numFmtId="0" fontId="0" fillId="0" borderId="16" xfId="0" applyBorder="1"/>
    <xf numFmtId="175" fontId="0" fillId="0" borderId="16" xfId="0" applyNumberFormat="1" applyBorder="1"/>
    <xf numFmtId="0" fontId="0" fillId="0" borderId="17" xfId="0" applyBorder="1"/>
    <xf numFmtId="175" fontId="0" fillId="0" borderId="17" xfId="0" applyNumberFormat="1" applyBorder="1"/>
    <xf numFmtId="0" fontId="1" fillId="0" borderId="18" xfId="0" applyFont="1" applyBorder="1"/>
    <xf numFmtId="10" fontId="1" fillId="0" borderId="18" xfId="6" applyNumberFormat="1" applyFont="1" applyBorder="1"/>
    <xf numFmtId="10" fontId="1" fillId="11" borderId="0" xfId="0" applyNumberFormat="1" applyFont="1" applyFill="1"/>
    <xf numFmtId="0" fontId="0" fillId="0" borderId="17" xfId="0" applyFont="1" applyBorder="1"/>
    <xf numFmtId="10" fontId="0" fillId="0" borderId="17" xfId="0" applyNumberFormat="1" applyBorder="1"/>
    <xf numFmtId="10" fontId="1" fillId="0" borderId="18" xfId="0" applyNumberFormat="1" applyFont="1" applyBorder="1"/>
    <xf numFmtId="164" fontId="0" fillId="0" borderId="0" xfId="0" applyNumberFormat="1" applyFont="1" applyBorder="1"/>
    <xf numFmtId="167" fontId="0" fillId="0" borderId="0" xfId="6" applyNumberFormat="1" applyFont="1" applyBorder="1"/>
    <xf numFmtId="9" fontId="23" fillId="0" borderId="17" xfId="0" applyNumberFormat="1" applyFont="1" applyFill="1" applyBorder="1"/>
    <xf numFmtId="10" fontId="0" fillId="0" borderId="0" xfId="0" applyNumberFormat="1"/>
    <xf numFmtId="0" fontId="1" fillId="10" borderId="0" xfId="0" applyFont="1" applyFill="1"/>
    <xf numFmtId="0" fontId="1" fillId="10" borderId="0" xfId="0" applyFont="1" applyFill="1" applyAlignment="1">
      <alignment horizontal="right"/>
    </xf>
    <xf numFmtId="10" fontId="1" fillId="10" borderId="0" xfId="0" applyNumberFormat="1" applyFont="1" applyFill="1" applyAlignment="1">
      <alignment horizontal="right"/>
    </xf>
    <xf numFmtId="0" fontId="0" fillId="10" borderId="0" xfId="0" applyFill="1"/>
    <xf numFmtId="10" fontId="0" fillId="10" borderId="0" xfId="0" applyNumberFormat="1" applyFill="1"/>
    <xf numFmtId="10" fontId="0" fillId="0" borderId="16" xfId="0" applyNumberFormat="1" applyBorder="1"/>
    <xf numFmtId="0" fontId="0" fillId="11" borderId="16" xfId="0" applyFill="1" applyBorder="1"/>
    <xf numFmtId="10" fontId="23" fillId="11" borderId="16" xfId="0" applyNumberFormat="1" applyFont="1" applyFill="1" applyBorder="1"/>
    <xf numFmtId="10" fontId="0" fillId="11" borderId="16" xfId="0" applyNumberFormat="1" applyFill="1" applyBorder="1"/>
    <xf numFmtId="178" fontId="0" fillId="0" borderId="0" xfId="0" applyNumberFormat="1"/>
    <xf numFmtId="0" fontId="1" fillId="0" borderId="19" xfId="0" applyFont="1" applyBorder="1"/>
    <xf numFmtId="2" fontId="0" fillId="0" borderId="0" xfId="0" applyNumberFormat="1"/>
    <xf numFmtId="2" fontId="1" fillId="0" borderId="0" xfId="0" applyNumberFormat="1" applyFont="1"/>
    <xf numFmtId="2" fontId="1" fillId="0" borderId="19" xfId="0" applyNumberFormat="1" applyFont="1" applyBorder="1"/>
    <xf numFmtId="170" fontId="0" fillId="0" borderId="0" xfId="6" applyNumberFormat="1" applyFont="1"/>
    <xf numFmtId="2" fontId="0" fillId="11" borderId="16" xfId="0" applyNumberFormat="1" applyFill="1" applyBorder="1"/>
    <xf numFmtId="2" fontId="0" fillId="0" borderId="16" xfId="0" applyNumberFormat="1" applyBorder="1"/>
    <xf numFmtId="2" fontId="1" fillId="0" borderId="9" xfId="0" applyNumberFormat="1" applyFont="1" applyBorder="1"/>
    <xf numFmtId="0" fontId="0" fillId="7" borderId="0" xfId="0" applyFill="1"/>
    <xf numFmtId="0" fontId="0" fillId="0" borderId="0" xfId="0" applyFill="1" applyAlignment="1"/>
    <xf numFmtId="0" fontId="2" fillId="0" borderId="0" xfId="0" applyFont="1" applyFill="1" applyAlignment="1">
      <alignment horizontal="left" vertical="center" wrapText="1"/>
    </xf>
    <xf numFmtId="0" fontId="0" fillId="0" borderId="0" xfId="0" applyFill="1"/>
    <xf numFmtId="0" fontId="0" fillId="0" borderId="0" xfId="0" applyFill="1" applyAlignment="1">
      <alignment horizontal="right"/>
    </xf>
    <xf numFmtId="0" fontId="15" fillId="0" borderId="0" xfId="0" applyFont="1" applyFill="1"/>
    <xf numFmtId="0" fontId="15" fillId="0" borderId="0" xfId="0" applyFont="1" applyFill="1" applyAlignment="1">
      <alignment horizontal="right"/>
    </xf>
    <xf numFmtId="174" fontId="0" fillId="0" borderId="0" xfId="0" applyNumberFormat="1" applyFont="1" applyFill="1"/>
    <xf numFmtId="0" fontId="1" fillId="0" borderId="5" xfId="0" applyFont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179" fontId="0" fillId="0" borderId="0" xfId="0" applyNumberFormat="1"/>
    <xf numFmtId="1" fontId="0" fillId="0" borderId="17" xfId="0" applyNumberFormat="1" applyBorder="1"/>
    <xf numFmtId="179" fontId="0" fillId="0" borderId="17" xfId="0" applyNumberFormat="1" applyBorder="1"/>
    <xf numFmtId="3" fontId="0" fillId="0" borderId="17" xfId="0" applyNumberFormat="1" applyBorder="1"/>
    <xf numFmtId="3" fontId="0" fillId="0" borderId="17" xfId="0" applyNumberFormat="1" applyBorder="1" applyAlignment="1">
      <alignment wrapText="1"/>
    </xf>
    <xf numFmtId="4" fontId="0" fillId="0" borderId="17" xfId="0" applyNumberFormat="1" applyBorder="1"/>
    <xf numFmtId="3" fontId="0" fillId="0" borderId="0" xfId="0" applyNumberFormat="1" applyBorder="1"/>
    <xf numFmtId="9" fontId="0" fillId="0" borderId="0" xfId="0" applyNumberFormat="1"/>
    <xf numFmtId="2" fontId="5" fillId="0" borderId="0" xfId="0" applyNumberFormat="1" applyFont="1"/>
    <xf numFmtId="10" fontId="1" fillId="0" borderId="0" xfId="0" applyNumberFormat="1" applyFont="1"/>
    <xf numFmtId="180" fontId="0" fillId="0" borderId="0" xfId="0" applyNumberFormat="1"/>
    <xf numFmtId="10" fontId="1" fillId="0" borderId="0" xfId="0" applyNumberFormat="1" applyFont="1" applyAlignment="1">
      <alignment horizontal="left"/>
    </xf>
    <xf numFmtId="0" fontId="0" fillId="0" borderId="0" xfId="0" applyAlignment="1">
      <alignment vertical="center"/>
    </xf>
    <xf numFmtId="0" fontId="18" fillId="0" borderId="0" xfId="0" applyFont="1" applyAlignment="1">
      <alignment horizontal="left" vertical="center"/>
    </xf>
    <xf numFmtId="3" fontId="18" fillId="0" borderId="0" xfId="0" applyNumberFormat="1" applyFont="1" applyAlignment="1">
      <alignment horizontal="right" vertical="center"/>
    </xf>
    <xf numFmtId="179" fontId="0" fillId="0" borderId="17" xfId="0" applyNumberFormat="1" applyFill="1" applyBorder="1"/>
    <xf numFmtId="0" fontId="0" fillId="0" borderId="0" xfId="0" applyFill="1" applyBorder="1" applyAlignment="1">
      <alignment horizontal="left"/>
    </xf>
    <xf numFmtId="14" fontId="0" fillId="0" borderId="0" xfId="0" applyNumberFormat="1"/>
    <xf numFmtId="0" fontId="2" fillId="12" borderId="0" xfId="0" applyFont="1" applyFill="1"/>
    <xf numFmtId="17" fontId="2" fillId="12" borderId="0" xfId="0" applyNumberFormat="1" applyFont="1" applyFill="1"/>
    <xf numFmtId="0" fontId="0" fillId="12" borderId="0" xfId="0" applyFill="1"/>
    <xf numFmtId="0" fontId="25" fillId="0" borderId="0" xfId="0" applyFont="1" applyFill="1" applyAlignment="1"/>
    <xf numFmtId="0" fontId="25" fillId="0" borderId="22" xfId="0" applyFont="1" applyFill="1" applyBorder="1" applyAlignment="1"/>
    <xf numFmtId="0" fontId="0" fillId="0" borderId="22" xfId="0" applyFill="1" applyBorder="1" applyAlignment="1">
      <alignment horizontal="left"/>
    </xf>
    <xf numFmtId="0" fontId="24" fillId="0" borderId="0" xfId="0" applyFont="1" applyFill="1" applyBorder="1" applyAlignment="1"/>
    <xf numFmtId="0" fontId="0" fillId="7" borderId="22" xfId="0" applyFill="1" applyBorder="1"/>
    <xf numFmtId="0" fontId="0" fillId="7" borderId="0" xfId="0" applyFill="1" applyBorder="1"/>
    <xf numFmtId="0" fontId="26" fillId="12" borderId="0" xfId="0" applyFont="1" applyFill="1"/>
    <xf numFmtId="0" fontId="26" fillId="12" borderId="0" xfId="0" applyFont="1" applyFill="1" applyAlignment="1">
      <alignment horizontal="right"/>
    </xf>
    <xf numFmtId="0" fontId="0" fillId="0" borderId="22" xfId="0" applyFill="1" applyBorder="1"/>
    <xf numFmtId="0" fontId="2" fillId="12" borderId="0" xfId="0" applyFont="1" applyFill="1" applyAlignment="1">
      <alignment wrapText="1"/>
    </xf>
    <xf numFmtId="0" fontId="0" fillId="10" borderId="17" xfId="0" applyFill="1" applyBorder="1"/>
    <xf numFmtId="3" fontId="0" fillId="10" borderId="17" xfId="0" applyNumberFormat="1" applyFill="1" applyBorder="1"/>
    <xf numFmtId="4" fontId="0" fillId="10" borderId="17" xfId="0" applyNumberFormat="1" applyFill="1" applyBorder="1"/>
    <xf numFmtId="3" fontId="0" fillId="10" borderId="17" xfId="0" applyNumberFormat="1" applyFill="1" applyBorder="1" applyAlignment="1">
      <alignment wrapText="1"/>
    </xf>
    <xf numFmtId="179" fontId="0" fillId="10" borderId="17" xfId="0" applyNumberFormat="1" applyFill="1" applyBorder="1"/>
    <xf numFmtId="0" fontId="1" fillId="10" borderId="17" xfId="0" applyFont="1" applyFill="1" applyBorder="1"/>
    <xf numFmtId="179" fontId="1" fillId="10" borderId="17" xfId="0" applyNumberFormat="1" applyFont="1" applyFill="1" applyBorder="1"/>
    <xf numFmtId="0" fontId="1" fillId="10" borderId="21" xfId="0" applyFont="1" applyFill="1" applyBorder="1"/>
    <xf numFmtId="3" fontId="1" fillId="10" borderId="21" xfId="0" applyNumberFormat="1" applyFont="1" applyFill="1" applyBorder="1"/>
    <xf numFmtId="0" fontId="2" fillId="12" borderId="17" xfId="0" applyFont="1" applyFill="1" applyBorder="1"/>
    <xf numFmtId="176" fontId="2" fillId="12" borderId="0" xfId="0" applyNumberFormat="1" applyFont="1" applyFill="1"/>
    <xf numFmtId="177" fontId="2" fillId="12" borderId="0" xfId="0" applyNumberFormat="1" applyFont="1" applyFill="1"/>
    <xf numFmtId="2" fontId="0" fillId="0" borderId="0" xfId="0" applyNumberFormat="1" applyFill="1"/>
    <xf numFmtId="2" fontId="0" fillId="10" borderId="0" xfId="0" applyNumberFormat="1" applyFill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  <xf numFmtId="0" fontId="2" fillId="12" borderId="0" xfId="0" applyFont="1" applyFill="1" applyAlignment="1">
      <alignment horizontal="center"/>
    </xf>
    <xf numFmtId="0" fontId="24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 applyAlignment="1">
      <alignment horizontal="center"/>
    </xf>
    <xf numFmtId="0" fontId="2" fillId="12" borderId="0" xfId="0" applyFont="1" applyFill="1" applyAlignment="1">
      <alignment horizontal="center" wrapText="1"/>
    </xf>
    <xf numFmtId="0" fontId="2" fillId="1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12" borderId="20" xfId="0" applyFont="1" applyFill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05400"/>
      <color rgb="FFA3E5C1"/>
      <color rgb="FF00CC00"/>
      <color rgb="FF006600"/>
      <color rgb="FF3333FF"/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rgbClr val="005400"/>
                </a:solidFill>
              </a:rPr>
              <a:t>Football</a:t>
            </a:r>
            <a:r>
              <a:rPr lang="en-US" sz="1200" b="1" baseline="0">
                <a:solidFill>
                  <a:srgbClr val="005400"/>
                </a:solidFill>
              </a:rPr>
              <a:t> Field Analysis - Valuation Summary (Rs)</a:t>
            </a:r>
            <a:endParaRPr lang="en-US" sz="1200" b="1">
              <a:solidFill>
                <a:srgbClr val="005400"/>
              </a:solidFill>
            </a:endParaRPr>
          </a:p>
        </c:rich>
      </c:tx>
      <c:layout>
        <c:manualLayout>
          <c:xMode val="edge"/>
          <c:yMode val="edge"/>
          <c:x val="0.12847341337907375"/>
          <c:y val="2.35404896421845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3"/>
          <c:order val="3"/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[$₹-439]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 '!$K$8:$K$12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 </c:v>
                </c:pt>
              </c:strCache>
            </c:strRef>
          </c:cat>
          <c:val>
            <c:numRef>
              <c:f>'Football Field '!$P$8:$P$12</c:f>
              <c:numCache>
                <c:formatCode>#,##0.00</c:formatCode>
                <c:ptCount val="5"/>
                <c:pt idx="0">
                  <c:v>3276</c:v>
                </c:pt>
                <c:pt idx="1">
                  <c:v>548.23339122009111</c:v>
                </c:pt>
                <c:pt idx="2">
                  <c:v>708.21502774353814</c:v>
                </c:pt>
                <c:pt idx="3">
                  <c:v>917.54164955830788</c:v>
                </c:pt>
                <c:pt idx="4">
                  <c:v>4735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6C-4FFC-A255-F611D41BB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952000"/>
        <c:axId val="239952416"/>
      </c:stockChart>
      <c:stockChart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none"/>
          </c:marker>
          <c:cat>
            <c:strRef>
              <c:f>'Football Field '!$K$8:$K$12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 </c:v>
                </c:pt>
              </c:strCache>
            </c:strRef>
          </c:cat>
          <c:val>
            <c:numRef>
              <c:f>'Football Field '!$M$8:$M$12</c:f>
              <c:numCache>
                <c:formatCode>#,##0.00</c:formatCode>
                <c:ptCount val="5"/>
                <c:pt idx="0">
                  <c:v>2323</c:v>
                </c:pt>
                <c:pt idx="1">
                  <c:v>446.85465363705129</c:v>
                </c:pt>
                <c:pt idx="2">
                  <c:v>532.89120838111478</c:v>
                </c:pt>
                <c:pt idx="3">
                  <c:v>626.57150662516744</c:v>
                </c:pt>
                <c:pt idx="4">
                  <c:v>3156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6C-4FFC-A255-F611D41BBEC7}"/>
            </c:ext>
          </c:extLst>
        </c:ser>
        <c:ser>
          <c:idx val="1"/>
          <c:order val="1"/>
          <c:spPr>
            <a:ln w="38100" cap="rnd">
              <a:noFill/>
              <a:round/>
            </a:ln>
            <a:effectLst/>
          </c:spPr>
          <c:marker>
            <c:symbol val="none"/>
          </c:marker>
          <c:dLbls>
            <c:numFmt formatCode="[$₹-439]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 '!$K$8:$K$12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 </c:v>
                </c:pt>
              </c:strCache>
            </c:strRef>
          </c:cat>
          <c:val>
            <c:numRef>
              <c:f>'Football Field '!$N$8:$N$12</c:f>
              <c:numCache>
                <c:formatCode>#,##0.00</c:formatCode>
                <c:ptCount val="5"/>
                <c:pt idx="0">
                  <c:v>2323</c:v>
                </c:pt>
                <c:pt idx="1">
                  <c:v>446.85465363705129</c:v>
                </c:pt>
                <c:pt idx="2">
                  <c:v>532.89120838111478</c:v>
                </c:pt>
                <c:pt idx="3">
                  <c:v>626.57150662516744</c:v>
                </c:pt>
                <c:pt idx="4">
                  <c:v>3156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6C-4FFC-A255-F611D41BBEC7}"/>
            </c:ext>
          </c:extLst>
        </c:ser>
        <c:ser>
          <c:idx val="2"/>
          <c:order val="2"/>
          <c:spPr>
            <a:ln w="38100" cap="rnd">
              <a:noFill/>
              <a:round/>
            </a:ln>
            <a:effectLst/>
          </c:spPr>
          <c:marker>
            <c:symbol val="none"/>
          </c:marker>
          <c:cat>
            <c:strRef>
              <c:f>'Football Field '!$K$8:$K$12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 </c:v>
                </c:pt>
              </c:strCache>
            </c:strRef>
          </c:cat>
          <c:val>
            <c:numRef>
              <c:f>'Football Field '!$O$8:$O$12</c:f>
              <c:numCache>
                <c:formatCode>#,##0.00</c:formatCode>
                <c:ptCount val="5"/>
                <c:pt idx="0">
                  <c:v>3276</c:v>
                </c:pt>
                <c:pt idx="1">
                  <c:v>548.23339122009111</c:v>
                </c:pt>
                <c:pt idx="2">
                  <c:v>708.21502774353814</c:v>
                </c:pt>
                <c:pt idx="3">
                  <c:v>917.54164955830788</c:v>
                </c:pt>
                <c:pt idx="4">
                  <c:v>4735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6C-4FFC-A255-F611D41BB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rgbClr val="005400"/>
              </a:solidFill>
              <a:ln w="9525" cap="flat" cmpd="sng" algn="ctr">
                <a:solidFill>
                  <a:srgbClr val="002060"/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239952000"/>
        <c:axId val="239952416"/>
      </c:stockChart>
      <c:catAx>
        <c:axId val="239952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952416"/>
        <c:crosses val="autoZero"/>
        <c:auto val="1"/>
        <c:lblAlgn val="ctr"/>
        <c:lblOffset val="100"/>
        <c:noMultiLvlLbl val="0"/>
      </c:catAx>
      <c:valAx>
        <c:axId val="239952416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95200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389106</xdr:colOff>
      <xdr:row>0</xdr:row>
      <xdr:rowOff>178340</xdr:rowOff>
    </xdr:from>
    <xdr:to>
      <xdr:col>11</xdr:col>
      <xdr:colOff>689042</xdr:colOff>
      <xdr:row>3</xdr:row>
      <xdr:rowOff>105383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2723" y="178340"/>
          <a:ext cx="1823936" cy="7457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274806</xdr:colOff>
      <xdr:row>0</xdr:row>
      <xdr:rowOff>71660</xdr:rowOff>
    </xdr:from>
    <xdr:to>
      <xdr:col>14</xdr:col>
      <xdr:colOff>513782</xdr:colOff>
      <xdr:row>3</xdr:row>
      <xdr:rowOff>52043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6766" y="71660"/>
          <a:ext cx="1823936" cy="7423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30966</xdr:colOff>
      <xdr:row>1</xdr:row>
      <xdr:rowOff>64040</xdr:rowOff>
    </xdr:from>
    <xdr:to>
      <xdr:col>14</xdr:col>
      <xdr:colOff>1191962</xdr:colOff>
      <xdr:row>3</xdr:row>
      <xdr:rowOff>90143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7166" y="277400"/>
          <a:ext cx="1823936" cy="74238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411966</xdr:colOff>
      <xdr:row>1</xdr:row>
      <xdr:rowOff>10700</xdr:rowOff>
    </xdr:from>
    <xdr:to>
      <xdr:col>12</xdr:col>
      <xdr:colOff>41342</xdr:colOff>
      <xdr:row>3</xdr:row>
      <xdr:rowOff>105383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3546" y="193580"/>
          <a:ext cx="1823936" cy="74238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236706</xdr:colOff>
      <xdr:row>1</xdr:row>
      <xdr:rowOff>10700</xdr:rowOff>
    </xdr:from>
    <xdr:to>
      <xdr:col>10</xdr:col>
      <xdr:colOff>757622</xdr:colOff>
      <xdr:row>3</xdr:row>
      <xdr:rowOff>113003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7906" y="193580"/>
          <a:ext cx="1823936" cy="74238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282426</xdr:colOff>
      <xdr:row>0</xdr:row>
      <xdr:rowOff>125000</xdr:rowOff>
    </xdr:from>
    <xdr:to>
      <xdr:col>9</xdr:col>
      <xdr:colOff>902402</xdr:colOff>
      <xdr:row>3</xdr:row>
      <xdr:rowOff>97763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5946" y="125000"/>
          <a:ext cx="1823936" cy="74238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792966</xdr:colOff>
      <xdr:row>1</xdr:row>
      <xdr:rowOff>25940</xdr:rowOff>
    </xdr:from>
    <xdr:to>
      <xdr:col>10</xdr:col>
      <xdr:colOff>849062</xdr:colOff>
      <xdr:row>3</xdr:row>
      <xdr:rowOff>105383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7326" y="94520"/>
          <a:ext cx="1823936" cy="74238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533400</xdr:colOff>
      <xdr:row>0</xdr:row>
      <xdr:rowOff>76200</xdr:rowOff>
    </xdr:from>
    <xdr:to>
      <xdr:col>9</xdr:col>
      <xdr:colOff>551396</xdr:colOff>
      <xdr:row>2</xdr:row>
      <xdr:rowOff>102303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3020" y="76200"/>
          <a:ext cx="1823936" cy="74238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281940</xdr:colOff>
      <xdr:row>1</xdr:row>
      <xdr:rowOff>0</xdr:rowOff>
    </xdr:from>
    <xdr:to>
      <xdr:col>16</xdr:col>
      <xdr:colOff>619976</xdr:colOff>
      <xdr:row>3</xdr:row>
      <xdr:rowOff>109923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3560" y="182880"/>
          <a:ext cx="1823936" cy="74238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</xdr:colOff>
      <xdr:row>5</xdr:row>
      <xdr:rowOff>22860</xdr:rowOff>
    </xdr:from>
    <xdr:to>
      <xdr:col>8</xdr:col>
      <xdr:colOff>236220</xdr:colOff>
      <xdr:row>19</xdr:row>
      <xdr:rowOff>160020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106680</xdr:colOff>
      <xdr:row>10</xdr:row>
      <xdr:rowOff>0</xdr:rowOff>
    </xdr:from>
    <xdr:to>
      <xdr:col>8</xdr:col>
      <xdr:colOff>205740</xdr:colOff>
      <xdr:row>10</xdr:row>
      <xdr:rowOff>15240</xdr:rowOff>
    </xdr:to>
    <xdr:cxnSp macro="">
      <xdr:nvCxnSpPr>
        <xdr:cNvPr id="5" name="Straight Connector 4"/>
        <xdr:cNvCxnSpPr/>
      </xdr:nvCxnSpPr>
      <xdr:spPr>
        <a:xfrm>
          <a:off x="236220" y="2026920"/>
          <a:ext cx="4366260" cy="15240"/>
        </a:xfrm>
        <a:prstGeom prst="line">
          <a:avLst/>
        </a:prstGeom>
        <a:ln>
          <a:solidFill>
            <a:schemeClr val="accent3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601980</xdr:colOff>
      <xdr:row>1</xdr:row>
      <xdr:rowOff>0</xdr:rowOff>
    </xdr:from>
    <xdr:to>
      <xdr:col>15</xdr:col>
      <xdr:colOff>597116</xdr:colOff>
      <xdr:row>3</xdr:row>
      <xdr:rowOff>117543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7120" y="182880"/>
          <a:ext cx="1823936" cy="74238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bseindia.com/xml-data/corpfiling/AttachHis/73ffab69-cd41-4f5d-a4d4-0c1894813d31.pdf" TargetMode="External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26"/>
  <sheetViews>
    <sheetView zoomScale="120" zoomScaleNormal="120" zoomScaleSheetLayoutView="100" zoomScalePageLayoutView="120" workbookViewId="0">
      <pane xSplit="1" ySplit="4" topLeftCell="B5" activePane="bottomRight" state="frozen"/>
      <selection activeCell="I2" sqref="I2"/>
      <selection pane="topRight" activeCell="I2" sqref="I2"/>
      <selection pane="bottomLeft" activeCell="I2" sqref="I2"/>
      <selection pane="bottomRight" activeCell="H27" sqref="H27"/>
    </sheetView>
  </sheetViews>
  <sheetFormatPr defaultColWidth="8.77734375" defaultRowHeight="14.4" x14ac:dyDescent="0.3"/>
  <cols>
    <col min="1" max="1" width="20.6640625" style="6" customWidth="1"/>
    <col min="2" max="6" width="13.44140625" style="6" customWidth="1"/>
    <col min="7" max="7" width="14.77734375" style="6" bestFit="1" customWidth="1"/>
    <col min="8" max="11" width="13.44140625" style="6" customWidth="1"/>
    <col min="12" max="12" width="13.33203125" style="6" customWidth="1"/>
    <col min="13" max="14" width="12.109375" style="6" customWidth="1"/>
    <col min="15" max="16384" width="8.77734375" style="6"/>
  </cols>
  <sheetData>
    <row r="1" spans="1:14" s="8" customFormat="1" x14ac:dyDescent="0.3">
      <c r="A1" s="8" t="str">
        <f>'Data Sheet'!B1</f>
        <v>AVENUE SUPERMARTS LTD</v>
      </c>
      <c r="H1" t="str">
        <f>UPDATE</f>
        <v/>
      </c>
      <c r="J1" s="3"/>
      <c r="K1" s="3"/>
      <c r="M1" s="8" t="s">
        <v>1</v>
      </c>
    </row>
    <row r="3" spans="1:14" s="2" customFormat="1" x14ac:dyDescent="0.3">
      <c r="A3" s="15" t="s">
        <v>2</v>
      </c>
      <c r="B3" s="16">
        <f>'Data Sheet'!B16</f>
        <v>42094</v>
      </c>
      <c r="C3" s="16">
        <f>'Data Sheet'!C16</f>
        <v>42460</v>
      </c>
      <c r="D3" s="16">
        <f>'Data Sheet'!D16</f>
        <v>42825</v>
      </c>
      <c r="E3" s="16">
        <f>'Data Sheet'!E16</f>
        <v>43190</v>
      </c>
      <c r="F3" s="16">
        <f>'Data Sheet'!F16</f>
        <v>43555</v>
      </c>
      <c r="G3" s="16">
        <f>'Data Sheet'!G16</f>
        <v>43921</v>
      </c>
      <c r="H3" s="16">
        <f>'Data Sheet'!H16</f>
        <v>44286</v>
      </c>
      <c r="I3" s="16">
        <f>'Data Sheet'!I16</f>
        <v>44651</v>
      </c>
      <c r="J3" s="16">
        <f>'Data Sheet'!J16</f>
        <v>45016</v>
      </c>
      <c r="K3" s="16">
        <f>'Data Sheet'!K16</f>
        <v>45382</v>
      </c>
      <c r="L3" s="17" t="s">
        <v>3</v>
      </c>
      <c r="M3" s="17" t="s">
        <v>4</v>
      </c>
      <c r="N3" s="17" t="s">
        <v>5</v>
      </c>
    </row>
    <row r="4" spans="1:14" s="8" customFormat="1" x14ac:dyDescent="0.3">
      <c r="A4" s="8" t="s">
        <v>6</v>
      </c>
      <c r="B4" s="1">
        <f>'Data Sheet'!B17</f>
        <v>6439.43</v>
      </c>
      <c r="C4" s="1">
        <f>'Data Sheet'!C17</f>
        <v>8583.76</v>
      </c>
      <c r="D4" s="1">
        <f>'Data Sheet'!D17</f>
        <v>11897.7</v>
      </c>
      <c r="E4" s="1">
        <f>'Data Sheet'!E17</f>
        <v>15033.2</v>
      </c>
      <c r="F4" s="1">
        <f>'Data Sheet'!F17</f>
        <v>20004.52</v>
      </c>
      <c r="G4" s="1">
        <f>'Data Sheet'!G17</f>
        <v>24870.2</v>
      </c>
      <c r="H4" s="1">
        <f>'Data Sheet'!H17</f>
        <v>24143.06</v>
      </c>
      <c r="I4" s="1">
        <f>'Data Sheet'!I17</f>
        <v>30976.27</v>
      </c>
      <c r="J4" s="1">
        <f>'Data Sheet'!J17</f>
        <v>42839.56</v>
      </c>
      <c r="K4" s="1">
        <f>'Data Sheet'!K17</f>
        <v>50788.83</v>
      </c>
      <c r="L4" s="1">
        <f>SUM(Quarters!H4:K4)</f>
        <v>54812.659999999996</v>
      </c>
      <c r="M4" s="1">
        <f>$K4+M23*K4</f>
        <v>65076.89746774971</v>
      </c>
      <c r="N4" s="1">
        <f>$K4+N23*L4</f>
        <v>60959.817604872696</v>
      </c>
    </row>
    <row r="5" spans="1:14" x14ac:dyDescent="0.3">
      <c r="A5" s="6" t="s">
        <v>7</v>
      </c>
      <c r="B5" s="9">
        <f>SUM('Data Sheet'!B18,'Data Sheet'!B20:B24, -1*'Data Sheet'!B19)</f>
        <v>5983.170000000001</v>
      </c>
      <c r="C5" s="9">
        <f>SUM('Data Sheet'!C18,'Data Sheet'!C20:C24, -1*'Data Sheet'!C19)</f>
        <v>7919.2999999999993</v>
      </c>
      <c r="D5" s="9">
        <f>SUM('Data Sheet'!D18,'Data Sheet'!D20:D24, -1*'Data Sheet'!D19)</f>
        <v>10928.52</v>
      </c>
      <c r="E5" s="9">
        <f>SUM('Data Sheet'!E18,'Data Sheet'!E20:E24, -1*'Data Sheet'!E19)</f>
        <v>13680.34</v>
      </c>
      <c r="F5" s="9">
        <f>SUM('Data Sheet'!F18,'Data Sheet'!F20:F24, -1*'Data Sheet'!F19)</f>
        <v>18371.21</v>
      </c>
      <c r="G5" s="9">
        <f>SUM('Data Sheet'!G18,'Data Sheet'!G20:G24, -1*'Data Sheet'!G19)</f>
        <v>22741.89</v>
      </c>
      <c r="H5" s="9">
        <f>SUM('Data Sheet'!H18,'Data Sheet'!H20:H24, -1*'Data Sheet'!H19)</f>
        <v>22398.230000000003</v>
      </c>
      <c r="I5" s="9">
        <f>SUM('Data Sheet'!I18,'Data Sheet'!I20:I24, -1*'Data Sheet'!I19)</f>
        <v>28473.919999999998</v>
      </c>
      <c r="J5" s="9">
        <f>SUM('Data Sheet'!J18,'Data Sheet'!J20:J24, -1*'Data Sheet'!J19)</f>
        <v>39200.79</v>
      </c>
      <c r="K5" s="9">
        <f>SUM('Data Sheet'!K18,'Data Sheet'!K20:K24, -1*'Data Sheet'!K19)</f>
        <v>46683.189999999995</v>
      </c>
      <c r="L5" s="9">
        <f>SUM(Quarters!H5:K5)</f>
        <v>50434.11</v>
      </c>
      <c r="M5" s="9">
        <f>M4-M6</f>
        <v>59725.353232593181</v>
      </c>
      <c r="N5" s="9">
        <f>N4-N6</f>
        <v>56090.219789809256</v>
      </c>
    </row>
    <row r="6" spans="1:14" s="8" customFormat="1" x14ac:dyDescent="0.3">
      <c r="A6" s="8" t="s">
        <v>8</v>
      </c>
      <c r="B6" s="1">
        <f>B4-B5</f>
        <v>456.25999999999931</v>
      </c>
      <c r="C6" s="1">
        <f t="shared" ref="C6:K6" si="0">C4-C5</f>
        <v>664.46000000000095</v>
      </c>
      <c r="D6" s="1">
        <f t="shared" si="0"/>
        <v>969.18000000000029</v>
      </c>
      <c r="E6" s="1">
        <f t="shared" si="0"/>
        <v>1352.8600000000006</v>
      </c>
      <c r="F6" s="1">
        <f t="shared" si="0"/>
        <v>1633.3100000000013</v>
      </c>
      <c r="G6" s="1">
        <f t="shared" si="0"/>
        <v>2128.3100000000013</v>
      </c>
      <c r="H6" s="1">
        <f t="shared" si="0"/>
        <v>1744.8299999999981</v>
      </c>
      <c r="I6" s="1">
        <f t="shared" si="0"/>
        <v>2502.3500000000022</v>
      </c>
      <c r="J6" s="1">
        <f t="shared" si="0"/>
        <v>3638.7699999999968</v>
      </c>
      <c r="K6" s="1">
        <f t="shared" si="0"/>
        <v>4105.6400000000067</v>
      </c>
      <c r="L6" s="1">
        <f>SUM(Quarters!H6:K6)</f>
        <v>4378.55</v>
      </c>
      <c r="M6" s="1">
        <f>M4*M24</f>
        <v>5351.5442351565289</v>
      </c>
      <c r="N6" s="1">
        <f>N4*N24</f>
        <v>4869.5978150634428</v>
      </c>
    </row>
    <row r="7" spans="1:14" x14ac:dyDescent="0.3">
      <c r="A7" s="6" t="s">
        <v>9</v>
      </c>
      <c r="B7" s="9">
        <f>'Data Sheet'!B25</f>
        <v>20.27</v>
      </c>
      <c r="C7" s="9">
        <f>'Data Sheet'!C25</f>
        <v>17.02</v>
      </c>
      <c r="D7" s="9">
        <f>'Data Sheet'!D25</f>
        <v>27.7</v>
      </c>
      <c r="E7" s="9">
        <f>'Data Sheet'!E25</f>
        <v>87.75</v>
      </c>
      <c r="F7" s="9">
        <f>'Data Sheet'!F25</f>
        <v>48.33</v>
      </c>
      <c r="G7" s="9">
        <f>'Data Sheet'!G25</f>
        <v>59.99</v>
      </c>
      <c r="H7" s="9">
        <f>'Data Sheet'!H25</f>
        <v>194.43</v>
      </c>
      <c r="I7" s="9">
        <f>'Data Sheet'!I25</f>
        <v>113.64</v>
      </c>
      <c r="J7" s="9">
        <f>'Data Sheet'!J25</f>
        <v>127.6</v>
      </c>
      <c r="K7" s="9">
        <f>'Data Sheet'!K25</f>
        <v>144.58000000000001</v>
      </c>
      <c r="L7" s="9">
        <f>SUM(Quarters!H7:K7)</f>
        <v>145.91</v>
      </c>
      <c r="M7" s="9">
        <v>0</v>
      </c>
      <c r="N7" s="9">
        <v>0</v>
      </c>
    </row>
    <row r="8" spans="1:14" x14ac:dyDescent="0.3">
      <c r="A8" s="6" t="s">
        <v>10</v>
      </c>
      <c r="B8" s="9">
        <f>'Data Sheet'!B26</f>
        <v>81.540000000000006</v>
      </c>
      <c r="C8" s="9">
        <f>'Data Sheet'!C26</f>
        <v>98.43</v>
      </c>
      <c r="D8" s="9">
        <f>'Data Sheet'!D26</f>
        <v>127.82</v>
      </c>
      <c r="E8" s="9">
        <f>'Data Sheet'!E26</f>
        <v>159</v>
      </c>
      <c r="F8" s="9">
        <f>'Data Sheet'!F26</f>
        <v>212.49</v>
      </c>
      <c r="G8" s="9">
        <f>'Data Sheet'!G26</f>
        <v>374.41</v>
      </c>
      <c r="H8" s="9">
        <f>'Data Sheet'!H26</f>
        <v>414.16</v>
      </c>
      <c r="I8" s="9">
        <f>'Data Sheet'!I26</f>
        <v>498.08</v>
      </c>
      <c r="J8" s="9">
        <f>'Data Sheet'!J26</f>
        <v>638.87</v>
      </c>
      <c r="K8" s="9">
        <f>'Data Sheet'!K26</f>
        <v>730.76</v>
      </c>
      <c r="L8" s="9">
        <f>SUM(Quarters!H8:K8)</f>
        <v>794.76</v>
      </c>
      <c r="M8" s="9">
        <f>+$L8</f>
        <v>794.76</v>
      </c>
      <c r="N8" s="9">
        <f>+$L8</f>
        <v>794.76</v>
      </c>
    </row>
    <row r="9" spans="1:14" x14ac:dyDescent="0.3">
      <c r="A9" s="6" t="s">
        <v>11</v>
      </c>
      <c r="B9" s="9">
        <f>'Data Sheet'!B27</f>
        <v>72.36</v>
      </c>
      <c r="C9" s="9">
        <f>'Data Sheet'!C27</f>
        <v>91.34</v>
      </c>
      <c r="D9" s="9">
        <f>'Data Sheet'!D27</f>
        <v>121.98</v>
      </c>
      <c r="E9" s="9">
        <f>'Data Sheet'!E27</f>
        <v>59.54</v>
      </c>
      <c r="F9" s="9">
        <f>'Data Sheet'!F27</f>
        <v>47.21</v>
      </c>
      <c r="G9" s="9">
        <f>'Data Sheet'!G27</f>
        <v>69.12</v>
      </c>
      <c r="H9" s="9">
        <f>'Data Sheet'!H27</f>
        <v>41.65</v>
      </c>
      <c r="I9" s="9">
        <f>'Data Sheet'!I27</f>
        <v>53.79</v>
      </c>
      <c r="J9" s="9">
        <f>'Data Sheet'!J27</f>
        <v>67.41</v>
      </c>
      <c r="K9" s="9">
        <f>'Data Sheet'!K27</f>
        <v>58.13</v>
      </c>
      <c r="L9" s="9">
        <f>SUM(Quarters!H9:K9)</f>
        <v>60.25</v>
      </c>
      <c r="M9" s="9">
        <f>+$L9</f>
        <v>60.25</v>
      </c>
      <c r="N9" s="9">
        <f>+$L9</f>
        <v>60.25</v>
      </c>
    </row>
    <row r="10" spans="1:14" x14ac:dyDescent="0.3">
      <c r="A10" s="6" t="s">
        <v>12</v>
      </c>
      <c r="B10" s="9">
        <f>'Data Sheet'!B28</f>
        <v>322.63</v>
      </c>
      <c r="C10" s="9">
        <f>'Data Sheet'!C28</f>
        <v>491.71</v>
      </c>
      <c r="D10" s="9">
        <f>'Data Sheet'!D28</f>
        <v>747.08</v>
      </c>
      <c r="E10" s="9">
        <f>'Data Sheet'!E28</f>
        <v>1222.07</v>
      </c>
      <c r="F10" s="9">
        <f>'Data Sheet'!F28</f>
        <v>1421.94</v>
      </c>
      <c r="G10" s="9">
        <f>'Data Sheet'!G28</f>
        <v>1744.77</v>
      </c>
      <c r="H10" s="9">
        <f>'Data Sheet'!H28</f>
        <v>1483.45</v>
      </c>
      <c r="I10" s="9">
        <f>'Data Sheet'!I28</f>
        <v>2064.12</v>
      </c>
      <c r="J10" s="9">
        <f>'Data Sheet'!J28</f>
        <v>3060.09</v>
      </c>
      <c r="K10" s="9">
        <f>'Data Sheet'!K28</f>
        <v>3461.33</v>
      </c>
      <c r="L10" s="9">
        <f>SUM(Quarters!H10:K10)</f>
        <v>3669.4500000000003</v>
      </c>
      <c r="M10" s="9">
        <f>M6+M7-SUM(M8:M9)</f>
        <v>4496.5342351565287</v>
      </c>
      <c r="N10" s="9">
        <f>N6+N7-SUM(N8:N9)</f>
        <v>4014.5878150634426</v>
      </c>
    </row>
    <row r="11" spans="1:14" x14ac:dyDescent="0.3">
      <c r="A11" s="6" t="s">
        <v>13</v>
      </c>
      <c r="B11" s="9">
        <f>'Data Sheet'!B29</f>
        <v>110.92</v>
      </c>
      <c r="C11" s="9">
        <f>'Data Sheet'!C29</f>
        <v>171.47</v>
      </c>
      <c r="D11" s="9">
        <f>'Data Sheet'!D29</f>
        <v>268.27999999999997</v>
      </c>
      <c r="E11" s="9">
        <f>'Data Sheet'!E29</f>
        <v>415.79</v>
      </c>
      <c r="F11" s="9">
        <f>'Data Sheet'!F29</f>
        <v>519.48</v>
      </c>
      <c r="G11" s="9">
        <f>'Data Sheet'!G29</f>
        <v>443.79</v>
      </c>
      <c r="H11" s="9">
        <f>'Data Sheet'!H29</f>
        <v>384.02</v>
      </c>
      <c r="I11" s="9">
        <f>'Data Sheet'!I29</f>
        <v>571.72</v>
      </c>
      <c r="J11" s="9">
        <f>'Data Sheet'!J29</f>
        <v>681.75</v>
      </c>
      <c r="K11" s="9">
        <f>'Data Sheet'!K29</f>
        <v>925.72</v>
      </c>
      <c r="L11" s="9">
        <f>SUM(Quarters!H11:K11)</f>
        <v>982.78</v>
      </c>
      <c r="M11" s="10">
        <f>IF($L10&gt;0,$L11/$L10,0)</f>
        <v>0.2678276035918189</v>
      </c>
      <c r="N11" s="10">
        <f>IF($L10&gt;0,$L11/$L10,0)</f>
        <v>0.2678276035918189</v>
      </c>
    </row>
    <row r="12" spans="1:14" s="8" customFormat="1" x14ac:dyDescent="0.3">
      <c r="A12" s="8" t="s">
        <v>14</v>
      </c>
      <c r="B12" s="1">
        <f>'Data Sheet'!B30</f>
        <v>211.67</v>
      </c>
      <c r="C12" s="1">
        <f>'Data Sheet'!C30</f>
        <v>320.24</v>
      </c>
      <c r="D12" s="1">
        <f>'Data Sheet'!D30</f>
        <v>478.75</v>
      </c>
      <c r="E12" s="1">
        <f>'Data Sheet'!E30</f>
        <v>806.26</v>
      </c>
      <c r="F12" s="1">
        <f>'Data Sheet'!F30</f>
        <v>902.54</v>
      </c>
      <c r="G12" s="1">
        <f>'Data Sheet'!G30</f>
        <v>1301.08</v>
      </c>
      <c r="H12" s="1">
        <f>'Data Sheet'!H30</f>
        <v>1099.49</v>
      </c>
      <c r="I12" s="1">
        <f>'Data Sheet'!I30</f>
        <v>1492.55</v>
      </c>
      <c r="J12" s="1">
        <f>'Data Sheet'!J30</f>
        <v>2378.5100000000002</v>
      </c>
      <c r="K12" s="1">
        <f>'Data Sheet'!K30</f>
        <v>2536.17</v>
      </c>
      <c r="L12" s="1">
        <f>SUM(Quarters!H12:K12)</f>
        <v>2687.26</v>
      </c>
      <c r="M12" s="1">
        <f>M10-M11*M10</f>
        <v>3292.2382464859834</v>
      </c>
      <c r="N12" s="1">
        <f>N10-N11*N10</f>
        <v>2939.3703811460846</v>
      </c>
    </row>
    <row r="13" spans="1:14" x14ac:dyDescent="0.3">
      <c r="A13" s="11" t="s">
        <v>48</v>
      </c>
      <c r="B13" s="9">
        <f>IF('Data Sheet'!B93&gt;0,B12/'Data Sheet'!B93,0)</f>
        <v>3.7697239536954585</v>
      </c>
      <c r="C13" s="9">
        <f>IF('Data Sheet'!C93&gt;0,C12/'Data Sheet'!C93,0)</f>
        <v>5.7032947462154944</v>
      </c>
      <c r="D13" s="9">
        <f>IF('Data Sheet'!D93&gt;0,D12/'Data Sheet'!D93,0)</f>
        <v>7.6710463066816219</v>
      </c>
      <c r="E13" s="9">
        <f>IF('Data Sheet'!E93&gt;0,E12/'Data Sheet'!E93,0)</f>
        <v>12.918763018746997</v>
      </c>
      <c r="F13" s="9">
        <f>IF('Data Sheet'!F93&gt;0,F12/'Data Sheet'!F93,0)</f>
        <v>14.461464508892806</v>
      </c>
      <c r="G13" s="9">
        <f>IF('Data Sheet'!G93&gt;0,G12/'Data Sheet'!G93,0)</f>
        <v>20.084594010497067</v>
      </c>
      <c r="H13" s="9">
        <f>IF('Data Sheet'!H93&gt;0,H12/'Data Sheet'!H93,0)</f>
        <v>16.972676752083977</v>
      </c>
      <c r="I13" s="9">
        <f>IF('Data Sheet'!I93&gt;0,I12/'Data Sheet'!I93,0)</f>
        <v>23.040290213028712</v>
      </c>
      <c r="J13" s="9">
        <f>IF('Data Sheet'!J93&gt;0,J12/'Data Sheet'!J93,0)</f>
        <v>36.688415856856395</v>
      </c>
      <c r="K13" s="9">
        <f>IF('Data Sheet'!K93&gt;0,K12/'Data Sheet'!K93,0)</f>
        <v>38.976025818349477</v>
      </c>
      <c r="L13" s="9">
        <f>IF('Data Sheet'!$B6&gt;0,'Profit &amp; Loss'!L12/'Data Sheet'!$B6,0)</f>
        <v>41.295888516166833</v>
      </c>
      <c r="M13" s="9">
        <f>IF('Data Sheet'!$B6&gt;0,'Profit &amp; Loss'!M12/'Data Sheet'!$B6,0)</f>
        <v>50.592761249579773</v>
      </c>
      <c r="N13" s="9">
        <f>IF('Data Sheet'!$B6&gt;0,'Profit &amp; Loss'!N12/'Data Sheet'!$B6,0)</f>
        <v>45.17014042836626</v>
      </c>
    </row>
    <row r="14" spans="1:14" x14ac:dyDescent="0.3">
      <c r="A14" s="6" t="s">
        <v>16</v>
      </c>
      <c r="B14" s="9" t="str">
        <f>IF(B15&gt;0,B15/B13,"")</f>
        <v/>
      </c>
      <c r="C14" s="9" t="str">
        <f t="shared" ref="C14:K14" si="1">IF(C15&gt;0,C15/C13,"")</f>
        <v/>
      </c>
      <c r="D14" s="9">
        <f t="shared" si="1"/>
        <v>83.150325848563966</v>
      </c>
      <c r="E14" s="9">
        <f t="shared" si="1"/>
        <v>102.54851784784063</v>
      </c>
      <c r="F14" s="9">
        <f t="shared" si="1"/>
        <v>101.72552019855074</v>
      </c>
      <c r="G14" s="9">
        <f t="shared" si="1"/>
        <v>108.91432502228918</v>
      </c>
      <c r="H14" s="9">
        <f t="shared" si="1"/>
        <v>168.45015325287179</v>
      </c>
      <c r="I14" s="9">
        <f t="shared" si="1"/>
        <v>173.75432179826473</v>
      </c>
      <c r="J14" s="9">
        <f t="shared" si="1"/>
        <v>92.700922636440467</v>
      </c>
      <c r="K14" s="9">
        <f t="shared" si="1"/>
        <v>116.1124025597653</v>
      </c>
      <c r="L14" s="9">
        <f>IF(L13&gt;0,L15/L13,0)</f>
        <v>96.539877049485341</v>
      </c>
      <c r="M14" s="9">
        <f>M25</f>
        <v>119.77688101098897</v>
      </c>
      <c r="N14" s="9">
        <f>N25</f>
        <v>96.539877049485341</v>
      </c>
    </row>
    <row r="15" spans="1:14" s="8" customFormat="1" x14ac:dyDescent="0.3">
      <c r="A15" s="8" t="s">
        <v>49</v>
      </c>
      <c r="B15" s="1">
        <f>'Data Sheet'!B90</f>
        <v>0</v>
      </c>
      <c r="C15" s="1">
        <f>'Data Sheet'!C90</f>
        <v>0</v>
      </c>
      <c r="D15" s="1">
        <f>'Data Sheet'!D90</f>
        <v>637.85</v>
      </c>
      <c r="E15" s="1">
        <f>'Data Sheet'!E90</f>
        <v>1324.8</v>
      </c>
      <c r="F15" s="1">
        <f>'Data Sheet'!F90</f>
        <v>1471.1</v>
      </c>
      <c r="G15" s="1">
        <f>'Data Sheet'!G90</f>
        <v>2187.5</v>
      </c>
      <c r="H15" s="1">
        <f>'Data Sheet'!H90</f>
        <v>2859.05</v>
      </c>
      <c r="I15" s="1">
        <f>'Data Sheet'!I90</f>
        <v>4003.35</v>
      </c>
      <c r="J15" s="1">
        <f>'Data Sheet'!J90</f>
        <v>3401.05</v>
      </c>
      <c r="K15" s="1">
        <f>'Data Sheet'!K90</f>
        <v>4525.6000000000004</v>
      </c>
      <c r="L15" s="1">
        <f>'Data Sheet'!B8</f>
        <v>3986.7</v>
      </c>
      <c r="M15" s="12">
        <f>M13*M14</f>
        <v>6059.8431442082901</v>
      </c>
      <c r="N15" s="13">
        <f>N13*N14</f>
        <v>4360.7198032624656</v>
      </c>
    </row>
    <row r="17" spans="1:14" s="8" customFormat="1" x14ac:dyDescent="0.3">
      <c r="A17" s="8" t="s">
        <v>15</v>
      </c>
    </row>
    <row r="18" spans="1:14" x14ac:dyDescent="0.3">
      <c r="A18" s="6" t="s">
        <v>17</v>
      </c>
      <c r="B18" s="7">
        <f>IF('Data Sheet'!B30&gt;0, 'Data Sheet'!B31/'Data Sheet'!B30, 0)</f>
        <v>0</v>
      </c>
      <c r="C18" s="7">
        <f>IF('Data Sheet'!C30&gt;0, 'Data Sheet'!C31/'Data Sheet'!C30, 0)</f>
        <v>0</v>
      </c>
      <c r="D18" s="7">
        <f>IF('Data Sheet'!D30&gt;0, 'Data Sheet'!D31/'Data Sheet'!D30, 0)</f>
        <v>0</v>
      </c>
      <c r="E18" s="7">
        <f>IF('Data Sheet'!E30&gt;0, 'Data Sheet'!E31/'Data Sheet'!E30, 0)</f>
        <v>0</v>
      </c>
      <c r="F18" s="7">
        <f>IF('Data Sheet'!F30&gt;0, 'Data Sheet'!F31/'Data Sheet'!F30, 0)</f>
        <v>0</v>
      </c>
      <c r="G18" s="7">
        <f>IF('Data Sheet'!G30&gt;0, 'Data Sheet'!G31/'Data Sheet'!G30, 0)</f>
        <v>0</v>
      </c>
      <c r="H18" s="7">
        <f>IF('Data Sheet'!H30&gt;0, 'Data Sheet'!H31/'Data Sheet'!H30, 0)</f>
        <v>0</v>
      </c>
      <c r="I18" s="7">
        <f>IF('Data Sheet'!I30&gt;0, 'Data Sheet'!I31/'Data Sheet'!I30, 0)</f>
        <v>0</v>
      </c>
      <c r="J18" s="7">
        <f>IF('Data Sheet'!J30&gt;0, 'Data Sheet'!J31/'Data Sheet'!J30, 0)</f>
        <v>0</v>
      </c>
      <c r="K18" s="7">
        <f>IF('Data Sheet'!K30&gt;0, 'Data Sheet'!K31/'Data Sheet'!K30, 0)</f>
        <v>0</v>
      </c>
    </row>
    <row r="19" spans="1:14" x14ac:dyDescent="0.3">
      <c r="A19" s="6" t="s">
        <v>18</v>
      </c>
      <c r="B19" s="7">
        <f>IF(B6&gt;0,B6/B4,0)</f>
        <v>7.0854097334701868E-2</v>
      </c>
      <c r="C19" s="7">
        <f t="shared" ref="C19:K19" si="2">IF(C6&gt;0,C6/C4,0)</f>
        <v>7.7408967631900347E-2</v>
      </c>
      <c r="D19" s="7">
        <f t="shared" si="2"/>
        <v>8.1459441740840688E-2</v>
      </c>
      <c r="E19" s="7">
        <f t="shared" si="2"/>
        <v>8.9991485512066663E-2</v>
      </c>
      <c r="F19" s="7">
        <f t="shared" si="2"/>
        <v>8.1647047767204675E-2</v>
      </c>
      <c r="G19" s="7">
        <f t="shared" si="2"/>
        <v>8.5576714300649018E-2</v>
      </c>
      <c r="H19" s="7">
        <f t="shared" si="2"/>
        <v>7.2270457845857075E-2</v>
      </c>
      <c r="I19" s="7">
        <f t="shared" si="2"/>
        <v>8.0782805676732614E-2</v>
      </c>
      <c r="J19" s="7">
        <f t="shared" si="2"/>
        <v>8.4939481171141737E-2</v>
      </c>
      <c r="K19" s="7">
        <f t="shared" si="2"/>
        <v>8.0837459732779948E-2</v>
      </c>
      <c r="L19" s="7">
        <f>IF(L6&gt;0,L6/L4,0)</f>
        <v>7.9882092932545154E-2</v>
      </c>
    </row>
    <row r="20" spans="1:14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3">
      <c r="A22" s="15"/>
      <c r="B22" s="16"/>
      <c r="C22" s="16"/>
      <c r="D22" s="16"/>
      <c r="E22" s="16"/>
      <c r="F22" s="16"/>
      <c r="G22" s="16" t="s">
        <v>19</v>
      </c>
      <c r="H22" s="16" t="s">
        <v>56</v>
      </c>
      <c r="I22" s="16" t="s">
        <v>57</v>
      </c>
      <c r="J22" s="16" t="s">
        <v>58</v>
      </c>
      <c r="K22" s="16" t="s">
        <v>59</v>
      </c>
      <c r="L22" s="17" t="s">
        <v>60</v>
      </c>
      <c r="M22" s="17" t="s">
        <v>20</v>
      </c>
      <c r="N22" s="17" t="s">
        <v>21</v>
      </c>
    </row>
    <row r="23" spans="1:14" s="8" customFormat="1" x14ac:dyDescent="0.3">
      <c r="A23" s="6"/>
      <c r="B23" s="6"/>
      <c r="C23" s="6"/>
      <c r="D23" s="6"/>
      <c r="E23" s="6"/>
      <c r="F23" s="6"/>
      <c r="G23" s="6" t="s">
        <v>22</v>
      </c>
      <c r="H23" s="7">
        <f>IF(B4=0,"",POWER($K4/B4,1/9)-1)</f>
        <v>0.25793402621780914</v>
      </c>
      <c r="I23" s="7">
        <f>IF(D4=0,"",POWER($K4/D4,1/7)-1)</f>
        <v>0.23039228471421391</v>
      </c>
      <c r="J23" s="7">
        <f>IF(F4=0,"",POWER($K4/F4,1/5)-1)</f>
        <v>0.20483621928533635</v>
      </c>
      <c r="K23" s="7">
        <f>IF(H4=0,"",POWER($K4/H4, 1/3)-1)</f>
        <v>0.28132302846412705</v>
      </c>
      <c r="L23" s="7">
        <f>IF(ISERROR(MAX(IF(J4=0,"",(K4-J4)/J4),IF(K4=0,"",(L4-K4)/K4))),"",MAX(IF(J4=0,"",(K4-J4)/J4),IF(K4=0,"",(L4-K4)/K4)))</f>
        <v>0.18555909537819726</v>
      </c>
      <c r="M23" s="22">
        <f>MAX(K23:L23)</f>
        <v>0.28132302846412705</v>
      </c>
      <c r="N23" s="22">
        <f>MIN(H23:L23)</f>
        <v>0.18555909537819726</v>
      </c>
    </row>
    <row r="24" spans="1:14" x14ac:dyDescent="0.3">
      <c r="G24" s="6" t="s">
        <v>18</v>
      </c>
      <c r="H24" s="7">
        <f>IF(SUM(B4:$K$4)=0,"",SUMPRODUCT(B19:$K$19,B4:$K$4)/SUM(B4:$K$4))</f>
        <v>8.1485069841210456E-2</v>
      </c>
      <c r="I24" s="7">
        <f>IF(SUM(E4:$K$4)=0,"",SUMPRODUCT(E19:$K$19,E4:$K$4)/SUM(E4:$K$4))</f>
        <v>8.1982303473800214E-2</v>
      </c>
      <c r="J24" s="7">
        <f>IF(SUM(G4:$K$4)=0,"",SUMPRODUCT(G19:$K$19,G4:$K$4)/SUM(G4:$K$4))</f>
        <v>8.1327434403084695E-2</v>
      </c>
      <c r="K24" s="7">
        <f>IF(SUM(I4:$K$4)=0, "", SUMPRODUCT(I19:$K$19,I4:$K$4)/SUM(I4:$K$4))</f>
        <v>8.2234163634008595E-2</v>
      </c>
      <c r="L24" s="7">
        <f>L19</f>
        <v>7.9882092932545154E-2</v>
      </c>
      <c r="M24" s="22">
        <f>MAX(K24:L24)</f>
        <v>8.2234163634008595E-2</v>
      </c>
      <c r="N24" s="22">
        <f>MIN(H24:L24)</f>
        <v>7.9882092932545154E-2</v>
      </c>
    </row>
    <row r="25" spans="1:14" x14ac:dyDescent="0.3">
      <c r="G25" s="6" t="s">
        <v>23</v>
      </c>
      <c r="H25" s="9">
        <f>IF(ISERROR(AVERAGEIF(B14:$L14,"&gt;0")),"",AVERAGEIF(B14:$L14,"&gt;0"))</f>
        <v>115.98848513489692</v>
      </c>
      <c r="I25" s="9">
        <f>IF(ISERROR(AVERAGEIF(E14:$L14,"&gt;0")),"",AVERAGEIF(E14:$L14,"&gt;0"))</f>
        <v>120.09325504568852</v>
      </c>
      <c r="J25" s="9">
        <f>IF(ISERROR(AVERAGEIF(G14:$L14,"&gt;0")),"",AVERAGEIF(G14:$L14,"&gt;0"))</f>
        <v>126.07866705318615</v>
      </c>
      <c r="K25" s="9">
        <f>IF(ISERROR(AVERAGEIF(I14:$L14,"&gt;0")),"",AVERAGEIF(I14:$L14,"&gt;0"))</f>
        <v>119.77688101098897</v>
      </c>
      <c r="L25" s="9">
        <f>L14</f>
        <v>96.539877049485341</v>
      </c>
      <c r="M25" s="1">
        <f>MAX(K25:L25)</f>
        <v>119.77688101098897</v>
      </c>
      <c r="N25" s="1">
        <f>MIN(H25:L25)</f>
        <v>96.539877049485341</v>
      </c>
    </row>
    <row r="26" spans="1:14" x14ac:dyDescent="0.3">
      <c r="B26" s="184">
        <f>B11/B10</f>
        <v>0.34379939869200016</v>
      </c>
      <c r="C26" s="184">
        <f t="shared" ref="C26:K26" si="3">C11/C10</f>
        <v>0.34872180756950238</v>
      </c>
      <c r="D26" s="184">
        <f t="shared" si="3"/>
        <v>0.35910478128179041</v>
      </c>
      <c r="E26" s="184">
        <f t="shared" si="3"/>
        <v>0.3402341928040129</v>
      </c>
      <c r="F26" s="184">
        <f t="shared" si="3"/>
        <v>0.36533187054306088</v>
      </c>
      <c r="G26" s="184">
        <f t="shared" si="3"/>
        <v>0.25435444213277397</v>
      </c>
      <c r="H26" s="184">
        <f>H11/H10</f>
        <v>0.25886952711584482</v>
      </c>
      <c r="I26" s="184">
        <f t="shared" si="3"/>
        <v>0.27698002054144144</v>
      </c>
      <c r="J26" s="184">
        <f t="shared" si="3"/>
        <v>0.22278756507161554</v>
      </c>
      <c r="K26" s="184">
        <f t="shared" si="3"/>
        <v>0.26744632843444571</v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K22"/>
  <sheetViews>
    <sheetView zoomScale="1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22" sqref="B22"/>
    </sheetView>
  </sheetViews>
  <sheetFormatPr defaultColWidth="8.77734375" defaultRowHeight="14.4" x14ac:dyDescent="0.3"/>
  <cols>
    <col min="1" max="1" width="20.6640625" style="6" customWidth="1"/>
    <col min="2" max="11" width="13.44140625" style="6" bestFit="1" customWidth="1"/>
    <col min="12" max="16384" width="8.77734375" style="6"/>
  </cols>
  <sheetData>
    <row r="1" spans="1:11" s="8" customFormat="1" x14ac:dyDescent="0.3">
      <c r="A1" s="8" t="str">
        <f>'Profit &amp; Loss'!A1</f>
        <v>AVENUE SUPERMARTS LTD</v>
      </c>
      <c r="E1" t="str">
        <f>UPDATE</f>
        <v/>
      </c>
      <c r="J1" s="4" t="s">
        <v>1</v>
      </c>
      <c r="K1" s="4"/>
    </row>
    <row r="3" spans="1:11" s="2" customFormat="1" x14ac:dyDescent="0.3">
      <c r="A3" s="15" t="s">
        <v>2</v>
      </c>
      <c r="B3" s="16">
        <f>'Data Sheet'!B41</f>
        <v>44742</v>
      </c>
      <c r="C3" s="16">
        <f>'Data Sheet'!C41</f>
        <v>44834</v>
      </c>
      <c r="D3" s="16">
        <f>'Data Sheet'!D41</f>
        <v>44926</v>
      </c>
      <c r="E3" s="16">
        <f>'Data Sheet'!E41</f>
        <v>45016</v>
      </c>
      <c r="F3" s="16">
        <f>'Data Sheet'!F41</f>
        <v>45107</v>
      </c>
      <c r="G3" s="16">
        <f>'Data Sheet'!G41</f>
        <v>45199</v>
      </c>
      <c r="H3" s="16">
        <f>'Data Sheet'!H41</f>
        <v>45291</v>
      </c>
      <c r="I3" s="16">
        <f>'Data Sheet'!I41</f>
        <v>45382</v>
      </c>
      <c r="J3" s="16">
        <f>'Data Sheet'!J41</f>
        <v>45473</v>
      </c>
      <c r="K3" s="16">
        <f>'Data Sheet'!K41</f>
        <v>45565</v>
      </c>
    </row>
    <row r="4" spans="1:11" s="8" customFormat="1" x14ac:dyDescent="0.3">
      <c r="A4" s="8" t="s">
        <v>6</v>
      </c>
      <c r="B4" s="1">
        <f>'Data Sheet'!B42</f>
        <v>10038.07</v>
      </c>
      <c r="C4" s="1">
        <f>'Data Sheet'!C42</f>
        <v>10638.33</v>
      </c>
      <c r="D4" s="1">
        <f>'Data Sheet'!D42</f>
        <v>11569.05</v>
      </c>
      <c r="E4" s="1">
        <f>'Data Sheet'!E42</f>
        <v>10594.11</v>
      </c>
      <c r="F4" s="1">
        <f>'Data Sheet'!F42</f>
        <v>11865.44</v>
      </c>
      <c r="G4" s="1">
        <f>'Data Sheet'!G42</f>
        <v>12624.37</v>
      </c>
      <c r="H4" s="1">
        <f>'Data Sheet'!H42</f>
        <v>13572.47</v>
      </c>
      <c r="I4" s="1">
        <f>'Data Sheet'!I42</f>
        <v>12726.55</v>
      </c>
      <c r="J4" s="1">
        <f>'Data Sheet'!J42</f>
        <v>14069.14</v>
      </c>
      <c r="K4" s="1">
        <f>'Data Sheet'!K42</f>
        <v>14444.5</v>
      </c>
    </row>
    <row r="5" spans="1:11" x14ac:dyDescent="0.3">
      <c r="A5" s="6" t="s">
        <v>7</v>
      </c>
      <c r="B5" s="9">
        <f>'Data Sheet'!B43</f>
        <v>9029.83</v>
      </c>
      <c r="C5" s="9">
        <f>'Data Sheet'!C43</f>
        <v>9746.31</v>
      </c>
      <c r="D5" s="9">
        <f>'Data Sheet'!D43</f>
        <v>10603.79</v>
      </c>
      <c r="E5" s="9">
        <f>'Data Sheet'!E43</f>
        <v>9822.6</v>
      </c>
      <c r="F5" s="9">
        <f>'Data Sheet'!F43</f>
        <v>10830.17</v>
      </c>
      <c r="G5" s="9">
        <f>'Data Sheet'!G43</f>
        <v>11619.4</v>
      </c>
      <c r="H5" s="9">
        <f>'Data Sheet'!H43</f>
        <v>12452.58</v>
      </c>
      <c r="I5" s="9">
        <f>'Data Sheet'!I43</f>
        <v>11782.91</v>
      </c>
      <c r="J5" s="9">
        <f>'Data Sheet'!J43</f>
        <v>12847.89</v>
      </c>
      <c r="K5" s="9">
        <f>'Data Sheet'!K43</f>
        <v>13350.73</v>
      </c>
    </row>
    <row r="6" spans="1:11" s="8" customFormat="1" x14ac:dyDescent="0.3">
      <c r="A6" s="8" t="s">
        <v>8</v>
      </c>
      <c r="B6" s="1">
        <f>'Data Sheet'!B50</f>
        <v>1008.24</v>
      </c>
      <c r="C6" s="1">
        <f>'Data Sheet'!C50</f>
        <v>892.02</v>
      </c>
      <c r="D6" s="1">
        <f>'Data Sheet'!D50</f>
        <v>965.26</v>
      </c>
      <c r="E6" s="1">
        <f>'Data Sheet'!E50</f>
        <v>771.51</v>
      </c>
      <c r="F6" s="1">
        <f>'Data Sheet'!F50</f>
        <v>1035.27</v>
      </c>
      <c r="G6" s="1">
        <f>'Data Sheet'!G50</f>
        <v>1004.97</v>
      </c>
      <c r="H6" s="1">
        <f>'Data Sheet'!H50</f>
        <v>1119.8900000000001</v>
      </c>
      <c r="I6" s="1">
        <f>'Data Sheet'!I50</f>
        <v>943.64</v>
      </c>
      <c r="J6" s="1">
        <f>'Data Sheet'!J50</f>
        <v>1221.25</v>
      </c>
      <c r="K6" s="1">
        <f>'Data Sheet'!K50</f>
        <v>1093.77</v>
      </c>
    </row>
    <row r="7" spans="1:11" x14ac:dyDescent="0.3">
      <c r="A7" s="6" t="s">
        <v>9</v>
      </c>
      <c r="B7" s="9">
        <f>'Data Sheet'!B44</f>
        <v>29.14</v>
      </c>
      <c r="C7" s="9">
        <f>'Data Sheet'!C44</f>
        <v>35.57</v>
      </c>
      <c r="D7" s="9">
        <f>'Data Sheet'!D44</f>
        <v>31.56</v>
      </c>
      <c r="E7" s="9">
        <f>'Data Sheet'!E44</f>
        <v>33.07</v>
      </c>
      <c r="F7" s="9">
        <f>'Data Sheet'!F44</f>
        <v>38.74</v>
      </c>
      <c r="G7" s="9">
        <f>'Data Sheet'!G44</f>
        <v>36.92</v>
      </c>
      <c r="H7" s="9">
        <f>'Data Sheet'!H44</f>
        <v>32.92</v>
      </c>
      <c r="I7" s="9">
        <f>'Data Sheet'!I44</f>
        <v>37.869999999999997</v>
      </c>
      <c r="J7" s="9">
        <f>'Data Sheet'!J44</f>
        <v>41.6</v>
      </c>
      <c r="K7" s="9">
        <f>'Data Sheet'!K44</f>
        <v>33.520000000000003</v>
      </c>
    </row>
    <row r="8" spans="1:11" x14ac:dyDescent="0.3">
      <c r="A8" s="6" t="s">
        <v>10</v>
      </c>
      <c r="B8" s="9">
        <f>'Data Sheet'!B45</f>
        <v>144.74</v>
      </c>
      <c r="C8" s="9">
        <f>'Data Sheet'!C45</f>
        <v>161.96</v>
      </c>
      <c r="D8" s="9">
        <f>'Data Sheet'!D45</f>
        <v>168.09</v>
      </c>
      <c r="E8" s="9">
        <f>'Data Sheet'!E45</f>
        <v>164.08</v>
      </c>
      <c r="F8" s="9">
        <f>'Data Sheet'!F45</f>
        <v>162.18</v>
      </c>
      <c r="G8" s="9">
        <f>'Data Sheet'!G45</f>
        <v>174.36</v>
      </c>
      <c r="H8" s="9">
        <f>'Data Sheet'!H45</f>
        <v>189.33</v>
      </c>
      <c r="I8" s="9">
        <f>'Data Sheet'!I45</f>
        <v>204.89</v>
      </c>
      <c r="J8" s="9">
        <f>'Data Sheet'!J45</f>
        <v>192.76</v>
      </c>
      <c r="K8" s="9">
        <f>'Data Sheet'!K45</f>
        <v>207.78</v>
      </c>
    </row>
    <row r="9" spans="1:11" x14ac:dyDescent="0.3">
      <c r="A9" s="6" t="s">
        <v>11</v>
      </c>
      <c r="B9" s="9">
        <f>'Data Sheet'!B46</f>
        <v>17.22</v>
      </c>
      <c r="C9" s="9">
        <f>'Data Sheet'!C46</f>
        <v>17.68</v>
      </c>
      <c r="D9" s="9">
        <f>'Data Sheet'!D46</f>
        <v>16.98</v>
      </c>
      <c r="E9" s="9">
        <f>'Data Sheet'!E46</f>
        <v>15.53</v>
      </c>
      <c r="F9" s="9">
        <f>'Data Sheet'!F46</f>
        <v>14.57</v>
      </c>
      <c r="G9" s="9">
        <f>'Data Sheet'!G46</f>
        <v>15.59</v>
      </c>
      <c r="H9" s="9">
        <f>'Data Sheet'!H46</f>
        <v>14.55</v>
      </c>
      <c r="I9" s="9">
        <f>'Data Sheet'!I46</f>
        <v>13.42</v>
      </c>
      <c r="J9" s="9">
        <f>'Data Sheet'!J46</f>
        <v>15.96</v>
      </c>
      <c r="K9" s="9">
        <f>'Data Sheet'!K46</f>
        <v>16.32</v>
      </c>
    </row>
    <row r="10" spans="1:11" x14ac:dyDescent="0.3">
      <c r="A10" s="6" t="s">
        <v>12</v>
      </c>
      <c r="B10" s="9">
        <f>'Data Sheet'!B47</f>
        <v>875.42</v>
      </c>
      <c r="C10" s="9">
        <f>'Data Sheet'!C47</f>
        <v>747.95</v>
      </c>
      <c r="D10" s="9">
        <f>'Data Sheet'!D47</f>
        <v>811.75</v>
      </c>
      <c r="E10" s="9">
        <f>'Data Sheet'!E47</f>
        <v>624.97</v>
      </c>
      <c r="F10" s="9">
        <f>'Data Sheet'!F47</f>
        <v>897.26</v>
      </c>
      <c r="G10" s="9">
        <f>'Data Sheet'!G47</f>
        <v>851.94</v>
      </c>
      <c r="H10" s="9">
        <f>'Data Sheet'!H47</f>
        <v>948.93</v>
      </c>
      <c r="I10" s="9">
        <f>'Data Sheet'!I47</f>
        <v>763.2</v>
      </c>
      <c r="J10" s="9">
        <f>'Data Sheet'!J47</f>
        <v>1054.1300000000001</v>
      </c>
      <c r="K10" s="9">
        <f>'Data Sheet'!K47</f>
        <v>903.19</v>
      </c>
    </row>
    <row r="11" spans="1:11" x14ac:dyDescent="0.3">
      <c r="A11" s="6" t="s">
        <v>13</v>
      </c>
      <c r="B11" s="9">
        <f>'Data Sheet'!B48</f>
        <v>232.53</v>
      </c>
      <c r="C11" s="9">
        <f>'Data Sheet'!C48</f>
        <v>62.24</v>
      </c>
      <c r="D11" s="9">
        <f>'Data Sheet'!D48</f>
        <v>222.11</v>
      </c>
      <c r="E11" s="9">
        <f>'Data Sheet'!E48</f>
        <v>164.87</v>
      </c>
      <c r="F11" s="9">
        <f>'Data Sheet'!F48</f>
        <v>238.55</v>
      </c>
      <c r="G11" s="9">
        <f>'Data Sheet'!G48</f>
        <v>228.59</v>
      </c>
      <c r="H11" s="9">
        <f>'Data Sheet'!H48</f>
        <v>258.52</v>
      </c>
      <c r="I11" s="9">
        <f>'Data Sheet'!I48</f>
        <v>200.06</v>
      </c>
      <c r="J11" s="9">
        <f>'Data Sheet'!J48</f>
        <v>280.45</v>
      </c>
      <c r="K11" s="9">
        <f>'Data Sheet'!K48</f>
        <v>243.75</v>
      </c>
    </row>
    <row r="12" spans="1:11" s="8" customFormat="1" x14ac:dyDescent="0.3">
      <c r="A12" s="8" t="s">
        <v>14</v>
      </c>
      <c r="B12" s="1">
        <f>'Data Sheet'!B49</f>
        <v>642.92999999999995</v>
      </c>
      <c r="C12" s="1">
        <f>'Data Sheet'!C49</f>
        <v>685.77</v>
      </c>
      <c r="D12" s="1">
        <f>'Data Sheet'!D49</f>
        <v>589.67999999999995</v>
      </c>
      <c r="E12" s="1">
        <f>'Data Sheet'!E49</f>
        <v>460.13</v>
      </c>
      <c r="F12" s="1">
        <f>'Data Sheet'!F49</f>
        <v>658.75</v>
      </c>
      <c r="G12" s="1">
        <f>'Data Sheet'!G49</f>
        <v>623.55999999999995</v>
      </c>
      <c r="H12" s="1">
        <f>'Data Sheet'!H49</f>
        <v>690.61</v>
      </c>
      <c r="I12" s="1">
        <f>'Data Sheet'!I49</f>
        <v>563.25</v>
      </c>
      <c r="J12" s="1">
        <f>'Data Sheet'!J49</f>
        <v>773.82</v>
      </c>
      <c r="K12" s="1">
        <f>'Data Sheet'!K49</f>
        <v>659.58</v>
      </c>
    </row>
    <row r="14" spans="1:11" s="8" customFormat="1" x14ac:dyDescent="0.3">
      <c r="A14" s="2" t="s">
        <v>18</v>
      </c>
      <c r="B14" s="14">
        <f>IF(B4&gt;0,B6/B4,"")</f>
        <v>0.10044161875739062</v>
      </c>
      <c r="C14" s="14">
        <f t="shared" ref="C14:K14" si="0">IF(C4&gt;0,C6/C4,"")</f>
        <v>8.3849626774127148E-2</v>
      </c>
      <c r="D14" s="14">
        <f t="shared" si="0"/>
        <v>8.3434681326470195E-2</v>
      </c>
      <c r="E14" s="14">
        <f t="shared" si="0"/>
        <v>7.2824427913246129E-2</v>
      </c>
      <c r="F14" s="14">
        <f t="shared" si="0"/>
        <v>8.7250873123963374E-2</v>
      </c>
      <c r="G14" s="14">
        <f t="shared" si="0"/>
        <v>7.9605556554505297E-2</v>
      </c>
      <c r="H14" s="14">
        <f t="shared" si="0"/>
        <v>8.2511878825298576E-2</v>
      </c>
      <c r="I14" s="14">
        <f t="shared" si="0"/>
        <v>7.4147353367566227E-2</v>
      </c>
      <c r="J14" s="14">
        <f t="shared" si="0"/>
        <v>8.6803457780646159E-2</v>
      </c>
      <c r="K14" s="14">
        <f t="shared" si="0"/>
        <v>7.5722247222126074E-2</v>
      </c>
    </row>
    <row r="16" spans="1:11" x14ac:dyDescent="0.3">
      <c r="D16" s="183">
        <f>SUM(D11:D12)</f>
        <v>811.79</v>
      </c>
      <c r="E16" s="183">
        <f t="shared" ref="E16:K16" si="1">SUM(E11:E12)</f>
        <v>625</v>
      </c>
      <c r="F16" s="183">
        <f t="shared" si="1"/>
        <v>897.3</v>
      </c>
      <c r="G16" s="183">
        <f t="shared" si="1"/>
        <v>852.15</v>
      </c>
      <c r="H16" s="183">
        <f t="shared" si="1"/>
        <v>949.13</v>
      </c>
      <c r="I16" s="183">
        <f t="shared" si="1"/>
        <v>763.31</v>
      </c>
      <c r="J16" s="183">
        <f t="shared" si="1"/>
        <v>1054.27</v>
      </c>
      <c r="K16" s="183">
        <f t="shared" si="1"/>
        <v>903.33</v>
      </c>
    </row>
    <row r="17" spans="4:4" x14ac:dyDescent="0.3">
      <c r="D17" s="184">
        <f>D11/D16</f>
        <v>0.27360524273519016</v>
      </c>
    </row>
    <row r="22" spans="4:4" s="26" customFormat="1" x14ac:dyDescent="0.3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defaultColWidth="8.77734375" defaultRowHeight="14.4" x14ac:dyDescent="0.3"/>
  <cols>
    <col min="1" max="1" width="22.77734375" style="11" bestFit="1" customWidth="1"/>
    <col min="2" max="2" width="13.44140625" style="11" customWidth="1"/>
    <col min="3" max="11" width="15.44140625" style="11" customWidth="1"/>
    <col min="12" max="16384" width="8.77734375" style="11"/>
  </cols>
  <sheetData>
    <row r="1" spans="1:11" s="8" customFormat="1" x14ac:dyDescent="0.3">
      <c r="A1" s="8" t="str">
        <f>'Profit &amp; Loss'!A1</f>
        <v>AVENUE SUPERMARTS LTD</v>
      </c>
      <c r="E1" t="str">
        <f>UPDATE</f>
        <v/>
      </c>
      <c r="G1"/>
      <c r="J1" s="4" t="s">
        <v>1</v>
      </c>
      <c r="K1" s="4"/>
    </row>
    <row r="2" spans="1:11" x14ac:dyDescent="0.3">
      <c r="G2" s="8"/>
      <c r="H2" s="8"/>
    </row>
    <row r="3" spans="1:11" s="18" customFormat="1" x14ac:dyDescent="0.3">
      <c r="A3" s="15" t="s">
        <v>2</v>
      </c>
      <c r="B3" s="16">
        <f>'Data Sheet'!B56</f>
        <v>42094</v>
      </c>
      <c r="C3" s="16">
        <f>'Data Sheet'!C56</f>
        <v>42460</v>
      </c>
      <c r="D3" s="16">
        <f>'Data Sheet'!D56</f>
        <v>42825</v>
      </c>
      <c r="E3" s="16">
        <f>'Data Sheet'!E56</f>
        <v>43190</v>
      </c>
      <c r="F3" s="16">
        <f>'Data Sheet'!F56</f>
        <v>43555</v>
      </c>
      <c r="G3" s="16">
        <f>'Data Sheet'!G56</f>
        <v>43921</v>
      </c>
      <c r="H3" s="16">
        <f>'Data Sheet'!H56</f>
        <v>44286</v>
      </c>
      <c r="I3" s="16">
        <f>'Data Sheet'!I56</f>
        <v>44651</v>
      </c>
      <c r="J3" s="16">
        <f>'Data Sheet'!J56</f>
        <v>45016</v>
      </c>
      <c r="K3" s="16">
        <f>'Data Sheet'!K56</f>
        <v>45382</v>
      </c>
    </row>
    <row r="4" spans="1:11" x14ac:dyDescent="0.3">
      <c r="A4" s="6" t="s">
        <v>24</v>
      </c>
      <c r="B4" s="19">
        <f>'Data Sheet'!B57</f>
        <v>561.54</v>
      </c>
      <c r="C4" s="19">
        <f>'Data Sheet'!C57</f>
        <v>561.54</v>
      </c>
      <c r="D4" s="19">
        <f>'Data Sheet'!D57</f>
        <v>624.08000000000004</v>
      </c>
      <c r="E4" s="19">
        <f>'Data Sheet'!E57</f>
        <v>624.08000000000004</v>
      </c>
      <c r="F4" s="19">
        <f>'Data Sheet'!F57</f>
        <v>624.08000000000004</v>
      </c>
      <c r="G4" s="19">
        <f>'Data Sheet'!G57</f>
        <v>647.77</v>
      </c>
      <c r="H4" s="19">
        <f>'Data Sheet'!H57</f>
        <v>647.77</v>
      </c>
      <c r="I4" s="19">
        <f>'Data Sheet'!I57</f>
        <v>647.77</v>
      </c>
      <c r="J4" s="19">
        <f>'Data Sheet'!J57</f>
        <v>648.26</v>
      </c>
      <c r="K4" s="19">
        <f>'Data Sheet'!K57</f>
        <v>650.73</v>
      </c>
    </row>
    <row r="5" spans="1:11" s="6" customFormat="1" x14ac:dyDescent="0.3">
      <c r="A5" s="6" t="s">
        <v>25</v>
      </c>
      <c r="B5" s="19">
        <f>'Data Sheet'!B58</f>
        <v>637.65</v>
      </c>
      <c r="C5" s="19">
        <f>'Data Sheet'!C58</f>
        <v>958.9</v>
      </c>
      <c r="D5" s="19">
        <f>'Data Sheet'!D58</f>
        <v>3217.7</v>
      </c>
      <c r="E5" s="19">
        <f>'Data Sheet'!E58</f>
        <v>4044.97</v>
      </c>
      <c r="F5" s="19">
        <f>'Data Sheet'!F58</f>
        <v>4963.37</v>
      </c>
      <c r="G5" s="19">
        <f>'Data Sheet'!G58</f>
        <v>10431.969999999999</v>
      </c>
      <c r="H5" s="19">
        <f>'Data Sheet'!H58</f>
        <v>11535.94</v>
      </c>
      <c r="I5" s="19">
        <f>'Data Sheet'!I58</f>
        <v>13029.87</v>
      </c>
      <c r="J5" s="19">
        <f>'Data Sheet'!J58</f>
        <v>15430.44</v>
      </c>
      <c r="K5" s="19">
        <f>'Data Sheet'!K58</f>
        <v>18047.09</v>
      </c>
    </row>
    <row r="6" spans="1:11" x14ac:dyDescent="0.3">
      <c r="A6" s="11" t="s">
        <v>62</v>
      </c>
      <c r="B6" s="19">
        <f>'Data Sheet'!B59</f>
        <v>904.26</v>
      </c>
      <c r="C6" s="19">
        <f>'Data Sheet'!C59</f>
        <v>1192.3399999999999</v>
      </c>
      <c r="D6" s="19">
        <f>'Data Sheet'!D59</f>
        <v>1497.32</v>
      </c>
      <c r="E6" s="19">
        <f>'Data Sheet'!E59</f>
        <v>439.25</v>
      </c>
      <c r="F6" s="19">
        <f>'Data Sheet'!F59</f>
        <v>700.15</v>
      </c>
      <c r="G6" s="19">
        <f>'Data Sheet'!G59</f>
        <v>333.19</v>
      </c>
      <c r="H6" s="19">
        <f>'Data Sheet'!H59</f>
        <v>392.71</v>
      </c>
      <c r="I6" s="19">
        <f>'Data Sheet'!I59</f>
        <v>646.94000000000005</v>
      </c>
      <c r="J6" s="19">
        <f>'Data Sheet'!J59</f>
        <v>642.98</v>
      </c>
      <c r="K6" s="19">
        <f>'Data Sheet'!K59</f>
        <v>592.16</v>
      </c>
    </row>
    <row r="7" spans="1:11" s="6" customFormat="1" x14ac:dyDescent="0.3">
      <c r="A7" s="11" t="s">
        <v>63</v>
      </c>
      <c r="B7" s="19">
        <f>'Data Sheet'!B60</f>
        <v>251.36</v>
      </c>
      <c r="C7" s="19">
        <f>'Data Sheet'!C60</f>
        <v>388.78</v>
      </c>
      <c r="D7" s="19">
        <f>'Data Sheet'!D60</f>
        <v>480.18</v>
      </c>
      <c r="E7" s="19">
        <f>'Data Sheet'!E60</f>
        <v>539.91999999999996</v>
      </c>
      <c r="F7" s="19">
        <f>'Data Sheet'!F60</f>
        <v>717.9</v>
      </c>
      <c r="G7" s="19">
        <f>'Data Sheet'!G60</f>
        <v>663.23</v>
      </c>
      <c r="H7" s="19">
        <f>'Data Sheet'!H60</f>
        <v>1078.6300000000001</v>
      </c>
      <c r="I7" s="19">
        <f>'Data Sheet'!I60</f>
        <v>1146.4000000000001</v>
      </c>
      <c r="J7" s="19">
        <f>'Data Sheet'!J60</f>
        <v>1382.84</v>
      </c>
      <c r="K7" s="19">
        <f>'Data Sheet'!K60</f>
        <v>1882.5</v>
      </c>
    </row>
    <row r="8" spans="1:11" s="8" customFormat="1" x14ac:dyDescent="0.3">
      <c r="A8" s="8" t="s">
        <v>26</v>
      </c>
      <c r="B8" s="20">
        <f>'Data Sheet'!B61</f>
        <v>2354.81</v>
      </c>
      <c r="C8" s="20">
        <f>'Data Sheet'!C61</f>
        <v>3101.56</v>
      </c>
      <c r="D8" s="20">
        <f>'Data Sheet'!D61</f>
        <v>5819.28</v>
      </c>
      <c r="E8" s="20">
        <f>'Data Sheet'!E61</f>
        <v>5648.22</v>
      </c>
      <c r="F8" s="20">
        <f>'Data Sheet'!F61</f>
        <v>7005.5</v>
      </c>
      <c r="G8" s="20">
        <f>'Data Sheet'!G61</f>
        <v>12076.16</v>
      </c>
      <c r="H8" s="20">
        <f>'Data Sheet'!H61</f>
        <v>13655.05</v>
      </c>
      <c r="I8" s="20">
        <f>'Data Sheet'!I61</f>
        <v>15470.98</v>
      </c>
      <c r="J8" s="20">
        <f>'Data Sheet'!J61</f>
        <v>18104.52</v>
      </c>
      <c r="K8" s="20">
        <f>'Data Sheet'!K61</f>
        <v>21172.48</v>
      </c>
    </row>
    <row r="9" spans="1:11" s="8" customFormat="1" x14ac:dyDescent="0.3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3">
      <c r="A10" s="6" t="s">
        <v>27</v>
      </c>
      <c r="B10" s="19">
        <f>'Data Sheet'!B62</f>
        <v>1528.08</v>
      </c>
      <c r="C10" s="19">
        <f>'Data Sheet'!C62</f>
        <v>2093.52</v>
      </c>
      <c r="D10" s="19">
        <f>'Data Sheet'!D62</f>
        <v>2577.75</v>
      </c>
      <c r="E10" s="19">
        <f>'Data Sheet'!E62</f>
        <v>3399.97</v>
      </c>
      <c r="F10" s="19">
        <f>'Data Sheet'!F62</f>
        <v>4400.37</v>
      </c>
      <c r="G10" s="19">
        <f>'Data Sheet'!G62</f>
        <v>5948.03</v>
      </c>
      <c r="H10" s="19">
        <f>'Data Sheet'!H62</f>
        <v>7008.8</v>
      </c>
      <c r="I10" s="19">
        <f>'Data Sheet'!I62</f>
        <v>9260.02</v>
      </c>
      <c r="J10" s="19">
        <f>'Data Sheet'!J62</f>
        <v>11340.48</v>
      </c>
      <c r="K10" s="19">
        <f>'Data Sheet'!K62</f>
        <v>13415</v>
      </c>
    </row>
    <row r="11" spans="1:11" x14ac:dyDescent="0.3">
      <c r="A11" s="6" t="s">
        <v>28</v>
      </c>
      <c r="B11" s="19">
        <f>'Data Sheet'!B63</f>
        <v>98.12</v>
      </c>
      <c r="C11" s="19">
        <f>'Data Sheet'!C63</f>
        <v>81.69</v>
      </c>
      <c r="D11" s="19">
        <f>'Data Sheet'!D63</f>
        <v>152.88999999999999</v>
      </c>
      <c r="E11" s="19">
        <f>'Data Sheet'!E63</f>
        <v>147.07</v>
      </c>
      <c r="F11" s="19">
        <f>'Data Sheet'!F63</f>
        <v>376.84</v>
      </c>
      <c r="G11" s="19">
        <f>'Data Sheet'!G63</f>
        <v>364.4</v>
      </c>
      <c r="H11" s="19">
        <f>'Data Sheet'!H63</f>
        <v>1019.59</v>
      </c>
      <c r="I11" s="19">
        <f>'Data Sheet'!I63</f>
        <v>1129.3399999999999</v>
      </c>
      <c r="J11" s="19">
        <f>'Data Sheet'!J63</f>
        <v>829.16</v>
      </c>
      <c r="K11" s="19">
        <f>'Data Sheet'!K63</f>
        <v>935.22</v>
      </c>
    </row>
    <row r="12" spans="1:11" x14ac:dyDescent="0.3">
      <c r="A12" s="6" t="s">
        <v>29</v>
      </c>
      <c r="B12" s="19">
        <f>'Data Sheet'!B64</f>
        <v>15.23</v>
      </c>
      <c r="C12" s="19">
        <f>'Data Sheet'!C64</f>
        <v>29.33</v>
      </c>
      <c r="D12" s="19">
        <f>'Data Sheet'!D64</f>
        <v>25.69</v>
      </c>
      <c r="E12" s="19">
        <f>'Data Sheet'!E64</f>
        <v>68.180000000000007</v>
      </c>
      <c r="F12" s="19">
        <f>'Data Sheet'!F64</f>
        <v>16.53</v>
      </c>
      <c r="G12" s="19">
        <f>'Data Sheet'!G64</f>
        <v>14.68</v>
      </c>
      <c r="H12" s="19">
        <f>'Data Sheet'!H64</f>
        <v>2.95</v>
      </c>
      <c r="I12" s="19">
        <f>'Data Sheet'!I64</f>
        <v>5.94</v>
      </c>
      <c r="J12" s="19">
        <f>'Data Sheet'!J64</f>
        <v>202.2</v>
      </c>
      <c r="K12" s="19">
        <f>'Data Sheet'!K64</f>
        <v>106.67</v>
      </c>
    </row>
    <row r="13" spans="1:11" x14ac:dyDescent="0.3">
      <c r="A13" s="11" t="s">
        <v>64</v>
      </c>
      <c r="B13" s="19">
        <f>'Data Sheet'!B65</f>
        <v>713.38</v>
      </c>
      <c r="C13" s="19">
        <f>'Data Sheet'!C65</f>
        <v>897.02</v>
      </c>
      <c r="D13" s="19">
        <f>'Data Sheet'!D65</f>
        <v>3062.95</v>
      </c>
      <c r="E13" s="19">
        <f>'Data Sheet'!E65</f>
        <v>2033</v>
      </c>
      <c r="F13" s="19">
        <f>'Data Sheet'!F65</f>
        <v>2211.7600000000002</v>
      </c>
      <c r="G13" s="19">
        <f>'Data Sheet'!G65</f>
        <v>5749.05</v>
      </c>
      <c r="H13" s="19">
        <f>'Data Sheet'!H65</f>
        <v>5623.71</v>
      </c>
      <c r="I13" s="19">
        <f>'Data Sheet'!I65</f>
        <v>5075.68</v>
      </c>
      <c r="J13" s="19">
        <f>'Data Sheet'!J65</f>
        <v>5732.68</v>
      </c>
      <c r="K13" s="19">
        <f>'Data Sheet'!K65</f>
        <v>6715.59</v>
      </c>
    </row>
    <row r="14" spans="1:11" s="8" customFormat="1" x14ac:dyDescent="0.3">
      <c r="A14" s="8" t="s">
        <v>26</v>
      </c>
      <c r="B14" s="19">
        <f>'Data Sheet'!B66</f>
        <v>2354.81</v>
      </c>
      <c r="C14" s="19">
        <f>'Data Sheet'!C66</f>
        <v>3101.56</v>
      </c>
      <c r="D14" s="19">
        <f>'Data Sheet'!D66</f>
        <v>5819.28</v>
      </c>
      <c r="E14" s="19">
        <f>'Data Sheet'!E66</f>
        <v>5648.22</v>
      </c>
      <c r="F14" s="19">
        <f>'Data Sheet'!F66</f>
        <v>7005.5</v>
      </c>
      <c r="G14" s="19">
        <f>'Data Sheet'!G66</f>
        <v>12076.16</v>
      </c>
      <c r="H14" s="19">
        <f>'Data Sheet'!H66</f>
        <v>13655.05</v>
      </c>
      <c r="I14" s="19">
        <f>'Data Sheet'!I66</f>
        <v>15470.98</v>
      </c>
      <c r="J14" s="19">
        <f>'Data Sheet'!J66</f>
        <v>18104.52</v>
      </c>
      <c r="K14" s="19">
        <f>'Data Sheet'!K66</f>
        <v>21172.48</v>
      </c>
    </row>
    <row r="15" spans="1:11" x14ac:dyDescent="0.3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3">
      <c r="A16" s="25" t="s">
        <v>30</v>
      </c>
      <c r="B16" s="21">
        <f>B13-B7</f>
        <v>462.02</v>
      </c>
      <c r="C16" s="21">
        <f t="shared" ref="C16:K16" si="0">C13-C7</f>
        <v>508.24</v>
      </c>
      <c r="D16" s="21">
        <f t="shared" si="0"/>
        <v>2582.77</v>
      </c>
      <c r="E16" s="21">
        <f t="shared" si="0"/>
        <v>1493.08</v>
      </c>
      <c r="F16" s="21">
        <f t="shared" si="0"/>
        <v>1493.8600000000001</v>
      </c>
      <c r="G16" s="21">
        <f t="shared" si="0"/>
        <v>5085.82</v>
      </c>
      <c r="H16" s="21">
        <f t="shared" si="0"/>
        <v>4545.08</v>
      </c>
      <c r="I16" s="21">
        <f t="shared" si="0"/>
        <v>3929.28</v>
      </c>
      <c r="J16" s="21">
        <f t="shared" si="0"/>
        <v>4349.84</v>
      </c>
      <c r="K16" s="21">
        <f t="shared" si="0"/>
        <v>4833.09</v>
      </c>
    </row>
    <row r="17" spans="1:11" x14ac:dyDescent="0.3">
      <c r="A17" s="11" t="s">
        <v>44</v>
      </c>
      <c r="B17" s="21">
        <f>'Data Sheet'!B67</f>
        <v>7.07</v>
      </c>
      <c r="C17" s="21">
        <f>'Data Sheet'!C67</f>
        <v>8.42</v>
      </c>
      <c r="D17" s="21">
        <f>'Data Sheet'!D67</f>
        <v>21</v>
      </c>
      <c r="E17" s="21">
        <f>'Data Sheet'!E67</f>
        <v>33.520000000000003</v>
      </c>
      <c r="F17" s="21">
        <f>'Data Sheet'!F67</f>
        <v>64.37</v>
      </c>
      <c r="G17" s="21">
        <f>'Data Sheet'!G67</f>
        <v>19.55</v>
      </c>
      <c r="H17" s="21">
        <f>'Data Sheet'!H67</f>
        <v>43.58</v>
      </c>
      <c r="I17" s="21">
        <f>'Data Sheet'!I67</f>
        <v>66.89</v>
      </c>
      <c r="J17" s="21">
        <f>'Data Sheet'!J67</f>
        <v>62.16</v>
      </c>
      <c r="K17" s="21">
        <f>'Data Sheet'!K67</f>
        <v>166.37</v>
      </c>
    </row>
    <row r="18" spans="1:11" x14ac:dyDescent="0.3">
      <c r="A18" s="11" t="s">
        <v>45</v>
      </c>
      <c r="B18" s="21">
        <f>'Data Sheet'!B68</f>
        <v>539.61</v>
      </c>
      <c r="C18" s="21">
        <f>'Data Sheet'!C68</f>
        <v>671.69</v>
      </c>
      <c r="D18" s="21">
        <f>'Data Sheet'!D68</f>
        <v>947.9</v>
      </c>
      <c r="E18" s="21">
        <f>'Data Sheet'!E68</f>
        <v>1163.45</v>
      </c>
      <c r="F18" s="21">
        <f>'Data Sheet'!F68</f>
        <v>1608.65</v>
      </c>
      <c r="G18" s="21">
        <f>'Data Sheet'!G68</f>
        <v>1947.4</v>
      </c>
      <c r="H18" s="21">
        <f>'Data Sheet'!H68</f>
        <v>2248.2800000000002</v>
      </c>
      <c r="I18" s="21">
        <f>'Data Sheet'!I68</f>
        <v>2742.66</v>
      </c>
      <c r="J18" s="21">
        <f>'Data Sheet'!J68</f>
        <v>3243.48</v>
      </c>
      <c r="K18" s="21">
        <f>'Data Sheet'!K68</f>
        <v>3927.31</v>
      </c>
    </row>
    <row r="20" spans="1:11" x14ac:dyDescent="0.3">
      <c r="A20" s="11" t="s">
        <v>46</v>
      </c>
      <c r="B20" s="5">
        <f>IF('Profit &amp; Loss'!B4&gt;0,'Balance Sheet'!B17/('Profit &amp; Loss'!B4/365),0)</f>
        <v>0.40074199113896725</v>
      </c>
      <c r="C20" s="5">
        <f>IF('Profit &amp; Loss'!C4&gt;0,'Balance Sheet'!C17/('Profit &amp; Loss'!C4/365),0)</f>
        <v>0.35803657138596606</v>
      </c>
      <c r="D20" s="5">
        <f>IF('Profit &amp; Loss'!D4&gt;0,'Balance Sheet'!D17/('Profit &amp; Loss'!D4/365),0)</f>
        <v>0.64424216445195293</v>
      </c>
      <c r="E20" s="5">
        <f>IF('Profit &amp; Loss'!E4&gt;0,'Balance Sheet'!E17/('Profit &amp; Loss'!E4/365),0)</f>
        <v>0.81385200755660814</v>
      </c>
      <c r="F20" s="5">
        <f>IF('Profit &amp; Loss'!F4&gt;0,'Balance Sheet'!F17/('Profit &amp; Loss'!F4/365),0)</f>
        <v>1.1744870659231015</v>
      </c>
      <c r="G20" s="5">
        <f>IF('Profit &amp; Loss'!G4&gt;0,'Balance Sheet'!G17/('Profit &amp; Loss'!G4/365),0)</f>
        <v>0.28691968701498177</v>
      </c>
      <c r="H20" s="5">
        <f>IF('Profit &amp; Loss'!H4&gt;0,'Balance Sheet'!H17/('Profit &amp; Loss'!H4/365),0)</f>
        <v>0.65885186053466294</v>
      </c>
      <c r="I20" s="5">
        <f>IF('Profit &amp; Loss'!I4&gt;0,'Balance Sheet'!I17/('Profit &amp; Loss'!I4/365),0)</f>
        <v>0.7881791448744474</v>
      </c>
      <c r="J20" s="5">
        <f>IF('Profit &amp; Loss'!J4&gt;0,'Balance Sheet'!J17/('Profit &amp; Loss'!J4/365),0)</f>
        <v>0.52961328267610597</v>
      </c>
      <c r="K20" s="5">
        <f>IF('Profit &amp; Loss'!K4&gt;0,'Balance Sheet'!K17/('Profit &amp; Loss'!K4/365),0)</f>
        <v>1.1956378991207319</v>
      </c>
    </row>
    <row r="21" spans="1:11" x14ac:dyDescent="0.3">
      <c r="A21" s="11" t="s">
        <v>47</v>
      </c>
      <c r="B21" s="5">
        <f>IF('Balance Sheet'!B18&gt;0,'Profit &amp; Loss'!B4/'Balance Sheet'!B18,0)</f>
        <v>11.933489001315765</v>
      </c>
      <c r="C21" s="5">
        <f>IF('Balance Sheet'!C18&gt;0,'Profit &amp; Loss'!C4/'Balance Sheet'!C18,0)</f>
        <v>12.779347615715583</v>
      </c>
      <c r="D21" s="5">
        <f>IF('Balance Sheet'!D18&gt;0,'Profit &amp; Loss'!D4/'Balance Sheet'!D18,0)</f>
        <v>12.551640468403841</v>
      </c>
      <c r="E21" s="5">
        <f>IF('Balance Sheet'!E18&gt;0,'Profit &amp; Loss'!E4/'Balance Sheet'!E18,0)</f>
        <v>12.921225665047919</v>
      </c>
      <c r="F21" s="5">
        <f>IF('Balance Sheet'!F18&gt;0,'Profit &amp; Loss'!F4/'Balance Sheet'!F18,0)</f>
        <v>12.435595064184254</v>
      </c>
      <c r="G21" s="5">
        <f>IF('Balance Sheet'!G18&gt;0,'Profit &amp; Loss'!G4/'Balance Sheet'!G18,0)</f>
        <v>12.770976686864538</v>
      </c>
      <c r="H21" s="5">
        <f>IF('Balance Sheet'!H18&gt;0,'Profit &amp; Loss'!H4/'Balance Sheet'!H18,0)</f>
        <v>10.738457843329122</v>
      </c>
      <c r="I21" s="5">
        <f>IF('Balance Sheet'!I18&gt;0,'Profit &amp; Loss'!I4/'Balance Sheet'!I18,0)</f>
        <v>11.294243544588101</v>
      </c>
      <c r="J21" s="5">
        <f>IF('Balance Sheet'!J18&gt;0,'Profit &amp; Loss'!J4/'Balance Sheet'!J18,0)</f>
        <v>13.2079001566219</v>
      </c>
      <c r="K21" s="5">
        <f>IF('Balance Sheet'!K18&gt;0,'Profit &amp; Loss'!K4/'Balance Sheet'!K18,0)</f>
        <v>12.932218235891744</v>
      </c>
    </row>
    <row r="23" spans="1:11" s="8" customFormat="1" x14ac:dyDescent="0.3">
      <c r="A23" s="8" t="s">
        <v>50</v>
      </c>
      <c r="B23" s="14">
        <f>IF(SUM('Balance Sheet'!B4:B5)&gt;0,'Profit &amp; Loss'!B12/SUM('Balance Sheet'!B4:B5),"")</f>
        <v>0.17651081146440512</v>
      </c>
      <c r="C23" s="14">
        <f>IF(SUM('Balance Sheet'!C4:C5)&gt;0,'Profit &amp; Loss'!C12/SUM('Balance Sheet'!C4:C5),"")</f>
        <v>0.21062324064086713</v>
      </c>
      <c r="D23" s="14">
        <f>IF(SUM('Balance Sheet'!D4:D5)&gt;0,'Profit &amp; Loss'!D12/SUM('Balance Sheet'!D4:D5),"")</f>
        <v>0.12461671412730559</v>
      </c>
      <c r="E23" s="14">
        <f>IF(SUM('Balance Sheet'!E4:E5)&gt;0,'Profit &amp; Loss'!E12/SUM('Balance Sheet'!E4:E5),"")</f>
        <v>0.17268180893329477</v>
      </c>
      <c r="F23" s="14">
        <f>IF(SUM('Balance Sheet'!F4:F5)&gt;0,'Profit &amp; Loss'!F12/SUM('Balance Sheet'!F4:F5),"")</f>
        <v>0.16152985709044376</v>
      </c>
      <c r="G23" s="14">
        <f>IF(SUM('Balance Sheet'!G4:G5)&gt;0,'Profit &amp; Loss'!G12/SUM('Balance Sheet'!G4:G5),"")</f>
        <v>0.11742874832802935</v>
      </c>
      <c r="H23" s="14">
        <f>IF(SUM('Balance Sheet'!H4:H5)&gt;0,'Profit &amp; Loss'!H12/SUM('Balance Sheet'!H4:H5),"")</f>
        <v>9.0242627245724003E-2</v>
      </c>
      <c r="I23" s="14">
        <f>IF(SUM('Balance Sheet'!I4:I5)&gt;0,'Profit &amp; Loss'!I12/SUM('Balance Sheet'!I4:I5),"")</f>
        <v>0.10912335753828875</v>
      </c>
      <c r="J23" s="14">
        <f>IF(SUM('Balance Sheet'!J4:J5)&gt;0,'Profit &amp; Loss'!J12/SUM('Balance Sheet'!J4:J5),"")</f>
        <v>0.14792924801134422</v>
      </c>
      <c r="K23" s="14">
        <f>IF(SUM('Balance Sheet'!K4:K5)&gt;0,'Profit &amp; Loss'!K12/SUM('Balance Sheet'!K4:K5),"")</f>
        <v>0.13563987673429309</v>
      </c>
    </row>
    <row r="24" spans="1:11" s="8" customFormat="1" x14ac:dyDescent="0.3">
      <c r="A24" s="8" t="s">
        <v>51</v>
      </c>
      <c r="B24" s="14"/>
      <c r="C24" s="14">
        <f>IF((B4+B5+B6+C4+C5+C6)&gt;0,('Profit &amp; Loss'!C10+'Profit &amp; Loss'!C9)*2/(B4+B5+B6+C4+C5+C6),"")</f>
        <v>0.2421188356868339</v>
      </c>
      <c r="D24" s="14">
        <f>IF((C4+C5+C6+D4+D5+D6)&gt;0,('Profit &amp; Loss'!D10+'Profit &amp; Loss'!D9)*2/(C4+C5+C6+D4+D5+D6),"")</f>
        <v>0.2158651147309697</v>
      </c>
      <c r="E24" s="14">
        <f>IF((D4+D5+D6+E4+E5+E6)&gt;0,('Profit &amp; Loss'!E10+'Profit &amp; Loss'!E9)*2/(D4+D5+D6+E4+E5+E6),"")</f>
        <v>0.24534525336447344</v>
      </c>
      <c r="F24" s="14">
        <f>IF((E4+E5+E6+F4+F5+F6)&gt;0,('Profit &amp; Loss'!F10+'Profit &amp; Loss'!F9)*2/(E4+E5+E6+F4+F5+F6),"")</f>
        <v>0.25783834536982603</v>
      </c>
      <c r="G24" s="14">
        <f>IF((F4+F5+F6+G4+G5+G6)&gt;0,('Profit &amp; Loss'!G10+'Profit &amp; Loss'!G9)*2/(F4+F5+F6+G4+G5+G6),"")</f>
        <v>0.2049531850176238</v>
      </c>
      <c r="H24" s="14">
        <f>IF((G4+G5+G6+H4+H5+H6)&gt;0,('Profit &amp; Loss'!H10+'Profit &amp; Loss'!H9)*2/(G4+G5+G6+H4+H5+H6),"")</f>
        <v>0.12714808863099669</v>
      </c>
      <c r="I24" s="14">
        <f>IF((H4+H5+H6+I4+I5+I6)&gt;0,('Profit &amp; Loss'!I10+'Profit &amp; Loss'!I9)*2/(H4+H5+H6+I4+I5+I6),"")</f>
        <v>0.15745957399353183</v>
      </c>
      <c r="J24" s="14">
        <f>IF((I4+I5+I6+J4+J5+J6)&gt;0,('Profit &amp; Loss'!J10+'Profit &amp; Loss'!J9)*2/(I4+I5+I6+J4+J5+J6),"")</f>
        <v>0.20147354302901541</v>
      </c>
      <c r="K24" s="14">
        <f>IF((J4+J5+J6+K4+K5+K6)&gt;0,('Profit &amp; Loss'!K10+'Profit &amp; Loss'!K9)*2/(J4+J5+J6+K4+K5+K6),"")</f>
        <v>0.19546224750539129</v>
      </c>
    </row>
    <row r="25" spans="1:11" s="18" customFormat="1" x14ac:dyDescent="0.3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K24"/>
  <sheetViews>
    <sheetView zoomScale="150" zoomScaleNormal="150" zoomScalePageLayoutView="150"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G16" sqref="G16"/>
    </sheetView>
  </sheetViews>
  <sheetFormatPr defaultColWidth="8.77734375" defaultRowHeight="14.4" x14ac:dyDescent="0.3"/>
  <cols>
    <col min="1" max="1" width="26.77734375" style="6" bestFit="1" customWidth="1"/>
    <col min="2" max="6" width="13.44140625" style="6" customWidth="1"/>
    <col min="7" max="11" width="13.44140625" style="6" bestFit="1" customWidth="1"/>
    <col min="12" max="16384" width="8.77734375" style="6"/>
  </cols>
  <sheetData>
    <row r="1" spans="1:11" s="8" customFormat="1" x14ac:dyDescent="0.3">
      <c r="A1" s="8" t="str">
        <f>'Balance Sheet'!A1</f>
        <v>AVENUE SUPERMARTS LTD</v>
      </c>
      <c r="E1" t="str">
        <f>UPDATE</f>
        <v/>
      </c>
      <c r="F1"/>
      <c r="J1" s="4" t="s">
        <v>1</v>
      </c>
      <c r="K1" s="4"/>
    </row>
    <row r="3" spans="1:11" s="2" customFormat="1" x14ac:dyDescent="0.3">
      <c r="A3" s="15" t="s">
        <v>2</v>
      </c>
      <c r="B3" s="16">
        <f>'Data Sheet'!B81</f>
        <v>42094</v>
      </c>
      <c r="C3" s="16">
        <f>'Data Sheet'!C81</f>
        <v>42460</v>
      </c>
      <c r="D3" s="16">
        <f>'Data Sheet'!D81</f>
        <v>42825</v>
      </c>
      <c r="E3" s="16">
        <f>'Data Sheet'!E81</f>
        <v>43190</v>
      </c>
      <c r="F3" s="16">
        <f>'Data Sheet'!F81</f>
        <v>43555</v>
      </c>
      <c r="G3" s="16">
        <f>'Data Sheet'!G81</f>
        <v>43921</v>
      </c>
      <c r="H3" s="16">
        <f>'Data Sheet'!H81</f>
        <v>44286</v>
      </c>
      <c r="I3" s="16">
        <f>'Data Sheet'!I81</f>
        <v>44651</v>
      </c>
      <c r="J3" s="16">
        <f>'Data Sheet'!J81</f>
        <v>45016</v>
      </c>
      <c r="K3" s="16">
        <f>'Data Sheet'!K81</f>
        <v>45382</v>
      </c>
    </row>
    <row r="4" spans="1:11" s="8" customFormat="1" x14ac:dyDescent="0.3">
      <c r="A4" s="8" t="s">
        <v>32</v>
      </c>
      <c r="B4" s="1">
        <f>'Data Sheet'!B82</f>
        <v>222.02</v>
      </c>
      <c r="C4" s="1">
        <f>'Data Sheet'!C82</f>
        <v>433.47</v>
      </c>
      <c r="D4" s="1">
        <f>'Data Sheet'!D82</f>
        <v>455.28</v>
      </c>
      <c r="E4" s="1">
        <f>'Data Sheet'!E82</f>
        <v>729.99</v>
      </c>
      <c r="F4" s="1">
        <f>'Data Sheet'!F82</f>
        <v>806.84</v>
      </c>
      <c r="G4" s="1">
        <f>'Data Sheet'!G82</f>
        <v>1280.1400000000001</v>
      </c>
      <c r="H4" s="1">
        <f>'Data Sheet'!H82</f>
        <v>1375.14</v>
      </c>
      <c r="I4" s="1">
        <f>'Data Sheet'!I82</f>
        <v>1372.35</v>
      </c>
      <c r="J4" s="1">
        <f>'Data Sheet'!J82</f>
        <v>2630.27</v>
      </c>
      <c r="K4" s="1">
        <f>'Data Sheet'!K82</f>
        <v>2745.84</v>
      </c>
    </row>
    <row r="5" spans="1:11" x14ac:dyDescent="0.3">
      <c r="A5" s="6" t="s">
        <v>33</v>
      </c>
      <c r="B5" s="9">
        <f>'Data Sheet'!B83</f>
        <v>-473.88</v>
      </c>
      <c r="C5" s="9">
        <f>'Data Sheet'!C83</f>
        <v>-632.89</v>
      </c>
      <c r="D5" s="9">
        <f>'Data Sheet'!D83</f>
        <v>-2481.61</v>
      </c>
      <c r="E5" s="9">
        <f>'Data Sheet'!E83</f>
        <v>463.55</v>
      </c>
      <c r="F5" s="9">
        <f>'Data Sheet'!F83</f>
        <v>-958.37</v>
      </c>
      <c r="G5" s="9">
        <f>'Data Sheet'!G83</f>
        <v>-4656.5600000000004</v>
      </c>
      <c r="H5" s="9">
        <f>'Data Sheet'!H83</f>
        <v>-1110</v>
      </c>
      <c r="I5" s="9">
        <f>'Data Sheet'!I83</f>
        <v>-1289.49</v>
      </c>
      <c r="J5" s="9">
        <f>'Data Sheet'!J83</f>
        <v>-2313.1</v>
      </c>
      <c r="K5" s="9">
        <f>'Data Sheet'!K83</f>
        <v>-2468.23</v>
      </c>
    </row>
    <row r="6" spans="1:11" x14ac:dyDescent="0.3">
      <c r="A6" s="6" t="s">
        <v>34</v>
      </c>
      <c r="B6" s="9">
        <f>'Data Sheet'!B84</f>
        <v>234.45</v>
      </c>
      <c r="C6" s="9">
        <f>'Data Sheet'!C84</f>
        <v>196.44</v>
      </c>
      <c r="D6" s="9">
        <f>'Data Sheet'!D84</f>
        <v>2025.26</v>
      </c>
      <c r="E6" s="9">
        <f>'Data Sheet'!E84</f>
        <v>-1159.06</v>
      </c>
      <c r="F6" s="9">
        <f>'Data Sheet'!F84</f>
        <v>208.98</v>
      </c>
      <c r="G6" s="9">
        <f>'Data Sheet'!G84</f>
        <v>3357.42</v>
      </c>
      <c r="H6" s="9">
        <f>'Data Sheet'!H84</f>
        <v>-179.5</v>
      </c>
      <c r="I6" s="9">
        <f>'Data Sheet'!I84</f>
        <v>-179.24</v>
      </c>
      <c r="J6" s="9">
        <f>'Data Sheet'!J84</f>
        <v>-205.14</v>
      </c>
      <c r="K6" s="9">
        <f>'Data Sheet'!K84</f>
        <v>-147.63999999999999</v>
      </c>
    </row>
    <row r="7" spans="1:11" s="8" customFormat="1" x14ac:dyDescent="0.3">
      <c r="A7" s="8" t="s">
        <v>35</v>
      </c>
      <c r="B7" s="1">
        <f>'Data Sheet'!B85</f>
        <v>-17.41</v>
      </c>
      <c r="C7" s="1">
        <f>'Data Sheet'!C85</f>
        <v>-2.98</v>
      </c>
      <c r="D7" s="1">
        <f>'Data Sheet'!D85</f>
        <v>-1.07</v>
      </c>
      <c r="E7" s="1">
        <f>'Data Sheet'!E85</f>
        <v>34.479999999999997</v>
      </c>
      <c r="F7" s="1">
        <f>'Data Sheet'!F85</f>
        <v>57.45</v>
      </c>
      <c r="G7" s="1">
        <f>'Data Sheet'!G85</f>
        <v>-19</v>
      </c>
      <c r="H7" s="1">
        <f>'Data Sheet'!H85</f>
        <v>85.64</v>
      </c>
      <c r="I7" s="1">
        <f>'Data Sheet'!I85</f>
        <v>-96.38</v>
      </c>
      <c r="J7" s="1">
        <f>'Data Sheet'!J85</f>
        <v>112.03</v>
      </c>
      <c r="K7" s="1">
        <f>'Data Sheet'!K85</f>
        <v>129.97</v>
      </c>
    </row>
    <row r="8" spans="1:11" x14ac:dyDescent="0.3">
      <c r="A8" s="25"/>
      <c r="B8" s="9"/>
      <c r="C8" s="9"/>
      <c r="D8" s="9"/>
      <c r="E8" s="9"/>
      <c r="F8" s="9"/>
      <c r="G8" s="9"/>
      <c r="H8" s="9"/>
      <c r="I8" s="9"/>
      <c r="J8" s="9"/>
      <c r="K8" s="9"/>
    </row>
    <row r="13" spans="1:11" x14ac:dyDescent="0.3">
      <c r="G13" s="53" t="s">
        <v>140</v>
      </c>
    </row>
    <row r="14" spans="1:11" x14ac:dyDescent="0.3">
      <c r="G14" s="54" t="s">
        <v>141</v>
      </c>
    </row>
    <row r="15" spans="1:11" x14ac:dyDescent="0.3">
      <c r="G15" s="55" t="s">
        <v>142</v>
      </c>
    </row>
    <row r="24" s="25" customFormat="1" x14ac:dyDescent="0.3"/>
  </sheetData>
  <hyperlinks>
    <hyperlink ref="J1" r:id="rId1"/>
    <hyperlink ref="G14" r:id="rId2" location="page=33" display="https://www.bseindia.com/xml-data/corpfiling/AttachHis/73ffab69-cd41-4f5d-a4d4-0c1894813d31.pdf - page=33"/>
  </hyperlinks>
  <printOptions gridLines="1"/>
  <pageMargins left="0.7" right="0.7" top="0.75" bottom="0.75" header="0.3" footer="0.3"/>
  <pageSetup paperSize="9" orientation="landscape" horizontalDpi="0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zoomScale="120" zoomScaleNormal="120" zoomScalePageLayoutView="120"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F27" sqref="F27"/>
    </sheetView>
  </sheetViews>
  <sheetFormatPr defaultColWidth="8.77734375" defaultRowHeight="14.4" x14ac:dyDescent="0.3"/>
  <cols>
    <col min="1" max="1" width="27.6640625" style="5" bestFit="1" customWidth="1"/>
    <col min="2" max="11" width="13.44140625" style="5" bestFit="1" customWidth="1"/>
    <col min="12" max="16384" width="8.77734375" style="5"/>
  </cols>
  <sheetData>
    <row r="1" spans="1:11" s="1" customFormat="1" x14ac:dyDescent="0.3">
      <c r="A1" s="1" t="s">
        <v>0</v>
      </c>
      <c r="B1" s="1" t="s">
        <v>54</v>
      </c>
      <c r="E1" s="261" t="str">
        <f>IF(B2&lt;&gt;B3, "A NEW VERSION OF THE WORKSHEET IS AVAILABLE", "")</f>
        <v/>
      </c>
      <c r="F1" s="261"/>
      <c r="G1" s="261"/>
      <c r="H1" s="261"/>
      <c r="I1" s="261"/>
      <c r="J1" s="261"/>
      <c r="K1" s="261"/>
    </row>
    <row r="2" spans="1:11" x14ac:dyDescent="0.3">
      <c r="A2" s="1" t="s">
        <v>52</v>
      </c>
      <c r="B2" s="5">
        <v>2.1</v>
      </c>
      <c r="E2" s="262" t="s">
        <v>36</v>
      </c>
      <c r="F2" s="262"/>
      <c r="G2" s="262"/>
      <c r="H2" s="262"/>
      <c r="I2" s="262"/>
      <c r="J2" s="262"/>
      <c r="K2" s="262"/>
    </row>
    <row r="3" spans="1:11" x14ac:dyDescent="0.3">
      <c r="A3" s="1" t="s">
        <v>53</v>
      </c>
      <c r="B3" s="5">
        <v>2.1</v>
      </c>
    </row>
    <row r="4" spans="1:11" x14ac:dyDescent="0.3">
      <c r="A4" s="1"/>
    </row>
    <row r="5" spans="1:11" x14ac:dyDescent="0.3">
      <c r="A5" s="1" t="s">
        <v>55</v>
      </c>
    </row>
    <row r="6" spans="1:11" x14ac:dyDescent="0.3">
      <c r="A6" s="5" t="s">
        <v>42</v>
      </c>
      <c r="B6" s="5">
        <f>IF(B9&gt;0, B9/B8, 0)</f>
        <v>65.073306243258841</v>
      </c>
    </row>
    <row r="7" spans="1:11" x14ac:dyDescent="0.3">
      <c r="A7" s="5" t="s">
        <v>31</v>
      </c>
      <c r="B7">
        <v>10</v>
      </c>
    </row>
    <row r="8" spans="1:11" x14ac:dyDescent="0.3">
      <c r="A8" s="5" t="s">
        <v>43</v>
      </c>
      <c r="B8">
        <v>3986.7</v>
      </c>
    </row>
    <row r="9" spans="1:11" x14ac:dyDescent="0.3">
      <c r="A9" s="5" t="s">
        <v>70</v>
      </c>
      <c r="B9">
        <v>259427.75</v>
      </c>
    </row>
    <row r="15" spans="1:11" x14ac:dyDescent="0.3">
      <c r="A15" s="1" t="s">
        <v>37</v>
      </c>
    </row>
    <row r="16" spans="1:11" s="24" customFormat="1" x14ac:dyDescent="0.3">
      <c r="A16" s="23" t="s">
        <v>38</v>
      </c>
      <c r="B16" s="16">
        <v>42094</v>
      </c>
      <c r="C16" s="16">
        <v>42460</v>
      </c>
      <c r="D16" s="16">
        <v>42825</v>
      </c>
      <c r="E16" s="16">
        <v>43190</v>
      </c>
      <c r="F16" s="16">
        <v>43555</v>
      </c>
      <c r="G16" s="16">
        <v>43921</v>
      </c>
      <c r="H16" s="16">
        <v>44286</v>
      </c>
      <c r="I16" s="16">
        <v>44651</v>
      </c>
      <c r="J16" s="16">
        <v>45016</v>
      </c>
      <c r="K16" s="16">
        <v>45382</v>
      </c>
    </row>
    <row r="17" spans="1:11" s="9" customFormat="1" x14ac:dyDescent="0.3">
      <c r="A17" s="9" t="s">
        <v>6</v>
      </c>
      <c r="B17">
        <v>6439.43</v>
      </c>
      <c r="C17">
        <v>8583.76</v>
      </c>
      <c r="D17">
        <v>11897.7</v>
      </c>
      <c r="E17">
        <v>15033.2</v>
      </c>
      <c r="F17">
        <v>20004.52</v>
      </c>
      <c r="G17">
        <v>24870.2</v>
      </c>
      <c r="H17">
        <v>24143.06</v>
      </c>
      <c r="I17">
        <v>30976.27</v>
      </c>
      <c r="J17">
        <v>42839.56</v>
      </c>
      <c r="K17">
        <v>50788.83</v>
      </c>
    </row>
    <row r="18" spans="1:11" s="9" customFormat="1" x14ac:dyDescent="0.3">
      <c r="A18" s="5" t="s">
        <v>71</v>
      </c>
      <c r="B18">
        <v>5648.47</v>
      </c>
      <c r="C18">
        <v>7435.62</v>
      </c>
      <c r="D18">
        <v>10357.25</v>
      </c>
      <c r="E18">
        <v>12846.95</v>
      </c>
      <c r="F18">
        <v>17445.490000000002</v>
      </c>
      <c r="G18">
        <v>21441.68</v>
      </c>
      <c r="H18">
        <v>20855.560000000001</v>
      </c>
      <c r="I18">
        <v>26891.77</v>
      </c>
      <c r="J18">
        <v>36884.769999999997</v>
      </c>
      <c r="K18">
        <v>43958.31</v>
      </c>
    </row>
    <row r="19" spans="1:11" s="9" customFormat="1" x14ac:dyDescent="0.3">
      <c r="A19" s="5" t="s">
        <v>72</v>
      </c>
      <c r="B19">
        <v>161.28</v>
      </c>
      <c r="C19">
        <v>132.08000000000001</v>
      </c>
      <c r="D19">
        <v>276.22000000000003</v>
      </c>
      <c r="E19">
        <v>211.31</v>
      </c>
      <c r="F19">
        <v>444.65</v>
      </c>
      <c r="G19">
        <v>338.75</v>
      </c>
      <c r="H19">
        <v>300.88</v>
      </c>
      <c r="I19">
        <v>494.38</v>
      </c>
      <c r="J19">
        <v>500.82</v>
      </c>
      <c r="K19">
        <v>683.77</v>
      </c>
    </row>
    <row r="20" spans="1:11" s="9" customFormat="1" x14ac:dyDescent="0.3">
      <c r="A20" s="5" t="s">
        <v>73</v>
      </c>
      <c r="B20">
        <v>59.33</v>
      </c>
      <c r="C20">
        <v>79.239999999999995</v>
      </c>
      <c r="D20">
        <v>99.41</v>
      </c>
      <c r="E20">
        <v>121.26</v>
      </c>
      <c r="F20">
        <v>152.80000000000001</v>
      </c>
      <c r="G20">
        <v>188.24</v>
      </c>
      <c r="H20">
        <v>174.2</v>
      </c>
      <c r="I20">
        <v>207.86</v>
      </c>
      <c r="J20">
        <v>314.62</v>
      </c>
      <c r="K20">
        <v>376.59</v>
      </c>
    </row>
    <row r="21" spans="1:11" s="9" customFormat="1" x14ac:dyDescent="0.3">
      <c r="A21" s="5" t="s">
        <v>74</v>
      </c>
      <c r="B21">
        <v>155.35</v>
      </c>
      <c r="C21">
        <v>241.36</v>
      </c>
      <c r="D21">
        <v>332.9</v>
      </c>
      <c r="E21">
        <v>373.72</v>
      </c>
      <c r="F21">
        <v>499.72</v>
      </c>
      <c r="G21">
        <v>645.96</v>
      </c>
      <c r="H21">
        <v>746.43</v>
      </c>
      <c r="I21">
        <v>805.85</v>
      </c>
      <c r="J21">
        <v>1116.56</v>
      </c>
      <c r="K21">
        <v>1323.43</v>
      </c>
    </row>
    <row r="22" spans="1:11" s="9" customFormat="1" x14ac:dyDescent="0.3">
      <c r="A22" s="5" t="s">
        <v>75</v>
      </c>
      <c r="B22">
        <v>134.06</v>
      </c>
      <c r="C22">
        <v>149.04</v>
      </c>
      <c r="D22">
        <v>192.67</v>
      </c>
      <c r="E22">
        <v>283.14</v>
      </c>
      <c r="F22">
        <v>356.17</v>
      </c>
      <c r="G22">
        <v>457.14</v>
      </c>
      <c r="H22">
        <v>537.58000000000004</v>
      </c>
      <c r="I22">
        <v>617.36</v>
      </c>
      <c r="J22">
        <v>748.16</v>
      </c>
      <c r="K22">
        <v>907.82</v>
      </c>
    </row>
    <row r="23" spans="1:11" s="9" customFormat="1" x14ac:dyDescent="0.3">
      <c r="A23" s="5" t="s">
        <v>76</v>
      </c>
      <c r="B23">
        <v>582.79999999999995</v>
      </c>
      <c r="C23">
        <v>647.37</v>
      </c>
      <c r="D23">
        <v>71.239999999999995</v>
      </c>
      <c r="E23">
        <v>96</v>
      </c>
      <c r="F23">
        <v>135.84</v>
      </c>
      <c r="G23">
        <v>119.23</v>
      </c>
      <c r="H23">
        <v>108.69</v>
      </c>
      <c r="I23">
        <v>143.41</v>
      </c>
      <c r="J23">
        <v>212.04</v>
      </c>
      <c r="K23">
        <v>274.43</v>
      </c>
    </row>
    <row r="24" spans="1:11" s="9" customFormat="1" x14ac:dyDescent="0.3">
      <c r="A24" s="5" t="s">
        <v>77</v>
      </c>
      <c r="B24">
        <v>-435.56</v>
      </c>
      <c r="C24">
        <v>-501.25</v>
      </c>
      <c r="D24">
        <v>151.27000000000001</v>
      </c>
      <c r="E24">
        <v>170.58</v>
      </c>
      <c r="F24">
        <v>225.84</v>
      </c>
      <c r="G24">
        <v>228.39</v>
      </c>
      <c r="H24">
        <v>276.64999999999998</v>
      </c>
      <c r="I24">
        <v>302.05</v>
      </c>
      <c r="J24">
        <v>425.46</v>
      </c>
      <c r="K24">
        <v>526.38</v>
      </c>
    </row>
    <row r="25" spans="1:11" s="9" customFormat="1" x14ac:dyDescent="0.3">
      <c r="A25" s="9" t="s">
        <v>9</v>
      </c>
      <c r="B25">
        <v>20.27</v>
      </c>
      <c r="C25">
        <v>17.02</v>
      </c>
      <c r="D25">
        <v>27.7</v>
      </c>
      <c r="E25">
        <v>87.75</v>
      </c>
      <c r="F25">
        <v>48.33</v>
      </c>
      <c r="G25">
        <v>59.99</v>
      </c>
      <c r="H25">
        <v>194.43</v>
      </c>
      <c r="I25">
        <v>113.64</v>
      </c>
      <c r="J25">
        <v>127.6</v>
      </c>
      <c r="K25">
        <v>144.58000000000001</v>
      </c>
    </row>
    <row r="26" spans="1:11" s="9" customFormat="1" x14ac:dyDescent="0.3">
      <c r="A26" s="9" t="s">
        <v>10</v>
      </c>
      <c r="B26">
        <v>81.540000000000006</v>
      </c>
      <c r="C26">
        <v>98.43</v>
      </c>
      <c r="D26">
        <v>127.82</v>
      </c>
      <c r="E26">
        <v>159</v>
      </c>
      <c r="F26">
        <v>212.49</v>
      </c>
      <c r="G26">
        <v>374.41</v>
      </c>
      <c r="H26">
        <v>414.16</v>
      </c>
      <c r="I26">
        <v>498.08</v>
      </c>
      <c r="J26">
        <v>638.87</v>
      </c>
      <c r="K26">
        <v>730.76</v>
      </c>
    </row>
    <row r="27" spans="1:11" s="9" customFormat="1" x14ac:dyDescent="0.3">
      <c r="A27" s="9" t="s">
        <v>11</v>
      </c>
      <c r="B27">
        <v>72.36</v>
      </c>
      <c r="C27">
        <v>91.34</v>
      </c>
      <c r="D27">
        <v>121.98</v>
      </c>
      <c r="E27">
        <v>59.54</v>
      </c>
      <c r="F27">
        <v>47.21</v>
      </c>
      <c r="G27">
        <v>69.12</v>
      </c>
      <c r="H27">
        <v>41.65</v>
      </c>
      <c r="I27">
        <v>53.79</v>
      </c>
      <c r="J27">
        <v>67.41</v>
      </c>
      <c r="K27">
        <v>58.13</v>
      </c>
    </row>
    <row r="28" spans="1:11" s="9" customFormat="1" x14ac:dyDescent="0.3">
      <c r="A28" s="9" t="s">
        <v>12</v>
      </c>
      <c r="B28">
        <v>322.63</v>
      </c>
      <c r="C28">
        <v>491.71</v>
      </c>
      <c r="D28">
        <v>747.08</v>
      </c>
      <c r="E28">
        <v>1222.07</v>
      </c>
      <c r="F28">
        <v>1421.94</v>
      </c>
      <c r="G28">
        <v>1744.77</v>
      </c>
      <c r="H28">
        <v>1483.45</v>
      </c>
      <c r="I28">
        <v>2064.12</v>
      </c>
      <c r="J28">
        <v>3060.09</v>
      </c>
      <c r="K28">
        <v>3461.33</v>
      </c>
    </row>
    <row r="29" spans="1:11" s="9" customFormat="1" x14ac:dyDescent="0.3">
      <c r="A29" s="9" t="s">
        <v>13</v>
      </c>
      <c r="B29">
        <v>110.92</v>
      </c>
      <c r="C29">
        <v>171.47</v>
      </c>
      <c r="D29">
        <v>268.27999999999997</v>
      </c>
      <c r="E29">
        <v>415.79</v>
      </c>
      <c r="F29">
        <v>519.48</v>
      </c>
      <c r="G29">
        <v>443.79</v>
      </c>
      <c r="H29">
        <v>384.02</v>
      </c>
      <c r="I29">
        <v>571.72</v>
      </c>
      <c r="J29">
        <v>681.75</v>
      </c>
      <c r="K29">
        <v>925.72</v>
      </c>
    </row>
    <row r="30" spans="1:11" s="9" customFormat="1" x14ac:dyDescent="0.3">
      <c r="A30" s="9" t="s">
        <v>14</v>
      </c>
      <c r="B30">
        <v>211.67</v>
      </c>
      <c r="C30">
        <v>320.24</v>
      </c>
      <c r="D30">
        <v>478.75</v>
      </c>
      <c r="E30">
        <v>806.26</v>
      </c>
      <c r="F30">
        <v>902.54</v>
      </c>
      <c r="G30">
        <v>1301.08</v>
      </c>
      <c r="H30">
        <v>1099.49</v>
      </c>
      <c r="I30">
        <v>1492.55</v>
      </c>
      <c r="J30">
        <v>2378.5100000000002</v>
      </c>
      <c r="K30">
        <v>2536.17</v>
      </c>
    </row>
    <row r="31" spans="1:11" s="9" customFormat="1" x14ac:dyDescent="0.3">
      <c r="A31" s="9" t="s">
        <v>61</v>
      </c>
      <c r="F31"/>
    </row>
    <row r="32" spans="1:11" s="9" customFormat="1" x14ac:dyDescent="0.3">
      <c r="A32" s="5" t="s">
        <v>177</v>
      </c>
      <c r="B32" s="9">
        <f>+B30+B29+B27+B26</f>
        <v>476.49</v>
      </c>
      <c r="C32" s="9">
        <f t="shared" ref="C32:K32" si="0">+C30+C29+C27+C26</f>
        <v>681.48</v>
      </c>
      <c r="D32" s="9">
        <f t="shared" si="0"/>
        <v>996.82999999999993</v>
      </c>
      <c r="E32" s="9">
        <f t="shared" si="0"/>
        <v>1440.59</v>
      </c>
      <c r="F32" s="9">
        <f t="shared" si="0"/>
        <v>1681.72</v>
      </c>
      <c r="G32" s="9">
        <f t="shared" si="0"/>
        <v>2188.3999999999996</v>
      </c>
      <c r="H32" s="9">
        <f t="shared" si="0"/>
        <v>1939.3200000000002</v>
      </c>
      <c r="I32" s="9">
        <f t="shared" si="0"/>
        <v>2616.14</v>
      </c>
      <c r="J32" s="9">
        <f t="shared" si="0"/>
        <v>3766.54</v>
      </c>
      <c r="K32" s="9">
        <f t="shared" si="0"/>
        <v>4250.7800000000007</v>
      </c>
    </row>
    <row r="33" spans="1:11" x14ac:dyDescent="0.3">
      <c r="A33" s="9"/>
    </row>
    <row r="34" spans="1:11" x14ac:dyDescent="0.3">
      <c r="A34" s="9"/>
      <c r="C34" s="5">
        <f>'Data Sheet'!B58/'Data Sheet'!B61</f>
        <v>0.27078617807806149</v>
      </c>
    </row>
    <row r="35" spans="1:11" x14ac:dyDescent="0.3">
      <c r="A35" s="9"/>
    </row>
    <row r="36" spans="1:11" x14ac:dyDescent="0.3">
      <c r="A36" s="9"/>
    </row>
    <row r="37" spans="1:11" x14ac:dyDescent="0.3">
      <c r="A37" s="9"/>
    </row>
    <row r="38" spans="1:11" x14ac:dyDescent="0.3">
      <c r="A38" s="9"/>
    </row>
    <row r="39" spans="1:11" x14ac:dyDescent="0.3">
      <c r="A39" s="9"/>
    </row>
    <row r="40" spans="1:11" x14ac:dyDescent="0.3">
      <c r="A40" s="1" t="s">
        <v>39</v>
      </c>
    </row>
    <row r="41" spans="1:11" s="24" customFormat="1" x14ac:dyDescent="0.3">
      <c r="A41" s="23" t="s">
        <v>38</v>
      </c>
      <c r="B41" s="16">
        <v>44742</v>
      </c>
      <c r="C41" s="16">
        <v>44834</v>
      </c>
      <c r="D41" s="16">
        <v>44926</v>
      </c>
      <c r="E41" s="16">
        <v>45016</v>
      </c>
      <c r="F41" s="16">
        <v>45107</v>
      </c>
      <c r="G41" s="16">
        <v>45199</v>
      </c>
      <c r="H41" s="16">
        <v>45291</v>
      </c>
      <c r="I41" s="16">
        <v>45382</v>
      </c>
      <c r="J41" s="16">
        <v>45473</v>
      </c>
      <c r="K41" s="16">
        <v>45565</v>
      </c>
    </row>
    <row r="42" spans="1:11" s="9" customFormat="1" x14ac:dyDescent="0.3">
      <c r="A42" s="9" t="s">
        <v>6</v>
      </c>
      <c r="B42">
        <v>10038.07</v>
      </c>
      <c r="C42">
        <v>10638.33</v>
      </c>
      <c r="D42">
        <v>11569.05</v>
      </c>
      <c r="E42">
        <v>10594.11</v>
      </c>
      <c r="F42">
        <v>11865.44</v>
      </c>
      <c r="G42">
        <v>12624.37</v>
      </c>
      <c r="H42">
        <v>13572.47</v>
      </c>
      <c r="I42">
        <v>12726.55</v>
      </c>
      <c r="J42">
        <v>14069.14</v>
      </c>
      <c r="K42">
        <v>14444.5</v>
      </c>
    </row>
    <row r="43" spans="1:11" s="9" customFormat="1" x14ac:dyDescent="0.3">
      <c r="A43" s="9" t="s">
        <v>7</v>
      </c>
      <c r="B43">
        <v>9029.83</v>
      </c>
      <c r="C43">
        <v>9746.31</v>
      </c>
      <c r="D43">
        <v>10603.79</v>
      </c>
      <c r="E43">
        <v>9822.6</v>
      </c>
      <c r="F43">
        <v>10830.17</v>
      </c>
      <c r="G43">
        <v>11619.4</v>
      </c>
      <c r="H43">
        <v>12452.58</v>
      </c>
      <c r="I43">
        <v>11782.91</v>
      </c>
      <c r="J43">
        <v>12847.89</v>
      </c>
      <c r="K43">
        <v>13350.73</v>
      </c>
    </row>
    <row r="44" spans="1:11" s="9" customFormat="1" x14ac:dyDescent="0.3">
      <c r="A44" s="9" t="s">
        <v>9</v>
      </c>
      <c r="B44">
        <v>29.14</v>
      </c>
      <c r="C44">
        <v>35.57</v>
      </c>
      <c r="D44">
        <v>31.56</v>
      </c>
      <c r="E44">
        <v>33.07</v>
      </c>
      <c r="F44">
        <v>38.74</v>
      </c>
      <c r="G44">
        <v>36.92</v>
      </c>
      <c r="H44">
        <v>32.92</v>
      </c>
      <c r="I44">
        <v>37.869999999999997</v>
      </c>
      <c r="J44">
        <v>41.6</v>
      </c>
      <c r="K44">
        <v>33.520000000000003</v>
      </c>
    </row>
    <row r="45" spans="1:11" s="9" customFormat="1" x14ac:dyDescent="0.3">
      <c r="A45" s="9" t="s">
        <v>10</v>
      </c>
      <c r="B45">
        <v>144.74</v>
      </c>
      <c r="C45">
        <v>161.96</v>
      </c>
      <c r="D45">
        <v>168.09</v>
      </c>
      <c r="E45">
        <v>164.08</v>
      </c>
      <c r="F45">
        <v>162.18</v>
      </c>
      <c r="G45">
        <v>174.36</v>
      </c>
      <c r="H45">
        <v>189.33</v>
      </c>
      <c r="I45">
        <v>204.89</v>
      </c>
      <c r="J45">
        <v>192.76</v>
      </c>
      <c r="K45">
        <v>207.78</v>
      </c>
    </row>
    <row r="46" spans="1:11" s="9" customFormat="1" x14ac:dyDescent="0.3">
      <c r="A46" s="9" t="s">
        <v>11</v>
      </c>
      <c r="B46">
        <v>17.22</v>
      </c>
      <c r="C46">
        <v>17.68</v>
      </c>
      <c r="D46">
        <v>16.98</v>
      </c>
      <c r="E46">
        <v>15.53</v>
      </c>
      <c r="F46">
        <v>14.57</v>
      </c>
      <c r="G46">
        <v>15.59</v>
      </c>
      <c r="H46">
        <v>14.55</v>
      </c>
      <c r="I46">
        <v>13.42</v>
      </c>
      <c r="J46">
        <v>15.96</v>
      </c>
      <c r="K46">
        <v>16.32</v>
      </c>
    </row>
    <row r="47" spans="1:11" s="9" customFormat="1" x14ac:dyDescent="0.3">
      <c r="A47" s="9" t="s">
        <v>12</v>
      </c>
      <c r="B47">
        <v>875.42</v>
      </c>
      <c r="C47">
        <v>747.95</v>
      </c>
      <c r="D47">
        <v>811.75</v>
      </c>
      <c r="E47">
        <v>624.97</v>
      </c>
      <c r="F47">
        <v>897.26</v>
      </c>
      <c r="G47">
        <v>851.94</v>
      </c>
      <c r="H47">
        <v>948.93</v>
      </c>
      <c r="I47">
        <v>763.2</v>
      </c>
      <c r="J47">
        <v>1054.1300000000001</v>
      </c>
      <c r="K47">
        <v>903.19</v>
      </c>
    </row>
    <row r="48" spans="1:11" s="9" customFormat="1" x14ac:dyDescent="0.3">
      <c r="A48" s="9" t="s">
        <v>13</v>
      </c>
      <c r="B48">
        <v>232.53</v>
      </c>
      <c r="C48">
        <v>62.24</v>
      </c>
      <c r="D48">
        <v>222.11</v>
      </c>
      <c r="E48">
        <v>164.87</v>
      </c>
      <c r="F48">
        <v>238.55</v>
      </c>
      <c r="G48">
        <v>228.59</v>
      </c>
      <c r="H48">
        <v>258.52</v>
      </c>
      <c r="I48">
        <v>200.06</v>
      </c>
      <c r="J48">
        <v>280.45</v>
      </c>
      <c r="K48">
        <v>243.75</v>
      </c>
    </row>
    <row r="49" spans="1:11" s="9" customFormat="1" x14ac:dyDescent="0.3">
      <c r="A49" s="9" t="s">
        <v>14</v>
      </c>
      <c r="B49">
        <v>642.92999999999995</v>
      </c>
      <c r="C49">
        <v>685.77</v>
      </c>
      <c r="D49">
        <v>589.67999999999995</v>
      </c>
      <c r="E49">
        <v>460.13</v>
      </c>
      <c r="F49">
        <v>658.75</v>
      </c>
      <c r="G49">
        <v>623.55999999999995</v>
      </c>
      <c r="H49">
        <v>690.61</v>
      </c>
      <c r="I49">
        <v>563.25</v>
      </c>
      <c r="J49">
        <v>773.82</v>
      </c>
      <c r="K49">
        <v>659.58</v>
      </c>
    </row>
    <row r="50" spans="1:11" x14ac:dyDescent="0.3">
      <c r="A50" s="9" t="s">
        <v>8</v>
      </c>
      <c r="B50">
        <v>1008.24</v>
      </c>
      <c r="C50">
        <v>892.02</v>
      </c>
      <c r="D50">
        <v>965.26</v>
      </c>
      <c r="E50">
        <v>771.51</v>
      </c>
      <c r="F50">
        <v>1035.27</v>
      </c>
      <c r="G50">
        <v>1004.97</v>
      </c>
      <c r="H50">
        <v>1119.8900000000001</v>
      </c>
      <c r="I50">
        <v>943.64</v>
      </c>
      <c r="J50">
        <v>1221.25</v>
      </c>
      <c r="K50">
        <v>1093.77</v>
      </c>
    </row>
    <row r="51" spans="1:11" x14ac:dyDescent="0.3">
      <c r="A51" s="9"/>
    </row>
    <row r="52" spans="1:11" x14ac:dyDescent="0.3">
      <c r="A52" s="9"/>
    </row>
    <row r="53" spans="1:11" x14ac:dyDescent="0.3">
      <c r="A53" s="9"/>
    </row>
    <row r="54" spans="1:11" x14ac:dyDescent="0.3">
      <c r="A54" s="9"/>
    </row>
    <row r="55" spans="1:11" x14ac:dyDescent="0.3">
      <c r="A55" s="1" t="s">
        <v>40</v>
      </c>
    </row>
    <row r="56" spans="1:11" s="24" customFormat="1" x14ac:dyDescent="0.3">
      <c r="A56" s="23" t="s">
        <v>38</v>
      </c>
      <c r="B56" s="16">
        <v>42094</v>
      </c>
      <c r="C56" s="16">
        <v>42460</v>
      </c>
      <c r="D56" s="16">
        <v>42825</v>
      </c>
      <c r="E56" s="16">
        <v>43190</v>
      </c>
      <c r="F56" s="16">
        <v>43555</v>
      </c>
      <c r="G56" s="16">
        <v>43921</v>
      </c>
      <c r="H56" s="16">
        <v>44286</v>
      </c>
      <c r="I56" s="16">
        <v>44651</v>
      </c>
      <c r="J56" s="16">
        <v>45016</v>
      </c>
      <c r="K56" s="16">
        <v>45382</v>
      </c>
    </row>
    <row r="57" spans="1:11" x14ac:dyDescent="0.3">
      <c r="A57" s="9" t="s">
        <v>24</v>
      </c>
      <c r="B57">
        <v>561.54</v>
      </c>
      <c r="C57">
        <v>561.54</v>
      </c>
      <c r="D57">
        <v>624.08000000000004</v>
      </c>
      <c r="E57">
        <v>624.08000000000004</v>
      </c>
      <c r="F57">
        <v>624.08000000000004</v>
      </c>
      <c r="G57">
        <v>647.77</v>
      </c>
      <c r="H57">
        <v>647.77</v>
      </c>
      <c r="I57">
        <v>647.77</v>
      </c>
      <c r="J57">
        <v>648.26</v>
      </c>
      <c r="K57">
        <v>650.73</v>
      </c>
    </row>
    <row r="58" spans="1:11" x14ac:dyDescent="0.3">
      <c r="A58" s="9" t="s">
        <v>25</v>
      </c>
      <c r="B58">
        <v>637.65</v>
      </c>
      <c r="C58">
        <v>958.9</v>
      </c>
      <c r="D58">
        <v>3217.7</v>
      </c>
      <c r="E58">
        <v>4044.97</v>
      </c>
      <c r="F58">
        <v>4963.37</v>
      </c>
      <c r="G58">
        <v>10431.969999999999</v>
      </c>
      <c r="H58">
        <v>11535.94</v>
      </c>
      <c r="I58">
        <v>13029.87</v>
      </c>
      <c r="J58">
        <v>15430.44</v>
      </c>
      <c r="K58">
        <v>18047.09</v>
      </c>
    </row>
    <row r="59" spans="1:11" x14ac:dyDescent="0.3">
      <c r="A59" s="9" t="s">
        <v>62</v>
      </c>
      <c r="B59">
        <v>904.26</v>
      </c>
      <c r="C59">
        <v>1192.3399999999999</v>
      </c>
      <c r="D59">
        <v>1497.32</v>
      </c>
      <c r="E59">
        <v>439.25</v>
      </c>
      <c r="F59">
        <v>700.15</v>
      </c>
      <c r="G59">
        <v>333.19</v>
      </c>
      <c r="H59">
        <v>392.71</v>
      </c>
      <c r="I59">
        <v>646.94000000000005</v>
      </c>
      <c r="J59">
        <v>642.98</v>
      </c>
      <c r="K59">
        <v>592.16</v>
      </c>
    </row>
    <row r="60" spans="1:11" x14ac:dyDescent="0.3">
      <c r="A60" s="9" t="s">
        <v>63</v>
      </c>
      <c r="B60">
        <v>251.36</v>
      </c>
      <c r="C60">
        <v>388.78</v>
      </c>
      <c r="D60">
        <v>480.18</v>
      </c>
      <c r="E60">
        <v>539.91999999999996</v>
      </c>
      <c r="F60">
        <v>717.9</v>
      </c>
      <c r="G60">
        <v>663.23</v>
      </c>
      <c r="H60">
        <v>1078.6300000000001</v>
      </c>
      <c r="I60">
        <v>1146.4000000000001</v>
      </c>
      <c r="J60">
        <v>1382.84</v>
      </c>
      <c r="K60">
        <v>1882.5</v>
      </c>
    </row>
    <row r="61" spans="1:11" s="1" customFormat="1" x14ac:dyDescent="0.3">
      <c r="A61" s="1" t="s">
        <v>26</v>
      </c>
      <c r="B61">
        <v>2354.81</v>
      </c>
      <c r="C61">
        <v>3101.56</v>
      </c>
      <c r="D61">
        <v>5819.28</v>
      </c>
      <c r="E61">
        <v>5648.22</v>
      </c>
      <c r="F61">
        <v>7005.5</v>
      </c>
      <c r="G61">
        <v>12076.16</v>
      </c>
      <c r="H61">
        <v>13655.05</v>
      </c>
      <c r="I61">
        <v>15470.98</v>
      </c>
      <c r="J61">
        <v>18104.52</v>
      </c>
      <c r="K61">
        <v>21172.48</v>
      </c>
    </row>
    <row r="62" spans="1:11" x14ac:dyDescent="0.3">
      <c r="A62" s="9" t="s">
        <v>27</v>
      </c>
      <c r="B62">
        <v>1528.08</v>
      </c>
      <c r="C62">
        <v>2093.52</v>
      </c>
      <c r="D62">
        <v>2577.75</v>
      </c>
      <c r="E62">
        <v>3399.97</v>
      </c>
      <c r="F62">
        <v>4400.37</v>
      </c>
      <c r="G62">
        <v>5948.03</v>
      </c>
      <c r="H62">
        <v>7008.8</v>
      </c>
      <c r="I62">
        <v>9260.02</v>
      </c>
      <c r="J62">
        <v>11340.48</v>
      </c>
      <c r="K62">
        <v>13415</v>
      </c>
    </row>
    <row r="63" spans="1:11" x14ac:dyDescent="0.3">
      <c r="A63" s="9" t="s">
        <v>28</v>
      </c>
      <c r="B63">
        <v>98.12</v>
      </c>
      <c r="C63">
        <v>81.69</v>
      </c>
      <c r="D63">
        <v>152.88999999999999</v>
      </c>
      <c r="E63">
        <v>147.07</v>
      </c>
      <c r="F63">
        <v>376.84</v>
      </c>
      <c r="G63">
        <v>364.4</v>
      </c>
      <c r="H63">
        <v>1019.59</v>
      </c>
      <c r="I63">
        <v>1129.3399999999999</v>
      </c>
      <c r="J63">
        <v>829.16</v>
      </c>
      <c r="K63">
        <v>935.22</v>
      </c>
    </row>
    <row r="64" spans="1:11" x14ac:dyDescent="0.3">
      <c r="A64" s="9" t="s">
        <v>29</v>
      </c>
      <c r="B64">
        <v>15.23</v>
      </c>
      <c r="C64">
        <v>29.33</v>
      </c>
      <c r="D64">
        <v>25.69</v>
      </c>
      <c r="E64">
        <v>68.180000000000007</v>
      </c>
      <c r="F64">
        <v>16.53</v>
      </c>
      <c r="G64">
        <v>14.68</v>
      </c>
      <c r="H64">
        <v>2.95</v>
      </c>
      <c r="I64">
        <v>5.94</v>
      </c>
      <c r="J64">
        <v>202.2</v>
      </c>
      <c r="K64">
        <v>106.67</v>
      </c>
    </row>
    <row r="65" spans="1:11" x14ac:dyDescent="0.3">
      <c r="A65" s="9" t="s">
        <v>64</v>
      </c>
      <c r="B65">
        <v>713.38</v>
      </c>
      <c r="C65">
        <v>897.02</v>
      </c>
      <c r="D65">
        <v>3062.95</v>
      </c>
      <c r="E65">
        <v>2033</v>
      </c>
      <c r="F65">
        <v>2211.7600000000002</v>
      </c>
      <c r="G65">
        <v>5749.05</v>
      </c>
      <c r="H65">
        <v>5623.71</v>
      </c>
      <c r="I65">
        <v>5075.68</v>
      </c>
      <c r="J65">
        <v>5732.68</v>
      </c>
      <c r="K65">
        <v>6715.59</v>
      </c>
    </row>
    <row r="66" spans="1:11" s="1" customFormat="1" x14ac:dyDescent="0.3">
      <c r="A66" s="1" t="s">
        <v>26</v>
      </c>
      <c r="B66">
        <v>2354.81</v>
      </c>
      <c r="C66">
        <v>3101.56</v>
      </c>
      <c r="D66">
        <v>5819.28</v>
      </c>
      <c r="E66">
        <v>5648.22</v>
      </c>
      <c r="F66">
        <v>7005.5</v>
      </c>
      <c r="G66">
        <v>12076.16</v>
      </c>
      <c r="H66">
        <v>13655.05</v>
      </c>
      <c r="I66">
        <v>15470.98</v>
      </c>
      <c r="J66">
        <v>18104.52</v>
      </c>
      <c r="K66">
        <v>21172.48</v>
      </c>
    </row>
    <row r="67" spans="1:11" s="9" customFormat="1" x14ac:dyDescent="0.3">
      <c r="A67" s="9" t="s">
        <v>69</v>
      </c>
      <c r="B67">
        <v>7.07</v>
      </c>
      <c r="C67">
        <v>8.42</v>
      </c>
      <c r="D67">
        <v>21</v>
      </c>
      <c r="E67">
        <v>33.520000000000003</v>
      </c>
      <c r="F67">
        <v>64.37</v>
      </c>
      <c r="G67">
        <v>19.55</v>
      </c>
      <c r="H67">
        <v>43.58</v>
      </c>
      <c r="I67">
        <v>66.89</v>
      </c>
      <c r="J67">
        <v>62.16</v>
      </c>
      <c r="K67">
        <v>166.37</v>
      </c>
    </row>
    <row r="68" spans="1:11" x14ac:dyDescent="0.3">
      <c r="A68" s="9" t="s">
        <v>45</v>
      </c>
      <c r="B68">
        <v>539.61</v>
      </c>
      <c r="C68">
        <v>671.69</v>
      </c>
      <c r="D68">
        <v>947.9</v>
      </c>
      <c r="E68">
        <v>1163.45</v>
      </c>
      <c r="F68">
        <v>1608.65</v>
      </c>
      <c r="G68">
        <v>1947.4</v>
      </c>
      <c r="H68">
        <v>2248.2800000000002</v>
      </c>
      <c r="I68">
        <v>2742.66</v>
      </c>
      <c r="J68">
        <v>3243.48</v>
      </c>
      <c r="K68">
        <v>3927.31</v>
      </c>
    </row>
    <row r="69" spans="1:11" x14ac:dyDescent="0.3">
      <c r="A69" s="5" t="s">
        <v>78</v>
      </c>
      <c r="B69">
        <v>38.04</v>
      </c>
      <c r="C69">
        <v>35.1</v>
      </c>
      <c r="D69">
        <v>1884.29</v>
      </c>
      <c r="E69">
        <v>560.17999999999995</v>
      </c>
      <c r="F69">
        <v>219.07</v>
      </c>
      <c r="G69">
        <v>107.88</v>
      </c>
      <c r="H69">
        <v>1445.58</v>
      </c>
      <c r="I69">
        <v>298.58</v>
      </c>
      <c r="J69">
        <v>1408.33</v>
      </c>
      <c r="K69">
        <v>638.17999999999995</v>
      </c>
    </row>
    <row r="70" spans="1:11" x14ac:dyDescent="0.3">
      <c r="A70" s="5" t="s">
        <v>65</v>
      </c>
      <c r="B70">
        <v>561542680</v>
      </c>
      <c r="C70">
        <v>561542680</v>
      </c>
      <c r="D70">
        <v>624084486</v>
      </c>
      <c r="E70">
        <v>624084486</v>
      </c>
      <c r="F70">
        <v>624084486</v>
      </c>
      <c r="G70">
        <v>647774691</v>
      </c>
      <c r="H70">
        <v>647774691</v>
      </c>
      <c r="I70">
        <v>647774691</v>
      </c>
      <c r="J70">
        <v>648263978</v>
      </c>
      <c r="K70">
        <v>650733068</v>
      </c>
    </row>
    <row r="71" spans="1:11" x14ac:dyDescent="0.3">
      <c r="A71" s="5" t="s">
        <v>66</v>
      </c>
    </row>
    <row r="72" spans="1:11" x14ac:dyDescent="0.3">
      <c r="A72" s="5" t="s">
        <v>79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10</v>
      </c>
    </row>
    <row r="74" spans="1:11" x14ac:dyDescent="0.3">
      <c r="A74" s="5" t="s">
        <v>178</v>
      </c>
      <c r="B74" s="5">
        <f>B65-SUM(B67:B69)</f>
        <v>128.65999999999997</v>
      </c>
      <c r="C74" s="5">
        <f t="shared" ref="C74:K74" si="1">C65-SUM(C67:C69)</f>
        <v>181.80999999999995</v>
      </c>
      <c r="D74" s="5">
        <f t="shared" si="1"/>
        <v>209.75999999999976</v>
      </c>
      <c r="E74" s="5">
        <f t="shared" si="1"/>
        <v>275.84999999999991</v>
      </c>
      <c r="F74" s="5">
        <f t="shared" si="1"/>
        <v>319.6700000000003</v>
      </c>
      <c r="G74" s="5">
        <f t="shared" si="1"/>
        <v>3674.2200000000003</v>
      </c>
      <c r="H74" s="5">
        <f t="shared" si="1"/>
        <v>1886.27</v>
      </c>
      <c r="I74" s="5">
        <f t="shared" si="1"/>
        <v>1967.5500000000006</v>
      </c>
      <c r="J74" s="5">
        <f t="shared" si="1"/>
        <v>1018.7100000000009</v>
      </c>
      <c r="K74" s="5">
        <f t="shared" si="1"/>
        <v>1983.7300000000005</v>
      </c>
    </row>
    <row r="75" spans="1:11" x14ac:dyDescent="0.3">
      <c r="A75" s="9"/>
    </row>
    <row r="76" spans="1:11" x14ac:dyDescent="0.3">
      <c r="A76" s="5" t="s">
        <v>109</v>
      </c>
      <c r="B76" s="5">
        <f>B61</f>
        <v>2354.81</v>
      </c>
      <c r="C76" s="5">
        <f t="shared" ref="C76:K76" si="2">C61</f>
        <v>3101.56</v>
      </c>
      <c r="D76" s="5">
        <f t="shared" si="2"/>
        <v>5819.28</v>
      </c>
      <c r="E76" s="5">
        <f t="shared" si="2"/>
        <v>5648.22</v>
      </c>
      <c r="F76" s="5">
        <f t="shared" si="2"/>
        <v>7005.5</v>
      </c>
      <c r="G76" s="5">
        <f t="shared" si="2"/>
        <v>12076.16</v>
      </c>
      <c r="H76" s="5">
        <f t="shared" si="2"/>
        <v>13655.05</v>
      </c>
      <c r="I76" s="5">
        <f t="shared" si="2"/>
        <v>15470.98</v>
      </c>
      <c r="J76" s="5">
        <f t="shared" si="2"/>
        <v>18104.52</v>
      </c>
      <c r="K76" s="5">
        <f t="shared" si="2"/>
        <v>21172.48</v>
      </c>
    </row>
    <row r="77" spans="1:11" x14ac:dyDescent="0.3">
      <c r="A77" s="9"/>
    </row>
    <row r="78" spans="1:11" x14ac:dyDescent="0.3">
      <c r="A78" s="9"/>
    </row>
    <row r="79" spans="1:11" x14ac:dyDescent="0.3">
      <c r="A79" s="9"/>
    </row>
    <row r="80" spans="1:11" x14ac:dyDescent="0.3">
      <c r="A80" s="1" t="s">
        <v>41</v>
      </c>
    </row>
    <row r="81" spans="1:13" s="24" customFormat="1" x14ac:dyDescent="0.3">
      <c r="A81" s="23" t="s">
        <v>38</v>
      </c>
      <c r="B81" s="16">
        <v>42094</v>
      </c>
      <c r="C81" s="16">
        <v>42460</v>
      </c>
      <c r="D81" s="16">
        <v>42825</v>
      </c>
      <c r="E81" s="16">
        <v>43190</v>
      </c>
      <c r="F81" s="16">
        <v>43555</v>
      </c>
      <c r="G81" s="16">
        <v>43921</v>
      </c>
      <c r="H81" s="16">
        <v>44286</v>
      </c>
      <c r="I81" s="16">
        <v>44651</v>
      </c>
      <c r="J81" s="16">
        <v>45016</v>
      </c>
      <c r="K81" s="16">
        <v>45382</v>
      </c>
    </row>
    <row r="82" spans="1:13" s="1" customFormat="1" x14ac:dyDescent="0.3">
      <c r="A82" s="9" t="s">
        <v>32</v>
      </c>
      <c r="B82">
        <v>222.02</v>
      </c>
      <c r="C82">
        <v>433.47</v>
      </c>
      <c r="D82">
        <v>455.28</v>
      </c>
      <c r="E82">
        <v>729.99</v>
      </c>
      <c r="F82">
        <v>806.84</v>
      </c>
      <c r="G82">
        <v>1280.1400000000001</v>
      </c>
      <c r="H82">
        <v>1375.14</v>
      </c>
      <c r="I82">
        <v>1372.35</v>
      </c>
      <c r="J82">
        <v>2630.27</v>
      </c>
      <c r="K82">
        <v>2745.84</v>
      </c>
    </row>
    <row r="83" spans="1:13" s="9" customFormat="1" x14ac:dyDescent="0.3">
      <c r="A83" s="9" t="s">
        <v>33</v>
      </c>
      <c r="B83">
        <v>-473.88</v>
      </c>
      <c r="C83">
        <v>-632.89</v>
      </c>
      <c r="D83">
        <v>-2481.61</v>
      </c>
      <c r="E83">
        <v>463.55</v>
      </c>
      <c r="F83">
        <v>-958.37</v>
      </c>
      <c r="G83">
        <v>-4656.5600000000004</v>
      </c>
      <c r="H83">
        <v>-1110</v>
      </c>
      <c r="I83">
        <v>-1289.49</v>
      </c>
      <c r="J83">
        <v>-2313.1</v>
      </c>
      <c r="K83">
        <v>-2468.23</v>
      </c>
    </row>
    <row r="84" spans="1:13" s="9" customFormat="1" x14ac:dyDescent="0.3">
      <c r="A84" s="9" t="s">
        <v>34</v>
      </c>
      <c r="B84">
        <v>234.45</v>
      </c>
      <c r="C84">
        <v>196.44</v>
      </c>
      <c r="D84">
        <v>2025.26</v>
      </c>
      <c r="E84">
        <v>-1159.06</v>
      </c>
      <c r="F84">
        <v>208.98</v>
      </c>
      <c r="G84">
        <v>3357.42</v>
      </c>
      <c r="H84">
        <v>-179.5</v>
      </c>
      <c r="I84">
        <v>-179.24</v>
      </c>
      <c r="J84">
        <v>-205.14</v>
      </c>
      <c r="K84">
        <v>-147.63999999999999</v>
      </c>
      <c r="M84"/>
    </row>
    <row r="85" spans="1:13" s="1" customFormat="1" x14ac:dyDescent="0.3">
      <c r="A85" s="9" t="s">
        <v>35</v>
      </c>
      <c r="B85">
        <v>-17.41</v>
      </c>
      <c r="C85">
        <v>-2.98</v>
      </c>
      <c r="D85">
        <v>-1.07</v>
      </c>
      <c r="E85">
        <v>34.479999999999997</v>
      </c>
      <c r="F85">
        <v>57.45</v>
      </c>
      <c r="G85">
        <v>-19</v>
      </c>
      <c r="H85">
        <v>85.64</v>
      </c>
      <c r="I85">
        <v>-96.38</v>
      </c>
      <c r="J85">
        <v>112.03</v>
      </c>
      <c r="K85">
        <v>129.97</v>
      </c>
      <c r="M85"/>
    </row>
    <row r="86" spans="1:13" x14ac:dyDescent="0.3">
      <c r="A86" s="9"/>
    </row>
    <row r="87" spans="1:13" x14ac:dyDescent="0.3">
      <c r="A87" s="9"/>
    </row>
    <row r="88" spans="1:13" x14ac:dyDescent="0.3">
      <c r="A88" s="9"/>
    </row>
    <row r="89" spans="1:13" x14ac:dyDescent="0.3">
      <c r="A89" s="9"/>
    </row>
    <row r="90" spans="1:13" s="1" customFormat="1" x14ac:dyDescent="0.3">
      <c r="A90" s="1" t="s">
        <v>68</v>
      </c>
      <c r="D90">
        <v>637.85</v>
      </c>
      <c r="E90">
        <v>1324.8</v>
      </c>
      <c r="F90">
        <v>1471.1</v>
      </c>
      <c r="G90">
        <v>2187.5</v>
      </c>
      <c r="H90">
        <v>2859.05</v>
      </c>
      <c r="I90">
        <v>4003.35</v>
      </c>
      <c r="J90">
        <v>3401.05</v>
      </c>
      <c r="K90">
        <v>4525.6000000000004</v>
      </c>
    </row>
    <row r="92" spans="1:13" s="1" customFormat="1" x14ac:dyDescent="0.3">
      <c r="A92" s="1" t="s">
        <v>67</v>
      </c>
    </row>
    <row r="93" spans="1:13" x14ac:dyDescent="0.3">
      <c r="A93" s="5" t="s">
        <v>80</v>
      </c>
      <c r="B93" s="27">
        <v>56.15</v>
      </c>
      <c r="C93" s="27">
        <v>56.15</v>
      </c>
      <c r="D93" s="27">
        <v>62.41</v>
      </c>
      <c r="E93" s="27">
        <v>62.41</v>
      </c>
      <c r="F93" s="27">
        <v>62.41</v>
      </c>
      <c r="G93" s="27">
        <v>64.78</v>
      </c>
      <c r="H93" s="27">
        <v>64.78</v>
      </c>
      <c r="I93" s="27">
        <v>64.78</v>
      </c>
      <c r="J93" s="27">
        <v>64.83</v>
      </c>
      <c r="K93" s="27">
        <v>65.069999999999993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9"/>
  <sheetViews>
    <sheetView showGridLines="0" zoomScale="94" workbookViewId="0">
      <pane ySplit="7" topLeftCell="A8" activePane="bottomLeft" state="frozen"/>
      <selection pane="bottomLeft" activeCell="B2" sqref="B2:L2"/>
    </sheetView>
  </sheetViews>
  <sheetFormatPr defaultRowHeight="14.4" x14ac:dyDescent="0.3"/>
  <cols>
    <col min="1" max="1" width="1.88671875" customWidth="1"/>
    <col min="2" max="2" width="26.77734375" bestFit="1" customWidth="1"/>
    <col min="3" max="4" width="10" bestFit="1" customWidth="1"/>
    <col min="5" max="7" width="11" bestFit="1" customWidth="1"/>
    <col min="8" max="12" width="11.109375" bestFit="1" customWidth="1"/>
  </cols>
  <sheetData>
    <row r="2" spans="1:13" ht="39" customHeight="1" x14ac:dyDescent="0.35">
      <c r="B2" s="264" t="s">
        <v>1645</v>
      </c>
      <c r="C2" s="265"/>
      <c r="D2" s="265"/>
      <c r="E2" s="265"/>
      <c r="F2" s="265"/>
      <c r="G2" s="265"/>
      <c r="H2" s="265"/>
      <c r="I2" s="265"/>
      <c r="J2" s="265"/>
      <c r="K2" s="265"/>
      <c r="L2" s="265"/>
    </row>
    <row r="3" spans="1:13" ht="10.8" customHeight="1" x14ac:dyDescent="0.3">
      <c r="B3" s="237" t="s">
        <v>1643</v>
      </c>
      <c r="C3" s="232"/>
      <c r="D3" s="232"/>
      <c r="E3" s="232"/>
      <c r="F3" s="232"/>
      <c r="G3" s="232"/>
      <c r="H3" s="232"/>
      <c r="I3" s="232"/>
      <c r="J3" s="232"/>
      <c r="K3" s="232"/>
      <c r="L3" s="232"/>
    </row>
    <row r="4" spans="1:13" ht="12" customHeight="1" thickBot="1" x14ac:dyDescent="0.35">
      <c r="B4" s="238" t="s">
        <v>1644</v>
      </c>
      <c r="C4" s="239"/>
      <c r="D4" s="239"/>
      <c r="E4" s="239"/>
      <c r="F4" s="239"/>
      <c r="G4" s="239"/>
      <c r="H4" s="239"/>
      <c r="I4" s="239"/>
      <c r="J4" s="239"/>
      <c r="K4" s="239"/>
      <c r="L4" s="239"/>
    </row>
    <row r="5" spans="1:13" ht="4.2" customHeight="1" x14ac:dyDescent="0.3">
      <c r="C5" s="206"/>
      <c r="D5" s="207"/>
      <c r="E5" s="207"/>
      <c r="F5" s="207"/>
      <c r="G5" s="207"/>
      <c r="H5" s="207"/>
      <c r="I5" s="207"/>
      <c r="J5" s="207"/>
      <c r="K5" s="207"/>
      <c r="L5" s="207"/>
    </row>
    <row r="6" spans="1:13" x14ac:dyDescent="0.3">
      <c r="B6" s="263" t="str">
        <f>"Historical Financial Statement - "&amp;'Data Sheet'!B1</f>
        <v>Historical Financial Statement - AVENUE SUPERMARTS LTD</v>
      </c>
      <c r="C6" s="263"/>
      <c r="D6" s="263"/>
      <c r="E6" s="263"/>
      <c r="F6" s="263"/>
      <c r="G6" s="263"/>
      <c r="H6" s="263"/>
      <c r="I6" s="263"/>
      <c r="J6" s="263"/>
      <c r="K6" s="263"/>
      <c r="L6" s="263"/>
    </row>
    <row r="7" spans="1:13" x14ac:dyDescent="0.3">
      <c r="B7" s="234" t="s">
        <v>81</v>
      </c>
      <c r="C7" s="235">
        <f>'Data Sheet'!B16</f>
        <v>42094</v>
      </c>
      <c r="D7" s="235">
        <f>'Data Sheet'!C16</f>
        <v>42460</v>
      </c>
      <c r="E7" s="235">
        <f>'Data Sheet'!D16</f>
        <v>42825</v>
      </c>
      <c r="F7" s="235">
        <f>'Data Sheet'!E16</f>
        <v>43190</v>
      </c>
      <c r="G7" s="235">
        <f>'Data Sheet'!F16</f>
        <v>43555</v>
      </c>
      <c r="H7" s="235">
        <f>'Data Sheet'!G16</f>
        <v>43921</v>
      </c>
      <c r="I7" s="235">
        <f>'Data Sheet'!H16</f>
        <v>44286</v>
      </c>
      <c r="J7" s="235">
        <f>'Data Sheet'!I16</f>
        <v>44651</v>
      </c>
      <c r="K7" s="235">
        <f>'Data Sheet'!J16</f>
        <v>45016</v>
      </c>
      <c r="L7" s="235">
        <f>'Data Sheet'!K16</f>
        <v>45382</v>
      </c>
      <c r="M7" s="28"/>
    </row>
    <row r="8" spans="1:13" ht="12" customHeight="1" x14ac:dyDescent="0.3">
      <c r="B8" s="34"/>
      <c r="C8" s="35"/>
      <c r="D8" s="35"/>
      <c r="E8" s="35"/>
      <c r="F8" s="35"/>
      <c r="G8" s="35"/>
      <c r="H8" s="35"/>
      <c r="I8" s="35"/>
      <c r="J8" s="35"/>
      <c r="K8" s="35"/>
      <c r="L8" s="35"/>
      <c r="M8" s="28"/>
    </row>
    <row r="9" spans="1:13" x14ac:dyDescent="0.3">
      <c r="A9" t="s">
        <v>82</v>
      </c>
      <c r="B9" s="190" t="s">
        <v>83</v>
      </c>
      <c r="C9" s="190"/>
      <c r="D9" s="190"/>
      <c r="E9" s="190"/>
      <c r="F9" s="190"/>
      <c r="G9" s="190"/>
      <c r="H9" s="190"/>
      <c r="I9" s="190"/>
      <c r="J9" s="190"/>
      <c r="K9" s="190"/>
      <c r="L9" s="190"/>
    </row>
    <row r="10" spans="1:13" x14ac:dyDescent="0.3">
      <c r="B10" t="s">
        <v>6</v>
      </c>
      <c r="C10" s="42">
        <f>IFERROR('Data Sheet'!B17,0)</f>
        <v>6439.43</v>
      </c>
      <c r="D10" s="42">
        <f>IFERROR('Data Sheet'!C17,0)</f>
        <v>8583.76</v>
      </c>
      <c r="E10" s="42">
        <f>IFERROR('Data Sheet'!D17,0)</f>
        <v>11897.7</v>
      </c>
      <c r="F10" s="42">
        <f>IFERROR('Data Sheet'!E17,0)</f>
        <v>15033.2</v>
      </c>
      <c r="G10" s="42">
        <f>IFERROR('Data Sheet'!F17,0)</f>
        <v>20004.52</v>
      </c>
      <c r="H10" s="42">
        <f>IFERROR('Data Sheet'!G17,0)</f>
        <v>24870.2</v>
      </c>
      <c r="I10" s="42">
        <f>IFERROR('Data Sheet'!H17,0)</f>
        <v>24143.06</v>
      </c>
      <c r="J10" s="42">
        <f>IFERROR('Data Sheet'!I17,0)</f>
        <v>30976.27</v>
      </c>
      <c r="K10" s="42">
        <f>IFERROR('Data Sheet'!J17,0)</f>
        <v>42839.56</v>
      </c>
      <c r="L10" s="42">
        <f>IFERROR('Data Sheet'!K17,0)</f>
        <v>50788.83</v>
      </c>
    </row>
    <row r="11" spans="1:13" x14ac:dyDescent="0.3">
      <c r="B11" s="32" t="s">
        <v>22</v>
      </c>
      <c r="C11" s="32"/>
      <c r="D11" s="33">
        <f>D10/C10-1</f>
        <v>0.33299997049428276</v>
      </c>
      <c r="E11" s="33">
        <f t="shared" ref="E11:L11" si="0">E10/D10-1</f>
        <v>0.38607090598991589</v>
      </c>
      <c r="F11" s="33">
        <f t="shared" si="0"/>
        <v>0.26353833093791246</v>
      </c>
      <c r="G11" s="33">
        <f t="shared" si="0"/>
        <v>0.33068940744485542</v>
      </c>
      <c r="H11" s="33">
        <f t="shared" si="0"/>
        <v>0.24322903023916598</v>
      </c>
      <c r="I11" s="33">
        <f t="shared" si="0"/>
        <v>-2.9237400583831175E-2</v>
      </c>
      <c r="J11" s="33">
        <f t="shared" si="0"/>
        <v>0.28302998874210639</v>
      </c>
      <c r="K11" s="33">
        <f t="shared" si="0"/>
        <v>0.38297993915987938</v>
      </c>
      <c r="L11" s="33">
        <f t="shared" si="0"/>
        <v>0.18555909537819737</v>
      </c>
    </row>
    <row r="13" spans="1:13" x14ac:dyDescent="0.3">
      <c r="B13" t="s">
        <v>84</v>
      </c>
      <c r="C13" s="42">
        <f>IFERROR(SUM('Data Sheet'!B18,'Data Sheet'!B20:B22)-1*'Data Sheet'!B19,0)</f>
        <v>5835.9300000000012</v>
      </c>
      <c r="D13" s="42">
        <f>IFERROR(SUM('Data Sheet'!C18,'Data Sheet'!C20:C22)-1*'Data Sheet'!C19,0)</f>
        <v>7773.1799999999994</v>
      </c>
      <c r="E13" s="42">
        <f>IFERROR(SUM('Data Sheet'!D18,'Data Sheet'!D20:D22)-1*'Data Sheet'!D19,0)</f>
        <v>10706.01</v>
      </c>
      <c r="F13" s="42">
        <f>IFERROR(SUM('Data Sheet'!E18,'Data Sheet'!E20:E22)-1*'Data Sheet'!E19,0)</f>
        <v>13413.76</v>
      </c>
      <c r="G13" s="42">
        <f>IFERROR(SUM('Data Sheet'!F18,'Data Sheet'!F20:F22)-1*'Data Sheet'!F19,0)</f>
        <v>18009.53</v>
      </c>
      <c r="H13" s="42">
        <f>IFERROR(SUM('Data Sheet'!G18,'Data Sheet'!G20:G22)-1*'Data Sheet'!G19,0)</f>
        <v>22394.27</v>
      </c>
      <c r="I13" s="42">
        <f>IFERROR(SUM('Data Sheet'!H18,'Data Sheet'!H20:H22)-1*'Data Sheet'!H19,0)</f>
        <v>22012.890000000003</v>
      </c>
      <c r="J13" s="42">
        <f>IFERROR(SUM('Data Sheet'!I18,'Data Sheet'!I20:I22)-1*'Data Sheet'!I19,0)</f>
        <v>28028.46</v>
      </c>
      <c r="K13" s="42">
        <f>IFERROR(SUM('Data Sheet'!J18,'Data Sheet'!J20:J22)-1*'Data Sheet'!J19,0)</f>
        <v>38563.29</v>
      </c>
      <c r="L13" s="42">
        <f>IFERROR(SUM('Data Sheet'!K18,'Data Sheet'!K20:K22)-1*'Data Sheet'!K19,0)</f>
        <v>45882.38</v>
      </c>
    </row>
    <row r="14" spans="1:13" x14ac:dyDescent="0.3">
      <c r="B14" s="32" t="s">
        <v>85</v>
      </c>
      <c r="C14" s="33">
        <f>C13/C10</f>
        <v>0.90628052482906107</v>
      </c>
      <c r="D14" s="33">
        <f t="shared" ref="D14:L14" si="1">D13/D10</f>
        <v>0.90556818923175852</v>
      </c>
      <c r="E14" s="33">
        <f t="shared" si="1"/>
        <v>0.89983862427191807</v>
      </c>
      <c r="F14" s="33">
        <f t="shared" si="1"/>
        <v>0.89227576297794209</v>
      </c>
      <c r="G14" s="33">
        <f t="shared" si="1"/>
        <v>0.9002730382933456</v>
      </c>
      <c r="H14" s="33">
        <f t="shared" si="1"/>
        <v>0.90044591519167516</v>
      </c>
      <c r="I14" s="33">
        <f t="shared" si="1"/>
        <v>0.91176884785938495</v>
      </c>
      <c r="J14" s="33">
        <f t="shared" si="1"/>
        <v>0.90483650872103061</v>
      </c>
      <c r="K14" s="33">
        <f t="shared" si="1"/>
        <v>0.90017941360742271</v>
      </c>
      <c r="L14" s="33">
        <f t="shared" si="1"/>
        <v>0.90339509691402609</v>
      </c>
    </row>
    <row r="16" spans="1:13" x14ac:dyDescent="0.3">
      <c r="B16" s="43" t="s">
        <v>86</v>
      </c>
      <c r="C16" s="44">
        <f>C10-C13</f>
        <v>603.49999999999909</v>
      </c>
      <c r="D16" s="44">
        <f t="shared" ref="D16:L16" si="2">D10-D13</f>
        <v>810.58000000000084</v>
      </c>
      <c r="E16" s="44">
        <f t="shared" si="2"/>
        <v>1191.6900000000005</v>
      </c>
      <c r="F16" s="44">
        <f t="shared" si="2"/>
        <v>1619.4400000000005</v>
      </c>
      <c r="G16" s="44">
        <f t="shared" si="2"/>
        <v>1994.9900000000016</v>
      </c>
      <c r="H16" s="44">
        <f t="shared" si="2"/>
        <v>2475.9300000000003</v>
      </c>
      <c r="I16" s="44">
        <f t="shared" si="2"/>
        <v>2130.1699999999983</v>
      </c>
      <c r="J16" s="44">
        <f t="shared" si="2"/>
        <v>2947.8100000000013</v>
      </c>
      <c r="K16" s="44">
        <f t="shared" si="2"/>
        <v>4276.2699999999968</v>
      </c>
      <c r="L16" s="44">
        <f t="shared" si="2"/>
        <v>4906.4500000000044</v>
      </c>
    </row>
    <row r="17" spans="2:12" x14ac:dyDescent="0.3">
      <c r="B17" s="32" t="s">
        <v>87</v>
      </c>
      <c r="C17" s="33">
        <f>C16/C10</f>
        <v>9.3719475170938898E-2</v>
      </c>
      <c r="D17" s="33">
        <f t="shared" ref="D17:L17" si="3">D16/D10</f>
        <v>9.4431810768241517E-2</v>
      </c>
      <c r="E17" s="33">
        <f t="shared" si="3"/>
        <v>0.10016137572808194</v>
      </c>
      <c r="F17" s="33">
        <f t="shared" si="3"/>
        <v>0.10772423702205787</v>
      </c>
      <c r="G17" s="33">
        <f t="shared" si="3"/>
        <v>9.9726961706654377E-2</v>
      </c>
      <c r="H17" s="33">
        <f t="shared" si="3"/>
        <v>9.9554084808324825E-2</v>
      </c>
      <c r="I17" s="33">
        <f t="shared" si="3"/>
        <v>8.8231152140615068E-2</v>
      </c>
      <c r="J17" s="33">
        <f t="shared" si="3"/>
        <v>9.5163491278969392E-2</v>
      </c>
      <c r="K17" s="33">
        <f t="shared" si="3"/>
        <v>9.9820586392577265E-2</v>
      </c>
      <c r="L17" s="33">
        <f t="shared" si="3"/>
        <v>9.6604903085973914E-2</v>
      </c>
    </row>
    <row r="19" spans="2:12" x14ac:dyDescent="0.3">
      <c r="B19" t="s">
        <v>88</v>
      </c>
      <c r="C19" s="42">
        <f>IFERROR(SUM('Data Sheet'!B23:B24),0)</f>
        <v>147.23999999999995</v>
      </c>
      <c r="D19" s="42">
        <f>IFERROR(SUM('Data Sheet'!C23:C24),0)</f>
        <v>146.12</v>
      </c>
      <c r="E19" s="42">
        <f>IFERROR(SUM('Data Sheet'!D23:D24),0)</f>
        <v>222.51</v>
      </c>
      <c r="F19" s="42">
        <f>IFERROR(SUM('Data Sheet'!E23:E24),0)</f>
        <v>266.58000000000004</v>
      </c>
      <c r="G19" s="42">
        <f>IFERROR(SUM('Data Sheet'!F23:F24),0)</f>
        <v>361.68</v>
      </c>
      <c r="H19" s="42">
        <f>IFERROR(SUM('Data Sheet'!G23:G24),0)</f>
        <v>347.62</v>
      </c>
      <c r="I19" s="42">
        <f>IFERROR(SUM('Data Sheet'!H23:H24),0)</f>
        <v>385.34</v>
      </c>
      <c r="J19" s="42">
        <f>IFERROR(SUM('Data Sheet'!I23:I24),0)</f>
        <v>445.46000000000004</v>
      </c>
      <c r="K19" s="42">
        <f>IFERROR(SUM('Data Sheet'!J23:J24),0)</f>
        <v>637.5</v>
      </c>
      <c r="L19" s="42">
        <f>IFERROR(SUM('Data Sheet'!K23:K24),0)</f>
        <v>800.81</v>
      </c>
    </row>
    <row r="20" spans="2:12" x14ac:dyDescent="0.3">
      <c r="B20" s="32" t="s">
        <v>89</v>
      </c>
      <c r="C20" s="33">
        <f>C19/C10</f>
        <v>2.2865377836237051E-2</v>
      </c>
      <c r="D20" s="33">
        <f t="shared" ref="D20:L20" si="4">D19/D10</f>
        <v>1.7022843136341184E-2</v>
      </c>
      <c r="E20" s="33">
        <f t="shared" si="4"/>
        <v>1.870193398724123E-2</v>
      </c>
      <c r="F20" s="33">
        <f t="shared" si="4"/>
        <v>1.7732751509991221E-2</v>
      </c>
      <c r="G20" s="33">
        <f t="shared" si="4"/>
        <v>1.8079913939449684E-2</v>
      </c>
      <c r="H20" s="33">
        <f t="shared" si="4"/>
        <v>1.3977370507675852E-2</v>
      </c>
      <c r="I20" s="33">
        <f t="shared" si="4"/>
        <v>1.5960694294757993E-2</v>
      </c>
      <c r="J20" s="33">
        <f t="shared" si="4"/>
        <v>1.438068560223681E-2</v>
      </c>
      <c r="K20" s="33">
        <f t="shared" si="4"/>
        <v>1.4881105221435514E-2</v>
      </c>
      <c r="L20" s="33">
        <f t="shared" si="4"/>
        <v>1.5767443353193997E-2</v>
      </c>
    </row>
    <row r="22" spans="2:12" x14ac:dyDescent="0.3">
      <c r="B22" s="43" t="s">
        <v>90</v>
      </c>
      <c r="C22" s="44">
        <f>C16-C19</f>
        <v>456.25999999999914</v>
      </c>
      <c r="D22" s="44">
        <f t="shared" ref="D22:L22" si="5">D16-D19</f>
        <v>664.46000000000083</v>
      </c>
      <c r="E22" s="44">
        <f t="shared" si="5"/>
        <v>969.18000000000052</v>
      </c>
      <c r="F22" s="44">
        <f t="shared" si="5"/>
        <v>1352.8600000000006</v>
      </c>
      <c r="G22" s="44">
        <f t="shared" si="5"/>
        <v>1633.3100000000015</v>
      </c>
      <c r="H22" s="44">
        <f t="shared" si="5"/>
        <v>2128.3100000000004</v>
      </c>
      <c r="I22" s="44">
        <f t="shared" si="5"/>
        <v>1744.8299999999983</v>
      </c>
      <c r="J22" s="44">
        <f t="shared" si="5"/>
        <v>2502.3500000000013</v>
      </c>
      <c r="K22" s="44">
        <f t="shared" si="5"/>
        <v>3638.7699999999968</v>
      </c>
      <c r="L22" s="44">
        <f t="shared" si="5"/>
        <v>4105.6400000000049</v>
      </c>
    </row>
    <row r="23" spans="2:12" x14ac:dyDescent="0.3">
      <c r="B23" s="32" t="s">
        <v>91</v>
      </c>
      <c r="C23" s="33">
        <f>C22/C10</f>
        <v>7.0854097334701854E-2</v>
      </c>
      <c r="D23" s="33">
        <f t="shared" ref="D23:L23" si="6">D22/D10</f>
        <v>7.7408967631900333E-2</v>
      </c>
      <c r="E23" s="33">
        <f t="shared" si="6"/>
        <v>8.1459441740840702E-2</v>
      </c>
      <c r="F23" s="33">
        <f t="shared" si="6"/>
        <v>8.9991485512066663E-2</v>
      </c>
      <c r="G23" s="33">
        <f t="shared" si="6"/>
        <v>8.1647047767204689E-2</v>
      </c>
      <c r="H23" s="33">
        <f t="shared" si="6"/>
        <v>8.5576714300648976E-2</v>
      </c>
      <c r="I23" s="33">
        <f t="shared" si="6"/>
        <v>7.2270457845857075E-2</v>
      </c>
      <c r="J23" s="33">
        <f t="shared" si="6"/>
        <v>8.0782805676732586E-2</v>
      </c>
      <c r="K23" s="33">
        <f t="shared" si="6"/>
        <v>8.4939481171141737E-2</v>
      </c>
      <c r="L23" s="33">
        <f t="shared" si="6"/>
        <v>8.083745973277992E-2</v>
      </c>
    </row>
    <row r="25" spans="2:12" x14ac:dyDescent="0.3">
      <c r="B25" t="s">
        <v>11</v>
      </c>
      <c r="C25" s="42">
        <f>IFERROR('Data Sheet'!B27,0)</f>
        <v>72.36</v>
      </c>
      <c r="D25" s="42">
        <f>IFERROR('Data Sheet'!C27,0)</f>
        <v>91.34</v>
      </c>
      <c r="E25" s="42">
        <f>IFERROR('Data Sheet'!D27,0)</f>
        <v>121.98</v>
      </c>
      <c r="F25" s="42">
        <f>IFERROR('Data Sheet'!E27,0)</f>
        <v>59.54</v>
      </c>
      <c r="G25" s="42">
        <f>IFERROR('Data Sheet'!F27,0)</f>
        <v>47.21</v>
      </c>
      <c r="H25" s="42">
        <f>IFERROR('Data Sheet'!G27,0)</f>
        <v>69.12</v>
      </c>
      <c r="I25" s="42">
        <f>IFERROR('Data Sheet'!H27,0)</f>
        <v>41.65</v>
      </c>
      <c r="J25" s="42">
        <f>IFERROR('Data Sheet'!I27,0)</f>
        <v>53.79</v>
      </c>
      <c r="K25" s="42">
        <f>IFERROR('Data Sheet'!J27,0)</f>
        <v>67.41</v>
      </c>
      <c r="L25" s="42">
        <f>IFERROR('Data Sheet'!K27,0)</f>
        <v>58.13</v>
      </c>
    </row>
    <row r="26" spans="2:12" x14ac:dyDescent="0.3">
      <c r="B26" s="32" t="s">
        <v>92</v>
      </c>
      <c r="C26" s="33">
        <f>C25/C10</f>
        <v>1.1237019425632393E-2</v>
      </c>
      <c r="D26" s="33">
        <f t="shared" ref="D26:L26" si="7">D25/D10</f>
        <v>1.0641024446163452E-2</v>
      </c>
      <c r="E26" s="33">
        <f t="shared" si="7"/>
        <v>1.0252401724703094E-2</v>
      </c>
      <c r="F26" s="33">
        <f t="shared" si="7"/>
        <v>3.9605672777585609E-3</v>
      </c>
      <c r="G26" s="33">
        <f t="shared" si="7"/>
        <v>2.3599666475376565E-3</v>
      </c>
      <c r="H26" s="33">
        <f t="shared" si="7"/>
        <v>2.7792297609186899E-3</v>
      </c>
      <c r="I26" s="33">
        <f t="shared" si="7"/>
        <v>1.7251334337900829E-3</v>
      </c>
      <c r="J26" s="33">
        <f t="shared" si="7"/>
        <v>1.7364905458274996E-3</v>
      </c>
      <c r="K26" s="33">
        <f t="shared" si="7"/>
        <v>1.5735455732972048E-3</v>
      </c>
      <c r="L26" s="33">
        <f t="shared" si="7"/>
        <v>1.1445430028610621E-3</v>
      </c>
    </row>
    <row r="28" spans="2:12" x14ac:dyDescent="0.3">
      <c r="B28" t="s">
        <v>93</v>
      </c>
      <c r="C28" s="42">
        <f>IFERROR('Data Sheet'!B26,0)</f>
        <v>81.540000000000006</v>
      </c>
      <c r="D28" s="42">
        <f>IFERROR('Data Sheet'!C26,0)</f>
        <v>98.43</v>
      </c>
      <c r="E28" s="42">
        <f>IFERROR('Data Sheet'!D26,0)</f>
        <v>127.82</v>
      </c>
      <c r="F28" s="42">
        <f>IFERROR('Data Sheet'!E26,0)</f>
        <v>159</v>
      </c>
      <c r="G28" s="42">
        <f>IFERROR('Data Sheet'!F26,0)</f>
        <v>212.49</v>
      </c>
      <c r="H28" s="42">
        <f>IFERROR('Data Sheet'!G26,0)</f>
        <v>374.41</v>
      </c>
      <c r="I28" s="42">
        <f>IFERROR('Data Sheet'!H26,0)</f>
        <v>414.16</v>
      </c>
      <c r="J28" s="42">
        <f>IFERROR('Data Sheet'!I26,0)</f>
        <v>498.08</v>
      </c>
      <c r="K28" s="42">
        <f>IFERROR('Data Sheet'!J26,0)</f>
        <v>638.87</v>
      </c>
      <c r="L28" s="42">
        <f>IFERROR('Data Sheet'!K26,0)</f>
        <v>730.76</v>
      </c>
    </row>
    <row r="29" spans="2:12" x14ac:dyDescent="0.3">
      <c r="B29" s="32" t="s">
        <v>94</v>
      </c>
      <c r="C29" s="33">
        <f>C28/C10</f>
        <v>1.26626114423171E-2</v>
      </c>
      <c r="D29" s="33">
        <f t="shared" ref="D29:L29" si="8">D28/D10</f>
        <v>1.1467002805297445E-2</v>
      </c>
      <c r="E29" s="33">
        <f t="shared" si="8"/>
        <v>1.0743252897618866E-2</v>
      </c>
      <c r="F29" s="33">
        <f t="shared" si="8"/>
        <v>1.0576590479738178E-2</v>
      </c>
      <c r="G29" s="33">
        <f t="shared" si="8"/>
        <v>1.062209940553435E-2</v>
      </c>
      <c r="H29" s="33">
        <f t="shared" si="8"/>
        <v>1.5054563292615258E-2</v>
      </c>
      <c r="I29" s="33">
        <f t="shared" si="8"/>
        <v>1.7154412075354161E-2</v>
      </c>
      <c r="J29" s="33">
        <f t="shared" si="8"/>
        <v>1.6079405299605148E-2</v>
      </c>
      <c r="K29" s="33">
        <f t="shared" si="8"/>
        <v>1.4913085008342757E-2</v>
      </c>
      <c r="L29" s="33">
        <f t="shared" si="8"/>
        <v>1.4388203075361254E-2</v>
      </c>
    </row>
    <row r="31" spans="2:12" x14ac:dyDescent="0.3">
      <c r="B31" s="43" t="s">
        <v>95</v>
      </c>
      <c r="C31" s="44">
        <f>IFERROR(C22-SUM(C28,C25),0)</f>
        <v>302.3599999999991</v>
      </c>
      <c r="D31" s="44">
        <f t="shared" ref="D31:L31" si="9">IFERROR(D22-SUM(D28,D25),0)</f>
        <v>474.69000000000085</v>
      </c>
      <c r="E31" s="44">
        <f t="shared" si="9"/>
        <v>719.38000000000056</v>
      </c>
      <c r="F31" s="44">
        <f t="shared" si="9"/>
        <v>1134.3200000000006</v>
      </c>
      <c r="G31" s="44">
        <f t="shared" si="9"/>
        <v>1373.6100000000015</v>
      </c>
      <c r="H31" s="44">
        <f t="shared" si="9"/>
        <v>1684.7800000000004</v>
      </c>
      <c r="I31" s="44">
        <f t="shared" si="9"/>
        <v>1289.0199999999984</v>
      </c>
      <c r="J31" s="44">
        <f t="shared" si="9"/>
        <v>1950.4800000000014</v>
      </c>
      <c r="K31" s="44">
        <f t="shared" si="9"/>
        <v>2932.4899999999971</v>
      </c>
      <c r="L31" s="44">
        <f t="shared" si="9"/>
        <v>3316.750000000005</v>
      </c>
    </row>
    <row r="32" spans="2:12" x14ac:dyDescent="0.3">
      <c r="B32" s="32" t="s">
        <v>96</v>
      </c>
      <c r="C32" s="33">
        <f>C31/C10</f>
        <v>4.6954466466752352E-2</v>
      </c>
      <c r="D32" s="33">
        <f t="shared" ref="D32:L32" si="10">D31/D10</f>
        <v>5.5300940380439437E-2</v>
      </c>
      <c r="E32" s="33">
        <f t="shared" si="10"/>
        <v>6.0463787118518748E-2</v>
      </c>
      <c r="F32" s="33">
        <f t="shared" si="10"/>
        <v>7.5454327754569922E-2</v>
      </c>
      <c r="G32" s="33">
        <f t="shared" si="10"/>
        <v>6.8664981714132683E-2</v>
      </c>
      <c r="H32" s="33">
        <f t="shared" si="10"/>
        <v>6.7742921247115034E-2</v>
      </c>
      <c r="I32" s="33">
        <f t="shared" si="10"/>
        <v>5.3390912336712844E-2</v>
      </c>
      <c r="J32" s="33">
        <f t="shared" si="10"/>
        <v>6.2966909831299933E-2</v>
      </c>
      <c r="K32" s="33">
        <f t="shared" si="10"/>
        <v>6.845285058950179E-2</v>
      </c>
      <c r="L32" s="33">
        <f t="shared" si="10"/>
        <v>6.5304713654557603E-2</v>
      </c>
    </row>
    <row r="34" spans="2:14" x14ac:dyDescent="0.3">
      <c r="B34" t="s">
        <v>13</v>
      </c>
      <c r="C34" s="42">
        <f>IFERROR('Data Sheet'!B29,0)</f>
        <v>110.92</v>
      </c>
      <c r="D34" s="42">
        <f>IFERROR('Data Sheet'!C29,0)</f>
        <v>171.47</v>
      </c>
      <c r="E34" s="42">
        <f>IFERROR('Data Sheet'!D29,0)</f>
        <v>268.27999999999997</v>
      </c>
      <c r="F34" s="42">
        <f>IFERROR('Data Sheet'!E29,0)</f>
        <v>415.79</v>
      </c>
      <c r="G34" s="42">
        <f>IFERROR('Data Sheet'!F29,0)</f>
        <v>519.48</v>
      </c>
      <c r="H34" s="42">
        <f>IFERROR('Data Sheet'!G29,0)</f>
        <v>443.79</v>
      </c>
      <c r="I34" s="42">
        <f>IFERROR('Data Sheet'!H29,0)</f>
        <v>384.02</v>
      </c>
      <c r="J34" s="42">
        <f>IFERROR('Data Sheet'!I29,0)</f>
        <v>571.72</v>
      </c>
      <c r="K34" s="42">
        <f>IFERROR('Data Sheet'!J29,0)</f>
        <v>681.75</v>
      </c>
      <c r="L34" s="42">
        <f>IFERROR('Data Sheet'!K29,0)</f>
        <v>925.72</v>
      </c>
    </row>
    <row r="35" spans="2:14" x14ac:dyDescent="0.3">
      <c r="B35" s="32" t="s">
        <v>97</v>
      </c>
      <c r="C35" s="33">
        <f>C34/C31</f>
        <v>0.36684746659611167</v>
      </c>
      <c r="D35" s="33">
        <f t="shared" ref="D35:L35" si="11">D34/D31</f>
        <v>0.36122522067033158</v>
      </c>
      <c r="E35" s="33">
        <f t="shared" si="11"/>
        <v>0.37293224721287743</v>
      </c>
      <c r="F35" s="33">
        <f t="shared" si="11"/>
        <v>0.36655441145355788</v>
      </c>
      <c r="G35" s="33">
        <f t="shared" si="11"/>
        <v>0.37818594797649946</v>
      </c>
      <c r="H35" s="33">
        <f t="shared" si="11"/>
        <v>0.26341124657225268</v>
      </c>
      <c r="I35" s="33">
        <f t="shared" si="11"/>
        <v>0.29791624645079245</v>
      </c>
      <c r="J35" s="33">
        <f t="shared" si="11"/>
        <v>0.29311759156720379</v>
      </c>
      <c r="K35" s="33">
        <f t="shared" si="11"/>
        <v>0.23248161119049024</v>
      </c>
      <c r="L35" s="33">
        <f t="shared" si="11"/>
        <v>0.27910454511193145</v>
      </c>
    </row>
    <row r="37" spans="2:14" x14ac:dyDescent="0.3">
      <c r="B37" s="43" t="s">
        <v>98</v>
      </c>
      <c r="C37" s="44">
        <f>IFERROR(C31-C34,0)</f>
        <v>191.43999999999909</v>
      </c>
      <c r="D37" s="44">
        <f t="shared" ref="D37:L37" si="12">IFERROR(D31-D34,0)</f>
        <v>303.22000000000082</v>
      </c>
      <c r="E37" s="44">
        <f t="shared" si="12"/>
        <v>451.10000000000059</v>
      </c>
      <c r="F37" s="44">
        <f t="shared" si="12"/>
        <v>718.53000000000065</v>
      </c>
      <c r="G37" s="44">
        <f t="shared" si="12"/>
        <v>854.13000000000147</v>
      </c>
      <c r="H37" s="44">
        <f t="shared" si="12"/>
        <v>1240.9900000000005</v>
      </c>
      <c r="I37" s="44">
        <f t="shared" si="12"/>
        <v>904.99999999999841</v>
      </c>
      <c r="J37" s="44">
        <f t="shared" si="12"/>
        <v>1378.7600000000014</v>
      </c>
      <c r="K37" s="44">
        <f t="shared" si="12"/>
        <v>2250.7399999999971</v>
      </c>
      <c r="L37" s="44">
        <f t="shared" si="12"/>
        <v>2391.0300000000052</v>
      </c>
    </row>
    <row r="38" spans="2:14" x14ac:dyDescent="0.3">
      <c r="B38" s="32" t="s">
        <v>99</v>
      </c>
      <c r="C38" s="37">
        <f>C37/C10</f>
        <v>2.9729339398052168E-2</v>
      </c>
      <c r="D38" s="37">
        <f t="shared" ref="D38:L38" si="13">D37/D10</f>
        <v>3.5324845988238353E-2</v>
      </c>
      <c r="E38" s="37">
        <f t="shared" si="13"/>
        <v>3.7914891113408518E-2</v>
      </c>
      <c r="F38" s="37">
        <f t="shared" si="13"/>
        <v>4.7796211052869693E-2</v>
      </c>
      <c r="G38" s="37">
        <f t="shared" si="13"/>
        <v>4.2696850511784408E-2</v>
      </c>
      <c r="H38" s="37">
        <f t="shared" si="13"/>
        <v>4.9898673914966524E-2</v>
      </c>
      <c r="I38" s="37">
        <f t="shared" si="13"/>
        <v>3.7484892138776045E-2</v>
      </c>
      <c r="J38" s="37">
        <f t="shared" si="13"/>
        <v>4.4510200873120014E-2</v>
      </c>
      <c r="K38" s="37">
        <f t="shared" si="13"/>
        <v>5.2538821593872513E-2</v>
      </c>
      <c r="L38" s="37">
        <f t="shared" si="13"/>
        <v>4.7077871256337368E-2</v>
      </c>
      <c r="N38" s="37"/>
    </row>
    <row r="40" spans="2:14" x14ac:dyDescent="0.3">
      <c r="B40" t="s">
        <v>100</v>
      </c>
      <c r="C40" s="48">
        <f>IFERROR('Data Sheet'!B93,0)</f>
        <v>56.15</v>
      </c>
      <c r="D40" s="48">
        <f>IFERROR('Data Sheet'!C93,0)</f>
        <v>56.15</v>
      </c>
      <c r="E40" s="48">
        <f>IFERROR('Data Sheet'!D93,0)</f>
        <v>62.41</v>
      </c>
      <c r="F40" s="48">
        <f>IFERROR('Data Sheet'!E93,0)</f>
        <v>62.41</v>
      </c>
      <c r="G40" s="48">
        <f>IFERROR('Data Sheet'!F93,0)</f>
        <v>62.41</v>
      </c>
      <c r="H40" s="48">
        <f>IFERROR('Data Sheet'!G93,0)</f>
        <v>64.78</v>
      </c>
      <c r="I40" s="48">
        <f>IFERROR('Data Sheet'!H93,0)</f>
        <v>64.78</v>
      </c>
      <c r="J40" s="48">
        <f>IFERROR('Data Sheet'!I93,0)</f>
        <v>64.78</v>
      </c>
      <c r="K40" s="48">
        <f>IFERROR('Data Sheet'!J93,0)</f>
        <v>64.83</v>
      </c>
      <c r="L40" s="48">
        <f>IFERROR('Data Sheet'!K93,0)</f>
        <v>65.069999999999993</v>
      </c>
    </row>
    <row r="41" spans="2:14" x14ac:dyDescent="0.3">
      <c r="C41" s="31"/>
      <c r="D41" s="31"/>
      <c r="E41" s="31"/>
      <c r="F41" s="31"/>
      <c r="G41" s="31"/>
      <c r="H41" s="31"/>
      <c r="I41" s="31"/>
      <c r="J41" s="31"/>
      <c r="K41" s="31"/>
      <c r="L41" s="31"/>
    </row>
    <row r="42" spans="2:14" x14ac:dyDescent="0.3">
      <c r="B42" t="s">
        <v>101</v>
      </c>
      <c r="C42" s="42">
        <f>IFERROR(C37/C40,0)</f>
        <v>3.4094390026713999</v>
      </c>
      <c r="D42" s="42">
        <f t="shared" ref="D42:L42" si="14">IFERROR(D37/D40,0)</f>
        <v>5.4001780943900419</v>
      </c>
      <c r="E42" s="42">
        <f t="shared" si="14"/>
        <v>7.2280083319980868</v>
      </c>
      <c r="F42" s="42">
        <f t="shared" si="14"/>
        <v>11.513058804678748</v>
      </c>
      <c r="G42" s="42">
        <f t="shared" si="14"/>
        <v>13.685787534049055</v>
      </c>
      <c r="H42" s="42">
        <f t="shared" si="14"/>
        <v>19.156992899042923</v>
      </c>
      <c r="I42" s="42">
        <f t="shared" si="14"/>
        <v>13.970361222599543</v>
      </c>
      <c r="J42" s="42">
        <f t="shared" si="14"/>
        <v>21.283729546156241</v>
      </c>
      <c r="K42" s="42">
        <f t="shared" si="14"/>
        <v>34.717569026685133</v>
      </c>
      <c r="L42" s="42">
        <f t="shared" si="14"/>
        <v>36.745504840940612</v>
      </c>
    </row>
    <row r="43" spans="2:14" x14ac:dyDescent="0.3">
      <c r="B43" s="32" t="s">
        <v>102</v>
      </c>
      <c r="C43" s="32"/>
      <c r="D43" s="33">
        <f>IFERROR(D42/C42-1,0)</f>
        <v>0.58389051399917613</v>
      </c>
      <c r="E43" s="33">
        <f t="shared" ref="E43:L43" si="15">IFERROR(E42/D42-1,0)</f>
        <v>0.33847591795294307</v>
      </c>
      <c r="F43" s="33">
        <f t="shared" si="15"/>
        <v>0.5928397251163815</v>
      </c>
      <c r="G43" s="33">
        <f t="shared" si="15"/>
        <v>0.18871863387750087</v>
      </c>
      <c r="H43" s="33">
        <f t="shared" si="15"/>
        <v>0.39977278263176164</v>
      </c>
      <c r="I43" s="33">
        <f t="shared" si="15"/>
        <v>-0.27074351928702245</v>
      </c>
      <c r="J43" s="33">
        <f t="shared" si="15"/>
        <v>0.52349171270718653</v>
      </c>
      <c r="K43" s="33">
        <f t="shared" si="15"/>
        <v>0.63117882847534079</v>
      </c>
      <c r="L43" s="33">
        <f t="shared" si="15"/>
        <v>5.84123794121858E-2</v>
      </c>
    </row>
    <row r="45" spans="2:14" x14ac:dyDescent="0.3">
      <c r="B45" t="s">
        <v>103</v>
      </c>
      <c r="C45" s="49">
        <f>IFERROR('Data Sheet'!B31/C40,0)</f>
        <v>0</v>
      </c>
      <c r="D45" s="49">
        <f>IFERROR('Data Sheet'!C31/D40,0)</f>
        <v>0</v>
      </c>
      <c r="E45" s="49">
        <f>IFERROR('Data Sheet'!D31/E40,0)</f>
        <v>0</v>
      </c>
      <c r="F45" s="49">
        <f>IFERROR('Data Sheet'!E31/F40,0)</f>
        <v>0</v>
      </c>
      <c r="G45" s="49">
        <f>IFERROR('Data Sheet'!F31/G40,0)</f>
        <v>0</v>
      </c>
      <c r="H45" s="49">
        <f>IFERROR('Data Sheet'!G31/H40,0)</f>
        <v>0</v>
      </c>
      <c r="I45" s="49">
        <f>IFERROR('Data Sheet'!H31/I40,0)</f>
        <v>0</v>
      </c>
      <c r="J45" s="49">
        <f>IFERROR('Data Sheet'!I31/J40,0)</f>
        <v>0</v>
      </c>
      <c r="K45" s="49">
        <f>IFERROR('Data Sheet'!J31/K40,0)</f>
        <v>0</v>
      </c>
      <c r="L45" s="49">
        <f>IFERROR('Data Sheet'!K31/L40,0)</f>
        <v>0</v>
      </c>
    </row>
    <row r="46" spans="2:14" x14ac:dyDescent="0.3">
      <c r="B46" s="32" t="s">
        <v>104</v>
      </c>
      <c r="C46" s="33">
        <f>IFERROR(C45/C42,0)</f>
        <v>0</v>
      </c>
      <c r="D46" s="33">
        <f t="shared" ref="D46:L46" si="16">IFERROR(D45/D42,0)</f>
        <v>0</v>
      </c>
      <c r="E46" s="33">
        <f t="shared" si="16"/>
        <v>0</v>
      </c>
      <c r="F46" s="33">
        <f t="shared" si="16"/>
        <v>0</v>
      </c>
      <c r="G46" s="33">
        <f t="shared" si="16"/>
        <v>0</v>
      </c>
      <c r="H46" s="33">
        <f t="shared" si="16"/>
        <v>0</v>
      </c>
      <c r="I46" s="33">
        <f t="shared" si="16"/>
        <v>0</v>
      </c>
      <c r="J46" s="33">
        <f t="shared" si="16"/>
        <v>0</v>
      </c>
      <c r="K46" s="33">
        <f t="shared" si="16"/>
        <v>0</v>
      </c>
      <c r="L46" s="33">
        <f t="shared" si="16"/>
        <v>0</v>
      </c>
    </row>
    <row r="48" spans="2:14" x14ac:dyDescent="0.3">
      <c r="B48" t="s">
        <v>105</v>
      </c>
      <c r="C48" s="38">
        <f>IFERROR(IF(C42&gt;C45,1-C46,0),0)</f>
        <v>1</v>
      </c>
      <c r="D48" s="38">
        <f t="shared" ref="D48:L48" si="17">IFERROR(IF(D42&gt;D45,1-D46,0),0)</f>
        <v>1</v>
      </c>
      <c r="E48" s="38">
        <f t="shared" si="17"/>
        <v>1</v>
      </c>
      <c r="F48" s="38">
        <f t="shared" si="17"/>
        <v>1</v>
      </c>
      <c r="G48" s="38">
        <f t="shared" si="17"/>
        <v>1</v>
      </c>
      <c r="H48" s="38">
        <f t="shared" si="17"/>
        <v>1</v>
      </c>
      <c r="I48" s="38">
        <f t="shared" si="17"/>
        <v>1</v>
      </c>
      <c r="J48" s="38">
        <f t="shared" si="17"/>
        <v>1</v>
      </c>
      <c r="K48" s="38">
        <f t="shared" si="17"/>
        <v>1</v>
      </c>
      <c r="L48" s="38">
        <f t="shared" si="17"/>
        <v>1</v>
      </c>
    </row>
    <row r="50" spans="1:12" x14ac:dyDescent="0.3">
      <c r="A50" s="40" t="s">
        <v>82</v>
      </c>
      <c r="B50" s="187" t="s">
        <v>106</v>
      </c>
      <c r="C50" s="187"/>
      <c r="D50" s="187"/>
      <c r="E50" s="187"/>
      <c r="F50" s="187"/>
      <c r="G50" s="187"/>
      <c r="H50" s="187"/>
      <c r="I50" s="187"/>
      <c r="J50" s="187"/>
      <c r="K50" s="187"/>
      <c r="L50" s="187"/>
    </row>
    <row r="51" spans="1:12" x14ac:dyDescent="0.3">
      <c r="B51" s="9" t="s">
        <v>24</v>
      </c>
      <c r="C51" s="31">
        <f>IFERROR('Data Sheet'!B57,0)</f>
        <v>561.54</v>
      </c>
      <c r="D51" s="31">
        <f>IFERROR('Data Sheet'!C57,0)</f>
        <v>561.54</v>
      </c>
      <c r="E51" s="31">
        <f>IFERROR('Data Sheet'!D57,0)</f>
        <v>624.08000000000004</v>
      </c>
      <c r="F51" s="31">
        <f>IFERROR('Data Sheet'!E57,0)</f>
        <v>624.08000000000004</v>
      </c>
      <c r="G51" s="31">
        <f>IFERROR('Data Sheet'!F57,0)</f>
        <v>624.08000000000004</v>
      </c>
      <c r="H51" s="31">
        <f>IFERROR('Data Sheet'!G57,0)</f>
        <v>647.77</v>
      </c>
      <c r="I51" s="31">
        <f>IFERROR('Data Sheet'!H57,0)</f>
        <v>647.77</v>
      </c>
      <c r="J51" s="31">
        <f>IFERROR('Data Sheet'!I57,0)</f>
        <v>647.77</v>
      </c>
      <c r="K51" s="31">
        <f>IFERROR('Data Sheet'!J57,0)</f>
        <v>648.26</v>
      </c>
      <c r="L51" s="31">
        <f>IFERROR('Data Sheet'!K57,0)</f>
        <v>650.73</v>
      </c>
    </row>
    <row r="52" spans="1:12" x14ac:dyDescent="0.3">
      <c r="B52" s="9" t="s">
        <v>25</v>
      </c>
      <c r="C52" s="31">
        <f>IFERROR('Data Sheet'!B58,0)</f>
        <v>637.65</v>
      </c>
      <c r="D52" s="31">
        <f>IFERROR('Data Sheet'!C58,0)</f>
        <v>958.9</v>
      </c>
      <c r="E52" s="31">
        <f>IFERROR('Data Sheet'!D58,0)</f>
        <v>3217.7</v>
      </c>
      <c r="F52" s="31">
        <f>IFERROR('Data Sheet'!E58,0)</f>
        <v>4044.97</v>
      </c>
      <c r="G52" s="31">
        <f>IFERROR('Data Sheet'!F58,0)</f>
        <v>4963.37</v>
      </c>
      <c r="H52" s="31">
        <f>IFERROR('Data Sheet'!G58,0)</f>
        <v>10431.969999999999</v>
      </c>
      <c r="I52" s="31">
        <f>IFERROR('Data Sheet'!H58,0)</f>
        <v>11535.94</v>
      </c>
      <c r="J52" s="31">
        <f>IFERROR('Data Sheet'!I58,0)</f>
        <v>13029.87</v>
      </c>
      <c r="K52" s="31">
        <f>IFERROR('Data Sheet'!J58,0)</f>
        <v>15430.44</v>
      </c>
      <c r="L52" s="31">
        <f>IFERROR('Data Sheet'!K58,0)</f>
        <v>18047.09</v>
      </c>
    </row>
    <row r="53" spans="1:12" x14ac:dyDescent="0.3">
      <c r="B53" s="9" t="s">
        <v>62</v>
      </c>
      <c r="C53" s="31">
        <f>IFERROR('Data Sheet'!B59,0)</f>
        <v>904.26</v>
      </c>
      <c r="D53" s="31">
        <f>IFERROR('Data Sheet'!C59,0)</f>
        <v>1192.3399999999999</v>
      </c>
      <c r="E53" s="31">
        <f>IFERROR('Data Sheet'!D59,0)</f>
        <v>1497.32</v>
      </c>
      <c r="F53" s="31">
        <f>IFERROR('Data Sheet'!E59,0)</f>
        <v>439.25</v>
      </c>
      <c r="G53" s="31">
        <f>IFERROR('Data Sheet'!F59,0)</f>
        <v>700.15</v>
      </c>
      <c r="H53" s="31">
        <f>IFERROR('Data Sheet'!G59,0)</f>
        <v>333.19</v>
      </c>
      <c r="I53" s="31">
        <f>IFERROR('Data Sheet'!H59,0)</f>
        <v>392.71</v>
      </c>
      <c r="J53" s="31">
        <f>IFERROR('Data Sheet'!I59,0)</f>
        <v>646.94000000000005</v>
      </c>
      <c r="K53" s="31">
        <f>IFERROR('Data Sheet'!J59,0)</f>
        <v>642.98</v>
      </c>
      <c r="L53" s="31">
        <f>IFERROR('Data Sheet'!K59,0)</f>
        <v>592.16</v>
      </c>
    </row>
    <row r="54" spans="1:12" x14ac:dyDescent="0.3">
      <c r="B54" s="9" t="s">
        <v>63</v>
      </c>
      <c r="C54" s="31">
        <f>IFERROR('Data Sheet'!B60,0)</f>
        <v>251.36</v>
      </c>
      <c r="D54" s="31">
        <f>IFERROR('Data Sheet'!C60,0)</f>
        <v>388.78</v>
      </c>
      <c r="E54" s="31">
        <f>IFERROR('Data Sheet'!D60,0)</f>
        <v>480.18</v>
      </c>
      <c r="F54" s="31">
        <f>IFERROR('Data Sheet'!E60,0)</f>
        <v>539.91999999999996</v>
      </c>
      <c r="G54" s="31">
        <f>IFERROR('Data Sheet'!F60,0)</f>
        <v>717.9</v>
      </c>
      <c r="H54" s="31">
        <f>IFERROR('Data Sheet'!G60,0)</f>
        <v>663.23</v>
      </c>
      <c r="I54" s="31">
        <f>IFERROR('Data Sheet'!H60,0)</f>
        <v>1078.6300000000001</v>
      </c>
      <c r="J54" s="31">
        <f>IFERROR('Data Sheet'!I60,0)</f>
        <v>1146.4000000000001</v>
      </c>
      <c r="K54" s="31">
        <f>IFERROR('Data Sheet'!J60,0)</f>
        <v>1382.84</v>
      </c>
      <c r="L54" s="31">
        <f>IFERROR('Data Sheet'!K60,0)</f>
        <v>1882.5</v>
      </c>
    </row>
    <row r="55" spans="1:12" x14ac:dyDescent="0.3">
      <c r="B55" s="45" t="s">
        <v>176</v>
      </c>
      <c r="C55" s="46">
        <f>IFERROR('Data Sheet'!B61,0)</f>
        <v>2354.81</v>
      </c>
      <c r="D55" s="46">
        <f>IFERROR('Data Sheet'!C61,0)</f>
        <v>3101.56</v>
      </c>
      <c r="E55" s="46">
        <f>IFERROR('Data Sheet'!D61,0)</f>
        <v>5819.28</v>
      </c>
      <c r="F55" s="46">
        <f>IFERROR('Data Sheet'!E61,0)</f>
        <v>5648.22</v>
      </c>
      <c r="G55" s="46">
        <f>IFERROR('Data Sheet'!F61,0)</f>
        <v>7005.5</v>
      </c>
      <c r="H55" s="46">
        <f>IFERROR('Data Sheet'!G61,0)</f>
        <v>12076.16</v>
      </c>
      <c r="I55" s="46">
        <f>IFERROR('Data Sheet'!H61,0)</f>
        <v>13655.05</v>
      </c>
      <c r="J55" s="46">
        <f>IFERROR('Data Sheet'!I61,0)</f>
        <v>15470.98</v>
      </c>
      <c r="K55" s="46">
        <f>IFERROR('Data Sheet'!J61,0)</f>
        <v>18104.52</v>
      </c>
      <c r="L55" s="46">
        <f>IFERROR('Data Sheet'!K61,0)</f>
        <v>21172.48</v>
      </c>
    </row>
    <row r="56" spans="1:12" x14ac:dyDescent="0.3">
      <c r="B56" s="1"/>
    </row>
    <row r="57" spans="1:12" x14ac:dyDescent="0.3">
      <c r="B57" s="5" t="s">
        <v>509</v>
      </c>
      <c r="C57" s="31">
        <f>IFERROR('Data Sheet'!B62,0)</f>
        <v>1528.08</v>
      </c>
      <c r="D57" s="31">
        <f>IFERROR('Data Sheet'!C62,0)</f>
        <v>2093.52</v>
      </c>
      <c r="E57" s="31">
        <f>IFERROR('Data Sheet'!D62,0)</f>
        <v>2577.75</v>
      </c>
      <c r="F57" s="31">
        <f>IFERROR('Data Sheet'!E62,0)</f>
        <v>3399.97</v>
      </c>
      <c r="G57" s="31">
        <f>IFERROR('Data Sheet'!F62,0)</f>
        <v>4400.37</v>
      </c>
      <c r="H57" s="31">
        <f>IFERROR('Data Sheet'!G62,0)</f>
        <v>5948.03</v>
      </c>
      <c r="I57" s="31">
        <f>IFERROR('Data Sheet'!H62,0)</f>
        <v>7008.8</v>
      </c>
      <c r="J57" s="31">
        <f>IFERROR('Data Sheet'!I62,0)</f>
        <v>9260.02</v>
      </c>
      <c r="K57" s="31">
        <f>IFERROR('Data Sheet'!J62,0)</f>
        <v>11340.48</v>
      </c>
      <c r="L57" s="31">
        <f>IFERROR('Data Sheet'!K62,0)</f>
        <v>13415</v>
      </c>
    </row>
    <row r="58" spans="1:12" x14ac:dyDescent="0.3">
      <c r="B58" s="9" t="s">
        <v>28</v>
      </c>
      <c r="C58" s="31">
        <f>IFERROR('Data Sheet'!B63,0)</f>
        <v>98.12</v>
      </c>
      <c r="D58" s="31">
        <f>IFERROR('Data Sheet'!C63,0)</f>
        <v>81.69</v>
      </c>
      <c r="E58" s="31">
        <f>IFERROR('Data Sheet'!D63,0)</f>
        <v>152.88999999999999</v>
      </c>
      <c r="F58" s="31">
        <f>IFERROR('Data Sheet'!E63,0)</f>
        <v>147.07</v>
      </c>
      <c r="G58" s="31">
        <f>IFERROR('Data Sheet'!F63,0)</f>
        <v>376.84</v>
      </c>
      <c r="H58" s="31">
        <f>IFERROR('Data Sheet'!G63,0)</f>
        <v>364.4</v>
      </c>
      <c r="I58" s="31">
        <f>IFERROR('Data Sheet'!H63,0)</f>
        <v>1019.59</v>
      </c>
      <c r="J58" s="31">
        <f>IFERROR('Data Sheet'!I63,0)</f>
        <v>1129.3399999999999</v>
      </c>
      <c r="K58" s="31">
        <f>IFERROR('Data Sheet'!J63,0)</f>
        <v>829.16</v>
      </c>
      <c r="L58" s="31">
        <f>IFERROR('Data Sheet'!K63,0)</f>
        <v>935.22</v>
      </c>
    </row>
    <row r="59" spans="1:12" x14ac:dyDescent="0.3">
      <c r="B59" s="9" t="s">
        <v>29</v>
      </c>
      <c r="C59" s="31">
        <f>IFERROR('Data Sheet'!B64,0)</f>
        <v>15.23</v>
      </c>
      <c r="D59" s="31">
        <f>IFERROR('Data Sheet'!C64,0)</f>
        <v>29.33</v>
      </c>
      <c r="E59" s="31">
        <f>IFERROR('Data Sheet'!D64,0)</f>
        <v>25.69</v>
      </c>
      <c r="F59" s="31">
        <f>IFERROR('Data Sheet'!E64,0)</f>
        <v>68.180000000000007</v>
      </c>
      <c r="G59" s="31">
        <f>IFERROR('Data Sheet'!F64,0)</f>
        <v>16.53</v>
      </c>
      <c r="H59" s="31">
        <f>IFERROR('Data Sheet'!G64,0)</f>
        <v>14.68</v>
      </c>
      <c r="I59" s="31">
        <f>IFERROR('Data Sheet'!H64,0)</f>
        <v>2.95</v>
      </c>
      <c r="J59" s="31">
        <f>IFERROR('Data Sheet'!I64,0)</f>
        <v>5.94</v>
      </c>
      <c r="K59" s="31">
        <f>IFERROR('Data Sheet'!J64,0)</f>
        <v>202.2</v>
      </c>
      <c r="L59" s="31">
        <f>IFERROR('Data Sheet'!K64,0)</f>
        <v>106.67</v>
      </c>
    </row>
    <row r="60" spans="1:12" x14ac:dyDescent="0.3">
      <c r="B60" s="9" t="s">
        <v>64</v>
      </c>
      <c r="C60" s="31">
        <f>IFERROR('Data Sheet'!B65-SUM('Data Sheet'!B67:B69),0)</f>
        <v>128.65999999999997</v>
      </c>
      <c r="D60" s="31">
        <f>IFERROR('Data Sheet'!C65-SUM('Data Sheet'!C67:C69),0)</f>
        <v>181.80999999999995</v>
      </c>
      <c r="E60" s="31">
        <f>IFERROR('Data Sheet'!D65-SUM('Data Sheet'!D67:D69),0)</f>
        <v>209.75999999999976</v>
      </c>
      <c r="F60" s="31">
        <f>IFERROR('Data Sheet'!E65-SUM('Data Sheet'!E67:E69),0)</f>
        <v>275.84999999999991</v>
      </c>
      <c r="G60" s="31">
        <f>IFERROR('Data Sheet'!F65-SUM('Data Sheet'!F67:F69),0)</f>
        <v>319.6700000000003</v>
      </c>
      <c r="H60" s="31">
        <f>IFERROR('Data Sheet'!G65-SUM('Data Sheet'!G67:G69),0)</f>
        <v>3674.2200000000003</v>
      </c>
      <c r="I60" s="31">
        <f>IFERROR('Data Sheet'!H65-SUM('Data Sheet'!H67:H69),0)</f>
        <v>1886.27</v>
      </c>
      <c r="J60" s="31">
        <f>IFERROR('Data Sheet'!I65-SUM('Data Sheet'!I67:I69),0)</f>
        <v>1967.5500000000006</v>
      </c>
      <c r="K60" s="31">
        <f>IFERROR('Data Sheet'!J65-SUM('Data Sheet'!J67:J69),0)</f>
        <v>1018.7100000000009</v>
      </c>
      <c r="L60" s="31">
        <f>IFERROR('Data Sheet'!K65-SUM('Data Sheet'!K67:K69),0)</f>
        <v>1983.7300000000005</v>
      </c>
    </row>
    <row r="61" spans="1:12" x14ac:dyDescent="0.3">
      <c r="B61" s="45" t="s">
        <v>107</v>
      </c>
      <c r="C61" s="46">
        <f>SUM(C56:C60)</f>
        <v>1770.0899999999997</v>
      </c>
      <c r="D61" s="46">
        <f t="shared" ref="D61:L61" si="18">SUM(D56:D60)</f>
        <v>2386.35</v>
      </c>
      <c r="E61" s="46">
        <f t="shared" si="18"/>
        <v>2966.0899999999997</v>
      </c>
      <c r="F61" s="46">
        <f t="shared" si="18"/>
        <v>3891.0699999999997</v>
      </c>
      <c r="G61" s="46">
        <f t="shared" si="18"/>
        <v>5113.41</v>
      </c>
      <c r="H61" s="46">
        <f t="shared" si="18"/>
        <v>10001.33</v>
      </c>
      <c r="I61" s="46">
        <f t="shared" si="18"/>
        <v>9917.61</v>
      </c>
      <c r="J61" s="46">
        <f t="shared" si="18"/>
        <v>12362.850000000002</v>
      </c>
      <c r="K61" s="46">
        <f t="shared" si="18"/>
        <v>13390.550000000001</v>
      </c>
      <c r="L61" s="46">
        <f t="shared" si="18"/>
        <v>16440.62</v>
      </c>
    </row>
    <row r="62" spans="1:12" x14ac:dyDescent="0.3">
      <c r="B62" s="1"/>
    </row>
    <row r="63" spans="1:12" x14ac:dyDescent="0.3">
      <c r="B63" s="9" t="s">
        <v>69</v>
      </c>
      <c r="C63" s="31">
        <f>IFERROR('Data Sheet'!B67,0)</f>
        <v>7.07</v>
      </c>
      <c r="D63" s="31">
        <f>IFERROR('Data Sheet'!C67,0)</f>
        <v>8.42</v>
      </c>
      <c r="E63" s="31">
        <f>IFERROR('Data Sheet'!D67,0)</f>
        <v>21</v>
      </c>
      <c r="F63" s="31">
        <f>IFERROR('Data Sheet'!E67,0)</f>
        <v>33.520000000000003</v>
      </c>
      <c r="G63" s="31">
        <f>IFERROR('Data Sheet'!F67,0)</f>
        <v>64.37</v>
      </c>
      <c r="H63" s="31">
        <f>IFERROR('Data Sheet'!G67,0)</f>
        <v>19.55</v>
      </c>
      <c r="I63" s="31">
        <f>IFERROR('Data Sheet'!H67,0)</f>
        <v>43.58</v>
      </c>
      <c r="J63" s="31">
        <f>IFERROR('Data Sheet'!I67,0)</f>
        <v>66.89</v>
      </c>
      <c r="K63" s="31">
        <f>IFERROR('Data Sheet'!J67,0)</f>
        <v>62.16</v>
      </c>
      <c r="L63" s="31">
        <f>IFERROR('Data Sheet'!K67,0)</f>
        <v>166.37</v>
      </c>
    </row>
    <row r="64" spans="1:12" x14ac:dyDescent="0.3">
      <c r="B64" s="9" t="s">
        <v>45</v>
      </c>
      <c r="C64" s="31">
        <f>IFERROR('Data Sheet'!B68,0)</f>
        <v>539.61</v>
      </c>
      <c r="D64" s="31">
        <f>IFERROR('Data Sheet'!C68,0)</f>
        <v>671.69</v>
      </c>
      <c r="E64" s="31">
        <f>IFERROR('Data Sheet'!D68,0)</f>
        <v>947.9</v>
      </c>
      <c r="F64" s="31">
        <f>IFERROR('Data Sheet'!E68,0)</f>
        <v>1163.45</v>
      </c>
      <c r="G64" s="31">
        <f>IFERROR('Data Sheet'!F68,0)</f>
        <v>1608.65</v>
      </c>
      <c r="H64" s="31">
        <f>IFERROR('Data Sheet'!G68,0)</f>
        <v>1947.4</v>
      </c>
      <c r="I64" s="31">
        <f>IFERROR('Data Sheet'!H68,0)</f>
        <v>2248.2800000000002</v>
      </c>
      <c r="J64" s="31">
        <f>IFERROR('Data Sheet'!I68,0)</f>
        <v>2742.66</v>
      </c>
      <c r="K64" s="31">
        <f>IFERROR('Data Sheet'!J68,0)</f>
        <v>3243.48</v>
      </c>
      <c r="L64" s="31">
        <f>IFERROR('Data Sheet'!K68,0)</f>
        <v>3927.31</v>
      </c>
    </row>
    <row r="65" spans="1:12" x14ac:dyDescent="0.3">
      <c r="B65" s="5" t="s">
        <v>78</v>
      </c>
      <c r="C65" s="31">
        <f>IFERROR('Data Sheet'!B69,0)</f>
        <v>38.04</v>
      </c>
      <c r="D65" s="31">
        <f>IFERROR('Data Sheet'!C69,0)</f>
        <v>35.1</v>
      </c>
      <c r="E65" s="31">
        <f>IFERROR('Data Sheet'!D69,0)</f>
        <v>1884.29</v>
      </c>
      <c r="F65" s="31">
        <f>IFERROR('Data Sheet'!E69,0)</f>
        <v>560.17999999999995</v>
      </c>
      <c r="G65" s="31">
        <f>IFERROR('Data Sheet'!F69,0)</f>
        <v>219.07</v>
      </c>
      <c r="H65" s="31">
        <f>IFERROR('Data Sheet'!G69,0)</f>
        <v>107.88</v>
      </c>
      <c r="I65" s="31">
        <f>IFERROR('Data Sheet'!H69,0)</f>
        <v>1445.58</v>
      </c>
      <c r="J65" s="31">
        <f>IFERROR('Data Sheet'!I69,0)</f>
        <v>298.58</v>
      </c>
      <c r="K65" s="31">
        <f>IFERROR('Data Sheet'!J69,0)</f>
        <v>1408.33</v>
      </c>
      <c r="L65" s="31">
        <f>IFERROR('Data Sheet'!K69,0)</f>
        <v>638.17999999999995</v>
      </c>
    </row>
    <row r="66" spans="1:12" x14ac:dyDescent="0.3">
      <c r="B66" s="47" t="s">
        <v>108</v>
      </c>
      <c r="C66" s="46">
        <f>IFERROR(SUM(C63:C65),0)</f>
        <v>584.72</v>
      </c>
      <c r="D66" s="46">
        <f t="shared" ref="D66:L66" si="19">IFERROR(SUM(D63:D65),0)</f>
        <v>715.21</v>
      </c>
      <c r="E66" s="46">
        <f t="shared" si="19"/>
        <v>2853.19</v>
      </c>
      <c r="F66" s="46">
        <f t="shared" si="19"/>
        <v>1757.15</v>
      </c>
      <c r="G66" s="46">
        <f t="shared" si="19"/>
        <v>1892.09</v>
      </c>
      <c r="H66" s="46">
        <f t="shared" si="19"/>
        <v>2074.83</v>
      </c>
      <c r="I66" s="46">
        <f t="shared" si="19"/>
        <v>3737.44</v>
      </c>
      <c r="J66" s="46">
        <f t="shared" si="19"/>
        <v>3108.1299999999997</v>
      </c>
      <c r="K66" s="46">
        <f t="shared" si="19"/>
        <v>4713.9699999999993</v>
      </c>
      <c r="L66" s="46">
        <f t="shared" si="19"/>
        <v>4731.8599999999997</v>
      </c>
    </row>
    <row r="68" spans="1:12" x14ac:dyDescent="0.3">
      <c r="B68" s="47" t="s">
        <v>109</v>
      </c>
      <c r="C68" s="46">
        <f>SUM(C66+C61)</f>
        <v>2354.8099999999995</v>
      </c>
      <c r="D68" s="46">
        <f t="shared" ref="D68:L68" si="20">SUM(D66+D61)</f>
        <v>3101.56</v>
      </c>
      <c r="E68" s="46">
        <f t="shared" si="20"/>
        <v>5819.28</v>
      </c>
      <c r="F68" s="46">
        <f t="shared" si="20"/>
        <v>5648.2199999999993</v>
      </c>
      <c r="G68" s="46">
        <f t="shared" si="20"/>
        <v>7005.5</v>
      </c>
      <c r="H68" s="46">
        <f t="shared" si="20"/>
        <v>12076.16</v>
      </c>
      <c r="I68" s="46">
        <f t="shared" si="20"/>
        <v>13655.050000000001</v>
      </c>
      <c r="J68" s="46">
        <f t="shared" si="20"/>
        <v>15470.980000000001</v>
      </c>
      <c r="K68" s="46">
        <f t="shared" si="20"/>
        <v>18104.52</v>
      </c>
      <c r="L68" s="46">
        <f t="shared" si="20"/>
        <v>21172.48</v>
      </c>
    </row>
    <row r="70" spans="1:12" x14ac:dyDescent="0.3">
      <c r="B70" s="36" t="s">
        <v>110</v>
      </c>
      <c r="C70" s="36" t="b">
        <f>C68=C55</f>
        <v>1</v>
      </c>
      <c r="D70" s="36" t="b">
        <f t="shared" ref="D70:L70" si="21">D68=D55</f>
        <v>1</v>
      </c>
      <c r="E70" s="36" t="b">
        <f t="shared" si="21"/>
        <v>1</v>
      </c>
      <c r="F70" s="36" t="b">
        <f t="shared" si="21"/>
        <v>1</v>
      </c>
      <c r="G70" s="36" t="b">
        <f t="shared" si="21"/>
        <v>1</v>
      </c>
      <c r="H70" s="36" t="b">
        <f t="shared" si="21"/>
        <v>1</v>
      </c>
      <c r="I70" s="36" t="b">
        <f t="shared" si="21"/>
        <v>1</v>
      </c>
      <c r="J70" s="36" t="b">
        <f t="shared" si="21"/>
        <v>1</v>
      </c>
      <c r="K70" s="36" t="b">
        <f t="shared" si="21"/>
        <v>1</v>
      </c>
      <c r="L70" s="36" t="b">
        <f t="shared" si="21"/>
        <v>1</v>
      </c>
    </row>
    <row r="72" spans="1:12" x14ac:dyDescent="0.3">
      <c r="A72" t="s">
        <v>82</v>
      </c>
      <c r="B72" s="187" t="s">
        <v>136</v>
      </c>
      <c r="C72" s="187"/>
      <c r="D72" s="187"/>
      <c r="E72" s="187"/>
      <c r="F72" s="187"/>
      <c r="G72" s="187"/>
      <c r="H72" s="187"/>
      <c r="I72" s="187"/>
      <c r="J72" s="187"/>
      <c r="K72" s="187"/>
      <c r="L72" s="187"/>
    </row>
    <row r="73" spans="1:12" x14ac:dyDescent="0.3">
      <c r="B73" s="50" t="s">
        <v>137</v>
      </c>
      <c r="C73" s="51">
        <f>'Data Sheet'!B82</f>
        <v>222.02</v>
      </c>
      <c r="D73" s="51">
        <f>'Data Sheet'!C82</f>
        <v>433.47</v>
      </c>
      <c r="E73" s="51">
        <f>'Data Sheet'!D82</f>
        <v>455.28</v>
      </c>
      <c r="F73" s="51">
        <f>'Data Sheet'!E82</f>
        <v>729.99</v>
      </c>
      <c r="G73" s="51">
        <f>'Data Sheet'!F82</f>
        <v>806.84</v>
      </c>
      <c r="H73" s="51">
        <f>'Data Sheet'!G82</f>
        <v>1280.1400000000001</v>
      </c>
      <c r="I73" s="51">
        <f>'Data Sheet'!H82</f>
        <v>1375.14</v>
      </c>
      <c r="J73" s="51">
        <f>'Data Sheet'!I82</f>
        <v>1372.35</v>
      </c>
      <c r="K73" s="51">
        <f>'Data Sheet'!J82</f>
        <v>2630.27</v>
      </c>
      <c r="L73" s="51">
        <f>'Data Sheet'!K82</f>
        <v>2745.84</v>
      </c>
    </row>
    <row r="74" spans="1:12" x14ac:dyDescent="0.3">
      <c r="B74" s="50"/>
      <c r="C74" s="51"/>
      <c r="D74" s="51"/>
      <c r="E74" s="51"/>
      <c r="F74" s="51"/>
      <c r="G74" s="51"/>
      <c r="H74" s="51"/>
      <c r="I74" s="51"/>
      <c r="J74" s="51"/>
      <c r="K74" s="51"/>
      <c r="L74" s="51"/>
    </row>
    <row r="75" spans="1:12" x14ac:dyDescent="0.3">
      <c r="B75" s="50" t="s">
        <v>138</v>
      </c>
      <c r="C75" s="51">
        <f>'Data Sheet'!B83</f>
        <v>-473.88</v>
      </c>
      <c r="D75" s="51">
        <f>'Data Sheet'!C83</f>
        <v>-632.89</v>
      </c>
      <c r="E75" s="51">
        <f>'Data Sheet'!D83</f>
        <v>-2481.61</v>
      </c>
      <c r="F75" s="51">
        <f>'Data Sheet'!E83</f>
        <v>463.55</v>
      </c>
      <c r="G75" s="51">
        <f>'Data Sheet'!F83</f>
        <v>-958.37</v>
      </c>
      <c r="H75" s="51">
        <f>'Data Sheet'!G83</f>
        <v>-4656.5600000000004</v>
      </c>
      <c r="I75" s="51">
        <f>'Data Sheet'!H83</f>
        <v>-1110</v>
      </c>
      <c r="J75" s="51">
        <f>'Data Sheet'!I83</f>
        <v>-1289.49</v>
      </c>
      <c r="K75" s="51">
        <f>'Data Sheet'!J83</f>
        <v>-2313.1</v>
      </c>
      <c r="L75" s="51">
        <f>'Data Sheet'!K83</f>
        <v>-2468.23</v>
      </c>
    </row>
    <row r="76" spans="1:12" x14ac:dyDescent="0.3">
      <c r="B76" s="50"/>
      <c r="C76" s="51"/>
      <c r="D76" s="51"/>
      <c r="E76" s="51"/>
      <c r="F76" s="51"/>
      <c r="G76" s="51"/>
      <c r="H76" s="51"/>
      <c r="I76" s="51"/>
      <c r="J76" s="51"/>
      <c r="K76" s="51"/>
      <c r="L76" s="51"/>
    </row>
    <row r="77" spans="1:12" x14ac:dyDescent="0.3">
      <c r="B77" s="50" t="s">
        <v>139</v>
      </c>
      <c r="C77" s="51">
        <f>'Data Sheet'!B84</f>
        <v>234.45</v>
      </c>
      <c r="D77" s="51">
        <f>'Data Sheet'!C84</f>
        <v>196.44</v>
      </c>
      <c r="E77" s="51">
        <f>'Data Sheet'!D84</f>
        <v>2025.26</v>
      </c>
      <c r="F77" s="51">
        <f>'Data Sheet'!E84</f>
        <v>-1159.06</v>
      </c>
      <c r="G77" s="51">
        <f>'Data Sheet'!F84</f>
        <v>208.98</v>
      </c>
      <c r="H77" s="51">
        <f>'Data Sheet'!G84</f>
        <v>3357.42</v>
      </c>
      <c r="I77" s="51">
        <f>'Data Sheet'!H84</f>
        <v>-179.5</v>
      </c>
      <c r="J77" s="51">
        <f>'Data Sheet'!I84</f>
        <v>-179.24</v>
      </c>
      <c r="K77" s="51">
        <f>'Data Sheet'!J84</f>
        <v>-205.14</v>
      </c>
      <c r="L77" s="51">
        <f>'Data Sheet'!K84</f>
        <v>-147.63999999999999</v>
      </c>
    </row>
    <row r="78" spans="1:12" x14ac:dyDescent="0.3">
      <c r="C78" s="49"/>
      <c r="D78" s="49"/>
      <c r="E78" s="49"/>
      <c r="F78" s="49"/>
      <c r="G78" s="49"/>
      <c r="H78" s="49"/>
      <c r="I78" s="49"/>
      <c r="J78" s="49"/>
      <c r="K78" s="49"/>
      <c r="L78" s="49"/>
    </row>
    <row r="79" spans="1:12" x14ac:dyDescent="0.3">
      <c r="B79" s="43" t="s">
        <v>35</v>
      </c>
      <c r="C79" s="52">
        <f t="shared" ref="C79:L79" si="22">IFERROR(C73+C75+C77,0)</f>
        <v>-17.409999999999997</v>
      </c>
      <c r="D79" s="52">
        <f t="shared" si="22"/>
        <v>-2.9799999999999613</v>
      </c>
      <c r="E79" s="52">
        <f t="shared" si="22"/>
        <v>-1.0700000000001637</v>
      </c>
      <c r="F79" s="52">
        <f t="shared" si="22"/>
        <v>34.480000000000018</v>
      </c>
      <c r="G79" s="52">
        <f t="shared" si="22"/>
        <v>57.450000000000017</v>
      </c>
      <c r="H79" s="52">
        <f t="shared" si="22"/>
        <v>-19</v>
      </c>
      <c r="I79" s="52">
        <f t="shared" si="22"/>
        <v>85.6400000000001</v>
      </c>
      <c r="J79" s="52">
        <f t="shared" si="22"/>
        <v>-96.380000000000109</v>
      </c>
      <c r="K79" s="52">
        <f t="shared" si="22"/>
        <v>112.03000000000009</v>
      </c>
      <c r="L79" s="52">
        <f t="shared" si="22"/>
        <v>129.97000000000014</v>
      </c>
    </row>
  </sheetData>
  <mergeCells count="2">
    <mergeCell ref="B6:L6"/>
    <mergeCell ref="B2:L2"/>
  </mergeCells>
  <pageMargins left="0.39370078740157483" right="0.11811023622047245" top="0.39370078740157483" bottom="0.55118110236220474" header="0.31496062992125984" footer="0.31496062992125984"/>
  <pageSetup paperSize="9" orientation="landscape" r:id="rId1"/>
  <ignoredErrors>
    <ignoredError sqref="C13:H13 C19:L19 I13:L13" formulaRange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4"/>
  <sheetViews>
    <sheetView showGridLines="0" workbookViewId="0">
      <selection activeCell="B2" sqref="B2:O4"/>
    </sheetView>
  </sheetViews>
  <sheetFormatPr defaultRowHeight="14.4" x14ac:dyDescent="0.3"/>
  <cols>
    <col min="1" max="1" width="1.88671875" customWidth="1"/>
    <col min="2" max="2" width="26.77734375" bestFit="1" customWidth="1"/>
    <col min="13" max="13" width="15.109375" customWidth="1"/>
    <col min="14" max="15" width="8" bestFit="1" customWidth="1"/>
  </cols>
  <sheetData>
    <row r="1" spans="2:15" ht="7.2" customHeight="1" x14ac:dyDescent="0.3"/>
    <row r="2" spans="2:15" ht="40.799999999999997" customHeight="1" x14ac:dyDescent="0.35">
      <c r="B2" s="264" t="s">
        <v>1645</v>
      </c>
      <c r="C2" s="264"/>
      <c r="D2" s="264"/>
      <c r="E2" s="264"/>
      <c r="F2" s="264"/>
      <c r="G2" s="264"/>
      <c r="H2" s="264"/>
      <c r="I2" s="264"/>
      <c r="J2" s="264"/>
      <c r="K2" s="264"/>
      <c r="L2" s="264"/>
      <c r="M2" s="264"/>
      <c r="N2" s="264"/>
      <c r="O2" s="264"/>
    </row>
    <row r="3" spans="2:15" ht="12" customHeight="1" x14ac:dyDescent="0.3">
      <c r="B3" s="237" t="s">
        <v>1643</v>
      </c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05"/>
      <c r="N3" s="205"/>
      <c r="O3" s="205"/>
    </row>
    <row r="4" spans="2:15" ht="10.199999999999999" customHeight="1" thickBot="1" x14ac:dyDescent="0.35">
      <c r="B4" s="238" t="s">
        <v>1644</v>
      </c>
      <c r="C4" s="239"/>
      <c r="D4" s="239"/>
      <c r="E4" s="239"/>
      <c r="F4" s="239"/>
      <c r="G4" s="239"/>
      <c r="H4" s="239"/>
      <c r="I4" s="239"/>
      <c r="J4" s="239"/>
      <c r="K4" s="239"/>
      <c r="L4" s="239"/>
      <c r="M4" s="241"/>
      <c r="N4" s="241"/>
      <c r="O4" s="241"/>
    </row>
    <row r="5" spans="2:15" ht="3.6" customHeight="1" x14ac:dyDescent="0.3">
      <c r="B5" s="205"/>
      <c r="C5" s="205"/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</row>
    <row r="6" spans="2:15" x14ac:dyDescent="0.3">
      <c r="B6" s="263" t="str">
        <f>"Ratio Analysis - "&amp;'Data Sheet'!B1</f>
        <v>Ratio Analysis - AVENUE SUPERMARTS LTD</v>
      </c>
      <c r="C6" s="263"/>
      <c r="D6" s="263"/>
      <c r="E6" s="263"/>
      <c r="F6" s="263"/>
      <c r="G6" s="263"/>
      <c r="H6" s="263"/>
      <c r="I6" s="263"/>
      <c r="J6" s="263"/>
      <c r="K6" s="263"/>
      <c r="L6" s="263"/>
      <c r="M6" s="263"/>
      <c r="N6" s="263"/>
      <c r="O6" s="263"/>
    </row>
    <row r="7" spans="2:15" x14ac:dyDescent="0.3">
      <c r="B7" s="234" t="s">
        <v>81</v>
      </c>
      <c r="C7" s="235">
        <f>'Data Sheet'!B16</f>
        <v>42094</v>
      </c>
      <c r="D7" s="235">
        <f>'Data Sheet'!C16</f>
        <v>42460</v>
      </c>
      <c r="E7" s="235">
        <f>'Data Sheet'!D16</f>
        <v>42825</v>
      </c>
      <c r="F7" s="235">
        <f>'Data Sheet'!E16</f>
        <v>43190</v>
      </c>
      <c r="G7" s="235">
        <f>'Data Sheet'!F16</f>
        <v>43555</v>
      </c>
      <c r="H7" s="235">
        <f>'Data Sheet'!G16</f>
        <v>43921</v>
      </c>
      <c r="I7" s="235">
        <f>'Data Sheet'!H16</f>
        <v>44286</v>
      </c>
      <c r="J7" s="235">
        <f>'Data Sheet'!I16</f>
        <v>44651</v>
      </c>
      <c r="K7" s="235">
        <f>'Data Sheet'!J16</f>
        <v>45016</v>
      </c>
      <c r="L7" s="235">
        <f>'Data Sheet'!K16</f>
        <v>45382</v>
      </c>
      <c r="M7" s="235" t="s">
        <v>173</v>
      </c>
      <c r="N7" s="235" t="s">
        <v>171</v>
      </c>
      <c r="O7" s="235" t="s">
        <v>172</v>
      </c>
    </row>
    <row r="8" spans="2:15" ht="4.2" customHeight="1" x14ac:dyDescent="0.3"/>
    <row r="9" spans="2:15" x14ac:dyDescent="0.3">
      <c r="B9" s="56" t="s">
        <v>143</v>
      </c>
      <c r="C9" s="56"/>
      <c r="D9" s="57">
        <f>IFERROR('Historical FS'!D11,0)</f>
        <v>0.33299997049428276</v>
      </c>
      <c r="E9" s="57">
        <f>IFERROR('Historical FS'!E11,0)</f>
        <v>0.38607090598991589</v>
      </c>
      <c r="F9" s="57">
        <f>IFERROR('Historical FS'!F11,0)</f>
        <v>0.26353833093791246</v>
      </c>
      <c r="G9" s="57">
        <f>IFERROR('Historical FS'!G11,0)</f>
        <v>0.33068940744485542</v>
      </c>
      <c r="H9" s="57">
        <f>IFERROR('Historical FS'!H11,0)</f>
        <v>0.24322903023916598</v>
      </c>
      <c r="I9" s="57">
        <f>IFERROR('Historical FS'!I11,0)</f>
        <v>-2.9237400583831175E-2</v>
      </c>
      <c r="J9" s="57">
        <f>IFERROR('Historical FS'!J11,0)</f>
        <v>0.28302998874210639</v>
      </c>
      <c r="K9" s="57">
        <f>IFERROR('Historical FS'!K11,0)</f>
        <v>0.38297993915987938</v>
      </c>
      <c r="L9" s="57">
        <f>IFERROR('Historical FS'!L11,0)</f>
        <v>0.18555909537819737</v>
      </c>
      <c r="M9" s="56"/>
      <c r="N9" s="57">
        <f>IFERROR(AVERAGE(D9:L9),0)</f>
        <v>0.26431769642249825</v>
      </c>
      <c r="O9" s="57">
        <f>IFERROR(MEDIAN(C9:L9),0)</f>
        <v>0.28302998874210639</v>
      </c>
    </row>
    <row r="10" spans="2:15" x14ac:dyDescent="0.3">
      <c r="B10" s="11" t="s">
        <v>144</v>
      </c>
      <c r="C10" s="11"/>
      <c r="D10" s="58">
        <f>IFERROR('Historical FS'!D22/'Historical FS'!C22-1,0)</f>
        <v>0.45631876561610074</v>
      </c>
      <c r="E10" s="58">
        <f>IFERROR('Historical FS'!E22/'Historical FS'!D22-1,0)</f>
        <v>0.45859795924510016</v>
      </c>
      <c r="F10" s="58">
        <f>IFERROR('Historical FS'!F22/'Historical FS'!E22-1,0)</f>
        <v>0.39588105408695995</v>
      </c>
      <c r="G10" s="58">
        <f>IFERROR('Historical FS'!G22/'Historical FS'!F22-1,0)</f>
        <v>0.20730156852889503</v>
      </c>
      <c r="H10" s="58">
        <f>IFERROR('Historical FS'!H22/'Historical FS'!G22-1,0)</f>
        <v>0.30306555399770918</v>
      </c>
      <c r="I10" s="58">
        <f>IFERROR('Historical FS'!I22/'Historical FS'!H22-1,0)</f>
        <v>-0.18018051881539909</v>
      </c>
      <c r="J10" s="58">
        <f>IFERROR('Historical FS'!J22/'Historical FS'!I22-1,0)</f>
        <v>0.43415117805173198</v>
      </c>
      <c r="K10" s="58">
        <f>IFERROR('Historical FS'!K22/'Historical FS'!J22-1,0)</f>
        <v>0.45414110735908042</v>
      </c>
      <c r="L10" s="58">
        <f>IFERROR('Historical FS'!L22/'Historical FS'!K22-1,0)</f>
        <v>0.1283043445999632</v>
      </c>
      <c r="M10" s="11"/>
      <c r="N10" s="58">
        <f>IFERROR(AVERAGE(D10:L10),0)</f>
        <v>0.29528677918557128</v>
      </c>
      <c r="O10" s="58">
        <f t="shared" ref="O10:O44" si="0">IFERROR(MEDIAN(C10:L10),0)</f>
        <v>0.39588105408695995</v>
      </c>
    </row>
    <row r="11" spans="2:15" x14ac:dyDescent="0.3">
      <c r="B11" s="11" t="s">
        <v>145</v>
      </c>
      <c r="C11" s="11"/>
      <c r="D11" s="58">
        <f>IFERROR('Historical FS'!D31/'Historical FS'!C31-1,0)</f>
        <v>0.56994972880011341</v>
      </c>
      <c r="E11" s="58">
        <f>IFERROR('Historical FS'!E31/'Historical FS'!D31-1,0)</f>
        <v>0.51547325623038032</v>
      </c>
      <c r="F11" s="58">
        <f>IFERROR('Historical FS'!F31/'Historical FS'!E31-1,0)</f>
        <v>0.57680224637882582</v>
      </c>
      <c r="G11" s="58">
        <f>IFERROR('Historical FS'!G31/'Historical FS'!F31-1,0)</f>
        <v>0.2109545807179638</v>
      </c>
      <c r="H11" s="58">
        <f>IFERROR('Historical FS'!H31/'Historical FS'!G31-1,0)</f>
        <v>0.22653446029076574</v>
      </c>
      <c r="I11" s="58">
        <f>IFERROR('Historical FS'!I31/'Historical FS'!H31-1,0)</f>
        <v>-0.23490307339830829</v>
      </c>
      <c r="J11" s="58">
        <f>IFERROR('Historical FS'!J31/'Historical FS'!I31-1,0)</f>
        <v>0.51314952444493001</v>
      </c>
      <c r="K11" s="58">
        <f>IFERROR('Historical FS'!K31/'Historical FS'!J31-1,0)</f>
        <v>0.5034709404864417</v>
      </c>
      <c r="L11" s="58">
        <f>IFERROR('Historical FS'!L31/'Historical FS'!K31-1,0)</f>
        <v>0.13103539995021585</v>
      </c>
      <c r="M11" s="11"/>
      <c r="N11" s="58">
        <f>IFERROR(AVERAGE(D11:L11),0)</f>
        <v>0.33471856265570316</v>
      </c>
      <c r="O11" s="58">
        <f t="shared" si="0"/>
        <v>0.5034709404864417</v>
      </c>
    </row>
    <row r="12" spans="2:15" x14ac:dyDescent="0.3">
      <c r="B12" s="11" t="s">
        <v>146</v>
      </c>
      <c r="C12" s="11"/>
      <c r="D12" s="58">
        <f>IFERROR('Historical FS'!D37/'Historical FS'!C37-1,0)</f>
        <v>0.58389051399917613</v>
      </c>
      <c r="E12" s="58">
        <f>IFERROR('Historical FS'!E37/'Historical FS'!D37-1,0)</f>
        <v>0.48769870061341392</v>
      </c>
      <c r="F12" s="58">
        <f>IFERROR('Historical FS'!F37/'Historical FS'!E37-1,0)</f>
        <v>0.5928397251163815</v>
      </c>
      <c r="G12" s="58">
        <f>IFERROR('Historical FS'!G37/'Historical FS'!F37-1,0)</f>
        <v>0.18871863387750087</v>
      </c>
      <c r="H12" s="58">
        <f>IFERROR('Historical FS'!H37/'Historical FS'!G37-1,0)</f>
        <v>0.45292871108613242</v>
      </c>
      <c r="I12" s="58">
        <f>IFERROR('Historical FS'!I37/'Historical FS'!H37-1,0)</f>
        <v>-0.27074351928702245</v>
      </c>
      <c r="J12" s="58">
        <f>IFERROR('Historical FS'!J37/'Historical FS'!I37-1,0)</f>
        <v>0.52349171270718653</v>
      </c>
      <c r="K12" s="58">
        <f>IFERROR('Historical FS'!K37/'Historical FS'!J37-1,0)</f>
        <v>0.6324378426992332</v>
      </c>
      <c r="L12" s="58">
        <f>IFERROR('Historical FS'!L37/'Historical FS'!K37-1,0)</f>
        <v>6.2330611265631886E-2</v>
      </c>
      <c r="M12" s="11"/>
      <c r="N12" s="58">
        <f>IFERROR(AVERAGE(D12:L12),0)</f>
        <v>0.3615103257864038</v>
      </c>
      <c r="O12" s="58">
        <f t="shared" si="0"/>
        <v>0.48769870061341392</v>
      </c>
    </row>
    <row r="13" spans="2:15" x14ac:dyDescent="0.3">
      <c r="B13" s="59" t="s">
        <v>147</v>
      </c>
      <c r="C13" s="59"/>
      <c r="D13" s="60">
        <f>IFERROR('Historical FS'!D45/'Historical FS'!D45-1,0)</f>
        <v>0</v>
      </c>
      <c r="E13" s="60">
        <f>IFERROR('Historical FS'!E45/'Historical FS'!E45-1,0)</f>
        <v>0</v>
      </c>
      <c r="F13" s="60">
        <f>IFERROR('Historical FS'!F45/'Historical FS'!F45-1,0)</f>
        <v>0</v>
      </c>
      <c r="G13" s="60">
        <f>IFERROR('Historical FS'!G45/'Historical FS'!G45-1,0)</f>
        <v>0</v>
      </c>
      <c r="H13" s="60">
        <f>IFERROR('Historical FS'!H45/'Historical FS'!H45-1,0)</f>
        <v>0</v>
      </c>
      <c r="I13" s="60">
        <f>IFERROR('Historical FS'!I45/'Historical FS'!I45-1,0)</f>
        <v>0</v>
      </c>
      <c r="J13" s="60">
        <f>IFERROR('Historical FS'!J45/'Historical FS'!J45-1,0)</f>
        <v>0</v>
      </c>
      <c r="K13" s="60">
        <f>IFERROR('Historical FS'!K45/'Historical FS'!K45-1,0)</f>
        <v>0</v>
      </c>
      <c r="L13" s="60">
        <f>IFERROR('Historical FS'!L45/'Historical FS'!L45-1,0)</f>
        <v>0</v>
      </c>
      <c r="M13" s="59"/>
      <c r="N13" s="60"/>
      <c r="O13" s="60">
        <f t="shared" si="0"/>
        <v>0</v>
      </c>
    </row>
    <row r="14" spans="2:15" x14ac:dyDescent="0.3">
      <c r="N14" s="38"/>
      <c r="O14" s="38"/>
    </row>
    <row r="15" spans="2:15" x14ac:dyDescent="0.3">
      <c r="B15" s="56" t="s">
        <v>148</v>
      </c>
      <c r="C15" s="57">
        <f>IFERROR('Historical FS'!C17,0)</f>
        <v>9.3719475170938898E-2</v>
      </c>
      <c r="D15" s="57">
        <f>IFERROR('Historical FS'!D17,0)</f>
        <v>9.4431810768241517E-2</v>
      </c>
      <c r="E15" s="57">
        <f>IFERROR('Historical FS'!E17,0)</f>
        <v>0.10016137572808194</v>
      </c>
      <c r="F15" s="57">
        <f>IFERROR('Historical FS'!F17,0)</f>
        <v>0.10772423702205787</v>
      </c>
      <c r="G15" s="57">
        <f>IFERROR('Historical FS'!G17,0)</f>
        <v>9.9726961706654377E-2</v>
      </c>
      <c r="H15" s="57">
        <f>IFERROR('Historical FS'!H17,0)</f>
        <v>9.9554084808324825E-2</v>
      </c>
      <c r="I15" s="57">
        <f>IFERROR('Historical FS'!I17,0)</f>
        <v>8.8231152140615068E-2</v>
      </c>
      <c r="J15" s="57">
        <f>IFERROR('Historical FS'!J17,0)</f>
        <v>9.5163491278969392E-2</v>
      </c>
      <c r="K15" s="57">
        <f>IFERROR('Historical FS'!K17,0)</f>
        <v>9.9820586392577265E-2</v>
      </c>
      <c r="L15" s="57">
        <f>IFERROR('Historical FS'!L17,0)</f>
        <v>9.6604903085973914E-2</v>
      </c>
      <c r="M15" s="56"/>
      <c r="N15" s="57">
        <f>IFERROR(AVERAGE(C15:L15),0)</f>
        <v>9.7513807810243505E-2</v>
      </c>
      <c r="O15" s="57">
        <f t="shared" si="0"/>
        <v>9.8079493947149377E-2</v>
      </c>
    </row>
    <row r="16" spans="2:15" x14ac:dyDescent="0.3">
      <c r="B16" s="11" t="s">
        <v>149</v>
      </c>
      <c r="C16" s="58">
        <f>IFERROR('Historical FS'!C23,0)</f>
        <v>7.0854097334701854E-2</v>
      </c>
      <c r="D16" s="58">
        <f>IFERROR('Historical FS'!D23,0)</f>
        <v>7.7408967631900333E-2</v>
      </c>
      <c r="E16" s="58">
        <f>IFERROR('Historical FS'!E23,0)</f>
        <v>8.1459441740840702E-2</v>
      </c>
      <c r="F16" s="58">
        <f>IFERROR('Historical FS'!F23,0)</f>
        <v>8.9991485512066663E-2</v>
      </c>
      <c r="G16" s="58">
        <f>IFERROR('Historical FS'!G23,0)</f>
        <v>8.1647047767204689E-2</v>
      </c>
      <c r="H16" s="58">
        <f>IFERROR('Historical FS'!H23,0)</f>
        <v>8.5576714300648976E-2</v>
      </c>
      <c r="I16" s="58">
        <f>IFERROR('Historical FS'!I23,0)</f>
        <v>7.2270457845857075E-2</v>
      </c>
      <c r="J16" s="58">
        <f>IFERROR('Historical FS'!J23,0)</f>
        <v>8.0782805676732586E-2</v>
      </c>
      <c r="K16" s="58">
        <f>IFERROR('Historical FS'!K23,0)</f>
        <v>8.4939481171141737E-2</v>
      </c>
      <c r="L16" s="58">
        <f>IFERROR('Historical FS'!L23,0)</f>
        <v>8.083745973277992E-2</v>
      </c>
      <c r="M16" s="11"/>
      <c r="N16" s="58">
        <f>IFERROR(AVERAGE(C16:L16),0)</f>
        <v>8.0576795871387441E-2</v>
      </c>
      <c r="O16" s="58">
        <f t="shared" si="0"/>
        <v>8.1148450736810318E-2</v>
      </c>
    </row>
    <row r="17" spans="2:15" x14ac:dyDescent="0.3">
      <c r="B17" s="11" t="s">
        <v>150</v>
      </c>
      <c r="C17" s="58">
        <f>IFERROR(('Historical FS'!C22-'Historical FS'!C28)/'Historical FS'!C10,0)</f>
        <v>5.8191485892384744E-2</v>
      </c>
      <c r="D17" s="58">
        <f>IFERROR(('Historical FS'!D22-'Historical FS'!D28)/'Historical FS'!D10,0)</f>
        <v>6.5941964826602889E-2</v>
      </c>
      <c r="E17" s="58">
        <f>IFERROR(('Historical FS'!E22-'Historical FS'!E28)/'Historical FS'!E10,0)</f>
        <v>7.0716188843221839E-2</v>
      </c>
      <c r="F17" s="58">
        <f>IFERROR(('Historical FS'!F22-'Historical FS'!F28)/'Historical FS'!F10,0)</f>
        <v>7.9414895032328486E-2</v>
      </c>
      <c r="G17" s="58">
        <f>IFERROR(('Historical FS'!G22-'Historical FS'!G28)/'Historical FS'!G10,0)</f>
        <v>7.1024948361670337E-2</v>
      </c>
      <c r="H17" s="58">
        <f>IFERROR(('Historical FS'!H22-'Historical FS'!H28)/'Historical FS'!H10,0)</f>
        <v>7.0522151008033718E-2</v>
      </c>
      <c r="I17" s="58">
        <f>IFERROR(('Historical FS'!I22-'Historical FS'!I28)/'Historical FS'!I10,0)</f>
        <v>5.5116045770502921E-2</v>
      </c>
      <c r="J17" s="58">
        <f>IFERROR(('Historical FS'!J22-'Historical FS'!J28)/'Historical FS'!J10,0)</f>
        <v>6.4703400377127435E-2</v>
      </c>
      <c r="K17" s="58">
        <f>IFERROR(('Historical FS'!K22-'Historical FS'!K28)/'Historical FS'!K10,0)</f>
        <v>7.0026396162798987E-2</v>
      </c>
      <c r="L17" s="58">
        <f>IFERROR(('Historical FS'!L22-'Historical FS'!L28)/'Historical FS'!L10,0)</f>
        <v>6.6449256657418659E-2</v>
      </c>
      <c r="M17" s="11"/>
      <c r="N17" s="58">
        <f>IFERROR(AVERAGE(C17:L17),0)</f>
        <v>6.7210673293208997E-2</v>
      </c>
      <c r="O17" s="58">
        <f t="shared" si="0"/>
        <v>6.8237826410108823E-2</v>
      </c>
    </row>
    <row r="18" spans="2:15" x14ac:dyDescent="0.3">
      <c r="B18" s="11" t="s">
        <v>151</v>
      </c>
      <c r="C18" s="58">
        <f>IFERROR('Historical FS'!C32,0)</f>
        <v>4.6954466466752352E-2</v>
      </c>
      <c r="D18" s="58">
        <f>IFERROR('Historical FS'!D32,0)</f>
        <v>5.5300940380439437E-2</v>
      </c>
      <c r="E18" s="58">
        <f>IFERROR('Historical FS'!E32,0)</f>
        <v>6.0463787118518748E-2</v>
      </c>
      <c r="F18" s="58">
        <f>IFERROR('Historical FS'!F32,0)</f>
        <v>7.5454327754569922E-2</v>
      </c>
      <c r="G18" s="58">
        <f>IFERROR('Historical FS'!G32,0)</f>
        <v>6.8664981714132683E-2</v>
      </c>
      <c r="H18" s="58">
        <f>IFERROR('Historical FS'!H32,0)</f>
        <v>6.7742921247115034E-2</v>
      </c>
      <c r="I18" s="58">
        <f>IFERROR('Historical FS'!I32,0)</f>
        <v>5.3390912336712844E-2</v>
      </c>
      <c r="J18" s="58">
        <f>IFERROR('Historical FS'!J32,0)</f>
        <v>6.2966909831299933E-2</v>
      </c>
      <c r="K18" s="58">
        <f>IFERROR('Historical FS'!K32,0)</f>
        <v>6.845285058950179E-2</v>
      </c>
      <c r="L18" s="58">
        <f>IFERROR('Historical FS'!L32,0)</f>
        <v>6.5304713654557603E-2</v>
      </c>
      <c r="M18" s="11"/>
      <c r="N18" s="58">
        <f>IFERROR(AVERAGE(C18:L18),0)</f>
        <v>6.2469681109360034E-2</v>
      </c>
      <c r="O18" s="58">
        <f t="shared" si="0"/>
        <v>6.4135811742928761E-2</v>
      </c>
    </row>
    <row r="19" spans="2:15" x14ac:dyDescent="0.3">
      <c r="B19" s="59" t="s">
        <v>152</v>
      </c>
      <c r="C19" s="60">
        <f>IFERROR('Historical FS'!C38,0)</f>
        <v>2.9729339398052168E-2</v>
      </c>
      <c r="D19" s="60">
        <f>IFERROR('Historical FS'!D38,0)</f>
        <v>3.5324845988238353E-2</v>
      </c>
      <c r="E19" s="60">
        <f>IFERROR('Historical FS'!E38,0)</f>
        <v>3.7914891113408518E-2</v>
      </c>
      <c r="F19" s="60">
        <f>IFERROR('Historical FS'!F38,0)</f>
        <v>4.7796211052869693E-2</v>
      </c>
      <c r="G19" s="60">
        <f>IFERROR('Historical FS'!G38,0)</f>
        <v>4.2696850511784408E-2</v>
      </c>
      <c r="H19" s="60">
        <f>IFERROR('Historical FS'!H38,0)</f>
        <v>4.9898673914966524E-2</v>
      </c>
      <c r="I19" s="60">
        <f>IFERROR('Historical FS'!I38,0)</f>
        <v>3.7484892138776045E-2</v>
      </c>
      <c r="J19" s="60">
        <f>IFERROR('Historical FS'!J38,0)</f>
        <v>4.4510200873120014E-2</v>
      </c>
      <c r="K19" s="60">
        <f>IFERROR('Historical FS'!K38,0)</f>
        <v>5.2538821593872513E-2</v>
      </c>
      <c r="L19" s="60">
        <f>IFERROR('Historical FS'!L38,0)</f>
        <v>4.7077871256337368E-2</v>
      </c>
      <c r="M19" s="59"/>
      <c r="N19" s="60">
        <f>IFERROR(AVERAGE(C19:L19),0)</f>
        <v>4.2497259784142559E-2</v>
      </c>
      <c r="O19" s="60">
        <f t="shared" si="0"/>
        <v>4.3603525692452211E-2</v>
      </c>
    </row>
    <row r="20" spans="2:15" x14ac:dyDescent="0.3">
      <c r="N20" s="38"/>
      <c r="O20" s="38"/>
    </row>
    <row r="21" spans="2:15" x14ac:dyDescent="0.3">
      <c r="B21" s="56" t="s">
        <v>153</v>
      </c>
      <c r="C21" s="57">
        <f>IFERROR('Historical FS'!C20,0)</f>
        <v>2.2865377836237051E-2</v>
      </c>
      <c r="D21" s="57">
        <f>IFERROR('Historical FS'!D20,0)</f>
        <v>1.7022843136341184E-2</v>
      </c>
      <c r="E21" s="57">
        <f>IFERROR('Historical FS'!E20,0)</f>
        <v>1.870193398724123E-2</v>
      </c>
      <c r="F21" s="57">
        <f>IFERROR('Historical FS'!F20,0)</f>
        <v>1.7732751509991221E-2</v>
      </c>
      <c r="G21" s="57">
        <f>IFERROR('Historical FS'!G20,0)</f>
        <v>1.8079913939449684E-2</v>
      </c>
      <c r="H21" s="57">
        <f>IFERROR('Historical FS'!H20,0)</f>
        <v>1.3977370507675852E-2</v>
      </c>
      <c r="I21" s="57">
        <f>IFERROR('Historical FS'!I20,0)</f>
        <v>1.5960694294757993E-2</v>
      </c>
      <c r="J21" s="57">
        <f>IFERROR('Historical FS'!J20,0)</f>
        <v>1.438068560223681E-2</v>
      </c>
      <c r="K21" s="57">
        <f>IFERROR('Historical FS'!K20,0)</f>
        <v>1.4881105221435514E-2</v>
      </c>
      <c r="L21" s="57">
        <f>IFERROR('Historical FS'!L20,0)</f>
        <v>1.5767443353193997E-2</v>
      </c>
      <c r="M21" s="56"/>
      <c r="N21" s="57">
        <f>IFERROR(AVERAGE(C21:L21),0)</f>
        <v>1.6937011938856054E-2</v>
      </c>
      <c r="O21" s="57">
        <f t="shared" si="0"/>
        <v>1.6491768715549589E-2</v>
      </c>
    </row>
    <row r="22" spans="2:15" x14ac:dyDescent="0.3">
      <c r="B22" s="11" t="s">
        <v>154</v>
      </c>
      <c r="C22" s="58">
        <f>IFERROR('Historical FS'!C29,0)</f>
        <v>1.26626114423171E-2</v>
      </c>
      <c r="D22" s="58">
        <f>IFERROR('Historical FS'!D29,0)</f>
        <v>1.1467002805297445E-2</v>
      </c>
      <c r="E22" s="58">
        <f>IFERROR('Historical FS'!E29,0)</f>
        <v>1.0743252897618866E-2</v>
      </c>
      <c r="F22" s="58">
        <f>IFERROR('Historical FS'!F29,0)</f>
        <v>1.0576590479738178E-2</v>
      </c>
      <c r="G22" s="58">
        <f>IFERROR('Historical FS'!G29,0)</f>
        <v>1.062209940553435E-2</v>
      </c>
      <c r="H22" s="58">
        <f>IFERROR('Historical FS'!H29,0)</f>
        <v>1.5054563292615258E-2</v>
      </c>
      <c r="I22" s="58">
        <f>IFERROR('Historical FS'!I29,0)</f>
        <v>1.7154412075354161E-2</v>
      </c>
      <c r="J22" s="58">
        <f>IFERROR('Historical FS'!J29,0)</f>
        <v>1.6079405299605148E-2</v>
      </c>
      <c r="K22" s="58">
        <f>IFERROR('Historical FS'!K29,0)</f>
        <v>1.4913085008342757E-2</v>
      </c>
      <c r="L22" s="58">
        <f>IFERROR('Historical FS'!L29,0)</f>
        <v>1.4388203075361254E-2</v>
      </c>
      <c r="M22" s="11"/>
      <c r="N22" s="58">
        <f t="shared" ref="N22:N44" si="1">IFERROR(AVERAGE(C22:L22),0)</f>
        <v>1.3366122578178452E-2</v>
      </c>
      <c r="O22" s="58">
        <f t="shared" si="0"/>
        <v>1.3525407258839177E-2</v>
      </c>
    </row>
    <row r="23" spans="2:15" x14ac:dyDescent="0.3">
      <c r="B23" s="59" t="s">
        <v>155</v>
      </c>
      <c r="C23" s="60">
        <f>C17</f>
        <v>5.8191485892384744E-2</v>
      </c>
      <c r="D23" s="60">
        <f t="shared" ref="D23:L23" si="2">D17</f>
        <v>6.5941964826602889E-2</v>
      </c>
      <c r="E23" s="60">
        <f t="shared" si="2"/>
        <v>7.0716188843221839E-2</v>
      </c>
      <c r="F23" s="60">
        <f t="shared" si="2"/>
        <v>7.9414895032328486E-2</v>
      </c>
      <c r="G23" s="60">
        <f t="shared" si="2"/>
        <v>7.1024948361670337E-2</v>
      </c>
      <c r="H23" s="60">
        <f t="shared" si="2"/>
        <v>7.0522151008033718E-2</v>
      </c>
      <c r="I23" s="60">
        <f t="shared" si="2"/>
        <v>5.5116045770502921E-2</v>
      </c>
      <c r="J23" s="60">
        <f t="shared" si="2"/>
        <v>6.4703400377127435E-2</v>
      </c>
      <c r="K23" s="60">
        <f t="shared" si="2"/>
        <v>7.0026396162798987E-2</v>
      </c>
      <c r="L23" s="60">
        <f t="shared" si="2"/>
        <v>6.6449256657418659E-2</v>
      </c>
      <c r="M23" s="59"/>
      <c r="N23" s="60">
        <f t="shared" si="1"/>
        <v>6.7210673293208997E-2</v>
      </c>
      <c r="O23" s="60">
        <f t="shared" si="0"/>
        <v>6.8237826410108823E-2</v>
      </c>
    </row>
    <row r="24" spans="2:15" x14ac:dyDescent="0.3">
      <c r="N24" s="38"/>
      <c r="O24" s="38"/>
    </row>
    <row r="25" spans="2:15" x14ac:dyDescent="0.3">
      <c r="B25" s="56" t="s">
        <v>156</v>
      </c>
      <c r="C25" s="57">
        <f>IFERROR(('Historical FS'!C22-'Historical FS'!C28)/(SUM('Historical FS'!C51:C53)),0)</f>
        <v>0.17814542774964898</v>
      </c>
      <c r="D25" s="57">
        <f>IFERROR(('Historical FS'!D22-'Historical FS'!D28)/(SUM('Historical FS'!D51:D53)),0)</f>
        <v>0.20865311599171366</v>
      </c>
      <c r="E25" s="57">
        <f>IFERROR(('Historical FS'!E22-'Historical FS'!E28)/(SUM('Historical FS'!E51:E53)),0)</f>
        <v>0.15758461163866583</v>
      </c>
      <c r="F25" s="57">
        <f>IFERROR(('Historical FS'!F22-'Historical FS'!F28)/(SUM('Historical FS'!F51:F53)),0)</f>
        <v>0.23370984476244555</v>
      </c>
      <c r="G25" s="57">
        <f>IFERROR(('Historical FS'!G22-'Historical FS'!G28)/(SUM('Historical FS'!G51:G53)),0)</f>
        <v>0.22597175392836721</v>
      </c>
      <c r="H25" s="57">
        <f>IFERROR(('Historical FS'!H22-'Historical FS'!H28)/(SUM('Historical FS'!H51:H53)),0)</f>
        <v>0.15367657560328507</v>
      </c>
      <c r="I25" s="57">
        <f>IFERROR(('Historical FS'!I22-'Historical FS'!I28)/(SUM('Historical FS'!I51:I53)),0)</f>
        <v>0.1058067399148564</v>
      </c>
      <c r="J25" s="57">
        <f>IFERROR(('Historical FS'!J22-'Historical FS'!J28)/(SUM('Historical FS'!J51:J53)),0)</f>
        <v>0.13991823844049886</v>
      </c>
      <c r="K25" s="57">
        <f>IFERROR(('Historical FS'!K22-'Historical FS'!K28)/(SUM('Historical FS'!K51:K53)),0)</f>
        <v>0.17940183043808977</v>
      </c>
      <c r="L25" s="57">
        <f>IFERROR(('Historical FS'!L22-'Historical FS'!L28)/(SUM('Historical FS'!L51:L53)),0)</f>
        <v>0.17495508030594145</v>
      </c>
      <c r="M25" s="56"/>
      <c r="N25" s="57">
        <f t="shared" si="1"/>
        <v>0.17578232187735127</v>
      </c>
      <c r="O25" s="57">
        <f t="shared" si="0"/>
        <v>0.17655025402779523</v>
      </c>
    </row>
    <row r="26" spans="2:15" x14ac:dyDescent="0.3">
      <c r="B26" s="11" t="s">
        <v>157</v>
      </c>
      <c r="C26" s="58">
        <f>IFERROR('Historical FS'!C48,0)</f>
        <v>1</v>
      </c>
      <c r="D26" s="58">
        <f>IFERROR('Historical FS'!D48,0)</f>
        <v>1</v>
      </c>
      <c r="E26" s="58">
        <f>IFERROR('Historical FS'!E48,0)</f>
        <v>1</v>
      </c>
      <c r="F26" s="58">
        <f>IFERROR('Historical FS'!F48,0)</f>
        <v>1</v>
      </c>
      <c r="G26" s="58">
        <f>IFERROR('Historical FS'!G48,0)</f>
        <v>1</v>
      </c>
      <c r="H26" s="58">
        <f>IFERROR('Historical FS'!H48,0)</f>
        <v>1</v>
      </c>
      <c r="I26" s="58">
        <f>IFERROR('Historical FS'!I48,0)</f>
        <v>1</v>
      </c>
      <c r="J26" s="58">
        <f>IFERROR('Historical FS'!J48,0)</f>
        <v>1</v>
      </c>
      <c r="K26" s="58">
        <f>IFERROR('Historical FS'!K48,0)</f>
        <v>1</v>
      </c>
      <c r="L26" s="58">
        <f>IFERROR('Historical FS'!L48,0)</f>
        <v>1</v>
      </c>
      <c r="M26" s="11"/>
      <c r="N26" s="58">
        <f t="shared" si="1"/>
        <v>1</v>
      </c>
      <c r="O26" s="58">
        <f t="shared" si="0"/>
        <v>1</v>
      </c>
    </row>
    <row r="27" spans="2:15" x14ac:dyDescent="0.3">
      <c r="B27" s="11" t="s">
        <v>158</v>
      </c>
      <c r="C27" s="58">
        <f>IFERROR('Historical FS'!C37/SUM('Historical FS'!C51:C52),0)</f>
        <v>0.15964109106980467</v>
      </c>
      <c r="D27" s="58">
        <f>IFERROR('Historical FS'!D37/SUM('Historical FS'!D51:D52),0)</f>
        <v>0.19942911262529323</v>
      </c>
      <c r="E27" s="58">
        <f>IFERROR('Historical FS'!E37/SUM('Historical FS'!E51:E52),0)</f>
        <v>0.11741952948893498</v>
      </c>
      <c r="F27" s="58">
        <f>IFERROR('Historical FS'!F37/SUM('Historical FS'!F51:F52),0)</f>
        <v>0.15389211938188724</v>
      </c>
      <c r="G27" s="58">
        <f>IFERROR('Historical FS'!G37/SUM('Historical FS'!G51:G52),0)</f>
        <v>0.15286579745680079</v>
      </c>
      <c r="H27" s="58">
        <f>IFERROR('Historical FS'!H37/SUM('Historical FS'!H51:H52),0)</f>
        <v>0.11200533586528208</v>
      </c>
      <c r="I27" s="58">
        <f>IFERROR('Historical FS'!I37/SUM('Historical FS'!I51:I52),0)</f>
        <v>7.4279509279193148E-2</v>
      </c>
      <c r="J27" s="58">
        <f>IFERROR('Historical FS'!J37/SUM('Historical FS'!J51:J52),0)</f>
        <v>0.10080393986097026</v>
      </c>
      <c r="K27" s="58">
        <f>IFERROR('Historical FS'!K37/SUM('Historical FS'!K51:K52),0)</f>
        <v>0.13998271004496612</v>
      </c>
      <c r="L27" s="58">
        <f>IFERROR('Historical FS'!L37/SUM('Historical FS'!L51:L52),0)</f>
        <v>0.12787747448633077</v>
      </c>
      <c r="M27" s="11"/>
      <c r="N27" s="58">
        <f t="shared" si="1"/>
        <v>0.13381966195594636</v>
      </c>
      <c r="O27" s="58">
        <f t="shared" si="0"/>
        <v>0.13393009226564845</v>
      </c>
    </row>
    <row r="28" spans="2:15" x14ac:dyDescent="0.3">
      <c r="B28" s="11" t="s">
        <v>159</v>
      </c>
      <c r="C28" s="58">
        <f t="shared" ref="C28:L28" si="3">IFERROR(C26*C27,0)</f>
        <v>0.15964109106980467</v>
      </c>
      <c r="D28" s="58">
        <f t="shared" si="3"/>
        <v>0.19942911262529323</v>
      </c>
      <c r="E28" s="58">
        <f t="shared" si="3"/>
        <v>0.11741952948893498</v>
      </c>
      <c r="F28" s="58">
        <f t="shared" si="3"/>
        <v>0.15389211938188724</v>
      </c>
      <c r="G28" s="58">
        <f t="shared" si="3"/>
        <v>0.15286579745680079</v>
      </c>
      <c r="H28" s="58">
        <f t="shared" si="3"/>
        <v>0.11200533586528208</v>
      </c>
      <c r="I28" s="58">
        <f t="shared" si="3"/>
        <v>7.4279509279193148E-2</v>
      </c>
      <c r="J28" s="58">
        <f t="shared" si="3"/>
        <v>0.10080393986097026</v>
      </c>
      <c r="K28" s="58">
        <f t="shared" si="3"/>
        <v>0.13998271004496612</v>
      </c>
      <c r="L28" s="58">
        <f t="shared" si="3"/>
        <v>0.12787747448633077</v>
      </c>
      <c r="M28" s="11"/>
      <c r="N28" s="58">
        <f t="shared" si="1"/>
        <v>0.13381966195594636</v>
      </c>
      <c r="O28" s="58">
        <f t="shared" si="0"/>
        <v>0.13393009226564845</v>
      </c>
    </row>
    <row r="29" spans="2:15" x14ac:dyDescent="0.3">
      <c r="B29" s="59" t="s">
        <v>160</v>
      </c>
      <c r="C29" s="61">
        <f>('Historical FS'!C22-'Historical FS'!C28)/'Historical FS'!C25</f>
        <v>5.1785516860143606</v>
      </c>
      <c r="D29" s="61">
        <f>('Historical FS'!D22-'Historical FS'!D28)/'Historical FS'!D25</f>
        <v>6.1969564265382182</v>
      </c>
      <c r="E29" s="61">
        <f>('Historical FS'!E22-'Historical FS'!E28)/'Historical FS'!E25</f>
        <v>6.8975241842925117</v>
      </c>
      <c r="F29" s="61">
        <f>('Historical FS'!F22-'Historical FS'!F28)/'Historical FS'!F25</f>
        <v>20.051394020826347</v>
      </c>
      <c r="G29" s="61">
        <f>('Historical FS'!G22-'Historical FS'!G28)/'Historical FS'!G25</f>
        <v>30.095742427451842</v>
      </c>
      <c r="H29" s="61">
        <f>('Historical FS'!H22-'Historical FS'!H28)/'Historical FS'!H25</f>
        <v>25.374710648148152</v>
      </c>
      <c r="I29" s="61">
        <f>('Historical FS'!I22-'Historical FS'!I28)/'Historical FS'!I25</f>
        <v>31.948859543817488</v>
      </c>
      <c r="J29" s="61">
        <f>('Historical FS'!J22-'Historical FS'!J28)/'Historical FS'!J25</f>
        <v>37.2610150585611</v>
      </c>
      <c r="K29" s="61">
        <f>('Historical FS'!K22-'Historical FS'!K28)/'Historical FS'!K25</f>
        <v>44.502299362112403</v>
      </c>
      <c r="L29" s="61">
        <f>('Historical FS'!L22-'Historical FS'!L28)/'Historical FS'!L25</f>
        <v>58.057457423017453</v>
      </c>
      <c r="M29" s="59"/>
      <c r="N29" s="61">
        <f t="shared" si="1"/>
        <v>26.556451078077988</v>
      </c>
      <c r="O29" s="61">
        <f t="shared" si="0"/>
        <v>27.735226537799996</v>
      </c>
    </row>
    <row r="30" spans="2:15" x14ac:dyDescent="0.3">
      <c r="N30" s="38"/>
      <c r="O30" s="38"/>
    </row>
    <row r="31" spans="2:15" x14ac:dyDescent="0.3">
      <c r="B31" s="56" t="s">
        <v>161</v>
      </c>
      <c r="C31" s="62">
        <f>'Historical FS'!C10/'Historical FS'!C63</f>
        <v>910.81046676096184</v>
      </c>
      <c r="D31" s="62">
        <f>'Historical FS'!D10/'Historical FS'!D63</f>
        <v>1019.4489311163895</v>
      </c>
      <c r="E31" s="62">
        <f>'Historical FS'!E10/'Historical FS'!E63</f>
        <v>566.55714285714294</v>
      </c>
      <c r="F31" s="62">
        <f>'Historical FS'!F10/'Historical FS'!F63</f>
        <v>448.48448687350833</v>
      </c>
      <c r="G31" s="62">
        <f>'Historical FS'!G10/'Historical FS'!G63</f>
        <v>310.77396302625448</v>
      </c>
      <c r="H31" s="62">
        <f>'Historical FS'!H10/'Historical FS'!H63</f>
        <v>1272.1329923273656</v>
      </c>
      <c r="I31" s="62">
        <f>'Historical FS'!I10/'Historical FS'!I63</f>
        <v>553.99403396053242</v>
      </c>
      <c r="J31" s="62">
        <f>'Historical FS'!J10/'Historical FS'!J63</f>
        <v>463.09268949020782</v>
      </c>
      <c r="K31" s="62">
        <f>'Historical FS'!K10/'Historical FS'!K63</f>
        <v>689.18211068211065</v>
      </c>
      <c r="L31" s="62">
        <f>'Historical FS'!L10/'Historical FS'!L63</f>
        <v>305.27637194205687</v>
      </c>
      <c r="M31" s="56"/>
      <c r="N31" s="62">
        <f t="shared" si="1"/>
        <v>653.97531890365303</v>
      </c>
      <c r="O31" s="62">
        <f>IFERROR(MEDIAN(C31:L31),0)</f>
        <v>560.27558840883762</v>
      </c>
    </row>
    <row r="32" spans="2:15" x14ac:dyDescent="0.3">
      <c r="B32" s="11" t="s">
        <v>162</v>
      </c>
      <c r="C32" s="63">
        <f>'Historical FS'!C10/'Historical FS'!C54</f>
        <v>25.618356142584339</v>
      </c>
      <c r="D32" s="63">
        <f>'Historical FS'!D10/'Historical FS'!D54</f>
        <v>22.078707752456403</v>
      </c>
      <c r="E32" s="63">
        <f>'Historical FS'!E10/'Historical FS'!E54</f>
        <v>24.777583406222668</v>
      </c>
      <c r="F32" s="63">
        <f>'Historical FS'!F10/'Historical FS'!F54</f>
        <v>27.843384205067419</v>
      </c>
      <c r="G32" s="63">
        <f>'Historical FS'!G10/'Historical FS'!G54</f>
        <v>27.865329433068673</v>
      </c>
      <c r="H32" s="63">
        <f>'Historical FS'!H10/'Historical FS'!H54</f>
        <v>37.498605310374984</v>
      </c>
      <c r="I32" s="63">
        <f>'Historical FS'!I10/'Historical FS'!I54</f>
        <v>22.383078534808043</v>
      </c>
      <c r="J32" s="63">
        <f>'Historical FS'!J10/'Historical FS'!J54</f>
        <v>27.020472784368454</v>
      </c>
      <c r="K32" s="63">
        <f>'Historical FS'!K10/'Historical FS'!K54</f>
        <v>30.979404703364093</v>
      </c>
      <c r="L32" s="63">
        <f>'Historical FS'!L10/'Historical FS'!L54</f>
        <v>26.979458167330677</v>
      </c>
      <c r="M32" s="11"/>
      <c r="N32" s="63">
        <f t="shared" si="1"/>
        <v>27.304438043964574</v>
      </c>
      <c r="O32" s="63">
        <f t="shared" si="0"/>
        <v>26.999965475849564</v>
      </c>
    </row>
    <row r="33" spans="2:15" x14ac:dyDescent="0.3">
      <c r="B33" s="11" t="s">
        <v>47</v>
      </c>
      <c r="C33" s="63">
        <f>IFERROR('Historical FS'!C10/'Historical FS'!C64,0)</f>
        <v>11.933489001315765</v>
      </c>
      <c r="D33" s="63">
        <f>IFERROR('Historical FS'!D10/'Historical FS'!D64,0)</f>
        <v>12.779347615715583</v>
      </c>
      <c r="E33" s="63">
        <f>IFERROR('Historical FS'!E10/'Historical FS'!E64,0)</f>
        <v>12.551640468403841</v>
      </c>
      <c r="F33" s="63">
        <f>IFERROR('Historical FS'!F10/'Historical FS'!F64,0)</f>
        <v>12.921225665047919</v>
      </c>
      <c r="G33" s="63">
        <f>IFERROR('Historical FS'!G10/'Historical FS'!G64,0)</f>
        <v>12.435595064184254</v>
      </c>
      <c r="H33" s="63">
        <f>IFERROR('Historical FS'!H10/'Historical FS'!H64,0)</f>
        <v>12.770976686864538</v>
      </c>
      <c r="I33" s="63">
        <f>IFERROR('Historical FS'!I10/'Historical FS'!I64,0)</f>
        <v>10.738457843329122</v>
      </c>
      <c r="J33" s="63">
        <f>IFERROR('Historical FS'!J10/'Historical FS'!J64,0)</f>
        <v>11.294243544588101</v>
      </c>
      <c r="K33" s="63">
        <f>IFERROR('Historical FS'!K10/'Historical FS'!K64,0)</f>
        <v>13.2079001566219</v>
      </c>
      <c r="L33" s="63">
        <f>IFERROR('Historical FS'!L10/'Historical FS'!L64,0)</f>
        <v>12.932218235891744</v>
      </c>
      <c r="M33" s="11"/>
      <c r="N33" s="63">
        <f t="shared" si="1"/>
        <v>12.356509428196278</v>
      </c>
      <c r="O33" s="63">
        <f t="shared" si="0"/>
        <v>12.661308577634189</v>
      </c>
    </row>
    <row r="34" spans="2:15" x14ac:dyDescent="0.3">
      <c r="B34" s="11" t="s">
        <v>163</v>
      </c>
      <c r="C34" s="63">
        <f>IFERROR('Historical FS'!C10/'Historical FS'!C57,0)</f>
        <v>4.2140660174859956</v>
      </c>
      <c r="D34" s="63">
        <f>IFERROR('Historical FS'!D10/'Historical FS'!D57,0)</f>
        <v>4.1001566739271658</v>
      </c>
      <c r="E34" s="63">
        <f>IFERROR('Historical FS'!E10/'Historical FS'!E57,0)</f>
        <v>4.6155368053535062</v>
      </c>
      <c r="F34" s="63">
        <f>IFERROR('Historical FS'!F10/'Historical FS'!F57,0)</f>
        <v>4.4215684256037555</v>
      </c>
      <c r="G34" s="63">
        <f>IFERROR('Historical FS'!G10/'Historical FS'!G57,0)</f>
        <v>4.5460995325393094</v>
      </c>
      <c r="H34" s="63">
        <f>IFERROR('Historical FS'!H10/'Historical FS'!H57,0)</f>
        <v>4.1812499264462355</v>
      </c>
      <c r="I34" s="63">
        <f>IFERROR('Historical FS'!I10/'Historical FS'!I57,0)</f>
        <v>3.4446781189361948</v>
      </c>
      <c r="J34" s="63">
        <f>IFERROR('Historical FS'!J10/'Historical FS'!J57,0)</f>
        <v>3.3451623214636683</v>
      </c>
      <c r="K34" s="63">
        <f>IFERROR('Historical FS'!K10/'Historical FS'!K57,0)</f>
        <v>3.7775790795451338</v>
      </c>
      <c r="L34" s="63">
        <f>IFERROR('Historical FS'!L10/'Historical FS'!L57,0)</f>
        <v>3.7859731643682446</v>
      </c>
      <c r="M34" s="11"/>
      <c r="N34" s="63">
        <f t="shared" si="1"/>
        <v>4.043207006566921</v>
      </c>
      <c r="O34" s="63">
        <f t="shared" si="0"/>
        <v>4.1407033001867006</v>
      </c>
    </row>
    <row r="35" spans="2:15" x14ac:dyDescent="0.3">
      <c r="B35" s="59" t="s">
        <v>164</v>
      </c>
      <c r="C35" s="61">
        <f>IFERROR('Historical FS'!C10/SUM('Historical FS'!C51:C52),0)</f>
        <v>5.3698162926642148</v>
      </c>
      <c r="D35" s="61">
        <f>IFERROR('Historical FS'!D10/SUM('Historical FS'!D51:D52),0)</f>
        <v>5.6455762805503671</v>
      </c>
      <c r="E35" s="61">
        <f>IFERROR('Historical FS'!E10/SUM('Historical FS'!E51:E52),0)</f>
        <v>3.0969238217701172</v>
      </c>
      <c r="F35" s="61">
        <f>IFERROR('Historical FS'!F10/SUM('Historical FS'!F51:F52),0)</f>
        <v>3.2197556248059027</v>
      </c>
      <c r="G35" s="61">
        <f>IFERROR('Historical FS'!G10/SUM('Historical FS'!G51:G52),0)</f>
        <v>3.5802593311796977</v>
      </c>
      <c r="H35" s="61">
        <f>IFERROR('Historical FS'!H10/SUM('Historical FS'!H51:H52),0)</f>
        <v>2.2446555605095426</v>
      </c>
      <c r="I35" s="61">
        <f>IFERROR('Historical FS'!I10/SUM('Historical FS'!I51:I52),0)</f>
        <v>1.9815852478432268</v>
      </c>
      <c r="J35" s="61">
        <f>IFERROR('Historical FS'!J10/SUM('Historical FS'!J51:J52),0)</f>
        <v>2.2647379226240782</v>
      </c>
      <c r="K35" s="61">
        <f>IFERROR('Historical FS'!K10/SUM('Historical FS'!K51:K52),0)</f>
        <v>2.6643671441099093</v>
      </c>
      <c r="L35" s="61">
        <f>IFERROR('Historical FS'!L10/SUM('Historical FS'!L51:L52),0)</f>
        <v>2.716296873111411</v>
      </c>
      <c r="M35" s="59"/>
      <c r="N35" s="61">
        <f t="shared" si="1"/>
        <v>3.2783974099168467</v>
      </c>
      <c r="O35" s="61">
        <f t="shared" si="0"/>
        <v>2.9066103474407639</v>
      </c>
    </row>
    <row r="36" spans="2:15" x14ac:dyDescent="0.3">
      <c r="N36" s="38"/>
      <c r="O36" s="38"/>
    </row>
    <row r="37" spans="2:15" x14ac:dyDescent="0.3">
      <c r="B37" s="56" t="s">
        <v>46</v>
      </c>
      <c r="C37" s="64">
        <f>IFERROR(365/C31,0)</f>
        <v>0.40074199113896725</v>
      </c>
      <c r="D37" s="64">
        <f t="shared" ref="D37:L37" si="4">IFERROR(365/D31,0)</f>
        <v>0.35803657138596606</v>
      </c>
      <c r="E37" s="64">
        <f t="shared" si="4"/>
        <v>0.64424216445195281</v>
      </c>
      <c r="F37" s="64">
        <f t="shared" si="4"/>
        <v>0.81385200755660803</v>
      </c>
      <c r="G37" s="64">
        <f t="shared" si="4"/>
        <v>1.1744870659231013</v>
      </c>
      <c r="H37" s="64">
        <f t="shared" si="4"/>
        <v>0.28691968701498183</v>
      </c>
      <c r="I37" s="64">
        <f t="shared" si="4"/>
        <v>0.65885186053466294</v>
      </c>
      <c r="J37" s="64">
        <f t="shared" si="4"/>
        <v>0.7881791448744474</v>
      </c>
      <c r="K37" s="64">
        <f t="shared" si="4"/>
        <v>0.52961328267610597</v>
      </c>
      <c r="L37" s="64">
        <f t="shared" si="4"/>
        <v>1.1956378991207319</v>
      </c>
      <c r="M37" s="56"/>
      <c r="N37" s="64">
        <f t="shared" si="1"/>
        <v>0.68505616746775255</v>
      </c>
      <c r="O37" s="64">
        <f t="shared" si="0"/>
        <v>0.65154701249330782</v>
      </c>
    </row>
    <row r="38" spans="2:15" x14ac:dyDescent="0.3">
      <c r="B38" s="11" t="s">
        <v>165</v>
      </c>
      <c r="C38" s="65">
        <f>IFERROR(365/C32,0)</f>
        <v>14.247596448754006</v>
      </c>
      <c r="D38" s="65">
        <f t="shared" ref="D38:L38" si="5">IFERROR(365/D32,0)</f>
        <v>16.531764634612337</v>
      </c>
      <c r="E38" s="65">
        <f t="shared" si="5"/>
        <v>14.731057263168511</v>
      </c>
      <c r="F38" s="65">
        <f t="shared" si="5"/>
        <v>13.109038661096772</v>
      </c>
      <c r="G38" s="65">
        <f t="shared" si="5"/>
        <v>13.098714690479952</v>
      </c>
      <c r="H38" s="65">
        <f t="shared" si="5"/>
        <v>9.7336953462376652</v>
      </c>
      <c r="I38" s="65">
        <f t="shared" si="5"/>
        <v>16.306961503637069</v>
      </c>
      <c r="J38" s="65">
        <f t="shared" si="5"/>
        <v>13.508275851159615</v>
      </c>
      <c r="K38" s="65">
        <f t="shared" si="5"/>
        <v>11.782021103858209</v>
      </c>
      <c r="L38" s="65">
        <f t="shared" si="5"/>
        <v>13.528811354780176</v>
      </c>
      <c r="M38" s="11"/>
      <c r="N38" s="65">
        <f t="shared" si="1"/>
        <v>13.657793685778433</v>
      </c>
      <c r="O38" s="65">
        <f t="shared" si="0"/>
        <v>13.518543602969896</v>
      </c>
    </row>
    <row r="39" spans="2:15" x14ac:dyDescent="0.3">
      <c r="B39" s="11" t="s">
        <v>166</v>
      </c>
      <c r="C39" s="65">
        <f>IFERROR(365/C33,0)</f>
        <v>30.586193187906382</v>
      </c>
      <c r="D39" s="65">
        <f t="shared" ref="D39:L39" si="6">IFERROR(365/D33,0)</f>
        <v>28.561708388864552</v>
      </c>
      <c r="E39" s="65">
        <f t="shared" si="6"/>
        <v>29.079864175428863</v>
      </c>
      <c r="F39" s="65">
        <f t="shared" si="6"/>
        <v>28.248094218130536</v>
      </c>
      <c r="G39" s="65">
        <f t="shared" si="6"/>
        <v>29.351229122218378</v>
      </c>
      <c r="H39" s="65">
        <f t="shared" si="6"/>
        <v>28.580429590433528</v>
      </c>
      <c r="I39" s="65">
        <f t="shared" si="6"/>
        <v>33.989983042746033</v>
      </c>
      <c r="J39" s="65">
        <f t="shared" si="6"/>
        <v>32.317348086131737</v>
      </c>
      <c r="K39" s="65">
        <f t="shared" si="6"/>
        <v>27.634975709367698</v>
      </c>
      <c r="L39" s="65">
        <f t="shared" si="6"/>
        <v>28.224082933196133</v>
      </c>
      <c r="M39" s="11"/>
      <c r="N39" s="65">
        <f t="shared" si="1"/>
        <v>29.657390845442386</v>
      </c>
      <c r="O39" s="65">
        <f t="shared" si="0"/>
        <v>28.830146882931196</v>
      </c>
    </row>
    <row r="40" spans="2:15" x14ac:dyDescent="0.3">
      <c r="B40" s="59" t="s">
        <v>167</v>
      </c>
      <c r="C40" s="66">
        <f>SUM(C37,C39)-C38</f>
        <v>16.739338730291344</v>
      </c>
      <c r="D40" s="66">
        <f t="shared" ref="D40:L40" si="7">SUM(D37,D39)-D38</f>
        <v>12.387980325638182</v>
      </c>
      <c r="E40" s="66">
        <f t="shared" si="7"/>
        <v>14.993049076712305</v>
      </c>
      <c r="F40" s="66">
        <f t="shared" si="7"/>
        <v>15.952907564590372</v>
      </c>
      <c r="G40" s="66">
        <f t="shared" si="7"/>
        <v>17.427001497661529</v>
      </c>
      <c r="H40" s="66">
        <f t="shared" si="7"/>
        <v>19.133653931210844</v>
      </c>
      <c r="I40" s="66">
        <f t="shared" si="7"/>
        <v>18.341873399643625</v>
      </c>
      <c r="J40" s="66">
        <f t="shared" si="7"/>
        <v>19.597251379846568</v>
      </c>
      <c r="K40" s="66">
        <f t="shared" si="7"/>
        <v>16.382567888185594</v>
      </c>
      <c r="L40" s="66">
        <f t="shared" si="7"/>
        <v>15.89090947753669</v>
      </c>
      <c r="M40" s="59"/>
      <c r="N40" s="66">
        <f t="shared" si="1"/>
        <v>16.684653327131706</v>
      </c>
      <c r="O40" s="66">
        <f t="shared" si="0"/>
        <v>16.560953309238471</v>
      </c>
    </row>
    <row r="41" spans="2:15" x14ac:dyDescent="0.3">
      <c r="N41" s="38"/>
      <c r="O41" s="38"/>
    </row>
    <row r="42" spans="2:15" x14ac:dyDescent="0.3">
      <c r="B42" s="56" t="s">
        <v>168</v>
      </c>
      <c r="C42" s="57">
        <f>IFERROR('Historical FS'!C73/'Historical FS'!C10,0)</f>
        <v>3.4478206922041239E-2</v>
      </c>
      <c r="D42" s="57">
        <f>IFERROR('Historical FS'!D73/'Historical FS'!D10,0)</f>
        <v>5.0498848989254129E-2</v>
      </c>
      <c r="E42" s="57">
        <f>IFERROR('Historical FS'!E73/'Historical FS'!E10,0)</f>
        <v>3.8266219521420099E-2</v>
      </c>
      <c r="F42" s="57">
        <f>IFERROR('Historical FS'!F73/'Historical FS'!F10,0)</f>
        <v>4.8558523800654549E-2</v>
      </c>
      <c r="G42" s="57">
        <f>IFERROR('Historical FS'!G73/'Historical FS'!G10,0)</f>
        <v>4.0332884768042421E-2</v>
      </c>
      <c r="H42" s="57">
        <f>IFERROR('Historical FS'!H73/'Historical FS'!H10,0)</f>
        <v>5.1472847021736857E-2</v>
      </c>
      <c r="I42" s="57">
        <f>IFERROR('Historical FS'!I73/'Historical FS'!I10,0)</f>
        <v>5.6957982956592913E-2</v>
      </c>
      <c r="J42" s="57">
        <f>IFERROR('Historical FS'!J73/'Historical FS'!J10,0)</f>
        <v>4.4303268276006114E-2</v>
      </c>
      <c r="K42" s="57">
        <f>IFERROR('Historical FS'!K73/'Historical FS'!K10,0)</f>
        <v>6.1398156283584616E-2</v>
      </c>
      <c r="L42" s="57">
        <f>IFERROR('Historical FS'!L73/'Historical FS'!L10,0)</f>
        <v>5.4063856166798881E-2</v>
      </c>
      <c r="M42" s="56"/>
      <c r="N42" s="57">
        <f t="shared" si="1"/>
        <v>4.8033079470613187E-2</v>
      </c>
      <c r="O42" s="57">
        <f t="shared" si="0"/>
        <v>4.9528686394954335E-2</v>
      </c>
    </row>
    <row r="43" spans="2:15" x14ac:dyDescent="0.3">
      <c r="B43" s="11" t="s">
        <v>169</v>
      </c>
      <c r="C43" s="58">
        <f>IFERROR('Historical FS'!C73/'Historical FS'!C68,0)</f>
        <v>9.4283615238596769E-2</v>
      </c>
      <c r="D43" s="58">
        <f>IFERROR('Historical FS'!D73/'Historical FS'!D68,0)</f>
        <v>0.13975870207250546</v>
      </c>
      <c r="E43" s="58">
        <f>IFERROR('Historical FS'!E73/'Historical FS'!E68,0)</f>
        <v>7.8236482863859438E-2</v>
      </c>
      <c r="F43" s="58">
        <f>IFERROR('Historical FS'!F73/'Historical FS'!F68,0)</f>
        <v>0.12924248701360785</v>
      </c>
      <c r="G43" s="58">
        <f>IFERROR('Historical FS'!G73/'Historical FS'!G68,0)</f>
        <v>0.11517236457069446</v>
      </c>
      <c r="H43" s="58">
        <f>IFERROR('Historical FS'!H73/'Historical FS'!H68,0)</f>
        <v>0.1060055514335683</v>
      </c>
      <c r="I43" s="58">
        <f>IFERROR('Historical FS'!I73/'Historical FS'!I68,0)</f>
        <v>0.10070559975979583</v>
      </c>
      <c r="J43" s="58">
        <f>IFERROR('Historical FS'!J73/'Historical FS'!J68,0)</f>
        <v>8.870478793198619E-2</v>
      </c>
      <c r="K43" s="58">
        <f>IFERROR('Historical FS'!K73/'Historical FS'!K68,0)</f>
        <v>0.14528250403766574</v>
      </c>
      <c r="L43" s="58">
        <f>IFERROR('Historical FS'!L73/'Historical FS'!L68,0)</f>
        <v>0.12968910585817062</v>
      </c>
      <c r="M43" s="11"/>
      <c r="N43" s="58">
        <f t="shared" si="1"/>
        <v>0.11270812007804507</v>
      </c>
      <c r="O43" s="58">
        <f t="shared" si="0"/>
        <v>0.11058895800213138</v>
      </c>
    </row>
    <row r="44" spans="2:15" x14ac:dyDescent="0.3">
      <c r="B44" s="59" t="s">
        <v>170</v>
      </c>
      <c r="C44" s="60">
        <f>IFERROR('Historical FS'!C73/'Historical FS'!C53,0)</f>
        <v>0.24552672903810852</v>
      </c>
      <c r="D44" s="60">
        <f>IFERROR('Historical FS'!D73/'Historical FS'!D53,0)</f>
        <v>0.36354563295704251</v>
      </c>
      <c r="E44" s="60">
        <f>IFERROR('Historical FS'!E73/'Historical FS'!E53,0)</f>
        <v>0.30406325969064729</v>
      </c>
      <c r="F44" s="60">
        <f>IFERROR('Historical FS'!F73/'Historical FS'!F53,0)</f>
        <v>1.661900967558338</v>
      </c>
      <c r="G44" s="60">
        <f>IFERROR('Historical FS'!G73/'Historical FS'!G53,0)</f>
        <v>1.15238163250732</v>
      </c>
      <c r="H44" s="60">
        <f>IFERROR('Historical FS'!H73/'Historical FS'!H53,0)</f>
        <v>3.8420720909991299</v>
      </c>
      <c r="I44" s="60">
        <f>IFERROR('Historical FS'!I73/'Historical FS'!I53,0)</f>
        <v>3.5016678974306745</v>
      </c>
      <c r="J44" s="60">
        <f>IFERROR('Historical FS'!J73/'Historical FS'!J53,0)</f>
        <v>2.1212940921878376</v>
      </c>
      <c r="K44" s="60">
        <f>IFERROR('Historical FS'!K73/'Historical FS'!K53,0)</f>
        <v>4.0907493234626271</v>
      </c>
      <c r="L44" s="60">
        <f>IFERROR('Historical FS'!L73/'Historical FS'!L53,0)</f>
        <v>4.6369900027019728</v>
      </c>
      <c r="M44" s="59"/>
      <c r="N44" s="60">
        <f t="shared" si="1"/>
        <v>2.1920191628533701</v>
      </c>
      <c r="O44" s="60">
        <f t="shared" si="0"/>
        <v>1.8915975298730878</v>
      </c>
    </row>
  </sheetData>
  <mergeCells count="2">
    <mergeCell ref="B6:O6"/>
    <mergeCell ref="B2:O2"/>
  </mergeCells>
  <pageMargins left="0.51181102362204722" right="0.19685039370078741" top="0.19685039370078741" bottom="0" header="0.31496062992125984" footer="0.31496062992125984"/>
  <pageSetup paperSize="9" scale="90" orientation="landscape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 markers="1">
          <x14:colorSeries theme="1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'Ratio Analysis'!D9:L9</xm:f>
              <xm:sqref>M9</xm:sqref>
            </x14:sparkline>
            <x14:sparkline>
              <xm:f>'Ratio Analysis'!D10:L10</xm:f>
              <xm:sqref>M10</xm:sqref>
            </x14:sparkline>
            <x14:sparkline>
              <xm:f>'Ratio Analysis'!D11:L11</xm:f>
              <xm:sqref>M11</xm:sqref>
            </x14:sparkline>
            <x14:sparkline>
              <xm:f>'Ratio Analysis'!D12:L12</xm:f>
              <xm:sqref>M12</xm:sqref>
            </x14:sparkline>
            <x14:sparkline>
              <xm:f>'Ratio Analysis'!D13:L13</xm:f>
              <xm:sqref>M13</xm:sqref>
            </x14:sparkline>
          </x14:sparklines>
        </x14:sparklineGroup>
        <x14:sparklineGroup manualMax="0" manualMin="0" displayEmptyCellsAs="gap" markers="1">
          <x14:colorSeries theme="1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  <x14:sparkline>
              <xm:f>'Ratio Analysis'!C41:L41</xm:f>
              <xm:sqref>M41</xm:sqref>
            </x14:sparkline>
            <x14:sparkline>
              <xm:f>'Ratio Analysis'!C42:L42</xm:f>
              <xm:sqref>M42</xm:sqref>
            </x14:sparkline>
            <x14:sparkline>
              <xm:f>'Ratio Analysis'!C43:L43</xm:f>
              <xm:sqref>M43</xm:sqref>
            </x14:sparkline>
            <x14:sparkline>
              <xm:f>'Ratio Analysis'!C44:L44</xm:f>
              <xm:sqref>M44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showGridLines="0" workbookViewId="0">
      <selection activeCell="L29" sqref="L29"/>
    </sheetView>
  </sheetViews>
  <sheetFormatPr defaultRowHeight="14.4" x14ac:dyDescent="0.3"/>
  <cols>
    <col min="1" max="1" width="1.88671875" customWidth="1"/>
    <col min="2" max="2" width="10.5546875" style="68" customWidth="1"/>
    <col min="3" max="4" width="8.88671875" style="70"/>
    <col min="5" max="5" width="11.6640625" style="70" bestFit="1" customWidth="1"/>
    <col min="6" max="6" width="2.77734375" customWidth="1"/>
    <col min="7" max="7" width="11" customWidth="1"/>
    <col min="8" max="8" width="6.109375" bestFit="1" customWidth="1"/>
    <col min="9" max="9" width="12" bestFit="1" customWidth="1"/>
    <col min="10" max="10" width="14" customWidth="1"/>
    <col min="11" max="11" width="2.77734375" customWidth="1"/>
    <col min="12" max="12" width="12" customWidth="1"/>
    <col min="13" max="14" width="9.6640625" customWidth="1"/>
    <col min="15" max="15" width="17.77734375" customWidth="1"/>
  </cols>
  <sheetData>
    <row r="1" spans="2:15" ht="16.8" customHeight="1" x14ac:dyDescent="0.3"/>
    <row r="2" spans="2:15" ht="45" customHeight="1" x14ac:dyDescent="0.35">
      <c r="B2" s="264" t="s">
        <v>1645</v>
      </c>
      <c r="C2" s="264"/>
      <c r="D2" s="264"/>
      <c r="E2" s="264"/>
      <c r="F2" s="264"/>
      <c r="G2" s="264"/>
      <c r="H2" s="264"/>
      <c r="I2" s="264"/>
      <c r="J2" s="264"/>
      <c r="K2" s="264"/>
      <c r="L2" s="264"/>
      <c r="M2" s="264"/>
      <c r="N2" s="264"/>
      <c r="O2" s="264"/>
    </row>
    <row r="3" spans="2:15" ht="11.4" customHeight="1" x14ac:dyDescent="0.3">
      <c r="B3" s="237" t="s">
        <v>1643</v>
      </c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05"/>
      <c r="N3" s="205"/>
      <c r="O3" s="205"/>
    </row>
    <row r="4" spans="2:15" ht="12" customHeight="1" thickBot="1" x14ac:dyDescent="0.35">
      <c r="B4" s="238" t="s">
        <v>1644</v>
      </c>
      <c r="C4" s="239"/>
      <c r="D4" s="239"/>
      <c r="E4" s="239"/>
      <c r="F4" s="239"/>
      <c r="G4" s="239"/>
      <c r="H4" s="239"/>
      <c r="I4" s="239"/>
      <c r="J4" s="239"/>
      <c r="K4" s="239"/>
      <c r="L4" s="239"/>
      <c r="M4" s="241"/>
      <c r="N4" s="241"/>
      <c r="O4" s="241"/>
    </row>
    <row r="5" spans="2:15" ht="3.6" customHeight="1" x14ac:dyDescent="0.3"/>
    <row r="6" spans="2:15" x14ac:dyDescent="0.3">
      <c r="B6" s="266" t="str">
        <f>'Data Sheet'!B1&amp;" - "&amp;'Data Sheet'!A17&amp;" Forcasting"</f>
        <v>AVENUE SUPERMARTS LTD - Sales Forcasting</v>
      </c>
      <c r="C6" s="266"/>
      <c r="D6" s="266"/>
      <c r="E6" s="266"/>
      <c r="F6" s="78"/>
      <c r="G6" s="266" t="str">
        <f>'Data Sheet'!B1&amp;" - "&amp;'Historical FS'!B22&amp;" Forcasting"</f>
        <v>AVENUE SUPERMARTS LTD - EBIDTA Forcasting</v>
      </c>
      <c r="H6" s="266"/>
      <c r="I6" s="266"/>
      <c r="J6" s="266"/>
      <c r="L6" s="266" t="str">
        <f>'Data Sheet'!B1&amp;" - "&amp; 'Historical FS'!B42&amp;" Forcasting"</f>
        <v>AVENUE SUPERMARTS LTD - Earning Per Share Forcasting</v>
      </c>
      <c r="M6" s="266"/>
      <c r="N6" s="266"/>
      <c r="O6" s="266"/>
    </row>
    <row r="7" spans="2:15" x14ac:dyDescent="0.3">
      <c r="B7" s="69" t="s">
        <v>174</v>
      </c>
      <c r="C7" s="71" t="s">
        <v>81</v>
      </c>
      <c r="D7" s="71" t="s">
        <v>6</v>
      </c>
      <c r="E7" s="71" t="s">
        <v>22</v>
      </c>
      <c r="G7" s="69" t="s">
        <v>174</v>
      </c>
      <c r="H7" s="71" t="s">
        <v>81</v>
      </c>
      <c r="I7" s="71" t="s">
        <v>6</v>
      </c>
      <c r="J7" s="71" t="s">
        <v>22</v>
      </c>
      <c r="L7" s="69" t="s">
        <v>174</v>
      </c>
      <c r="M7" s="71" t="s">
        <v>81</v>
      </c>
      <c r="N7" s="71" t="s">
        <v>6</v>
      </c>
      <c r="O7" s="71" t="s">
        <v>22</v>
      </c>
    </row>
    <row r="8" spans="2:15" x14ac:dyDescent="0.3">
      <c r="B8" s="68">
        <v>1</v>
      </c>
      <c r="C8" s="72">
        <v>2015</v>
      </c>
      <c r="D8" s="73">
        <v>6439.43</v>
      </c>
      <c r="G8" s="68">
        <v>1</v>
      </c>
      <c r="H8" s="72">
        <v>2015</v>
      </c>
      <c r="I8" s="73">
        <f t="array" ref="I8:I17">TRANSPOSE('Historical FS'!C22:L22)</f>
        <v>456.25999999999914</v>
      </c>
      <c r="J8" s="70"/>
      <c r="L8" s="68">
        <v>1</v>
      </c>
      <c r="M8" s="72">
        <v>2015</v>
      </c>
      <c r="N8" s="73">
        <f t="array" ref="N8:N17">TRANSPOSE('Historical FS'!C42:L42)</f>
        <v>3.4094390026713999</v>
      </c>
      <c r="O8" s="70"/>
    </row>
    <row r="9" spans="2:15" x14ac:dyDescent="0.3">
      <c r="B9" s="68">
        <f>B8+1</f>
        <v>2</v>
      </c>
      <c r="C9" s="72">
        <f>C8+1</f>
        <v>2016</v>
      </c>
      <c r="D9" s="73">
        <v>8583.76</v>
      </c>
      <c r="E9" s="67">
        <f>D9/D8-1</f>
        <v>0.33299997049428276</v>
      </c>
      <c r="G9" s="68">
        <f>G8+1</f>
        <v>2</v>
      </c>
      <c r="H9" s="72">
        <f>H8+1</f>
        <v>2016</v>
      </c>
      <c r="I9" s="73">
        <v>664.46000000000083</v>
      </c>
      <c r="J9" s="67">
        <f>I9/I8-1</f>
        <v>0.45631876561610074</v>
      </c>
      <c r="L9" s="68">
        <f>L8+1</f>
        <v>2</v>
      </c>
      <c r="M9" s="72">
        <f>M8+1</f>
        <v>2016</v>
      </c>
      <c r="N9" s="73">
        <v>5.4001780943900419</v>
      </c>
      <c r="O9" s="67">
        <f>N9/N8-1</f>
        <v>0.58389051399917613</v>
      </c>
    </row>
    <row r="10" spans="2:15" x14ac:dyDescent="0.3">
      <c r="B10" s="68">
        <f t="shared" ref="B10:B22" si="0">B9+1</f>
        <v>3</v>
      </c>
      <c r="C10" s="72">
        <f t="shared" ref="C10:C22" si="1">C9+1</f>
        <v>2017</v>
      </c>
      <c r="D10" s="73">
        <v>11897.7</v>
      </c>
      <c r="E10" s="67">
        <f t="shared" ref="E10:E22" si="2">D10/D9-1</f>
        <v>0.38607090598991589</v>
      </c>
      <c r="G10" s="68">
        <f t="shared" ref="G10:G22" si="3">G9+1</f>
        <v>3</v>
      </c>
      <c r="H10" s="72">
        <f t="shared" ref="H10:H22" si="4">H9+1</f>
        <v>2017</v>
      </c>
      <c r="I10" s="73">
        <v>969.18000000000052</v>
      </c>
      <c r="J10" s="67">
        <f t="shared" ref="J10:J22" si="5">I10/I9-1</f>
        <v>0.45859795924510016</v>
      </c>
      <c r="L10" s="68">
        <f t="shared" ref="L10:L22" si="6">L9+1</f>
        <v>3</v>
      </c>
      <c r="M10" s="72">
        <f t="shared" ref="M10:M22" si="7">M9+1</f>
        <v>2017</v>
      </c>
      <c r="N10" s="73">
        <v>7.2280083319980868</v>
      </c>
      <c r="O10" s="67">
        <f t="shared" ref="O10:O22" si="8">N10/N9-1</f>
        <v>0.33847591795294307</v>
      </c>
    </row>
    <row r="11" spans="2:15" x14ac:dyDescent="0.3">
      <c r="B11" s="68">
        <f t="shared" si="0"/>
        <v>4</v>
      </c>
      <c r="C11" s="72">
        <f t="shared" si="1"/>
        <v>2018</v>
      </c>
      <c r="D11" s="73">
        <v>15033.2</v>
      </c>
      <c r="E11" s="67">
        <f t="shared" si="2"/>
        <v>0.26353833093791246</v>
      </c>
      <c r="G11" s="68">
        <f t="shared" si="3"/>
        <v>4</v>
      </c>
      <c r="H11" s="72">
        <f t="shared" si="4"/>
        <v>2018</v>
      </c>
      <c r="I11" s="73">
        <v>1352.8600000000006</v>
      </c>
      <c r="J11" s="67">
        <f t="shared" si="5"/>
        <v>0.39588105408695995</v>
      </c>
      <c r="L11" s="68">
        <f t="shared" si="6"/>
        <v>4</v>
      </c>
      <c r="M11" s="72">
        <f t="shared" si="7"/>
        <v>2018</v>
      </c>
      <c r="N11" s="73">
        <v>11.513058804678748</v>
      </c>
      <c r="O11" s="67">
        <f t="shared" si="8"/>
        <v>0.5928397251163815</v>
      </c>
    </row>
    <row r="12" spans="2:15" x14ac:dyDescent="0.3">
      <c r="B12" s="68">
        <f t="shared" si="0"/>
        <v>5</v>
      </c>
      <c r="C12" s="72">
        <f t="shared" si="1"/>
        <v>2019</v>
      </c>
      <c r="D12" s="73">
        <v>20004.52</v>
      </c>
      <c r="E12" s="67">
        <f t="shared" si="2"/>
        <v>0.33068940744485542</v>
      </c>
      <c r="G12" s="68">
        <f t="shared" si="3"/>
        <v>5</v>
      </c>
      <c r="H12" s="72">
        <f t="shared" si="4"/>
        <v>2019</v>
      </c>
      <c r="I12" s="73">
        <v>1633.3100000000015</v>
      </c>
      <c r="J12" s="67">
        <f t="shared" si="5"/>
        <v>0.20730156852889503</v>
      </c>
      <c r="L12" s="68">
        <f t="shared" si="6"/>
        <v>5</v>
      </c>
      <c r="M12" s="72">
        <f t="shared" si="7"/>
        <v>2019</v>
      </c>
      <c r="N12" s="73">
        <v>13.685787534049055</v>
      </c>
      <c r="O12" s="67">
        <f t="shared" si="8"/>
        <v>0.18871863387750087</v>
      </c>
    </row>
    <row r="13" spans="2:15" x14ac:dyDescent="0.3">
      <c r="B13" s="68">
        <f t="shared" si="0"/>
        <v>6</v>
      </c>
      <c r="C13" s="72">
        <f t="shared" si="1"/>
        <v>2020</v>
      </c>
      <c r="D13" s="73">
        <v>24870.2</v>
      </c>
      <c r="E13" s="67">
        <f t="shared" si="2"/>
        <v>0.24322903023916598</v>
      </c>
      <c r="G13" s="68">
        <f t="shared" si="3"/>
        <v>6</v>
      </c>
      <c r="H13" s="72">
        <f t="shared" si="4"/>
        <v>2020</v>
      </c>
      <c r="I13" s="73">
        <v>2128.3100000000004</v>
      </c>
      <c r="J13" s="67">
        <f t="shared" si="5"/>
        <v>0.30306555399770918</v>
      </c>
      <c r="L13" s="68">
        <f t="shared" si="6"/>
        <v>6</v>
      </c>
      <c r="M13" s="72">
        <f t="shared" si="7"/>
        <v>2020</v>
      </c>
      <c r="N13" s="73">
        <v>19.156992899042923</v>
      </c>
      <c r="O13" s="67">
        <f t="shared" si="8"/>
        <v>0.39977278263176164</v>
      </c>
    </row>
    <row r="14" spans="2:15" x14ac:dyDescent="0.3">
      <c r="B14" s="68">
        <f t="shared" si="0"/>
        <v>7</v>
      </c>
      <c r="C14" s="72">
        <f t="shared" si="1"/>
        <v>2021</v>
      </c>
      <c r="D14" s="73">
        <v>24143.06</v>
      </c>
      <c r="E14" s="67">
        <f t="shared" si="2"/>
        <v>-2.9237400583831175E-2</v>
      </c>
      <c r="G14" s="68">
        <f t="shared" si="3"/>
        <v>7</v>
      </c>
      <c r="H14" s="72">
        <f t="shared" si="4"/>
        <v>2021</v>
      </c>
      <c r="I14" s="73">
        <v>1744.8299999999983</v>
      </c>
      <c r="J14" s="67">
        <f t="shared" si="5"/>
        <v>-0.18018051881539909</v>
      </c>
      <c r="L14" s="68">
        <f t="shared" si="6"/>
        <v>7</v>
      </c>
      <c r="M14" s="72">
        <f t="shared" si="7"/>
        <v>2021</v>
      </c>
      <c r="N14" s="73">
        <v>13.970361222599543</v>
      </c>
      <c r="O14" s="67">
        <f t="shared" si="8"/>
        <v>-0.27074351928702245</v>
      </c>
    </row>
    <row r="15" spans="2:15" x14ac:dyDescent="0.3">
      <c r="B15" s="68">
        <f t="shared" si="0"/>
        <v>8</v>
      </c>
      <c r="C15" s="72">
        <f t="shared" si="1"/>
        <v>2022</v>
      </c>
      <c r="D15" s="73">
        <v>30976.27</v>
      </c>
      <c r="E15" s="67">
        <f t="shared" si="2"/>
        <v>0.28302998874210639</v>
      </c>
      <c r="G15" s="68">
        <f t="shared" si="3"/>
        <v>8</v>
      </c>
      <c r="H15" s="72">
        <f t="shared" si="4"/>
        <v>2022</v>
      </c>
      <c r="I15" s="73">
        <v>2502.3500000000013</v>
      </c>
      <c r="J15" s="67">
        <f t="shared" si="5"/>
        <v>0.43415117805173198</v>
      </c>
      <c r="L15" s="68">
        <f t="shared" si="6"/>
        <v>8</v>
      </c>
      <c r="M15" s="72">
        <f t="shared" si="7"/>
        <v>2022</v>
      </c>
      <c r="N15" s="73">
        <v>21.283729546156241</v>
      </c>
      <c r="O15" s="67">
        <f t="shared" si="8"/>
        <v>0.52349171270718653</v>
      </c>
    </row>
    <row r="16" spans="2:15" x14ac:dyDescent="0.3">
      <c r="B16" s="68">
        <f t="shared" si="0"/>
        <v>9</v>
      </c>
      <c r="C16" s="72">
        <f t="shared" si="1"/>
        <v>2023</v>
      </c>
      <c r="D16" s="73">
        <v>42839.56</v>
      </c>
      <c r="E16" s="67">
        <f t="shared" si="2"/>
        <v>0.38297993915987938</v>
      </c>
      <c r="G16" s="68">
        <f t="shared" si="3"/>
        <v>9</v>
      </c>
      <c r="H16" s="72">
        <f t="shared" si="4"/>
        <v>2023</v>
      </c>
      <c r="I16" s="73">
        <v>3638.7699999999968</v>
      </c>
      <c r="J16" s="67">
        <f t="shared" si="5"/>
        <v>0.45414110735908042</v>
      </c>
      <c r="L16" s="68">
        <f t="shared" si="6"/>
        <v>9</v>
      </c>
      <c r="M16" s="72">
        <f t="shared" si="7"/>
        <v>2023</v>
      </c>
      <c r="N16" s="73">
        <v>34.717569026685133</v>
      </c>
      <c r="O16" s="67">
        <f t="shared" si="8"/>
        <v>0.63117882847534079</v>
      </c>
    </row>
    <row r="17" spans="2:15" x14ac:dyDescent="0.3">
      <c r="B17" s="68">
        <f t="shared" si="0"/>
        <v>10</v>
      </c>
      <c r="C17" s="72">
        <f t="shared" si="1"/>
        <v>2024</v>
      </c>
      <c r="D17" s="73">
        <v>50788.83</v>
      </c>
      <c r="E17" s="67">
        <f t="shared" si="2"/>
        <v>0.18555909537819737</v>
      </c>
      <c r="G17" s="68">
        <f t="shared" si="3"/>
        <v>10</v>
      </c>
      <c r="H17" s="72">
        <f t="shared" si="4"/>
        <v>2024</v>
      </c>
      <c r="I17" s="73">
        <v>4105.6400000000049</v>
      </c>
      <c r="J17" s="67">
        <f t="shared" si="5"/>
        <v>0.1283043445999632</v>
      </c>
      <c r="L17" s="68">
        <f t="shared" si="6"/>
        <v>10</v>
      </c>
      <c r="M17" s="72">
        <f t="shared" si="7"/>
        <v>2024</v>
      </c>
      <c r="N17" s="73">
        <v>36.745504840940612</v>
      </c>
      <c r="O17" s="67">
        <f t="shared" si="8"/>
        <v>5.84123794121858E-2</v>
      </c>
    </row>
    <row r="18" spans="2:15" x14ac:dyDescent="0.3">
      <c r="B18" s="74">
        <f t="shared" si="0"/>
        <v>11</v>
      </c>
      <c r="C18" s="75">
        <f t="shared" si="1"/>
        <v>2025</v>
      </c>
      <c r="D18" s="76">
        <f>FORECAST(B18,$D$8:$D$17,$B$8:$B$17)</f>
        <v>49108.429999999993</v>
      </c>
      <c r="E18" s="77">
        <f t="shared" si="2"/>
        <v>-3.3086015173021455E-2</v>
      </c>
      <c r="G18" s="74">
        <f t="shared" si="3"/>
        <v>11</v>
      </c>
      <c r="H18" s="75">
        <f t="shared" si="4"/>
        <v>2025</v>
      </c>
      <c r="I18" s="79">
        <f>FORECAST(G18,$I$8:$I$17,$G$8:$G$17)</f>
        <v>4019.6420000000007</v>
      </c>
      <c r="J18" s="77">
        <f t="shared" si="5"/>
        <v>-2.0946308005573844E-2</v>
      </c>
      <c r="L18" s="74">
        <f t="shared" si="6"/>
        <v>11</v>
      </c>
      <c r="M18" s="75">
        <f t="shared" si="7"/>
        <v>2025</v>
      </c>
      <c r="N18" s="79">
        <f>FORECAST(L18,$N$8:$N$17,$L$8:$L$17)</f>
        <v>36.32333118898903</v>
      </c>
      <c r="O18" s="77">
        <f t="shared" si="8"/>
        <v>-1.1489123738509854E-2</v>
      </c>
    </row>
    <row r="19" spans="2:15" x14ac:dyDescent="0.3">
      <c r="B19" s="74">
        <f t="shared" si="0"/>
        <v>12</v>
      </c>
      <c r="C19" s="75">
        <f t="shared" si="1"/>
        <v>2026</v>
      </c>
      <c r="D19" s="76">
        <f t="shared" ref="D19:D22" si="9">FORECAST(B19,$D$8:$D$17,$B$8:$B$17)</f>
        <v>53754.025818181821</v>
      </c>
      <c r="E19" s="77">
        <f t="shared" si="2"/>
        <v>9.4598744414794433E-2</v>
      </c>
      <c r="G19" s="74">
        <f t="shared" si="3"/>
        <v>12</v>
      </c>
      <c r="H19" s="75">
        <f t="shared" si="4"/>
        <v>2026</v>
      </c>
      <c r="I19" s="79">
        <f t="shared" ref="I19:I22" si="10">FORECAST(G19,$I$8:$I$17,$G$8:$G$17)</f>
        <v>4401.4683636363643</v>
      </c>
      <c r="J19" s="77">
        <f t="shared" si="5"/>
        <v>9.4990141817695051E-2</v>
      </c>
      <c r="L19" s="74">
        <f t="shared" si="6"/>
        <v>12</v>
      </c>
      <c r="M19" s="75">
        <f t="shared" si="7"/>
        <v>2026</v>
      </c>
      <c r="N19" s="79">
        <f t="shared" ref="N19:N22" si="11">FORECAST(L19,$N$8:$N$17,$L$8:$L$17)</f>
        <v>39.889198145110456</v>
      </c>
      <c r="O19" s="77">
        <f t="shared" si="8"/>
        <v>9.817015233455173E-2</v>
      </c>
    </row>
    <row r="20" spans="2:15" x14ac:dyDescent="0.3">
      <c r="B20" s="74">
        <f t="shared" si="0"/>
        <v>13</v>
      </c>
      <c r="C20" s="75">
        <f t="shared" si="1"/>
        <v>2027</v>
      </c>
      <c r="D20" s="76">
        <f t="shared" si="9"/>
        <v>58399.621636363634</v>
      </c>
      <c r="E20" s="77">
        <f t="shared" si="2"/>
        <v>8.6423216633022548E-2</v>
      </c>
      <c r="G20" s="74">
        <f t="shared" si="3"/>
        <v>13</v>
      </c>
      <c r="H20" s="75">
        <f t="shared" si="4"/>
        <v>2027</v>
      </c>
      <c r="I20" s="79">
        <f t="shared" si="10"/>
        <v>4783.2947272727279</v>
      </c>
      <c r="J20" s="77">
        <f t="shared" si="5"/>
        <v>8.6749768961399409E-2</v>
      </c>
      <c r="L20" s="74">
        <f t="shared" si="6"/>
        <v>13</v>
      </c>
      <c r="M20" s="75">
        <f t="shared" si="7"/>
        <v>2027</v>
      </c>
      <c r="N20" s="79">
        <f t="shared" si="11"/>
        <v>43.455065101231895</v>
      </c>
      <c r="O20" s="77">
        <f t="shared" si="8"/>
        <v>8.9394300260170478E-2</v>
      </c>
    </row>
    <row r="21" spans="2:15" x14ac:dyDescent="0.3">
      <c r="B21" s="74">
        <f t="shared" si="0"/>
        <v>14</v>
      </c>
      <c r="C21" s="75">
        <f t="shared" si="1"/>
        <v>2028</v>
      </c>
      <c r="D21" s="76">
        <f t="shared" si="9"/>
        <v>63045.217454545447</v>
      </c>
      <c r="E21" s="77">
        <f t="shared" si="2"/>
        <v>7.9548388979444162E-2</v>
      </c>
      <c r="G21" s="74">
        <f t="shared" si="3"/>
        <v>14</v>
      </c>
      <c r="H21" s="75">
        <f t="shared" si="4"/>
        <v>2028</v>
      </c>
      <c r="I21" s="79">
        <f t="shared" si="10"/>
        <v>5165.1210909090923</v>
      </c>
      <c r="J21" s="77">
        <f t="shared" si="5"/>
        <v>7.9824971156245095E-2</v>
      </c>
      <c r="L21" s="74">
        <f t="shared" si="6"/>
        <v>14</v>
      </c>
      <c r="M21" s="75">
        <f t="shared" si="7"/>
        <v>2028</v>
      </c>
      <c r="N21" s="79">
        <f t="shared" si="11"/>
        <v>47.02093205735332</v>
      </c>
      <c r="O21" s="77">
        <f t="shared" si="8"/>
        <v>8.2058718536365483E-2</v>
      </c>
    </row>
    <row r="22" spans="2:15" x14ac:dyDescent="0.3">
      <c r="B22" s="74">
        <f t="shared" si="0"/>
        <v>15</v>
      </c>
      <c r="C22" s="75">
        <f t="shared" si="1"/>
        <v>2029</v>
      </c>
      <c r="D22" s="76">
        <f t="shared" si="9"/>
        <v>67690.813272727275</v>
      </c>
      <c r="E22" s="77">
        <f t="shared" si="2"/>
        <v>7.3686728442664551E-2</v>
      </c>
      <c r="G22" s="74">
        <f t="shared" si="3"/>
        <v>15</v>
      </c>
      <c r="H22" s="75">
        <f t="shared" si="4"/>
        <v>2029</v>
      </c>
      <c r="I22" s="79">
        <f t="shared" si="10"/>
        <v>5546.9474545454559</v>
      </c>
      <c r="J22" s="77">
        <f t="shared" si="5"/>
        <v>7.3923990728581357E-2</v>
      </c>
      <c r="L22" s="74">
        <f t="shared" si="6"/>
        <v>15</v>
      </c>
      <c r="M22" s="75">
        <f t="shared" si="7"/>
        <v>2029</v>
      </c>
      <c r="N22" s="79">
        <f t="shared" si="11"/>
        <v>50.586799013474746</v>
      </c>
      <c r="O22" s="77">
        <f t="shared" si="8"/>
        <v>7.5835735280023631E-2</v>
      </c>
    </row>
  </sheetData>
  <mergeCells count="4">
    <mergeCell ref="B6:E6"/>
    <mergeCell ref="G6:J6"/>
    <mergeCell ref="L6:O6"/>
    <mergeCell ref="B2:O2"/>
  </mergeCells>
  <pageMargins left="0.27559055118110237" right="0" top="0.39370078740157483" bottom="0.74803149606299213" header="0.31496062992125984" footer="0.31496062992125984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8"/>
  <sheetViews>
    <sheetView showGridLines="0" workbookViewId="0">
      <selection activeCell="N29" sqref="N29"/>
    </sheetView>
  </sheetViews>
  <sheetFormatPr defaultRowHeight="14.4" x14ac:dyDescent="0.3"/>
  <cols>
    <col min="1" max="1" width="1.88671875" customWidth="1"/>
    <col min="2" max="2" width="23.33203125" customWidth="1"/>
    <col min="3" max="12" width="8" bestFit="1" customWidth="1"/>
  </cols>
  <sheetData>
    <row r="2" spans="2:15" ht="39.6" customHeight="1" x14ac:dyDescent="0.35">
      <c r="B2" s="264" t="s">
        <v>1645</v>
      </c>
      <c r="C2" s="264"/>
      <c r="D2" s="264"/>
      <c r="E2" s="264"/>
      <c r="F2" s="264"/>
      <c r="G2" s="264"/>
      <c r="H2" s="264"/>
      <c r="I2" s="264"/>
      <c r="J2" s="264"/>
      <c r="K2" s="264"/>
      <c r="L2" s="264"/>
      <c r="M2" s="240"/>
      <c r="N2" s="240"/>
      <c r="O2" s="240"/>
    </row>
    <row r="3" spans="2:15" ht="11.4" customHeight="1" x14ac:dyDescent="0.3">
      <c r="B3" s="237" t="s">
        <v>1643</v>
      </c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05"/>
      <c r="N3" s="205"/>
      <c r="O3" s="205"/>
    </row>
    <row r="4" spans="2:15" ht="11.4" customHeight="1" thickBot="1" x14ac:dyDescent="0.35">
      <c r="B4" s="238" t="s">
        <v>1644</v>
      </c>
      <c r="C4" s="239"/>
      <c r="D4" s="239"/>
      <c r="E4" s="239"/>
      <c r="F4" s="239"/>
      <c r="G4" s="239"/>
      <c r="H4" s="239"/>
      <c r="I4" s="239"/>
      <c r="J4" s="239"/>
      <c r="K4" s="239"/>
      <c r="L4" s="239"/>
      <c r="M4" s="242"/>
      <c r="N4" s="242"/>
      <c r="O4" s="242"/>
    </row>
    <row r="5" spans="2:15" ht="3.6" customHeight="1" x14ac:dyDescent="0.3">
      <c r="B5" s="208"/>
      <c r="C5" s="208"/>
      <c r="D5" s="208"/>
      <c r="E5" s="208"/>
      <c r="F5" s="208"/>
      <c r="G5" s="208"/>
      <c r="H5" s="208"/>
      <c r="I5" s="208"/>
      <c r="J5" s="208"/>
      <c r="K5" s="208"/>
      <c r="L5" s="208"/>
    </row>
    <row r="6" spans="2:15" ht="14.4" customHeight="1" x14ac:dyDescent="0.3">
      <c r="B6" s="267" t="str">
        <f xml:space="preserve"> "Common Size Income Statement"&amp;" "&amp;" - "&amp;'Data Sheet'!B1</f>
        <v>Common Size Income Statement  - AVENUE SUPERMARTS LTD</v>
      </c>
      <c r="C6" s="267"/>
      <c r="D6" s="267"/>
      <c r="E6" s="267"/>
      <c r="F6" s="267"/>
      <c r="G6" s="267"/>
      <c r="H6" s="267"/>
      <c r="I6" s="267"/>
      <c r="J6" s="267"/>
      <c r="K6" s="267"/>
      <c r="L6" s="267"/>
    </row>
    <row r="7" spans="2:15" ht="12" customHeight="1" x14ac:dyDescent="0.3"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</row>
    <row r="8" spans="2:15" x14ac:dyDescent="0.3">
      <c r="B8" s="81" t="s">
        <v>175</v>
      </c>
      <c r="C8" s="82">
        <f>'Data Sheet'!B16</f>
        <v>42094</v>
      </c>
      <c r="D8" s="82">
        <f>'Data Sheet'!C16</f>
        <v>42460</v>
      </c>
      <c r="E8" s="82">
        <f>'Data Sheet'!D16</f>
        <v>42825</v>
      </c>
      <c r="F8" s="82">
        <f>'Data Sheet'!E16</f>
        <v>43190</v>
      </c>
      <c r="G8" s="82">
        <f>'Data Sheet'!F16</f>
        <v>43555</v>
      </c>
      <c r="H8" s="82">
        <f>'Data Sheet'!G16</f>
        <v>43921</v>
      </c>
      <c r="I8" s="82">
        <f>'Data Sheet'!H16</f>
        <v>44286</v>
      </c>
      <c r="J8" s="82">
        <f>'Data Sheet'!I16</f>
        <v>44651</v>
      </c>
      <c r="K8" s="82">
        <f>'Data Sheet'!J16</f>
        <v>45016</v>
      </c>
      <c r="L8" s="82">
        <f>'Data Sheet'!K16</f>
        <v>45382</v>
      </c>
    </row>
    <row r="10" spans="2:15" x14ac:dyDescent="0.3">
      <c r="B10" s="78" t="str">
        <f>'Data Sheet'!A17</f>
        <v>Sales</v>
      </c>
      <c r="C10" s="84">
        <f>'Data Sheet'!B17/'Data Sheet'!B$17</f>
        <v>1</v>
      </c>
      <c r="D10" s="84">
        <f>'Data Sheet'!C17/'Data Sheet'!C$17</f>
        <v>1</v>
      </c>
      <c r="E10" s="84">
        <f>'Data Sheet'!D17/'Data Sheet'!D$17</f>
        <v>1</v>
      </c>
      <c r="F10" s="84">
        <f>'Data Sheet'!E17/'Data Sheet'!E$17</f>
        <v>1</v>
      </c>
      <c r="G10" s="84">
        <f>'Data Sheet'!F17/'Data Sheet'!F$17</f>
        <v>1</v>
      </c>
      <c r="H10" s="84">
        <f>'Data Sheet'!G17/'Data Sheet'!G$17</f>
        <v>1</v>
      </c>
      <c r="I10" s="84">
        <f>'Data Sheet'!H17/'Data Sheet'!H$17</f>
        <v>1</v>
      </c>
      <c r="J10" s="84">
        <f>'Data Sheet'!I17/'Data Sheet'!I$17</f>
        <v>1</v>
      </c>
      <c r="K10" s="84">
        <f>'Data Sheet'!J17/'Data Sheet'!J$17</f>
        <v>1</v>
      </c>
      <c r="L10" s="84">
        <f>'Data Sheet'!K17/'Data Sheet'!K$17</f>
        <v>1</v>
      </c>
    </row>
    <row r="11" spans="2:15" x14ac:dyDescent="0.3">
      <c r="B11" s="50" t="str">
        <f>'Data Sheet'!A18</f>
        <v>Raw Material Cost</v>
      </c>
      <c r="C11" s="38">
        <f>'Data Sheet'!B18/'Data Sheet'!B$17</f>
        <v>0.87716925255806799</v>
      </c>
      <c r="D11" s="38">
        <f>'Data Sheet'!C18/'Data Sheet'!C$17</f>
        <v>0.86624276540816614</v>
      </c>
      <c r="E11" s="38">
        <f>'Data Sheet'!D18/'Data Sheet'!D$17</f>
        <v>0.87052539566470821</v>
      </c>
      <c r="F11" s="38">
        <f>'Data Sheet'!E18/'Data Sheet'!E$17</f>
        <v>0.85457188090360003</v>
      </c>
      <c r="G11" s="38">
        <f>'Data Sheet'!F18/'Data Sheet'!F$17</f>
        <v>0.87207741050522591</v>
      </c>
      <c r="H11" s="38">
        <f>'Data Sheet'!G18/'Data Sheet'!G$17</f>
        <v>0.86214344878609739</v>
      </c>
      <c r="I11" s="38">
        <f>'Data Sheet'!H18/'Data Sheet'!H$17</f>
        <v>0.86383250507599285</v>
      </c>
      <c r="J11" s="38">
        <f>'Data Sheet'!I18/'Data Sheet'!I$17</f>
        <v>0.86814099954578139</v>
      </c>
      <c r="K11" s="38">
        <f>'Data Sheet'!J18/'Data Sheet'!J$17</f>
        <v>0.86099787206031053</v>
      </c>
      <c r="L11" s="38">
        <f>'Data Sheet'!K18/'Data Sheet'!K$17</f>
        <v>0.86551137326849226</v>
      </c>
    </row>
    <row r="12" spans="2:15" x14ac:dyDescent="0.3">
      <c r="B12" s="50" t="str">
        <f>'Data Sheet'!A19</f>
        <v>Change in Inventory</v>
      </c>
      <c r="C12" s="38">
        <f>'Data Sheet'!B19/'Data Sheet'!B$17</f>
        <v>2.5045695038225433E-2</v>
      </c>
      <c r="D12" s="38">
        <f>'Data Sheet'!C19/'Data Sheet'!C$17</f>
        <v>1.5387196286941855E-2</v>
      </c>
      <c r="E12" s="38">
        <f>'Data Sheet'!D19/'Data Sheet'!D$17</f>
        <v>2.3216251880615581E-2</v>
      </c>
      <c r="F12" s="38">
        <f>'Data Sheet'!E19/'Data Sheet'!E$17</f>
        <v>1.4056222228135061E-2</v>
      </c>
      <c r="G12" s="38">
        <f>'Data Sheet'!F19/'Data Sheet'!F$17</f>
        <v>2.2227476590290594E-2</v>
      </c>
      <c r="H12" s="38">
        <f>'Data Sheet'!G19/'Data Sheet'!G$17</f>
        <v>1.3620718771863514E-2</v>
      </c>
      <c r="I12" s="38">
        <f>'Data Sheet'!H19/'Data Sheet'!H$17</f>
        <v>1.2462380493607686E-2</v>
      </c>
      <c r="J12" s="38">
        <f>'Data Sheet'!I19/'Data Sheet'!I$17</f>
        <v>1.5959959026700117E-2</v>
      </c>
      <c r="K12" s="38">
        <f>'Data Sheet'!J19/'Data Sheet'!J$17</f>
        <v>1.169059626195974E-2</v>
      </c>
      <c r="L12" s="38">
        <f>'Data Sheet'!K19/'Data Sheet'!K$17</f>
        <v>1.3462999639881446E-2</v>
      </c>
    </row>
    <row r="13" spans="2:15" x14ac:dyDescent="0.3">
      <c r="B13" s="50" t="str">
        <f>'Data Sheet'!A20</f>
        <v>Power and Fuel</v>
      </c>
      <c r="C13" s="38">
        <f>'Data Sheet'!B20/'Data Sheet'!B$17</f>
        <v>9.2135484041289354E-3</v>
      </c>
      <c r="D13" s="38">
        <f>'Data Sheet'!C20/'Data Sheet'!C$17</f>
        <v>9.2313857796583309E-3</v>
      </c>
      <c r="E13" s="38">
        <f>'Data Sheet'!D20/'Data Sheet'!D$17</f>
        <v>8.3553964211570287E-3</v>
      </c>
      <c r="F13" s="38">
        <f>'Data Sheet'!E20/'Data Sheet'!E$17</f>
        <v>8.0661469281324005E-3</v>
      </c>
      <c r="G13" s="38">
        <f>'Data Sheet'!F20/'Data Sheet'!F$17</f>
        <v>7.6382737501324701E-3</v>
      </c>
      <c r="H13" s="38">
        <f>'Data Sheet'!G20/'Data Sheet'!G$17</f>
        <v>7.5688977169463857E-3</v>
      </c>
      <c r="I13" s="38">
        <f>'Data Sheet'!H20/'Data Sheet'!H$17</f>
        <v>7.2153239895854119E-3</v>
      </c>
      <c r="J13" s="38">
        <f>'Data Sheet'!I20/'Data Sheet'!I$17</f>
        <v>6.7102979151460141E-3</v>
      </c>
      <c r="K13" s="38">
        <f>'Data Sheet'!J20/'Data Sheet'!J$17</f>
        <v>7.3441463917930071E-3</v>
      </c>
      <c r="L13" s="38">
        <f>'Data Sheet'!K20/'Data Sheet'!K$17</f>
        <v>7.4148193608712777E-3</v>
      </c>
    </row>
    <row r="14" spans="2:15" x14ac:dyDescent="0.3">
      <c r="B14" s="50" t="str">
        <f>'Data Sheet'!A21</f>
        <v>Other Mfr. Exp</v>
      </c>
      <c r="C14" s="38">
        <f>'Data Sheet'!B21/'Data Sheet'!B$17</f>
        <v>2.4124806077556554E-2</v>
      </c>
      <c r="D14" s="38">
        <f>'Data Sheet'!C21/'Data Sheet'!C$17</f>
        <v>2.8118213929560008E-2</v>
      </c>
      <c r="E14" s="38">
        <f>'Data Sheet'!D21/'Data Sheet'!D$17</f>
        <v>2.7980197853366612E-2</v>
      </c>
      <c r="F14" s="38">
        <f>'Data Sheet'!E21/'Data Sheet'!E$17</f>
        <v>2.4859643987973287E-2</v>
      </c>
      <c r="G14" s="38">
        <f>'Data Sheet'!F21/'Data Sheet'!F$17</f>
        <v>2.4980354439896584E-2</v>
      </c>
      <c r="H14" s="38">
        <f>'Data Sheet'!G21/'Data Sheet'!G$17</f>
        <v>2.5973253130252269E-2</v>
      </c>
      <c r="I14" s="38">
        <f>'Data Sheet'!H21/'Data Sheet'!H$17</f>
        <v>3.0916959159278067E-2</v>
      </c>
      <c r="J14" s="38">
        <f>'Data Sheet'!I21/'Data Sheet'!I$17</f>
        <v>2.6015075410951674E-2</v>
      </c>
      <c r="K14" s="38">
        <f>'Data Sheet'!J21/'Data Sheet'!J$17</f>
        <v>2.6063759758503589E-2</v>
      </c>
      <c r="L14" s="38">
        <f>'Data Sheet'!K21/'Data Sheet'!K$17</f>
        <v>2.6057501226155435E-2</v>
      </c>
    </row>
    <row r="15" spans="2:15" x14ac:dyDescent="0.3">
      <c r="B15" s="50" t="str">
        <f>'Data Sheet'!A22</f>
        <v>Employee Cost</v>
      </c>
      <c r="C15" s="38">
        <f>'Data Sheet'!B22/'Data Sheet'!B$17</f>
        <v>2.0818612827532872E-2</v>
      </c>
      <c r="D15" s="38">
        <f>'Data Sheet'!C22/'Data Sheet'!C$17</f>
        <v>1.7363020401315973E-2</v>
      </c>
      <c r="E15" s="38">
        <f>'Data Sheet'!D22/'Data Sheet'!D$17</f>
        <v>1.6193886213301728E-2</v>
      </c>
      <c r="F15" s="38">
        <f>'Data Sheet'!E22/'Data Sheet'!E$17</f>
        <v>1.8834313386371496E-2</v>
      </c>
      <c r="G15" s="38">
        <f>'Data Sheet'!F22/'Data Sheet'!F$17</f>
        <v>1.7804476188381425E-2</v>
      </c>
      <c r="H15" s="38">
        <f>'Data Sheet'!G22/'Data Sheet'!G$17</f>
        <v>1.8381034330242619E-2</v>
      </c>
      <c r="I15" s="38">
        <f>'Data Sheet'!H22/'Data Sheet'!H$17</f>
        <v>2.2266440128136201E-2</v>
      </c>
      <c r="J15" s="38">
        <f>'Data Sheet'!I22/'Data Sheet'!I$17</f>
        <v>1.9930094875851741E-2</v>
      </c>
      <c r="K15" s="38">
        <f>'Data Sheet'!J22/'Data Sheet'!J$17</f>
        <v>1.7464231658775208E-2</v>
      </c>
      <c r="L15" s="38">
        <f>'Data Sheet'!K22/'Data Sheet'!K$17</f>
        <v>1.7874402698388601E-2</v>
      </c>
    </row>
    <row r="16" spans="2:15" x14ac:dyDescent="0.3">
      <c r="B16" s="50" t="str">
        <f>'Data Sheet'!A23</f>
        <v>Selling and admin</v>
      </c>
      <c r="C16" s="38">
        <f>'Data Sheet'!B23/'Data Sheet'!B$17</f>
        <v>9.0504904937238229E-2</v>
      </c>
      <c r="D16" s="38">
        <f>'Data Sheet'!C23/'Data Sheet'!C$17</f>
        <v>7.541799863929094E-2</v>
      </c>
      <c r="E16" s="38">
        <f>'Data Sheet'!D23/'Data Sheet'!D$17</f>
        <v>5.9877119107054301E-3</v>
      </c>
      <c r="F16" s="38">
        <f>'Data Sheet'!E23/'Data Sheet'!E$17</f>
        <v>6.3858659500305986E-3</v>
      </c>
      <c r="G16" s="38">
        <f>'Data Sheet'!F23/'Data Sheet'!F$17</f>
        <v>6.7904653548298086E-3</v>
      </c>
      <c r="H16" s="38">
        <f>'Data Sheet'!G23/'Data Sheet'!G$17</f>
        <v>4.794090920056936E-3</v>
      </c>
      <c r="I16" s="38">
        <f>'Data Sheet'!H23/'Data Sheet'!H$17</f>
        <v>4.5019148359818515E-3</v>
      </c>
      <c r="J16" s="38">
        <f>'Data Sheet'!I23/'Data Sheet'!I$17</f>
        <v>4.6296729722461738E-3</v>
      </c>
      <c r="K16" s="38">
        <f>'Data Sheet'!J23/'Data Sheet'!J$17</f>
        <v>4.9496306684755865E-3</v>
      </c>
      <c r="L16" s="38">
        <f>'Data Sheet'!K23/'Data Sheet'!K$17</f>
        <v>5.4033534538992138E-3</v>
      </c>
    </row>
    <row r="17" spans="2:12" x14ac:dyDescent="0.3">
      <c r="B17" s="50" t="str">
        <f>'Data Sheet'!A24</f>
        <v>Other Expenses</v>
      </c>
      <c r="C17" s="38">
        <f>'Data Sheet'!B24/'Data Sheet'!B$17</f>
        <v>-6.7639527101001171E-2</v>
      </c>
      <c r="D17" s="38">
        <f>'Data Sheet'!C24/'Data Sheet'!C$17</f>
        <v>-5.8395155502949755E-2</v>
      </c>
      <c r="E17" s="38">
        <f>'Data Sheet'!D24/'Data Sheet'!D$17</f>
        <v>1.2714222076535801E-2</v>
      </c>
      <c r="F17" s="38">
        <f>'Data Sheet'!E24/'Data Sheet'!E$17</f>
        <v>1.1346885559960621E-2</v>
      </c>
      <c r="G17" s="38">
        <f>'Data Sheet'!F24/'Data Sheet'!F$17</f>
        <v>1.1289448584619876E-2</v>
      </c>
      <c r="H17" s="38">
        <f>'Data Sheet'!G24/'Data Sheet'!G$17</f>
        <v>9.1832795876189161E-3</v>
      </c>
      <c r="I17" s="38">
        <f>'Data Sheet'!H24/'Data Sheet'!H$17</f>
        <v>1.1458779458776144E-2</v>
      </c>
      <c r="J17" s="38">
        <f>'Data Sheet'!I24/'Data Sheet'!I$17</f>
        <v>9.7510126299906342E-3</v>
      </c>
      <c r="K17" s="38">
        <f>'Data Sheet'!J24/'Data Sheet'!J$17</f>
        <v>9.931474552959927E-3</v>
      </c>
      <c r="L17" s="38">
        <f>'Data Sheet'!K24/'Data Sheet'!K$17</f>
        <v>1.0364089899294786E-2</v>
      </c>
    </row>
    <row r="18" spans="2:12" x14ac:dyDescent="0.3">
      <c r="B18" s="50" t="str">
        <f>'Data Sheet'!A25</f>
        <v>Other Income</v>
      </c>
      <c r="C18" s="38">
        <f>'Data Sheet'!B25/'Data Sheet'!B$17</f>
        <v>3.1477941370587144E-3</v>
      </c>
      <c r="D18" s="38">
        <f>'Data Sheet'!C25/'Data Sheet'!C$17</f>
        <v>1.9828140581749721E-3</v>
      </c>
      <c r="E18" s="38">
        <f>'Data Sheet'!D25/'Data Sheet'!D$17</f>
        <v>2.3281810770148848E-3</v>
      </c>
      <c r="F18" s="38">
        <f>'Data Sheet'!E25/'Data Sheet'!E$17</f>
        <v>5.8370805949498443E-3</v>
      </c>
      <c r="G18" s="38">
        <f>'Data Sheet'!F25/'Data Sheet'!F$17</f>
        <v>2.4159539943972661E-3</v>
      </c>
      <c r="H18" s="38">
        <f>'Data Sheet'!G25/'Data Sheet'!G$17</f>
        <v>2.4121237464917854E-3</v>
      </c>
      <c r="I18" s="38">
        <f>'Data Sheet'!H25/'Data Sheet'!H$17</f>
        <v>8.0532459431405957E-3</v>
      </c>
      <c r="J18" s="38">
        <f>'Data Sheet'!I25/'Data Sheet'!I$17</f>
        <v>3.6686147170075672E-3</v>
      </c>
      <c r="K18" s="38">
        <f>'Data Sheet'!J25/'Data Sheet'!J$17</f>
        <v>2.9785553353022299E-3</v>
      </c>
      <c r="L18" s="38">
        <f>'Data Sheet'!K25/'Data Sheet'!K$17</f>
        <v>2.8466889274669253E-3</v>
      </c>
    </row>
    <row r="19" spans="2:12" x14ac:dyDescent="0.3">
      <c r="B19" s="50" t="str">
        <f>'Data Sheet'!A26</f>
        <v>Depreciation</v>
      </c>
      <c r="C19" s="38">
        <f>'Data Sheet'!B26/'Data Sheet'!B$17</f>
        <v>1.26626114423171E-2</v>
      </c>
      <c r="D19" s="38">
        <f>'Data Sheet'!C26/'Data Sheet'!C$17</f>
        <v>1.1467002805297445E-2</v>
      </c>
      <c r="E19" s="38">
        <f>'Data Sheet'!D26/'Data Sheet'!D$17</f>
        <v>1.0743252897618866E-2</v>
      </c>
      <c r="F19" s="38">
        <f>'Data Sheet'!E26/'Data Sheet'!E$17</f>
        <v>1.0576590479738178E-2</v>
      </c>
      <c r="G19" s="38">
        <f>'Data Sheet'!F26/'Data Sheet'!F$17</f>
        <v>1.062209940553435E-2</v>
      </c>
      <c r="H19" s="38">
        <f>'Data Sheet'!G26/'Data Sheet'!G$17</f>
        <v>1.5054563292615258E-2</v>
      </c>
      <c r="I19" s="38">
        <f>'Data Sheet'!H26/'Data Sheet'!H$17</f>
        <v>1.7154412075354161E-2</v>
      </c>
      <c r="J19" s="38">
        <f>'Data Sheet'!I26/'Data Sheet'!I$17</f>
        <v>1.6079405299605148E-2</v>
      </c>
      <c r="K19" s="38">
        <f>'Data Sheet'!J26/'Data Sheet'!J$17</f>
        <v>1.4913085008342757E-2</v>
      </c>
      <c r="L19" s="38">
        <f>'Data Sheet'!K26/'Data Sheet'!K$17</f>
        <v>1.4388203075361254E-2</v>
      </c>
    </row>
    <row r="20" spans="2:12" x14ac:dyDescent="0.3">
      <c r="B20" s="50" t="str">
        <f>'Data Sheet'!A27</f>
        <v>Interest</v>
      </c>
      <c r="C20" s="38">
        <f>'Data Sheet'!B27/'Data Sheet'!B$17</f>
        <v>1.1237019425632393E-2</v>
      </c>
      <c r="D20" s="38">
        <f>'Data Sheet'!C27/'Data Sheet'!C$17</f>
        <v>1.0641024446163452E-2</v>
      </c>
      <c r="E20" s="38">
        <f>'Data Sheet'!D27/'Data Sheet'!D$17</f>
        <v>1.0252401724703094E-2</v>
      </c>
      <c r="F20" s="38">
        <f>'Data Sheet'!E27/'Data Sheet'!E$17</f>
        <v>3.9605672777585609E-3</v>
      </c>
      <c r="G20" s="38">
        <f>'Data Sheet'!F27/'Data Sheet'!F$17</f>
        <v>2.3599666475376565E-3</v>
      </c>
      <c r="H20" s="38">
        <f>'Data Sheet'!G27/'Data Sheet'!G$17</f>
        <v>2.7792297609186899E-3</v>
      </c>
      <c r="I20" s="38">
        <f>'Data Sheet'!H27/'Data Sheet'!H$17</f>
        <v>1.7251334337900829E-3</v>
      </c>
      <c r="J20" s="38">
        <f>'Data Sheet'!I27/'Data Sheet'!I$17</f>
        <v>1.7364905458274996E-3</v>
      </c>
      <c r="K20" s="38">
        <f>'Data Sheet'!J27/'Data Sheet'!J$17</f>
        <v>1.5735455732972048E-3</v>
      </c>
      <c r="L20" s="38">
        <f>'Data Sheet'!K27/'Data Sheet'!K$17</f>
        <v>1.1445430028610621E-3</v>
      </c>
    </row>
    <row r="21" spans="2:12" x14ac:dyDescent="0.3">
      <c r="B21" s="50" t="str">
        <f>'Data Sheet'!A28</f>
        <v>Profit before tax</v>
      </c>
      <c r="C21" s="38">
        <f>'Data Sheet'!B28/'Data Sheet'!B$17</f>
        <v>5.0102260603811205E-2</v>
      </c>
      <c r="D21" s="38">
        <f>'Data Sheet'!C28/'Data Sheet'!C$17</f>
        <v>5.7283754438614311E-2</v>
      </c>
      <c r="E21" s="38">
        <f>'Data Sheet'!D28/'Data Sheet'!D$17</f>
        <v>6.2791968195533593E-2</v>
      </c>
      <c r="F21" s="38">
        <f>'Data Sheet'!E28/'Data Sheet'!E$17</f>
        <v>8.1291408349519728E-2</v>
      </c>
      <c r="G21" s="38">
        <f>'Data Sheet'!F28/'Data Sheet'!F$17</f>
        <v>7.1080935708529872E-2</v>
      </c>
      <c r="H21" s="38">
        <f>'Data Sheet'!G28/'Data Sheet'!G$17</f>
        <v>7.0155044993606808E-2</v>
      </c>
      <c r="I21" s="38">
        <f>'Data Sheet'!H28/'Data Sheet'!H$17</f>
        <v>6.1444158279853507E-2</v>
      </c>
      <c r="J21" s="38">
        <f>'Data Sheet'!I28/'Data Sheet'!I$17</f>
        <v>6.6635524548307457E-2</v>
      </c>
      <c r="K21" s="38">
        <f>'Data Sheet'!J28/'Data Sheet'!J$17</f>
        <v>7.1431405924804084E-2</v>
      </c>
      <c r="L21" s="38">
        <f>'Data Sheet'!K28/'Data Sheet'!K$17</f>
        <v>6.8151402582024428E-2</v>
      </c>
    </row>
    <row r="22" spans="2:12" x14ac:dyDescent="0.3">
      <c r="B22" s="50" t="str">
        <f>'Data Sheet'!A29</f>
        <v>Tax</v>
      </c>
      <c r="C22" s="38">
        <f>'Data Sheet'!B29/'Data Sheet'!B$17</f>
        <v>1.7225127068700181E-2</v>
      </c>
      <c r="D22" s="38">
        <f>'Data Sheet'!C29/'Data Sheet'!C$17</f>
        <v>1.9976094392201087E-2</v>
      </c>
      <c r="E22" s="38">
        <f>'Data Sheet'!D29/'Data Sheet'!D$17</f>
        <v>2.2548896005110227E-2</v>
      </c>
      <c r="F22" s="38">
        <f>'Data Sheet'!E29/'Data Sheet'!E$17</f>
        <v>2.7658116701700236E-2</v>
      </c>
      <c r="G22" s="38">
        <f>'Data Sheet'!F29/'Data Sheet'!F$17</f>
        <v>2.5968131202348269E-2</v>
      </c>
      <c r="H22" s="38">
        <f>'Data Sheet'!G29/'Data Sheet'!G$17</f>
        <v>1.7844247332148514E-2</v>
      </c>
      <c r="I22" s="38">
        <f>'Data Sheet'!H29/'Data Sheet'!H$17</f>
        <v>1.5906020197936795E-2</v>
      </c>
      <c r="J22" s="38">
        <f>'Data Sheet'!I29/'Data Sheet'!I$17</f>
        <v>1.8456708958179923E-2</v>
      </c>
      <c r="K22" s="38">
        <f>'Data Sheet'!J29/'Data Sheet'!J$17</f>
        <v>1.5914028995629274E-2</v>
      </c>
      <c r="L22" s="38">
        <f>'Data Sheet'!K29/'Data Sheet'!K$17</f>
        <v>1.8226842398220238E-2</v>
      </c>
    </row>
    <row r="23" spans="2:12" x14ac:dyDescent="0.3">
      <c r="B23" s="50" t="str">
        <f>'Data Sheet'!A30</f>
        <v>Net profit</v>
      </c>
      <c r="C23" s="38">
        <f>'Data Sheet'!B30/'Data Sheet'!B$17</f>
        <v>3.2870921805190828E-2</v>
      </c>
      <c r="D23" s="38">
        <f>'Data Sheet'!C30/'Data Sheet'!C$17</f>
        <v>3.7307660046413227E-2</v>
      </c>
      <c r="E23" s="38">
        <f>'Data Sheet'!D30/'Data Sheet'!D$17</f>
        <v>4.0238869697504558E-2</v>
      </c>
      <c r="F23" s="38">
        <f>'Data Sheet'!E30/'Data Sheet'!E$17</f>
        <v>5.3631961259079902E-2</v>
      </c>
      <c r="G23" s="38">
        <f>'Data Sheet'!F30/'Data Sheet'!F$17</f>
        <v>4.511680360238586E-2</v>
      </c>
      <c r="H23" s="38">
        <f>'Data Sheet'!G30/'Data Sheet'!G$17</f>
        <v>5.2314818537848508E-2</v>
      </c>
      <c r="I23" s="38">
        <f>'Data Sheet'!H30/'Data Sheet'!H$17</f>
        <v>4.5540623268135849E-2</v>
      </c>
      <c r="J23" s="38">
        <f>'Data Sheet'!I30/'Data Sheet'!I$17</f>
        <v>4.8183658006596658E-2</v>
      </c>
      <c r="K23" s="38">
        <f>'Data Sheet'!J30/'Data Sheet'!J$17</f>
        <v>5.5521345223900537E-2</v>
      </c>
      <c r="L23" s="38">
        <f>'Data Sheet'!K30/'Data Sheet'!K$17</f>
        <v>4.9935586230279376E-2</v>
      </c>
    </row>
    <row r="24" spans="2:12" x14ac:dyDescent="0.3">
      <c r="B24" s="50" t="str">
        <f>'Data Sheet'!A31</f>
        <v>Dividend Amount</v>
      </c>
      <c r="C24" s="38">
        <f>'Data Sheet'!B31/'Data Sheet'!B$17</f>
        <v>0</v>
      </c>
      <c r="D24" s="38">
        <f>'Data Sheet'!C31/'Data Sheet'!C$17</f>
        <v>0</v>
      </c>
      <c r="E24" s="38">
        <f>'Data Sheet'!D31/'Data Sheet'!D$17</f>
        <v>0</v>
      </c>
      <c r="F24" s="38">
        <f>'Data Sheet'!E31/'Data Sheet'!E$17</f>
        <v>0</v>
      </c>
      <c r="G24" s="38">
        <f>'Data Sheet'!F31/'Data Sheet'!F$17</f>
        <v>0</v>
      </c>
      <c r="H24" s="38">
        <f>'Data Sheet'!G31/'Data Sheet'!G$17</f>
        <v>0</v>
      </c>
      <c r="I24" s="38">
        <f>'Data Sheet'!H31/'Data Sheet'!H$17</f>
        <v>0</v>
      </c>
      <c r="J24" s="38">
        <f>'Data Sheet'!I31/'Data Sheet'!I$17</f>
        <v>0</v>
      </c>
      <c r="K24" s="38">
        <f>'Data Sheet'!J31/'Data Sheet'!J$17</f>
        <v>0</v>
      </c>
      <c r="L24" s="38">
        <f>'Data Sheet'!K31/'Data Sheet'!K$17</f>
        <v>0</v>
      </c>
    </row>
    <row r="25" spans="2:12" x14ac:dyDescent="0.3">
      <c r="B25" s="50" t="str">
        <f>'Data Sheet'!A32</f>
        <v>EBITDA</v>
      </c>
      <c r="C25" s="38">
        <f>'Data Sheet'!B32/'Data Sheet'!B$17</f>
        <v>7.39956797418405E-2</v>
      </c>
      <c r="D25" s="38">
        <f>'Data Sheet'!C32/'Data Sheet'!C$17</f>
        <v>7.9391781690075214E-2</v>
      </c>
      <c r="E25" s="38">
        <f>'Data Sheet'!D32/'Data Sheet'!D$17</f>
        <v>8.3783420324936742E-2</v>
      </c>
      <c r="F25" s="38">
        <f>'Data Sheet'!E32/'Data Sheet'!E$17</f>
        <v>9.5827235718276865E-2</v>
      </c>
      <c r="G25" s="38">
        <f>'Data Sheet'!F32/'Data Sheet'!F$17</f>
        <v>8.4067000857806135E-2</v>
      </c>
      <c r="H25" s="38">
        <f>'Data Sheet'!G32/'Data Sheet'!G$17</f>
        <v>8.7992858923530953E-2</v>
      </c>
      <c r="I25" s="38">
        <f>'Data Sheet'!H32/'Data Sheet'!H$17</f>
        <v>8.03261889752169E-2</v>
      </c>
      <c r="J25" s="38">
        <f>'Data Sheet'!I32/'Data Sheet'!I$17</f>
        <v>8.4456262810209223E-2</v>
      </c>
      <c r="K25" s="38">
        <f>'Data Sheet'!J32/'Data Sheet'!J$17</f>
        <v>8.7922004801169767E-2</v>
      </c>
      <c r="L25" s="38">
        <f>'Data Sheet'!K32/'Data Sheet'!K$17</f>
        <v>8.3695174706721942E-2</v>
      </c>
    </row>
    <row r="26" spans="2:12" x14ac:dyDescent="0.3">
      <c r="B26" s="50"/>
      <c r="C26" s="38"/>
      <c r="D26" s="38"/>
      <c r="E26" s="38"/>
      <c r="F26" s="38"/>
      <c r="G26" s="38"/>
      <c r="H26" s="38"/>
      <c r="I26" s="38"/>
      <c r="J26" s="38"/>
      <c r="K26" s="38"/>
      <c r="L26" s="38"/>
    </row>
    <row r="27" spans="2:12" ht="14.4" customHeight="1" x14ac:dyDescent="0.3">
      <c r="B27" s="267" t="str">
        <f xml:space="preserve"> "Common Size Balance Sheet"&amp;" "&amp;" - "&amp;'Data Sheet'!B1</f>
        <v>Common Size Balance Sheet  - AVENUE SUPERMARTS LTD</v>
      </c>
      <c r="C27" s="267"/>
      <c r="D27" s="267"/>
      <c r="E27" s="267"/>
      <c r="F27" s="267"/>
      <c r="G27" s="267"/>
      <c r="H27" s="267"/>
      <c r="I27" s="267"/>
      <c r="J27" s="267"/>
      <c r="K27" s="267"/>
      <c r="L27" s="267"/>
    </row>
    <row r="28" spans="2:12" ht="9.6" customHeight="1" x14ac:dyDescent="0.3"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</row>
    <row r="29" spans="2:12" x14ac:dyDescent="0.3">
      <c r="B29" s="81" t="s">
        <v>175</v>
      </c>
      <c r="C29" s="82">
        <f>'Data Sheet'!B16</f>
        <v>42094</v>
      </c>
      <c r="D29" s="82">
        <f>'Data Sheet'!C16</f>
        <v>42460</v>
      </c>
      <c r="E29" s="82">
        <f>'Data Sheet'!D16</f>
        <v>42825</v>
      </c>
      <c r="F29" s="82">
        <f>'Data Sheet'!E16</f>
        <v>43190</v>
      </c>
      <c r="G29" s="82">
        <f>'Data Sheet'!F16</f>
        <v>43555</v>
      </c>
      <c r="H29" s="82">
        <f>'Data Sheet'!G16</f>
        <v>43921</v>
      </c>
      <c r="I29" s="82">
        <f>'Data Sheet'!H16</f>
        <v>44286</v>
      </c>
      <c r="J29" s="82">
        <f>'Data Sheet'!I16</f>
        <v>44651</v>
      </c>
      <c r="K29" s="82">
        <f>'Data Sheet'!J16</f>
        <v>45016</v>
      </c>
      <c r="L29" s="82">
        <f>'Data Sheet'!K16</f>
        <v>45382</v>
      </c>
    </row>
    <row r="30" spans="2:12" x14ac:dyDescent="0.3">
      <c r="B30" s="8"/>
      <c r="C30" s="83"/>
      <c r="D30" s="83"/>
      <c r="E30" s="83"/>
      <c r="F30" s="83"/>
      <c r="G30" s="83"/>
      <c r="H30" s="83"/>
      <c r="I30" s="83"/>
      <c r="J30" s="83"/>
      <c r="K30" s="83"/>
      <c r="L30" s="83"/>
    </row>
    <row r="31" spans="2:12" x14ac:dyDescent="0.3">
      <c r="B31" s="78" t="s">
        <v>176</v>
      </c>
      <c r="C31" s="84">
        <f>'Data Sheet'!B61/'Data Sheet'!B$61</f>
        <v>1</v>
      </c>
      <c r="D31" s="84">
        <f>'Data Sheet'!C61/'Data Sheet'!C$61</f>
        <v>1</v>
      </c>
      <c r="E31" s="84">
        <f>'Data Sheet'!D61/'Data Sheet'!D$61</f>
        <v>1</v>
      </c>
      <c r="F31" s="84">
        <f>'Data Sheet'!E61/'Data Sheet'!E$61</f>
        <v>1</v>
      </c>
      <c r="G31" s="84">
        <f>'Data Sheet'!F61/'Data Sheet'!F$61</f>
        <v>1</v>
      </c>
      <c r="H31" s="84">
        <f>'Data Sheet'!G61/'Data Sheet'!G$61</f>
        <v>1</v>
      </c>
      <c r="I31" s="84">
        <f>'Data Sheet'!H61/'Data Sheet'!H$61</f>
        <v>1</v>
      </c>
      <c r="J31" s="84">
        <f>'Data Sheet'!I61/'Data Sheet'!I$61</f>
        <v>1</v>
      </c>
      <c r="K31" s="84">
        <f>'Data Sheet'!J61/'Data Sheet'!J$61</f>
        <v>1</v>
      </c>
      <c r="L31" s="84">
        <f>'Data Sheet'!K61/'Data Sheet'!K$61</f>
        <v>1</v>
      </c>
    </row>
    <row r="32" spans="2:12" x14ac:dyDescent="0.3">
      <c r="B32" s="6" t="str">
        <f>'Data Sheet'!A57</f>
        <v>Equity Share Capital</v>
      </c>
      <c r="C32" s="38">
        <f>'Data Sheet'!B57/'Data Sheet'!B$61</f>
        <v>0.23846509909504376</v>
      </c>
      <c r="D32" s="38">
        <f>'Data Sheet'!C57/'Data Sheet'!C$61</f>
        <v>0.18105082603593028</v>
      </c>
      <c r="E32" s="38">
        <f>'Data Sheet'!D57/'Data Sheet'!D$61</f>
        <v>0.10724350778790505</v>
      </c>
      <c r="F32" s="38">
        <f>'Data Sheet'!E57/'Data Sheet'!E$61</f>
        <v>0.11049144686290549</v>
      </c>
      <c r="G32" s="38">
        <f>'Data Sheet'!F57/'Data Sheet'!F$61</f>
        <v>8.9084290914281647E-2</v>
      </c>
      <c r="H32" s="38">
        <f>'Data Sheet'!G57/'Data Sheet'!G$61</f>
        <v>5.3640395622449523E-2</v>
      </c>
      <c r="I32" s="38">
        <f>'Data Sheet'!H57/'Data Sheet'!H$61</f>
        <v>4.7438127286242089E-2</v>
      </c>
      <c r="J32" s="38">
        <f>'Data Sheet'!I57/'Data Sheet'!I$61</f>
        <v>4.1870004356543672E-2</v>
      </c>
      <c r="K32" s="38">
        <f>'Data Sheet'!J57/'Data Sheet'!J$61</f>
        <v>3.5806527872597561E-2</v>
      </c>
      <c r="L32" s="38">
        <f>'Data Sheet'!K57/'Data Sheet'!K$61</f>
        <v>3.0734708451726017E-2</v>
      </c>
    </row>
    <row r="33" spans="2:12" x14ac:dyDescent="0.3">
      <c r="B33" s="6" t="str">
        <f>'Data Sheet'!A58</f>
        <v>Reserves</v>
      </c>
      <c r="C33" s="38">
        <f>'Data Sheet'!B58/'Data Sheet'!B$61</f>
        <v>0.27078617807806149</v>
      </c>
      <c r="D33" s="38">
        <f>'Data Sheet'!C58/'Data Sheet'!C$61</f>
        <v>0.30916699983234242</v>
      </c>
      <c r="E33" s="38">
        <f>'Data Sheet'!D58/'Data Sheet'!D$61</f>
        <v>0.55293782048638318</v>
      </c>
      <c r="F33" s="38">
        <f>'Data Sheet'!E58/'Data Sheet'!E$61</f>
        <v>0.71614951258980697</v>
      </c>
      <c r="G33" s="38">
        <f>'Data Sheet'!F58/'Data Sheet'!F$61</f>
        <v>0.70849618157162231</v>
      </c>
      <c r="H33" s="38">
        <f>'Data Sheet'!G58/'Data Sheet'!G$61</f>
        <v>0.86384827627325234</v>
      </c>
      <c r="I33" s="38">
        <f>'Data Sheet'!H58/'Data Sheet'!H$61</f>
        <v>0.84481126030296494</v>
      </c>
      <c r="J33" s="38">
        <f>'Data Sheet'!I58/'Data Sheet'!I$61</f>
        <v>0.84221361542707707</v>
      </c>
      <c r="K33" s="38">
        <f>'Data Sheet'!J58/'Data Sheet'!J$61</f>
        <v>0.852297658264345</v>
      </c>
      <c r="L33" s="38">
        <f>'Data Sheet'!K58/'Data Sheet'!K$61</f>
        <v>0.85238432153436916</v>
      </c>
    </row>
    <row r="34" spans="2:12" x14ac:dyDescent="0.3">
      <c r="B34" s="6" t="str">
        <f>'Data Sheet'!A59</f>
        <v>Borrowings</v>
      </c>
      <c r="C34" s="38">
        <f>'Data Sheet'!B59/'Data Sheet'!B$61</f>
        <v>0.38400550362874286</v>
      </c>
      <c r="D34" s="38">
        <f>'Data Sheet'!C59/'Data Sheet'!C$61</f>
        <v>0.38443235017217142</v>
      </c>
      <c r="E34" s="38">
        <f>'Data Sheet'!D59/'Data Sheet'!D$61</f>
        <v>0.25730330900042619</v>
      </c>
      <c r="F34" s="38">
        <f>'Data Sheet'!E59/'Data Sheet'!E$61</f>
        <v>7.7767863149806479E-2</v>
      </c>
      <c r="G34" s="38">
        <f>'Data Sheet'!F59/'Data Sheet'!F$61</f>
        <v>9.9942902005567047E-2</v>
      </c>
      <c r="H34" s="38">
        <f>'Data Sheet'!G59/'Data Sheet'!G$61</f>
        <v>2.7590724203720388E-2</v>
      </c>
      <c r="I34" s="38">
        <f>'Data Sheet'!H59/'Data Sheet'!H$61</f>
        <v>2.875932347373316E-2</v>
      </c>
      <c r="J34" s="38">
        <f>'Data Sheet'!I59/'Data Sheet'!I$61</f>
        <v>4.1816355524989371E-2</v>
      </c>
      <c r="K34" s="38">
        <f>'Data Sheet'!J59/'Data Sheet'!J$61</f>
        <v>3.5514887994821186E-2</v>
      </c>
      <c r="L34" s="38">
        <f>'Data Sheet'!K59/'Data Sheet'!K$61</f>
        <v>2.7968381597243214E-2</v>
      </c>
    </row>
    <row r="35" spans="2:12" x14ac:dyDescent="0.3">
      <c r="B35" s="6" t="str">
        <f>'Data Sheet'!A60</f>
        <v>Other Liabilities</v>
      </c>
      <c r="C35" s="38">
        <f>'Data Sheet'!B60/'Data Sheet'!B$61</f>
        <v>0.10674321919815187</v>
      </c>
      <c r="D35" s="38">
        <f>'Data Sheet'!C60/'Data Sheet'!C$61</f>
        <v>0.12534982395955582</v>
      </c>
      <c r="E35" s="38">
        <f>'Data Sheet'!D60/'Data Sheet'!D$61</f>
        <v>8.2515362725285604E-2</v>
      </c>
      <c r="F35" s="38">
        <f>'Data Sheet'!E60/'Data Sheet'!E$61</f>
        <v>9.5591177397480964E-2</v>
      </c>
      <c r="G35" s="38">
        <f>'Data Sheet'!F60/'Data Sheet'!F$61</f>
        <v>0.10247662550852901</v>
      </c>
      <c r="H35" s="38">
        <f>'Data Sheet'!G60/'Data Sheet'!G$61</f>
        <v>5.4920603900577666E-2</v>
      </c>
      <c r="I35" s="38">
        <f>'Data Sheet'!H60/'Data Sheet'!H$61</f>
        <v>7.8991288937059922E-2</v>
      </c>
      <c r="J35" s="38">
        <f>'Data Sheet'!I60/'Data Sheet'!I$61</f>
        <v>7.4100024691389946E-2</v>
      </c>
      <c r="K35" s="38">
        <f>'Data Sheet'!J60/'Data Sheet'!J$61</f>
        <v>7.6380925868236207E-2</v>
      </c>
      <c r="L35" s="38">
        <f>'Data Sheet'!K60/'Data Sheet'!K$61</f>
        <v>8.8912588416661636E-2</v>
      </c>
    </row>
    <row r="36" spans="2:12" x14ac:dyDescent="0.3">
      <c r="B36" s="6"/>
    </row>
    <row r="37" spans="2:12" x14ac:dyDescent="0.3">
      <c r="B37" s="8" t="s">
        <v>109</v>
      </c>
      <c r="C37" s="84">
        <f>'Data Sheet'!B76/'Data Sheet'!B$76</f>
        <v>1</v>
      </c>
      <c r="D37" s="84">
        <f>'Data Sheet'!C76/'Data Sheet'!C$76</f>
        <v>1</v>
      </c>
      <c r="E37" s="84">
        <f>'Data Sheet'!D76/'Data Sheet'!D$76</f>
        <v>1</v>
      </c>
      <c r="F37" s="84">
        <f>'Data Sheet'!E76/'Data Sheet'!E$76</f>
        <v>1</v>
      </c>
      <c r="G37" s="84">
        <f>'Data Sheet'!F76/'Data Sheet'!F$76</f>
        <v>1</v>
      </c>
      <c r="H37" s="84">
        <f>'Data Sheet'!G76/'Data Sheet'!G$76</f>
        <v>1</v>
      </c>
      <c r="I37" s="84">
        <f>'Data Sheet'!H76/'Data Sheet'!H$76</f>
        <v>1</v>
      </c>
      <c r="J37" s="84">
        <f>'Data Sheet'!I76/'Data Sheet'!I$76</f>
        <v>1</v>
      </c>
      <c r="K37" s="84">
        <f>'Data Sheet'!J76/'Data Sheet'!J$76</f>
        <v>1</v>
      </c>
      <c r="L37" s="84">
        <f>'Data Sheet'!K76/'Data Sheet'!K$76</f>
        <v>1</v>
      </c>
    </row>
    <row r="38" spans="2:12" x14ac:dyDescent="0.3">
      <c r="B38" s="6" t="str">
        <f>'Data Sheet'!A62</f>
        <v>Net Block</v>
      </c>
      <c r="C38" s="38">
        <f>'Data Sheet'!B62/'Data Sheet'!B$76</f>
        <v>0.64891859640480543</v>
      </c>
      <c r="D38" s="38">
        <f>'Data Sheet'!C62/'Data Sheet'!C$76</f>
        <v>0.67498936019293521</v>
      </c>
      <c r="E38" s="38">
        <f>'Data Sheet'!D62/'Data Sheet'!D$76</f>
        <v>0.44296717119643669</v>
      </c>
      <c r="F38" s="38">
        <f>'Data Sheet'!E62/'Data Sheet'!E$76</f>
        <v>0.60195424399191244</v>
      </c>
      <c r="G38" s="38">
        <f>'Data Sheet'!F62/'Data Sheet'!F$76</f>
        <v>0.62813075440725141</v>
      </c>
      <c r="H38" s="38">
        <f>'Data Sheet'!G62/'Data Sheet'!G$76</f>
        <v>0.49254315941491333</v>
      </c>
      <c r="I38" s="38">
        <f>'Data Sheet'!H62/'Data Sheet'!H$76</f>
        <v>0.513275308402386</v>
      </c>
      <c r="J38" s="38">
        <f>'Data Sheet'!I62/'Data Sheet'!I$76</f>
        <v>0.59854126887889458</v>
      </c>
      <c r="K38" s="38">
        <f>'Data Sheet'!J62/'Data Sheet'!J$76</f>
        <v>0.62638943203133801</v>
      </c>
      <c r="L38" s="38">
        <f>'Data Sheet'!K62/'Data Sheet'!K$76</f>
        <v>0.63360551054954362</v>
      </c>
    </row>
    <row r="39" spans="2:12" x14ac:dyDescent="0.3">
      <c r="B39" s="6" t="str">
        <f>'Data Sheet'!A63</f>
        <v>Capital Work in Progress</v>
      </c>
      <c r="C39" s="38">
        <f>'Data Sheet'!B63/'Data Sheet'!B$76</f>
        <v>4.166790526624229E-2</v>
      </c>
      <c r="D39" s="38">
        <f>'Data Sheet'!C63/'Data Sheet'!C$76</f>
        <v>2.6338358761397489E-2</v>
      </c>
      <c r="E39" s="38">
        <f>'Data Sheet'!D63/'Data Sheet'!D$76</f>
        <v>2.6273009719415458E-2</v>
      </c>
      <c r="F39" s="38">
        <f>'Data Sheet'!E63/'Data Sheet'!E$76</f>
        <v>2.6038291709600543E-2</v>
      </c>
      <c r="G39" s="38">
        <f>'Data Sheet'!F63/'Data Sheet'!F$76</f>
        <v>5.3792020555277993E-2</v>
      </c>
      <c r="H39" s="38">
        <f>'Data Sheet'!G63/'Data Sheet'!G$76</f>
        <v>3.0175155016164076E-2</v>
      </c>
      <c r="I39" s="38">
        <f>'Data Sheet'!H63/'Data Sheet'!H$76</f>
        <v>7.466761381320465E-2</v>
      </c>
      <c r="J39" s="38">
        <f>'Data Sheet'!I63/'Data Sheet'!I$76</f>
        <v>7.299731497293642E-2</v>
      </c>
      <c r="K39" s="38">
        <f>'Data Sheet'!J63/'Data Sheet'!J$76</f>
        <v>4.5798507775958709E-2</v>
      </c>
      <c r="L39" s="38">
        <f>'Data Sheet'!K63/'Data Sheet'!K$76</f>
        <v>4.4171490538661512E-2</v>
      </c>
    </row>
    <row r="40" spans="2:12" x14ac:dyDescent="0.3">
      <c r="B40" s="6" t="str">
        <f>'Data Sheet'!A64</f>
        <v>Investments</v>
      </c>
      <c r="C40" s="38">
        <f>'Data Sheet'!B64/'Data Sheet'!B$76</f>
        <v>6.4676130982966786E-3</v>
      </c>
      <c r="D40" s="38">
        <f>'Data Sheet'!C64/'Data Sheet'!C$76</f>
        <v>9.4565315518642234E-3</v>
      </c>
      <c r="E40" s="38">
        <f>'Data Sheet'!D64/'Data Sheet'!D$76</f>
        <v>4.4146354875517248E-3</v>
      </c>
      <c r="F40" s="38">
        <f>'Data Sheet'!E64/'Data Sheet'!E$76</f>
        <v>1.2071059555045661E-2</v>
      </c>
      <c r="G40" s="38">
        <f>'Data Sheet'!F64/'Data Sheet'!F$76</f>
        <v>2.3595746199414746E-3</v>
      </c>
      <c r="H40" s="38">
        <f>'Data Sheet'!G64/'Data Sheet'!G$76</f>
        <v>1.2156182097620436E-3</v>
      </c>
      <c r="I40" s="38">
        <f>'Data Sheet'!H64/'Data Sheet'!H$76</f>
        <v>2.1603729023328367E-4</v>
      </c>
      <c r="J40" s="38">
        <f>'Data Sheet'!I64/'Data Sheet'!I$76</f>
        <v>3.8394464991875114E-4</v>
      </c>
      <c r="K40" s="38">
        <f>'Data Sheet'!J64/'Data Sheet'!J$76</f>
        <v>1.1168481683027221E-2</v>
      </c>
      <c r="L40" s="38">
        <f>'Data Sheet'!K64/'Data Sheet'!K$76</f>
        <v>5.0381438546641677E-3</v>
      </c>
    </row>
    <row r="41" spans="2:12" x14ac:dyDescent="0.3">
      <c r="B41" s="6" t="str">
        <f>'Data Sheet'!A65</f>
        <v>Other Assets</v>
      </c>
      <c r="C41" s="38">
        <f>'Data Sheet'!B74/'Data Sheet'!B$76</f>
        <v>5.4637104479766933E-2</v>
      </c>
      <c r="D41" s="38">
        <f>'Data Sheet'!C74/'Data Sheet'!C$76</f>
        <v>5.8618888559305624E-2</v>
      </c>
      <c r="E41" s="38">
        <f>'Data Sheet'!D74/'Data Sheet'!D$76</f>
        <v>3.6045696374809214E-2</v>
      </c>
      <c r="F41" s="38">
        <f>'Data Sheet'!E74/'Data Sheet'!E$76</f>
        <v>4.8838395105006517E-2</v>
      </c>
      <c r="G41" s="38">
        <f>'Data Sheet'!F74/'Data Sheet'!F$76</f>
        <v>4.5631289700949297E-2</v>
      </c>
      <c r="H41" s="38">
        <f>'Data Sheet'!G74/'Data Sheet'!G$76</f>
        <v>0.30425400127192753</v>
      </c>
      <c r="I41" s="38">
        <f>'Data Sheet'!H74/'Data Sheet'!H$76</f>
        <v>0.13813717269435119</v>
      </c>
      <c r="J41" s="38">
        <f>'Data Sheet'!I74/'Data Sheet'!I$76</f>
        <v>0.12717681749960252</v>
      </c>
      <c r="K41" s="38">
        <f>'Data Sheet'!J74/'Data Sheet'!J$76</f>
        <v>5.626826891848008E-2</v>
      </c>
      <c r="L41" s="38">
        <f>'Data Sheet'!K74/'Data Sheet'!K$76</f>
        <v>9.3693794964028798E-2</v>
      </c>
    </row>
    <row r="42" spans="2:12" x14ac:dyDescent="0.3">
      <c r="B42" s="6" t="str">
        <f>'Data Sheet'!A67</f>
        <v>Receivables</v>
      </c>
      <c r="C42" s="38">
        <f>'Data Sheet'!B67/'Data Sheet'!B$76</f>
        <v>3.0023653713038422E-3</v>
      </c>
      <c r="D42" s="38">
        <f>'Data Sheet'!C67/'Data Sheet'!C$76</f>
        <v>2.7147628935116522E-3</v>
      </c>
      <c r="E42" s="38">
        <f>'Data Sheet'!D67/'Data Sheet'!D$76</f>
        <v>3.6086938590341074E-3</v>
      </c>
      <c r="F42" s="38">
        <f>'Data Sheet'!E67/'Data Sheet'!E$76</f>
        <v>5.9346130285293421E-3</v>
      </c>
      <c r="G42" s="38">
        <f>'Data Sheet'!F67/'Data Sheet'!F$76</f>
        <v>9.1884947541217617E-3</v>
      </c>
      <c r="H42" s="38">
        <f>'Data Sheet'!G67/'Data Sheet'!G$76</f>
        <v>1.6188920981504056E-3</v>
      </c>
      <c r="I42" s="38">
        <f>'Data Sheet'!H67/'Data Sheet'!H$76</f>
        <v>3.1914932570733905E-3</v>
      </c>
      <c r="J42" s="38">
        <f>'Data Sheet'!I67/'Data Sheet'!I$76</f>
        <v>4.3235787261052634E-3</v>
      </c>
      <c r="K42" s="38">
        <f>'Data Sheet'!J67/'Data Sheet'!J$76</f>
        <v>3.4333967429128194E-3</v>
      </c>
      <c r="L42" s="38">
        <f>'Data Sheet'!K67/'Data Sheet'!K$76</f>
        <v>7.8578418777582974E-3</v>
      </c>
    </row>
    <row r="43" spans="2:12" x14ac:dyDescent="0.3">
      <c r="B43" s="6" t="str">
        <f>'Data Sheet'!A68</f>
        <v>Inventory</v>
      </c>
      <c r="C43" s="38">
        <f>'Data Sheet'!B68/'Data Sheet'!B$76</f>
        <v>0.22915224582875052</v>
      </c>
      <c r="D43" s="38">
        <f>'Data Sheet'!C68/'Data Sheet'!C$76</f>
        <v>0.21656521234475556</v>
      </c>
      <c r="E43" s="38">
        <f>'Data Sheet'!D68/'Data Sheet'!D$76</f>
        <v>0.16288956709421096</v>
      </c>
      <c r="F43" s="38">
        <f>'Data Sheet'!E68/'Data Sheet'!E$76</f>
        <v>0.20598524844995414</v>
      </c>
      <c r="G43" s="38">
        <f>'Data Sheet'!F68/'Data Sheet'!F$76</f>
        <v>0.22962672186139463</v>
      </c>
      <c r="H43" s="38">
        <f>'Data Sheet'!G68/'Data Sheet'!G$76</f>
        <v>0.16125987068737083</v>
      </c>
      <c r="I43" s="38">
        <f>'Data Sheet'!H68/'Data Sheet'!H$76</f>
        <v>0.16464824369006339</v>
      </c>
      <c r="J43" s="38">
        <f>'Data Sheet'!I68/'Data Sheet'!I$76</f>
        <v>0.17727771608521245</v>
      </c>
      <c r="K43" s="38">
        <f>'Data Sheet'!J68/'Data Sheet'!J$76</f>
        <v>0.17915305128222123</v>
      </c>
      <c r="L43" s="38">
        <f>'Data Sheet'!K68/'Data Sheet'!K$76</f>
        <v>0.1854912603530621</v>
      </c>
    </row>
    <row r="44" spans="2:12" x14ac:dyDescent="0.3">
      <c r="B44" s="6" t="str">
        <f>'Data Sheet'!A69</f>
        <v>Cash &amp; Bank</v>
      </c>
      <c r="C44" s="38">
        <f>'Data Sheet'!B69/'Data Sheet'!B$76</f>
        <v>1.6154169550834249E-2</v>
      </c>
      <c r="D44" s="38">
        <f>'Data Sheet'!C69/'Data Sheet'!C$76</f>
        <v>1.1316885696230284E-2</v>
      </c>
      <c r="E44" s="38">
        <f>'Data Sheet'!D69/'Data Sheet'!D$76</f>
        <v>0.3238012262685418</v>
      </c>
      <c r="F44" s="38">
        <f>'Data Sheet'!E69/'Data Sheet'!E$76</f>
        <v>9.9178148159951268E-2</v>
      </c>
      <c r="G44" s="38">
        <f>'Data Sheet'!F69/'Data Sheet'!F$76</f>
        <v>3.127114410106345E-2</v>
      </c>
      <c r="H44" s="38">
        <f>'Data Sheet'!G69/'Data Sheet'!G$76</f>
        <v>8.9333033017118015E-3</v>
      </c>
      <c r="I44" s="38">
        <f>'Data Sheet'!H69/'Data Sheet'!H$76</f>
        <v>0.1058641308526882</v>
      </c>
      <c r="J44" s="38">
        <f>'Data Sheet'!I69/'Data Sheet'!I$76</f>
        <v>1.9299359187330084E-2</v>
      </c>
      <c r="K44" s="38">
        <f>'Data Sheet'!J69/'Data Sheet'!J$76</f>
        <v>7.7788861566061948E-2</v>
      </c>
      <c r="L44" s="38">
        <f>'Data Sheet'!K69/'Data Sheet'!K$76</f>
        <v>3.0141957862281601E-2</v>
      </c>
    </row>
    <row r="45" spans="2:12" x14ac:dyDescent="0.3">
      <c r="B45" s="8"/>
      <c r="C45" s="38"/>
      <c r="D45" s="38"/>
      <c r="E45" s="38"/>
      <c r="F45" s="38"/>
      <c r="G45" s="38"/>
      <c r="H45" s="38"/>
      <c r="I45" s="38"/>
      <c r="J45" s="38"/>
      <c r="K45" s="38"/>
      <c r="L45" s="38"/>
    </row>
    <row r="46" spans="2:12" x14ac:dyDescent="0.3">
      <c r="B46" s="8"/>
    </row>
    <row r="47" spans="2:12" x14ac:dyDescent="0.3">
      <c r="B47" s="8"/>
    </row>
    <row r="48" spans="2:12" x14ac:dyDescent="0.3">
      <c r="B48" s="8"/>
    </row>
  </sheetData>
  <mergeCells count="3">
    <mergeCell ref="B6:L6"/>
    <mergeCell ref="B27:L27"/>
    <mergeCell ref="B2:L2"/>
  </mergeCells>
  <pageMargins left="0.15748031496062992" right="0" top="0.39370078740157483" bottom="0" header="0.31496062992125984" footer="0.31496062992125984"/>
  <pageSetup paperSize="9" scale="95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47"/>
  <sheetViews>
    <sheetView showGridLines="0" zoomScaleNormal="100" workbookViewId="0">
      <selection activeCell="M17" sqref="M17"/>
    </sheetView>
  </sheetViews>
  <sheetFormatPr defaultRowHeight="14.4" x14ac:dyDescent="0.3"/>
  <cols>
    <col min="1" max="1" width="1.88671875" customWidth="1"/>
    <col min="2" max="2" width="26.5546875" customWidth="1"/>
    <col min="3" max="3" width="10" bestFit="1" customWidth="1"/>
    <col min="4" max="4" width="8" bestFit="1" customWidth="1"/>
    <col min="5" max="5" width="9.5546875" bestFit="1" customWidth="1"/>
    <col min="6" max="6" width="10.6640625" bestFit="1" customWidth="1"/>
    <col min="10" max="10" width="10.109375" style="70" bestFit="1" customWidth="1"/>
    <col min="11" max="11" width="11.6640625" style="70" bestFit="1" customWidth="1"/>
  </cols>
  <sheetData>
    <row r="2" spans="1:12" ht="38.4" customHeight="1" x14ac:dyDescent="0.35">
      <c r="B2" s="264" t="s">
        <v>1645</v>
      </c>
      <c r="C2" s="264"/>
      <c r="D2" s="264"/>
      <c r="E2" s="264"/>
      <c r="F2" s="264"/>
      <c r="G2" s="264"/>
      <c r="H2" s="264"/>
      <c r="I2" s="264"/>
      <c r="J2" s="264"/>
      <c r="K2" s="264"/>
      <c r="L2" s="264"/>
    </row>
    <row r="3" spans="1:12" ht="12" customHeight="1" x14ac:dyDescent="0.3">
      <c r="B3" s="237" t="s">
        <v>1643</v>
      </c>
      <c r="C3" s="232"/>
      <c r="D3" s="232"/>
      <c r="E3" s="232"/>
      <c r="F3" s="232"/>
      <c r="G3" s="232"/>
      <c r="H3" s="232"/>
      <c r="I3" s="232"/>
      <c r="J3" s="232"/>
      <c r="K3" s="232"/>
      <c r="L3" s="232"/>
    </row>
    <row r="4" spans="1:12" ht="11.4" customHeight="1" thickBot="1" x14ac:dyDescent="0.35">
      <c r="B4" s="238" t="s">
        <v>1644</v>
      </c>
      <c r="C4" s="239"/>
      <c r="D4" s="239"/>
      <c r="E4" s="239"/>
      <c r="F4" s="239"/>
      <c r="G4" s="239"/>
      <c r="H4" s="239"/>
      <c r="I4" s="239"/>
      <c r="J4" s="239"/>
      <c r="K4" s="239"/>
      <c r="L4" s="232"/>
    </row>
    <row r="5" spans="1:12" ht="3.6" customHeight="1" x14ac:dyDescent="0.3">
      <c r="A5" s="208"/>
      <c r="B5" s="208"/>
      <c r="C5" s="208"/>
      <c r="D5" s="208"/>
      <c r="E5" s="208"/>
      <c r="F5" s="208"/>
      <c r="G5" s="208"/>
      <c r="H5" s="208"/>
      <c r="I5" s="208"/>
      <c r="J5" s="209"/>
      <c r="K5" s="209"/>
    </row>
    <row r="6" spans="1:12" ht="18" x14ac:dyDescent="0.35">
      <c r="B6" s="243" t="s">
        <v>330</v>
      </c>
      <c r="C6" s="243"/>
      <c r="D6" s="243"/>
      <c r="E6" s="243"/>
      <c r="F6" s="243"/>
      <c r="G6" s="243"/>
      <c r="H6" s="243"/>
      <c r="I6" s="243"/>
      <c r="J6" s="244"/>
      <c r="K6" s="244"/>
    </row>
    <row r="8" spans="1:12" x14ac:dyDescent="0.3">
      <c r="B8" s="135" t="s">
        <v>331</v>
      </c>
    </row>
    <row r="9" spans="1:12" x14ac:dyDescent="0.3">
      <c r="B9" s="78" t="s">
        <v>342</v>
      </c>
      <c r="K9" s="136"/>
    </row>
    <row r="10" spans="1:12" x14ac:dyDescent="0.3">
      <c r="B10" s="107"/>
      <c r="C10" s="107"/>
      <c r="D10" s="107"/>
      <c r="E10" s="107"/>
      <c r="F10" s="107"/>
      <c r="G10" s="107"/>
      <c r="H10" s="108" t="s">
        <v>339</v>
      </c>
      <c r="I10" s="108" t="s">
        <v>339</v>
      </c>
      <c r="J10" s="137" t="s">
        <v>344</v>
      </c>
      <c r="K10" s="137" t="s">
        <v>343</v>
      </c>
    </row>
    <row r="11" spans="1:12" ht="16.2" x14ac:dyDescent="0.3">
      <c r="B11" s="109" t="s">
        <v>332</v>
      </c>
      <c r="C11" s="109" t="s">
        <v>333</v>
      </c>
      <c r="D11" s="109"/>
      <c r="E11" s="109" t="s">
        <v>334</v>
      </c>
      <c r="F11" s="109" t="s">
        <v>335</v>
      </c>
      <c r="G11" s="109" t="s">
        <v>336</v>
      </c>
      <c r="H11" s="109" t="s">
        <v>337</v>
      </c>
      <c r="I11" s="109" t="s">
        <v>338</v>
      </c>
      <c r="J11" s="138" t="s">
        <v>340</v>
      </c>
      <c r="K11" s="138" t="s">
        <v>341</v>
      </c>
    </row>
    <row r="13" spans="1:12" x14ac:dyDescent="0.3">
      <c r="B13" s="110" t="s">
        <v>374</v>
      </c>
      <c r="C13" s="110" t="s">
        <v>345</v>
      </c>
      <c r="E13" s="123">
        <f>'Beta - comps'!E6</f>
        <v>712.91</v>
      </c>
      <c r="F13" s="123">
        <f>'Beta - comps'!D6</f>
        <v>263690.05</v>
      </c>
      <c r="G13" s="111">
        <v>0.3</v>
      </c>
      <c r="H13" s="113">
        <f>E13/F13</f>
        <v>2.7035908256682417E-3</v>
      </c>
      <c r="I13" s="113">
        <f>E13/(E13+F13)</f>
        <v>2.696301130668129E-3</v>
      </c>
      <c r="J13" s="73">
        <f>'Beta - Regression'!J9</f>
        <v>0.89818631571880936</v>
      </c>
      <c r="K13" s="139">
        <f>J13/(1+(1-G13)*H13)</f>
        <v>0.89648969679511648</v>
      </c>
    </row>
    <row r="14" spans="1:12" x14ac:dyDescent="0.3">
      <c r="B14" s="110" t="s">
        <v>375</v>
      </c>
      <c r="C14" s="110" t="s">
        <v>345</v>
      </c>
      <c r="E14" s="123">
        <f>'Beta - comps'!E7</f>
        <v>1752.99</v>
      </c>
      <c r="F14" s="123">
        <f>'Beta - comps'!D7</f>
        <v>261690.32</v>
      </c>
      <c r="G14" s="112">
        <v>0.3</v>
      </c>
      <c r="H14" s="113">
        <f t="shared" ref="H14:H17" si="0">E14/F14</f>
        <v>6.698719310672248E-3</v>
      </c>
      <c r="I14" s="113">
        <f t="shared" ref="I14:I17" si="1">E14/(E14+F14)</f>
        <v>6.6541450606584012E-3</v>
      </c>
      <c r="J14" s="73">
        <v>1</v>
      </c>
      <c r="K14" s="139">
        <f t="shared" ref="K14:K17" si="2">J14/(1+(1-G14)*H14)</f>
        <v>0.99533278155296623</v>
      </c>
    </row>
    <row r="15" spans="1:12" x14ac:dyDescent="0.3">
      <c r="B15" s="110" t="s">
        <v>376</v>
      </c>
      <c r="C15" s="110" t="s">
        <v>345</v>
      </c>
      <c r="E15" s="123">
        <f>'Beta - comps'!E8</f>
        <v>1429.59</v>
      </c>
      <c r="F15" s="123">
        <f>'Beta - comps'!D8</f>
        <v>32179.03</v>
      </c>
      <c r="G15" s="112">
        <v>0.3</v>
      </c>
      <c r="H15" s="113">
        <f t="shared" si="0"/>
        <v>4.4426137145836903E-2</v>
      </c>
      <c r="I15" s="113">
        <f t="shared" si="1"/>
        <v>4.2536408814167322E-2</v>
      </c>
      <c r="J15" s="73">
        <v>1.19</v>
      </c>
      <c r="K15" s="139">
        <f t="shared" si="2"/>
        <v>1.1541091713700133</v>
      </c>
    </row>
    <row r="16" spans="1:12" x14ac:dyDescent="0.3">
      <c r="B16" s="110" t="s">
        <v>377</v>
      </c>
      <c r="C16" s="110" t="s">
        <v>345</v>
      </c>
      <c r="E16" s="123">
        <f>'Beta - comps'!E9</f>
        <v>9451.4</v>
      </c>
      <c r="F16" s="123">
        <f>'Beta - comps'!D9</f>
        <v>32166.97</v>
      </c>
      <c r="G16" s="112">
        <v>0.3</v>
      </c>
      <c r="H16" s="113">
        <f t="shared" si="0"/>
        <v>0.29382313596835508</v>
      </c>
      <c r="I16" s="113">
        <f t="shared" si="1"/>
        <v>0.22709683248046472</v>
      </c>
      <c r="J16" s="73">
        <v>1.35</v>
      </c>
      <c r="K16" s="139">
        <f t="shared" si="2"/>
        <v>1.1197036197607455</v>
      </c>
    </row>
    <row r="17" spans="2:11" x14ac:dyDescent="0.3">
      <c r="B17" s="110" t="s">
        <v>378</v>
      </c>
      <c r="C17" s="110" t="s">
        <v>345</v>
      </c>
      <c r="E17" s="123">
        <f>'Beta - comps'!E10</f>
        <v>480.06</v>
      </c>
      <c r="F17" s="123">
        <f>'Beta - comps'!D10</f>
        <v>11930.97</v>
      </c>
      <c r="G17" s="112">
        <v>0.3</v>
      </c>
      <c r="H17" s="113">
        <f t="shared" si="0"/>
        <v>4.0236460237516314E-2</v>
      </c>
      <c r="I17" s="113">
        <f t="shared" si="1"/>
        <v>3.8680109547716834E-2</v>
      </c>
      <c r="J17" s="73">
        <v>1.82</v>
      </c>
      <c r="K17" s="139">
        <f t="shared" si="2"/>
        <v>1.7701429981482044</v>
      </c>
    </row>
    <row r="19" spans="2:11" x14ac:dyDescent="0.3">
      <c r="F19" s="114" t="s">
        <v>346</v>
      </c>
      <c r="G19" s="115">
        <f>AVERAGE(G13:G17)</f>
        <v>0.3</v>
      </c>
      <c r="H19" s="117">
        <f>AVERAGE(H13:H17)</f>
        <v>7.7577608697609754E-2</v>
      </c>
      <c r="I19" s="117">
        <f>AVERAGE(I13:I17)</f>
        <v>6.3532759406735084E-2</v>
      </c>
      <c r="J19" s="140">
        <f>AVERAGE(J13:J17)</f>
        <v>1.251637263143762</v>
      </c>
      <c r="K19" s="140">
        <f>AVERAGE(K13:K17)</f>
        <v>1.1871556535254093</v>
      </c>
    </row>
    <row r="20" spans="2:11" x14ac:dyDescent="0.3">
      <c r="F20" s="96" t="s">
        <v>172</v>
      </c>
      <c r="G20" s="116">
        <f>MEDIAN(G13:G17)</f>
        <v>0.3</v>
      </c>
      <c r="H20" s="118">
        <f>MEDIAN(H13:H17)</f>
        <v>4.0236460237516314E-2</v>
      </c>
      <c r="I20" s="118">
        <f>MEDIAN(I13:I17)</f>
        <v>3.8680109547716834E-2</v>
      </c>
      <c r="J20" s="141">
        <f>MEDIAN(J13:J17)</f>
        <v>1.19</v>
      </c>
      <c r="K20" s="141">
        <f>MEDIAN(K13:K17)</f>
        <v>1.1197036197607455</v>
      </c>
    </row>
    <row r="23" spans="2:11" x14ac:dyDescent="0.3">
      <c r="B23" s="96" t="s">
        <v>347</v>
      </c>
      <c r="C23" s="109"/>
      <c r="D23" s="109"/>
      <c r="E23" s="109"/>
      <c r="G23" s="96" t="s">
        <v>351</v>
      </c>
      <c r="H23" s="109"/>
      <c r="I23" s="109"/>
      <c r="J23" s="97"/>
      <c r="K23" s="138"/>
    </row>
    <row r="25" spans="2:11" x14ac:dyDescent="0.3">
      <c r="B25" t="s">
        <v>348</v>
      </c>
      <c r="D25" s="38"/>
      <c r="E25" s="134">
        <f>69/712</f>
        <v>9.6910112359550563E-2</v>
      </c>
      <c r="G25" t="s">
        <v>352</v>
      </c>
      <c r="K25" s="142">
        <v>6.7900000000000002E-2</v>
      </c>
    </row>
    <row r="26" spans="2:11" x14ac:dyDescent="0.3">
      <c r="B26" t="s">
        <v>349</v>
      </c>
      <c r="E26" s="121">
        <v>0.3</v>
      </c>
      <c r="G26" t="s">
        <v>353</v>
      </c>
      <c r="K26" s="143">
        <f>Sheet2!H11-WACC!K25</f>
        <v>8.8191666666666654E-2</v>
      </c>
    </row>
    <row r="27" spans="2:11" ht="16.2" x14ac:dyDescent="0.3">
      <c r="B27" s="56" t="s">
        <v>350</v>
      </c>
      <c r="C27" s="56"/>
      <c r="D27" s="56"/>
      <c r="E27" s="119">
        <f>E25*(1-E26)</f>
        <v>6.7837078651685395E-2</v>
      </c>
      <c r="G27" t="s">
        <v>354</v>
      </c>
      <c r="K27" s="73">
        <f>K36</f>
        <v>1.1728784670145909</v>
      </c>
    </row>
    <row r="28" spans="2:11" x14ac:dyDescent="0.3">
      <c r="G28" s="56" t="s">
        <v>351</v>
      </c>
      <c r="H28" s="56"/>
      <c r="I28" s="56"/>
      <c r="J28" s="148"/>
      <c r="K28" s="144">
        <f>K25+(K26*K27)</f>
        <v>0.17133810680346179</v>
      </c>
    </row>
    <row r="31" spans="2:11" x14ac:dyDescent="0.3">
      <c r="B31" s="96" t="s">
        <v>355</v>
      </c>
      <c r="C31" s="109"/>
      <c r="D31" s="109"/>
      <c r="E31" s="109"/>
      <c r="G31" s="96" t="s">
        <v>359</v>
      </c>
      <c r="H31" s="109"/>
      <c r="I31" s="109"/>
      <c r="J31" s="138"/>
      <c r="K31" s="138"/>
    </row>
    <row r="33" spans="2:11" x14ac:dyDescent="0.3">
      <c r="B33" s="11"/>
      <c r="D33" s="120" t="s">
        <v>356</v>
      </c>
      <c r="E33" s="120" t="s">
        <v>357</v>
      </c>
      <c r="G33" t="s">
        <v>360</v>
      </c>
      <c r="K33" s="73">
        <f>K20</f>
        <v>1.1197036197607455</v>
      </c>
    </row>
    <row r="34" spans="2:11" x14ac:dyDescent="0.3">
      <c r="B34" t="s">
        <v>334</v>
      </c>
      <c r="C34" s="123">
        <f>E13</f>
        <v>712.91</v>
      </c>
      <c r="D34" s="38">
        <f>C34/$C$36</f>
        <v>2.696301130668129E-3</v>
      </c>
      <c r="E34" s="112">
        <f>I19</f>
        <v>6.3532759406735084E-2</v>
      </c>
      <c r="G34" t="s">
        <v>361</v>
      </c>
      <c r="K34" s="130">
        <f>E38</f>
        <v>6.7843013244634376E-2</v>
      </c>
    </row>
    <row r="35" spans="2:11" x14ac:dyDescent="0.3">
      <c r="B35" t="s">
        <v>70</v>
      </c>
      <c r="C35" s="123">
        <f>F13</f>
        <v>263690.05</v>
      </c>
      <c r="D35" s="38">
        <f t="shared" ref="D35:D36" si="3">C35/$C$36</f>
        <v>0.99730369886933201</v>
      </c>
      <c r="E35" s="126">
        <f>E36-E34</f>
        <v>0.93646724059326492</v>
      </c>
      <c r="G35" t="s">
        <v>349</v>
      </c>
      <c r="K35" s="131">
        <f>E26</f>
        <v>0.3</v>
      </c>
    </row>
    <row r="36" spans="2:11" x14ac:dyDescent="0.3">
      <c r="B36" s="56" t="s">
        <v>358</v>
      </c>
      <c r="C36" s="124">
        <f>SUM(C34:C35)</f>
        <v>264402.95999999996</v>
      </c>
      <c r="D36" s="38">
        <f t="shared" si="3"/>
        <v>1</v>
      </c>
      <c r="E36" s="38">
        <v>1</v>
      </c>
      <c r="G36" s="56" t="s">
        <v>359</v>
      </c>
      <c r="H36" s="56"/>
      <c r="I36" s="56"/>
      <c r="J36" s="148"/>
      <c r="K36" s="145">
        <f>K33*(1+(1-K35)*K34)</f>
        <v>1.1728784670145909</v>
      </c>
    </row>
    <row r="38" spans="2:11" x14ac:dyDescent="0.3">
      <c r="B38" t="s">
        <v>362</v>
      </c>
      <c r="D38" s="122">
        <f>D34/D35</f>
        <v>2.7035908256682417E-3</v>
      </c>
      <c r="E38" s="122">
        <f>E34/E35</f>
        <v>6.7843013244634376E-2</v>
      </c>
      <c r="G38" s="96" t="s">
        <v>363</v>
      </c>
      <c r="H38" s="109"/>
      <c r="I38" s="109"/>
      <c r="J38" s="138"/>
      <c r="K38" s="138"/>
    </row>
    <row r="40" spans="2:11" x14ac:dyDescent="0.3">
      <c r="B40" s="127" t="s">
        <v>365</v>
      </c>
      <c r="C40" s="106"/>
      <c r="D40" s="106"/>
      <c r="J40" s="125"/>
      <c r="K40" s="125" t="s">
        <v>364</v>
      </c>
    </row>
    <row r="41" spans="2:11" x14ac:dyDescent="0.3">
      <c r="B41" s="127" t="s">
        <v>366</v>
      </c>
      <c r="C41" s="128"/>
      <c r="D41" s="128"/>
      <c r="G41" t="s">
        <v>351</v>
      </c>
      <c r="J41" s="130"/>
      <c r="K41" s="130">
        <f>K28</f>
        <v>0.17133810680346179</v>
      </c>
    </row>
    <row r="42" spans="2:11" x14ac:dyDescent="0.3">
      <c r="B42" s="127" t="s">
        <v>367</v>
      </c>
      <c r="C42" s="128"/>
      <c r="D42" s="128"/>
      <c r="G42" s="11" t="s">
        <v>386</v>
      </c>
      <c r="H42" s="11"/>
      <c r="I42" s="11"/>
      <c r="J42" s="146"/>
      <c r="K42" s="146">
        <f>E35</f>
        <v>0.93646724059326492</v>
      </c>
    </row>
    <row r="43" spans="2:11" x14ac:dyDescent="0.3">
      <c r="B43" s="127" t="s">
        <v>368</v>
      </c>
      <c r="C43" s="128"/>
      <c r="D43" s="128"/>
      <c r="G43" s="11"/>
      <c r="H43" s="11"/>
      <c r="I43" s="11"/>
      <c r="J43" s="149"/>
      <c r="K43" s="147"/>
    </row>
    <row r="44" spans="2:11" x14ac:dyDescent="0.3">
      <c r="G44" t="s">
        <v>347</v>
      </c>
      <c r="K44" s="130">
        <f>E27</f>
        <v>6.7837078651685395E-2</v>
      </c>
    </row>
    <row r="45" spans="2:11" x14ac:dyDescent="0.3">
      <c r="G45" t="s">
        <v>387</v>
      </c>
      <c r="K45" s="130">
        <f>E34</f>
        <v>6.3532759406735084E-2</v>
      </c>
    </row>
    <row r="47" spans="2:11" x14ac:dyDescent="0.3">
      <c r="G47" s="187" t="s">
        <v>388</v>
      </c>
      <c r="H47" s="187"/>
      <c r="I47" s="187"/>
      <c r="J47" s="188"/>
      <c r="K47" s="189">
        <f>(K41*K42)+(K44*K45)</f>
        <v>0.16476240088354524</v>
      </c>
    </row>
  </sheetData>
  <mergeCells count="1">
    <mergeCell ref="B2:L2"/>
  </mergeCells>
  <pageMargins left="0.59055118110236227" right="0.59055118110236227" top="0.39370078740157483" bottom="0" header="0.31496062992125984" footer="0.31496062992125984"/>
  <pageSetup paperSize="9" scale="72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252"/>
  <sheetViews>
    <sheetView showGridLines="0" workbookViewId="0">
      <selection activeCell="B2" sqref="B2:L4"/>
    </sheetView>
  </sheetViews>
  <sheetFormatPr defaultRowHeight="14.4" x14ac:dyDescent="0.3"/>
  <cols>
    <col min="1" max="1" width="1.88671875" style="50" customWidth="1"/>
    <col min="2" max="2" width="14.33203125" style="50" bestFit="1" customWidth="1"/>
    <col min="3" max="3" width="12" style="50" customWidth="1"/>
    <col min="4" max="4" width="12.21875" style="95" customWidth="1"/>
    <col min="5" max="5" width="5.5546875" style="50" customWidth="1"/>
    <col min="6" max="6" width="12.88671875" style="50" customWidth="1"/>
    <col min="7" max="7" width="12.88671875" style="95" customWidth="1"/>
    <col min="8" max="8" width="5.5546875" style="93" customWidth="1"/>
    <col min="9" max="9" width="17.5546875" style="93" bestFit="1" customWidth="1"/>
    <col min="10" max="10" width="13.33203125" style="93" customWidth="1"/>
    <col min="11" max="11" width="4.77734375" style="50" customWidth="1"/>
    <col min="12" max="12" width="17.44140625" style="50" bestFit="1" customWidth="1"/>
    <col min="13" max="13" width="12.6640625" style="50" bestFit="1" customWidth="1"/>
    <col min="14" max="14" width="13.44140625" style="50" bestFit="1" customWidth="1"/>
    <col min="15" max="15" width="11.77734375" style="50" customWidth="1"/>
    <col min="16" max="16" width="11.44140625" style="50" customWidth="1"/>
    <col min="17" max="17" width="11.88671875" style="50" customWidth="1"/>
    <col min="18" max="18" width="10.33203125" style="50" customWidth="1"/>
    <col min="19" max="19" width="11.5546875" style="50" customWidth="1"/>
    <col min="20" max="20" width="12.109375" style="50" bestFit="1" customWidth="1"/>
    <col min="21" max="16384" width="8.88671875" style="50"/>
  </cols>
  <sheetData>
    <row r="1" spans="2:20" x14ac:dyDescent="0.3">
      <c r="B1" s="210"/>
      <c r="C1" s="210"/>
      <c r="D1" s="211"/>
      <c r="E1" s="210"/>
      <c r="F1" s="210"/>
      <c r="G1" s="211"/>
      <c r="H1" s="212"/>
      <c r="I1" s="212"/>
      <c r="J1" s="212"/>
    </row>
    <row r="2" spans="2:20" ht="34.799999999999997" customHeight="1" x14ac:dyDescent="0.35">
      <c r="B2" s="264" t="s">
        <v>1645</v>
      </c>
      <c r="C2" s="264"/>
      <c r="D2" s="264"/>
      <c r="E2" s="264"/>
      <c r="F2" s="264"/>
      <c r="G2" s="264"/>
      <c r="H2" s="264"/>
      <c r="I2" s="264"/>
      <c r="J2" s="264"/>
      <c r="K2" s="264"/>
      <c r="L2" s="264"/>
    </row>
    <row r="3" spans="2:20" ht="11.4" customHeight="1" x14ac:dyDescent="0.3">
      <c r="B3" s="237" t="s">
        <v>1643</v>
      </c>
      <c r="C3" s="232"/>
      <c r="D3" s="232"/>
      <c r="E3" s="232"/>
      <c r="F3" s="232"/>
      <c r="G3" s="232"/>
      <c r="H3" s="232"/>
      <c r="I3" s="232"/>
      <c r="J3" s="232"/>
      <c r="K3" s="232"/>
      <c r="L3" s="232"/>
    </row>
    <row r="4" spans="2:20" ht="11.4" customHeight="1" thickBot="1" x14ac:dyDescent="0.35">
      <c r="B4" s="238" t="s">
        <v>1644</v>
      </c>
      <c r="C4" s="239"/>
      <c r="D4" s="239"/>
      <c r="E4" s="239"/>
      <c r="F4" s="239"/>
      <c r="G4" s="239"/>
      <c r="H4" s="239"/>
      <c r="I4" s="239"/>
      <c r="J4" s="239"/>
      <c r="K4" s="232"/>
      <c r="L4" s="232"/>
    </row>
    <row r="5" spans="2:20" x14ac:dyDescent="0.3">
      <c r="B5" s="266" t="s">
        <v>329</v>
      </c>
      <c r="C5" s="266"/>
      <c r="D5" s="266"/>
    </row>
    <row r="7" spans="2:20" x14ac:dyDescent="0.3">
      <c r="B7" s="263" t="s">
        <v>293</v>
      </c>
      <c r="C7" s="263"/>
      <c r="D7" s="263"/>
      <c r="F7" s="263" t="s">
        <v>295</v>
      </c>
      <c r="G7" s="263"/>
      <c r="I7" s="263" t="s">
        <v>323</v>
      </c>
      <c r="J7" s="263"/>
    </row>
    <row r="9" spans="2:20" x14ac:dyDescent="0.3">
      <c r="B9" s="96" t="s">
        <v>179</v>
      </c>
      <c r="C9" s="213" t="s">
        <v>288</v>
      </c>
      <c r="D9" s="97" t="s">
        <v>294</v>
      </c>
      <c r="F9" s="213" t="s">
        <v>288</v>
      </c>
      <c r="G9" s="97" t="s">
        <v>294</v>
      </c>
      <c r="I9" s="93" t="s">
        <v>324</v>
      </c>
      <c r="J9" s="98">
        <f>M12</f>
        <v>0.89818631571880936</v>
      </c>
      <c r="L9" s="50" t="s">
        <v>296</v>
      </c>
      <c r="M9" s="98">
        <f>SLOPE(D11:D115,G11:G115)</f>
        <v>0.89818631571880903</v>
      </c>
    </row>
    <row r="10" spans="2:20" x14ac:dyDescent="0.3">
      <c r="B10" s="92">
        <v>44858</v>
      </c>
      <c r="C10" s="91">
        <v>4307.3500000000004</v>
      </c>
      <c r="F10" s="91">
        <v>17786.8</v>
      </c>
      <c r="H10" s="94"/>
      <c r="I10" s="94" t="s">
        <v>325</v>
      </c>
      <c r="J10" s="103">
        <v>0.75</v>
      </c>
      <c r="K10" s="91"/>
      <c r="L10" s="50" t="s">
        <v>297</v>
      </c>
      <c r="M10" s="98">
        <f>_xlfn.COVARIANCE.S(D10:D115,G10:G115)/_xlfn.VAR.S(G10:G115)</f>
        <v>0.89818631571880903</v>
      </c>
    </row>
    <row r="11" spans="2:20" x14ac:dyDescent="0.3">
      <c r="B11" s="92">
        <v>44865</v>
      </c>
      <c r="C11" s="91">
        <v>4167.3500000000004</v>
      </c>
      <c r="D11" s="67">
        <f>C11/C10-1</f>
        <v>-3.250258279452567E-2</v>
      </c>
      <c r="F11" s="91">
        <v>18117.150000000001</v>
      </c>
      <c r="G11" s="67">
        <f>F11/F10-1</f>
        <v>1.8572761823374861E-2</v>
      </c>
      <c r="H11" s="94"/>
      <c r="I11" s="50"/>
      <c r="J11" s="50"/>
      <c r="K11" s="91"/>
    </row>
    <row r="12" spans="2:20" ht="16.8" customHeight="1" x14ac:dyDescent="0.3">
      <c r="B12" s="92">
        <v>44872</v>
      </c>
      <c r="C12" s="91">
        <v>4128.3500000000004</v>
      </c>
      <c r="D12" s="67">
        <f t="shared" ref="D12:D75" si="0">C12/C11-1</f>
        <v>-9.3584652117052469E-3</v>
      </c>
      <c r="F12" s="91">
        <v>18349.7</v>
      </c>
      <c r="G12" s="67">
        <f t="shared" ref="G12:G75" si="1">F12/F11-1</f>
        <v>1.2835904101914375E-2</v>
      </c>
      <c r="H12" s="94"/>
      <c r="I12" s="50" t="s">
        <v>327</v>
      </c>
      <c r="J12" s="98">
        <v>1</v>
      </c>
      <c r="K12" s="91"/>
      <c r="L12" s="50" t="s">
        <v>298</v>
      </c>
      <c r="M12" s="98">
        <f>M33</f>
        <v>0.89818631571880936</v>
      </c>
    </row>
    <row r="13" spans="2:20" x14ac:dyDescent="0.3">
      <c r="B13" s="92">
        <v>44879</v>
      </c>
      <c r="C13" s="91">
        <v>3910.6</v>
      </c>
      <c r="D13" s="67">
        <f t="shared" si="0"/>
        <v>-5.2745043419283877E-2</v>
      </c>
      <c r="F13" s="91">
        <v>18307.650000000001</v>
      </c>
      <c r="G13" s="67">
        <f t="shared" si="1"/>
        <v>-2.2915905982113793E-3</v>
      </c>
      <c r="H13" s="94"/>
      <c r="I13" s="94" t="s">
        <v>326</v>
      </c>
      <c r="J13" s="103">
        <v>0.25</v>
      </c>
      <c r="K13" s="91"/>
    </row>
    <row r="14" spans="2:20" x14ac:dyDescent="0.3">
      <c r="B14" s="92">
        <v>44886</v>
      </c>
      <c r="C14" s="91">
        <v>3904.45</v>
      </c>
      <c r="D14" s="67">
        <f t="shared" si="0"/>
        <v>-1.5726486984094512E-3</v>
      </c>
      <c r="F14" s="91">
        <v>18512.75</v>
      </c>
      <c r="G14" s="67">
        <f t="shared" si="1"/>
        <v>1.1202967065680136E-2</v>
      </c>
      <c r="H14" s="94"/>
      <c r="I14" s="94"/>
      <c r="J14" s="94"/>
      <c r="K14" s="91"/>
    </row>
    <row r="15" spans="2:20" x14ac:dyDescent="0.3">
      <c r="B15" s="92">
        <v>44893</v>
      </c>
      <c r="C15" s="91">
        <v>4005.75</v>
      </c>
      <c r="D15" s="67">
        <f t="shared" si="0"/>
        <v>2.5944755343262127E-2</v>
      </c>
      <c r="F15" s="91">
        <v>18696.099999999999</v>
      </c>
      <c r="G15" s="67">
        <f t="shared" si="1"/>
        <v>9.9039850913558158E-3</v>
      </c>
      <c r="H15" s="94"/>
      <c r="I15" s="104" t="s">
        <v>328</v>
      </c>
      <c r="J15" s="105">
        <f>(J9*J10)+(J12*J13)</f>
        <v>0.92363973678910705</v>
      </c>
      <c r="K15" s="91"/>
    </row>
    <row r="16" spans="2:20" x14ac:dyDescent="0.3">
      <c r="B16" s="92">
        <v>44900</v>
      </c>
      <c r="C16" s="91">
        <v>4002.4</v>
      </c>
      <c r="D16" s="67">
        <f t="shared" si="0"/>
        <v>-8.3629782188099355E-4</v>
      </c>
      <c r="F16" s="91">
        <v>18496.599999999999</v>
      </c>
      <c r="G16" s="67">
        <f t="shared" si="1"/>
        <v>-1.0670674632677457E-2</v>
      </c>
      <c r="H16" s="94"/>
      <c r="I16" s="94"/>
      <c r="J16" s="94"/>
      <c r="K16" s="91"/>
      <c r="L16" t="s">
        <v>299</v>
      </c>
      <c r="M16"/>
      <c r="N16"/>
      <c r="O16"/>
      <c r="P16"/>
      <c r="Q16"/>
      <c r="R16"/>
      <c r="S16"/>
      <c r="T16"/>
    </row>
    <row r="17" spans="2:20" ht="15" thickBot="1" x14ac:dyDescent="0.35">
      <c r="B17" s="92">
        <v>44907</v>
      </c>
      <c r="C17" s="91">
        <v>3990</v>
      </c>
      <c r="D17" s="67">
        <f t="shared" si="0"/>
        <v>-3.0981411153307992E-3</v>
      </c>
      <c r="F17" s="91">
        <v>18269</v>
      </c>
      <c r="G17" s="67">
        <f t="shared" si="1"/>
        <v>-1.2304964155574472E-2</v>
      </c>
      <c r="H17" s="94"/>
      <c r="I17" s="94"/>
      <c r="J17" s="94"/>
      <c r="K17" s="91"/>
      <c r="L17"/>
      <c r="M17"/>
      <c r="N17"/>
      <c r="O17"/>
      <c r="P17"/>
      <c r="Q17"/>
      <c r="R17"/>
      <c r="S17"/>
      <c r="T17"/>
    </row>
    <row r="18" spans="2:20" x14ac:dyDescent="0.3">
      <c r="B18" s="92">
        <v>44914</v>
      </c>
      <c r="C18" s="91">
        <v>3875.6</v>
      </c>
      <c r="D18" s="67">
        <f t="shared" si="0"/>
        <v>-2.8671679197994959E-2</v>
      </c>
      <c r="F18" s="91">
        <v>17806.8</v>
      </c>
      <c r="G18" s="67">
        <f t="shared" si="1"/>
        <v>-2.5299687996058973E-2</v>
      </c>
      <c r="H18" s="94"/>
      <c r="I18" s="94"/>
      <c r="J18" s="94"/>
      <c r="K18" s="91"/>
      <c r="L18" s="102" t="s">
        <v>300</v>
      </c>
      <c r="M18" s="102"/>
      <c r="N18"/>
      <c r="O18"/>
      <c r="P18"/>
      <c r="Q18"/>
      <c r="R18"/>
      <c r="S18"/>
      <c r="T18"/>
    </row>
    <row r="19" spans="2:20" x14ac:dyDescent="0.3">
      <c r="B19" s="92">
        <v>44921</v>
      </c>
      <c r="C19" s="91">
        <v>4068.75</v>
      </c>
      <c r="D19" s="67">
        <f t="shared" si="0"/>
        <v>4.9837444524718721E-2</v>
      </c>
      <c r="F19" s="91">
        <v>18105.3</v>
      </c>
      <c r="G19" s="67">
        <f t="shared" si="1"/>
        <v>1.6763258979715534E-2</v>
      </c>
      <c r="H19" s="94"/>
      <c r="I19" s="94"/>
      <c r="J19" s="94"/>
      <c r="K19" s="91"/>
      <c r="L19" s="99" t="s">
        <v>301</v>
      </c>
      <c r="M19" s="99">
        <v>0.34391798307314331</v>
      </c>
      <c r="N19"/>
      <c r="O19"/>
      <c r="P19"/>
      <c r="Q19"/>
      <c r="R19"/>
      <c r="S19"/>
      <c r="T19"/>
    </row>
    <row r="20" spans="2:20" x14ac:dyDescent="0.3">
      <c r="B20" s="92">
        <v>44928</v>
      </c>
      <c r="C20" s="91">
        <v>3842.5</v>
      </c>
      <c r="D20" s="67">
        <f t="shared" si="0"/>
        <v>-5.5606758832565273E-2</v>
      </c>
      <c r="F20" s="91">
        <v>17859.45</v>
      </c>
      <c r="G20" s="67">
        <f t="shared" si="1"/>
        <v>-1.3578896787128536E-2</v>
      </c>
      <c r="H20" s="94"/>
      <c r="I20" s="94"/>
      <c r="J20" s="94"/>
      <c r="K20" s="91"/>
      <c r="L20" s="99" t="s">
        <v>302</v>
      </c>
      <c r="M20" s="99">
        <v>0.1182795790810989</v>
      </c>
      <c r="N20"/>
      <c r="O20"/>
      <c r="P20"/>
      <c r="Q20"/>
      <c r="R20"/>
      <c r="S20"/>
      <c r="T20"/>
    </row>
    <row r="21" spans="2:20" x14ac:dyDescent="0.3">
      <c r="B21" s="92">
        <v>44935</v>
      </c>
      <c r="C21" s="91">
        <v>3863.7</v>
      </c>
      <c r="D21" s="67">
        <f t="shared" si="0"/>
        <v>5.5172413793103114E-3</v>
      </c>
      <c r="F21" s="91">
        <v>17956.599999999999</v>
      </c>
      <c r="G21" s="67">
        <f t="shared" si="1"/>
        <v>5.4396971911228054E-3</v>
      </c>
      <c r="H21" s="94"/>
      <c r="I21" s="94"/>
      <c r="J21" s="94"/>
      <c r="K21" s="91"/>
      <c r="L21" s="99" t="s">
        <v>303</v>
      </c>
      <c r="M21" s="99">
        <v>0.10971918664499307</v>
      </c>
      <c r="N21"/>
      <c r="O21"/>
      <c r="P21"/>
      <c r="Q21"/>
      <c r="R21"/>
      <c r="S21"/>
      <c r="T21"/>
    </row>
    <row r="22" spans="2:20" x14ac:dyDescent="0.3">
      <c r="B22" s="92">
        <v>44942</v>
      </c>
      <c r="C22" s="91">
        <v>3513.75</v>
      </c>
      <c r="D22" s="67">
        <f t="shared" si="0"/>
        <v>-9.0573802313844154E-2</v>
      </c>
      <c r="F22" s="91">
        <v>18027.650000000001</v>
      </c>
      <c r="G22" s="67">
        <f t="shared" si="1"/>
        <v>3.9567624160476988E-3</v>
      </c>
      <c r="H22" s="94"/>
      <c r="I22" s="94"/>
      <c r="J22" s="94"/>
      <c r="K22" s="91"/>
      <c r="L22" s="99" t="s">
        <v>304</v>
      </c>
      <c r="M22" s="99">
        <v>3.6019708986583195E-2</v>
      </c>
      <c r="N22"/>
      <c r="O22"/>
      <c r="P22"/>
      <c r="Q22"/>
      <c r="R22"/>
      <c r="S22"/>
      <c r="T22"/>
    </row>
    <row r="23" spans="2:20" ht="15" thickBot="1" x14ac:dyDescent="0.35">
      <c r="B23" s="92">
        <v>44949</v>
      </c>
      <c r="C23" s="91">
        <v>3562.35</v>
      </c>
      <c r="D23" s="67">
        <f t="shared" si="0"/>
        <v>1.3831376734258161E-2</v>
      </c>
      <c r="F23" s="91">
        <v>17604.349999999999</v>
      </c>
      <c r="G23" s="67">
        <f t="shared" si="1"/>
        <v>-2.3480597859399488E-2</v>
      </c>
      <c r="H23" s="94"/>
      <c r="I23" s="94"/>
      <c r="J23" s="94"/>
      <c r="K23" s="91"/>
      <c r="L23" s="100" t="s">
        <v>305</v>
      </c>
      <c r="M23" s="100">
        <v>105</v>
      </c>
      <c r="N23"/>
      <c r="O23"/>
      <c r="P23"/>
      <c r="Q23"/>
      <c r="R23"/>
      <c r="S23"/>
      <c r="T23"/>
    </row>
    <row r="24" spans="2:20" x14ac:dyDescent="0.3">
      <c r="B24" s="92">
        <v>44956</v>
      </c>
      <c r="C24" s="91">
        <v>3470.35</v>
      </c>
      <c r="D24" s="67">
        <f t="shared" si="0"/>
        <v>-2.5825648799247647E-2</v>
      </c>
      <c r="F24" s="91">
        <v>17854.05</v>
      </c>
      <c r="G24" s="67">
        <f t="shared" si="1"/>
        <v>1.4183994296864233E-2</v>
      </c>
      <c r="H24" s="94"/>
      <c r="I24" s="94"/>
      <c r="J24" s="94"/>
      <c r="K24" s="91"/>
      <c r="L24"/>
      <c r="M24"/>
      <c r="N24"/>
      <c r="O24"/>
      <c r="P24"/>
      <c r="Q24"/>
      <c r="R24"/>
      <c r="S24"/>
      <c r="T24"/>
    </row>
    <row r="25" spans="2:20" ht="15" thickBot="1" x14ac:dyDescent="0.35">
      <c r="B25" s="92">
        <v>44963</v>
      </c>
      <c r="C25" s="91">
        <v>3498.85</v>
      </c>
      <c r="D25" s="67">
        <f t="shared" si="0"/>
        <v>8.2124281412536693E-3</v>
      </c>
      <c r="F25" s="91">
        <v>17856.5</v>
      </c>
      <c r="G25" s="67">
        <f t="shared" si="1"/>
        <v>1.372237671564136E-4</v>
      </c>
      <c r="H25" s="94"/>
      <c r="I25" s="94"/>
      <c r="J25" s="94"/>
      <c r="K25" s="91"/>
      <c r="L25" t="s">
        <v>306</v>
      </c>
      <c r="M25"/>
      <c r="N25"/>
      <c r="O25"/>
      <c r="P25"/>
      <c r="Q25"/>
      <c r="R25"/>
      <c r="S25"/>
      <c r="T25"/>
    </row>
    <row r="26" spans="2:20" x14ac:dyDescent="0.3">
      <c r="B26" s="92">
        <v>44970</v>
      </c>
      <c r="C26" s="91">
        <v>3545</v>
      </c>
      <c r="D26" s="67">
        <f t="shared" si="0"/>
        <v>1.3190048158680634E-2</v>
      </c>
      <c r="F26" s="91">
        <v>17944.2</v>
      </c>
      <c r="G26" s="67">
        <f t="shared" si="1"/>
        <v>4.9113768095652155E-3</v>
      </c>
      <c r="H26" s="94"/>
      <c r="I26" s="94"/>
      <c r="J26" s="94"/>
      <c r="K26" s="91"/>
      <c r="L26" s="101"/>
      <c r="M26" s="101" t="s">
        <v>310</v>
      </c>
      <c r="N26" s="101" t="s">
        <v>311</v>
      </c>
      <c r="O26" s="101" t="s">
        <v>312</v>
      </c>
      <c r="P26" s="101" t="s">
        <v>313</v>
      </c>
      <c r="Q26" s="101" t="s">
        <v>314</v>
      </c>
      <c r="R26"/>
      <c r="S26"/>
      <c r="T26"/>
    </row>
    <row r="27" spans="2:20" x14ac:dyDescent="0.3">
      <c r="B27" s="92">
        <v>44977</v>
      </c>
      <c r="C27" s="91">
        <v>3499.2</v>
      </c>
      <c r="D27" s="67">
        <f t="shared" si="0"/>
        <v>-1.2919605077574059E-2</v>
      </c>
      <c r="F27" s="91">
        <v>17465.8</v>
      </c>
      <c r="G27" s="67">
        <f t="shared" si="1"/>
        <v>-2.6660425095574092E-2</v>
      </c>
      <c r="H27" s="94"/>
      <c r="I27" s="94"/>
      <c r="J27" s="94"/>
      <c r="K27" s="91"/>
      <c r="L27" s="99" t="s">
        <v>307</v>
      </c>
      <c r="M27" s="99">
        <v>1</v>
      </c>
      <c r="N27" s="99">
        <v>1.7926540852582745E-2</v>
      </c>
      <c r="O27" s="99">
        <v>1.7926540852582745E-2</v>
      </c>
      <c r="P27" s="99">
        <v>13.817074388111214</v>
      </c>
      <c r="Q27" s="99">
        <v>3.2796128184539629E-4</v>
      </c>
      <c r="R27"/>
      <c r="S27"/>
      <c r="T27"/>
    </row>
    <row r="28" spans="2:20" x14ac:dyDescent="0.3">
      <c r="B28" s="92">
        <v>44984</v>
      </c>
      <c r="C28" s="91">
        <v>3463.25</v>
      </c>
      <c r="D28" s="67">
        <f t="shared" si="0"/>
        <v>-1.0273776863283013E-2</v>
      </c>
      <c r="F28" s="91">
        <v>17594.349999999999</v>
      </c>
      <c r="G28" s="67">
        <f t="shared" si="1"/>
        <v>7.360098020130712E-3</v>
      </c>
      <c r="H28" s="94"/>
      <c r="I28" s="94"/>
      <c r="J28" s="94"/>
      <c r="K28" s="91"/>
      <c r="L28" s="99" t="s">
        <v>308</v>
      </c>
      <c r="M28" s="99">
        <v>103</v>
      </c>
      <c r="N28" s="99">
        <v>0.13363420185424862</v>
      </c>
      <c r="O28" s="99">
        <v>1.297419435478142E-3</v>
      </c>
      <c r="P28" s="99"/>
      <c r="Q28" s="99"/>
      <c r="R28"/>
      <c r="S28"/>
      <c r="T28"/>
    </row>
    <row r="29" spans="2:20" ht="15" thickBot="1" x14ac:dyDescent="0.35">
      <c r="B29" s="92">
        <v>44991</v>
      </c>
      <c r="C29" s="91">
        <v>3391.85</v>
      </c>
      <c r="D29" s="67">
        <f t="shared" si="0"/>
        <v>-2.061647296614455E-2</v>
      </c>
      <c r="F29" s="91">
        <v>17412.900000000001</v>
      </c>
      <c r="G29" s="67">
        <f t="shared" si="1"/>
        <v>-1.0312969788596749E-2</v>
      </c>
      <c r="H29" s="94"/>
      <c r="I29" s="94"/>
      <c r="J29" s="94"/>
      <c r="K29" s="91"/>
      <c r="L29" s="100" t="s">
        <v>26</v>
      </c>
      <c r="M29" s="100">
        <v>104</v>
      </c>
      <c r="N29" s="100">
        <v>0.15156074270683137</v>
      </c>
      <c r="O29" s="100"/>
      <c r="P29" s="100"/>
      <c r="Q29" s="100"/>
      <c r="R29"/>
      <c r="S29"/>
      <c r="T29"/>
    </row>
    <row r="30" spans="2:20" ht="15" thickBot="1" x14ac:dyDescent="0.35">
      <c r="B30" s="92">
        <v>44998</v>
      </c>
      <c r="C30" s="91">
        <v>3311.3</v>
      </c>
      <c r="D30" s="67">
        <f t="shared" si="0"/>
        <v>-2.3748102068192778E-2</v>
      </c>
      <c r="F30" s="91">
        <v>17100.05</v>
      </c>
      <c r="G30" s="67">
        <f t="shared" si="1"/>
        <v>-1.796656501788918E-2</v>
      </c>
      <c r="H30" s="94"/>
      <c r="I30" s="94"/>
      <c r="J30" s="94"/>
      <c r="K30" s="91"/>
      <c r="L30"/>
      <c r="M30"/>
      <c r="N30"/>
      <c r="O30"/>
      <c r="P30"/>
      <c r="Q30"/>
      <c r="R30"/>
      <c r="S30"/>
      <c r="T30"/>
    </row>
    <row r="31" spans="2:20" x14ac:dyDescent="0.3">
      <c r="B31" s="92">
        <v>45005</v>
      </c>
      <c r="C31" s="91">
        <v>3358.4</v>
      </c>
      <c r="D31" s="67">
        <f t="shared" si="0"/>
        <v>1.4224020777338087E-2</v>
      </c>
      <c r="F31" s="91">
        <v>16945.05</v>
      </c>
      <c r="G31" s="67">
        <f t="shared" si="1"/>
        <v>-9.0643009815760678E-3</v>
      </c>
      <c r="H31" s="94"/>
      <c r="I31" s="94"/>
      <c r="J31" s="94"/>
      <c r="K31" s="91"/>
      <c r="L31" s="101"/>
      <c r="M31" s="101" t="s">
        <v>315</v>
      </c>
      <c r="N31" s="101" t="s">
        <v>304</v>
      </c>
      <c r="O31" s="101" t="s">
        <v>316</v>
      </c>
      <c r="P31" s="101" t="s">
        <v>317</v>
      </c>
      <c r="Q31" s="101" t="s">
        <v>318</v>
      </c>
      <c r="R31" s="101" t="s">
        <v>319</v>
      </c>
      <c r="S31" s="101" t="s">
        <v>320</v>
      </c>
      <c r="T31" s="101" t="s">
        <v>321</v>
      </c>
    </row>
    <row r="32" spans="2:20" x14ac:dyDescent="0.3">
      <c r="B32" s="92">
        <v>45012</v>
      </c>
      <c r="C32" s="91">
        <v>3401.05</v>
      </c>
      <c r="D32" s="67">
        <f t="shared" si="0"/>
        <v>1.26994997617913E-2</v>
      </c>
      <c r="F32" s="91">
        <v>17359.75</v>
      </c>
      <c r="G32" s="67">
        <f t="shared" si="1"/>
        <v>2.4473223743807226E-2</v>
      </c>
      <c r="H32" s="94"/>
      <c r="I32" s="94"/>
      <c r="J32" s="94"/>
      <c r="K32" s="91"/>
      <c r="L32" s="99" t="s">
        <v>309</v>
      </c>
      <c r="M32" s="99">
        <v>-2.6409834203856885E-3</v>
      </c>
      <c r="N32" s="99">
        <v>3.5951497658704042E-3</v>
      </c>
      <c r="O32" s="99">
        <v>-0.7345962177868528</v>
      </c>
      <c r="P32" s="99">
        <v>0.46425459179052886</v>
      </c>
      <c r="Q32" s="99">
        <v>-9.7711150461271615E-3</v>
      </c>
      <c r="R32" s="99">
        <v>4.4891482053557854E-3</v>
      </c>
      <c r="S32" s="99">
        <v>-9.7711150461271615E-3</v>
      </c>
      <c r="T32" s="99">
        <v>4.4891482053557854E-3</v>
      </c>
    </row>
    <row r="33" spans="2:20" ht="15" thickBot="1" x14ac:dyDescent="0.35">
      <c r="B33" s="92">
        <v>45019</v>
      </c>
      <c r="C33" s="91">
        <v>3496.1</v>
      </c>
      <c r="D33" s="67">
        <f t="shared" si="0"/>
        <v>2.7947251584069521E-2</v>
      </c>
      <c r="F33" s="91">
        <v>17599.150000000001</v>
      </c>
      <c r="G33" s="67">
        <f t="shared" si="1"/>
        <v>1.3790521176860304E-2</v>
      </c>
      <c r="H33" s="94"/>
      <c r="I33" s="94"/>
      <c r="J33" s="94"/>
      <c r="K33" s="91"/>
      <c r="L33" s="100" t="s">
        <v>322</v>
      </c>
      <c r="M33" s="100">
        <v>0.89818631571880936</v>
      </c>
      <c r="N33" s="100">
        <v>0.24163419082781212</v>
      </c>
      <c r="O33" s="100">
        <v>3.7171325491716298</v>
      </c>
      <c r="P33" s="100">
        <v>3.2796128184540328E-4</v>
      </c>
      <c r="Q33" s="100">
        <v>0.41896188889866143</v>
      </c>
      <c r="R33" s="100">
        <v>1.3774107425389572</v>
      </c>
      <c r="S33" s="100">
        <v>0.41896188889866143</v>
      </c>
      <c r="T33" s="100">
        <v>1.3774107425389572</v>
      </c>
    </row>
    <row r="34" spans="2:20" x14ac:dyDescent="0.3">
      <c r="B34" s="92">
        <v>45026</v>
      </c>
      <c r="C34" s="91">
        <v>3501.05</v>
      </c>
      <c r="D34" s="67">
        <f t="shared" si="0"/>
        <v>1.4158633906353746E-3</v>
      </c>
      <c r="F34" s="91">
        <v>17828</v>
      </c>
      <c r="G34" s="67">
        <f t="shared" si="1"/>
        <v>1.3003468917532901E-2</v>
      </c>
      <c r="H34" s="94"/>
      <c r="I34" s="94"/>
      <c r="J34" s="94"/>
      <c r="K34" s="91"/>
      <c r="L34"/>
      <c r="M34"/>
      <c r="N34"/>
      <c r="O34"/>
      <c r="P34"/>
      <c r="Q34"/>
      <c r="R34"/>
      <c r="S34"/>
      <c r="T34"/>
    </row>
    <row r="35" spans="2:20" x14ac:dyDescent="0.3">
      <c r="B35" s="92">
        <v>45033</v>
      </c>
      <c r="C35" s="91">
        <v>3455.9</v>
      </c>
      <c r="D35" s="67">
        <f t="shared" si="0"/>
        <v>-1.2896131160651803E-2</v>
      </c>
      <c r="F35" s="91">
        <v>17624.05</v>
      </c>
      <c r="G35" s="67">
        <f t="shared" si="1"/>
        <v>-1.143986986762402E-2</v>
      </c>
      <c r="H35" s="94"/>
      <c r="I35" s="94"/>
      <c r="J35" s="94"/>
      <c r="K35" s="91"/>
      <c r="L35"/>
      <c r="M35"/>
      <c r="N35"/>
      <c r="O35"/>
      <c r="P35"/>
      <c r="Q35"/>
      <c r="R35"/>
      <c r="S35"/>
      <c r="T35"/>
    </row>
    <row r="36" spans="2:20" x14ac:dyDescent="0.3">
      <c r="B36" s="92">
        <v>45040</v>
      </c>
      <c r="C36" s="91">
        <v>3511.95</v>
      </c>
      <c r="D36" s="67">
        <f t="shared" si="0"/>
        <v>1.6218640585665023E-2</v>
      </c>
      <c r="F36" s="91">
        <v>18065</v>
      </c>
      <c r="G36" s="67">
        <f t="shared" si="1"/>
        <v>2.5019788300645995E-2</v>
      </c>
      <c r="H36" s="94"/>
      <c r="I36" s="94"/>
      <c r="J36" s="94"/>
      <c r="K36" s="91"/>
      <c r="L36"/>
      <c r="M36"/>
      <c r="N36"/>
      <c r="O36"/>
      <c r="P36"/>
      <c r="Q36"/>
      <c r="R36"/>
      <c r="S36"/>
      <c r="T36"/>
    </row>
    <row r="37" spans="2:20" x14ac:dyDescent="0.3">
      <c r="B37" s="92">
        <v>45047</v>
      </c>
      <c r="C37" s="91">
        <v>3598.2</v>
      </c>
      <c r="D37" s="67">
        <f t="shared" si="0"/>
        <v>2.4559005680604873E-2</v>
      </c>
      <c r="F37" s="91">
        <v>18069</v>
      </c>
      <c r="G37" s="67">
        <f t="shared" si="1"/>
        <v>2.2142264046509652E-4</v>
      </c>
      <c r="H37" s="94"/>
      <c r="I37" s="94"/>
      <c r="J37" s="94"/>
      <c r="K37" s="91"/>
    </row>
    <row r="38" spans="2:20" x14ac:dyDescent="0.3">
      <c r="B38" s="92">
        <v>45054</v>
      </c>
      <c r="C38" s="91">
        <v>3677.55</v>
      </c>
      <c r="D38" s="67">
        <f t="shared" si="0"/>
        <v>2.2052693013173252E-2</v>
      </c>
      <c r="F38" s="91">
        <v>18314.8</v>
      </c>
      <c r="G38" s="67">
        <f t="shared" si="1"/>
        <v>1.3603409153799317E-2</v>
      </c>
      <c r="H38" s="94"/>
      <c r="I38" s="94"/>
      <c r="J38" s="94"/>
      <c r="K38" s="91"/>
    </row>
    <row r="39" spans="2:20" x14ac:dyDescent="0.3">
      <c r="B39" s="92">
        <v>45061</v>
      </c>
      <c r="C39" s="91">
        <v>3395.25</v>
      </c>
      <c r="D39" s="67">
        <f t="shared" si="0"/>
        <v>-7.6763062364889723E-2</v>
      </c>
      <c r="F39" s="91">
        <v>18203.400000000001</v>
      </c>
      <c r="G39" s="67">
        <f t="shared" si="1"/>
        <v>-6.0825125035489647E-3</v>
      </c>
      <c r="H39" s="94"/>
      <c r="I39" s="94"/>
      <c r="J39" s="94"/>
      <c r="K39" s="91"/>
    </row>
    <row r="40" spans="2:20" x14ac:dyDescent="0.3">
      <c r="B40" s="92">
        <v>45068</v>
      </c>
      <c r="C40" s="91">
        <v>3501.75</v>
      </c>
      <c r="D40" s="67">
        <f t="shared" si="0"/>
        <v>3.1367351446874414E-2</v>
      </c>
      <c r="F40" s="91">
        <v>18499.349999999999</v>
      </c>
      <c r="G40" s="67">
        <f t="shared" si="1"/>
        <v>1.6257951811200044E-2</v>
      </c>
      <c r="H40" s="94"/>
      <c r="I40" s="94"/>
      <c r="J40" s="94"/>
      <c r="K40" s="91"/>
    </row>
    <row r="41" spans="2:20" x14ac:dyDescent="0.3">
      <c r="B41" s="92">
        <v>45075</v>
      </c>
      <c r="C41" s="91">
        <v>3531.6</v>
      </c>
      <c r="D41" s="67">
        <f t="shared" si="0"/>
        <v>8.5243092739344384E-3</v>
      </c>
      <c r="F41" s="91">
        <v>18534.099999999999</v>
      </c>
      <c r="G41" s="67">
        <f t="shared" si="1"/>
        <v>1.8784443777755122E-3</v>
      </c>
      <c r="H41" s="94"/>
      <c r="I41" s="94"/>
      <c r="J41" s="94"/>
      <c r="K41" s="91"/>
    </row>
    <row r="42" spans="2:20" x14ac:dyDescent="0.3">
      <c r="B42" s="92">
        <v>45082</v>
      </c>
      <c r="C42" s="91">
        <v>3632.1</v>
      </c>
      <c r="D42" s="67">
        <f t="shared" si="0"/>
        <v>2.8457356439007819E-2</v>
      </c>
      <c r="F42" s="91">
        <v>18563.400000000001</v>
      </c>
      <c r="G42" s="67">
        <f t="shared" si="1"/>
        <v>1.5808698561032841E-3</v>
      </c>
      <c r="H42" s="94"/>
      <c r="I42" s="94"/>
      <c r="J42" s="94"/>
      <c r="K42" s="91"/>
    </row>
    <row r="43" spans="2:20" x14ac:dyDescent="0.3">
      <c r="B43" s="92">
        <v>45089</v>
      </c>
      <c r="C43" s="91">
        <v>4085.6</v>
      </c>
      <c r="D43" s="67">
        <f t="shared" si="0"/>
        <v>0.1248588970567992</v>
      </c>
      <c r="F43" s="91">
        <v>18826</v>
      </c>
      <c r="G43" s="67">
        <f t="shared" si="1"/>
        <v>1.4146115474535925E-2</v>
      </c>
      <c r="H43" s="94"/>
      <c r="I43" s="94"/>
      <c r="J43" s="94"/>
      <c r="K43" s="91"/>
    </row>
    <row r="44" spans="2:20" x14ac:dyDescent="0.3">
      <c r="B44" s="92">
        <v>45096</v>
      </c>
      <c r="C44" s="91">
        <v>3744.05</v>
      </c>
      <c r="D44" s="67">
        <f t="shared" si="0"/>
        <v>-8.3598492265517854E-2</v>
      </c>
      <c r="F44" s="91">
        <v>18665.5</v>
      </c>
      <c r="G44" s="67">
        <f t="shared" si="1"/>
        <v>-8.5254435355359703E-3</v>
      </c>
      <c r="H44" s="94"/>
      <c r="I44" s="94"/>
      <c r="J44" s="94"/>
      <c r="K44" s="91"/>
    </row>
    <row r="45" spans="2:20" x14ac:dyDescent="0.3">
      <c r="B45" s="92">
        <v>45103</v>
      </c>
      <c r="C45" s="91">
        <v>3889.2</v>
      </c>
      <c r="D45" s="67">
        <f t="shared" si="0"/>
        <v>3.8768178843765266E-2</v>
      </c>
      <c r="F45" s="91">
        <v>19189.05</v>
      </c>
      <c r="G45" s="67">
        <f t="shared" si="1"/>
        <v>2.8049074495727355E-2</v>
      </c>
      <c r="H45" s="94"/>
      <c r="I45" s="94"/>
      <c r="J45" s="94"/>
      <c r="K45" s="91"/>
    </row>
    <row r="46" spans="2:20" x14ac:dyDescent="0.3">
      <c r="B46" s="92">
        <v>45110</v>
      </c>
      <c r="C46" s="91">
        <v>3808.95</v>
      </c>
      <c r="D46" s="67">
        <f t="shared" si="0"/>
        <v>-2.0634063560629468E-2</v>
      </c>
      <c r="F46" s="91">
        <v>19331.8</v>
      </c>
      <c r="G46" s="67">
        <f t="shared" si="1"/>
        <v>7.4391384669902916E-3</v>
      </c>
      <c r="H46" s="94"/>
      <c r="I46" s="94"/>
      <c r="J46" s="94"/>
      <c r="K46" s="91"/>
    </row>
    <row r="47" spans="2:20" x14ac:dyDescent="0.3">
      <c r="B47" s="92">
        <v>45117</v>
      </c>
      <c r="C47" s="91">
        <v>3838.75</v>
      </c>
      <c r="D47" s="67">
        <f t="shared" si="0"/>
        <v>7.8236784415652849E-3</v>
      </c>
      <c r="F47" s="91">
        <v>19564.5</v>
      </c>
      <c r="G47" s="67">
        <f t="shared" si="1"/>
        <v>1.2037161567986399E-2</v>
      </c>
      <c r="H47" s="94"/>
      <c r="I47" s="94"/>
      <c r="J47" s="94"/>
      <c r="K47" s="91"/>
    </row>
    <row r="48" spans="2:20" x14ac:dyDescent="0.3">
      <c r="B48" s="92">
        <v>45124</v>
      </c>
      <c r="C48" s="91">
        <v>3675.7</v>
      </c>
      <c r="D48" s="67">
        <f t="shared" si="0"/>
        <v>-4.2474763920547054E-2</v>
      </c>
      <c r="F48" s="91">
        <v>19745</v>
      </c>
      <c r="G48" s="67">
        <f t="shared" si="1"/>
        <v>9.225893838329613E-3</v>
      </c>
      <c r="H48" s="94"/>
      <c r="I48" s="94"/>
      <c r="J48" s="94"/>
      <c r="K48" s="91"/>
    </row>
    <row r="49" spans="2:11" x14ac:dyDescent="0.3">
      <c r="B49" s="92">
        <v>45131</v>
      </c>
      <c r="C49" s="91">
        <v>3713.9</v>
      </c>
      <c r="D49" s="67">
        <f t="shared" si="0"/>
        <v>1.0392578284408538E-2</v>
      </c>
      <c r="F49" s="91">
        <v>19646.05</v>
      </c>
      <c r="G49" s="67">
        <f t="shared" si="1"/>
        <v>-5.0113952899468739E-3</v>
      </c>
      <c r="H49" s="94"/>
      <c r="I49" s="94"/>
      <c r="J49" s="94"/>
      <c r="K49" s="91"/>
    </row>
    <row r="50" spans="2:11" x14ac:dyDescent="0.3">
      <c r="B50" s="92">
        <v>45138</v>
      </c>
      <c r="C50" s="91">
        <v>3652.1</v>
      </c>
      <c r="D50" s="67">
        <f t="shared" si="0"/>
        <v>-1.6640189558146501E-2</v>
      </c>
      <c r="F50" s="91">
        <v>19517</v>
      </c>
      <c r="G50" s="67">
        <f t="shared" si="1"/>
        <v>-6.568750461288575E-3</v>
      </c>
      <c r="H50" s="94"/>
      <c r="I50" s="94"/>
      <c r="J50" s="94"/>
      <c r="K50" s="91"/>
    </row>
    <row r="51" spans="2:11" x14ac:dyDescent="0.3">
      <c r="B51" s="92">
        <v>45145</v>
      </c>
      <c r="C51" s="91">
        <v>3550.05</v>
      </c>
      <c r="D51" s="67">
        <f t="shared" si="0"/>
        <v>-2.7942827414364269E-2</v>
      </c>
      <c r="F51" s="91">
        <v>19428.3</v>
      </c>
      <c r="G51" s="67">
        <f t="shared" si="1"/>
        <v>-4.5447558538710409E-3</v>
      </c>
      <c r="H51" s="94"/>
      <c r="I51" s="94"/>
      <c r="J51" s="94"/>
      <c r="K51" s="91"/>
    </row>
    <row r="52" spans="2:11" x14ac:dyDescent="0.3">
      <c r="B52" s="92">
        <v>45152</v>
      </c>
      <c r="C52" s="91">
        <v>3540.95</v>
      </c>
      <c r="D52" s="67">
        <f t="shared" si="0"/>
        <v>-2.5633441782511035E-3</v>
      </c>
      <c r="F52" s="91">
        <v>19310.150000000001</v>
      </c>
      <c r="G52" s="67">
        <f t="shared" si="1"/>
        <v>-6.0813349598265454E-3</v>
      </c>
      <c r="H52" s="94"/>
      <c r="I52" s="94"/>
      <c r="J52" s="94"/>
      <c r="K52" s="91"/>
    </row>
    <row r="53" spans="2:11" x14ac:dyDescent="0.3">
      <c r="B53" s="92">
        <v>45159</v>
      </c>
      <c r="C53" s="91">
        <v>3534.6</v>
      </c>
      <c r="D53" s="67">
        <f t="shared" si="0"/>
        <v>-1.7933040568208769E-3</v>
      </c>
      <c r="F53" s="91">
        <v>19265.8</v>
      </c>
      <c r="G53" s="67">
        <f t="shared" si="1"/>
        <v>-2.2967196008317758E-3</v>
      </c>
      <c r="H53" s="94"/>
      <c r="I53" s="94"/>
      <c r="J53" s="94"/>
      <c r="K53" s="91"/>
    </row>
    <row r="54" spans="2:11" x14ac:dyDescent="0.3">
      <c r="B54" s="92">
        <v>45166</v>
      </c>
      <c r="C54" s="91">
        <v>3761.05</v>
      </c>
      <c r="D54" s="67">
        <f t="shared" si="0"/>
        <v>6.4066655349968915E-2</v>
      </c>
      <c r="F54" s="91">
        <v>19435.3</v>
      </c>
      <c r="G54" s="67">
        <f t="shared" si="1"/>
        <v>8.7979736112697715E-3</v>
      </c>
      <c r="H54" s="94"/>
      <c r="I54" s="94"/>
      <c r="J54" s="94"/>
      <c r="K54" s="91"/>
    </row>
    <row r="55" spans="2:11" x14ac:dyDescent="0.3">
      <c r="B55" s="92">
        <v>45173</v>
      </c>
      <c r="C55" s="91">
        <v>3782.4</v>
      </c>
      <c r="D55" s="67">
        <f t="shared" si="0"/>
        <v>5.6766062668669459E-3</v>
      </c>
      <c r="F55" s="91">
        <v>19819.95</v>
      </c>
      <c r="G55" s="67">
        <f t="shared" si="1"/>
        <v>1.9791307569216876E-2</v>
      </c>
      <c r="H55" s="94"/>
      <c r="I55" s="94"/>
      <c r="J55" s="94"/>
      <c r="K55" s="91"/>
    </row>
    <row r="56" spans="2:11" x14ac:dyDescent="0.3">
      <c r="B56" s="92">
        <v>45180</v>
      </c>
      <c r="C56" s="91">
        <v>3796</v>
      </c>
      <c r="D56" s="67">
        <f t="shared" si="0"/>
        <v>3.5956006768189663E-3</v>
      </c>
      <c r="F56" s="91">
        <v>20192.349999999999</v>
      </c>
      <c r="G56" s="67">
        <f t="shared" si="1"/>
        <v>1.8789149316723597E-2</v>
      </c>
      <c r="H56" s="94"/>
      <c r="I56" s="94"/>
      <c r="J56" s="94"/>
      <c r="K56" s="91"/>
    </row>
    <row r="57" spans="2:11" x14ac:dyDescent="0.3">
      <c r="B57" s="92">
        <v>45187</v>
      </c>
      <c r="C57" s="91">
        <v>3689.1</v>
      </c>
      <c r="D57" s="67">
        <f t="shared" si="0"/>
        <v>-2.8161222339304515E-2</v>
      </c>
      <c r="F57" s="91">
        <v>19674.25</v>
      </c>
      <c r="G57" s="67">
        <f t="shared" si="1"/>
        <v>-2.5658231954180599E-2</v>
      </c>
      <c r="H57" s="94"/>
      <c r="I57" s="94"/>
      <c r="J57" s="94"/>
      <c r="K57" s="91"/>
    </row>
    <row r="58" spans="2:11" x14ac:dyDescent="0.3">
      <c r="B58" s="92">
        <v>45194</v>
      </c>
      <c r="C58" s="91">
        <v>3675.6</v>
      </c>
      <c r="D58" s="67">
        <f t="shared" si="0"/>
        <v>-3.6594291290558134E-3</v>
      </c>
      <c r="F58" s="91">
        <v>19638.3</v>
      </c>
      <c r="G58" s="67">
        <f t="shared" si="1"/>
        <v>-1.8272615220402688E-3</v>
      </c>
      <c r="H58" s="94"/>
      <c r="I58" s="94"/>
      <c r="J58" s="94"/>
      <c r="K58" s="91"/>
    </row>
    <row r="59" spans="2:11" x14ac:dyDescent="0.3">
      <c r="B59" s="92">
        <v>45201</v>
      </c>
      <c r="C59" s="91">
        <v>3833.95</v>
      </c>
      <c r="D59" s="67">
        <f t="shared" si="0"/>
        <v>4.3081401675916897E-2</v>
      </c>
      <c r="F59" s="91">
        <v>19653.5</v>
      </c>
      <c r="G59" s="67">
        <f t="shared" si="1"/>
        <v>7.7399774929598486E-4</v>
      </c>
      <c r="H59" s="94"/>
      <c r="I59" s="94"/>
      <c r="J59" s="94"/>
      <c r="K59" s="91"/>
    </row>
    <row r="60" spans="2:11" x14ac:dyDescent="0.3">
      <c r="B60" s="92">
        <v>45208</v>
      </c>
      <c r="C60" s="91">
        <v>3935.85</v>
      </c>
      <c r="D60" s="67">
        <f t="shared" si="0"/>
        <v>2.6578333050770064E-2</v>
      </c>
      <c r="F60" s="91">
        <v>19751.05</v>
      </c>
      <c r="G60" s="67">
        <f t="shared" si="1"/>
        <v>4.9634925076957881E-3</v>
      </c>
      <c r="H60" s="94"/>
      <c r="I60" s="94"/>
      <c r="J60" s="94"/>
      <c r="K60" s="91"/>
    </row>
    <row r="61" spans="2:11" x14ac:dyDescent="0.3">
      <c r="B61" s="92">
        <v>45215</v>
      </c>
      <c r="C61" s="91">
        <v>3749.5</v>
      </c>
      <c r="D61" s="67">
        <f t="shared" si="0"/>
        <v>-4.7346824701144596E-2</v>
      </c>
      <c r="F61" s="91">
        <v>19542.650000000001</v>
      </c>
      <c r="G61" s="67">
        <f t="shared" si="1"/>
        <v>-1.0551337776978809E-2</v>
      </c>
      <c r="H61" s="94"/>
      <c r="I61" s="94"/>
      <c r="J61" s="94"/>
      <c r="K61" s="91"/>
    </row>
    <row r="62" spans="2:11" x14ac:dyDescent="0.3">
      <c r="B62" s="92">
        <v>45222</v>
      </c>
      <c r="C62" s="91">
        <v>3665.45</v>
      </c>
      <c r="D62" s="67">
        <f t="shared" si="0"/>
        <v>-2.2416322176290193E-2</v>
      </c>
      <c r="F62" s="91">
        <v>19047.25</v>
      </c>
      <c r="G62" s="67">
        <f t="shared" si="1"/>
        <v>-2.5349683896503383E-2</v>
      </c>
      <c r="H62" s="94"/>
      <c r="I62" s="94"/>
      <c r="J62" s="94"/>
      <c r="K62" s="91"/>
    </row>
    <row r="63" spans="2:11" x14ac:dyDescent="0.3">
      <c r="B63" s="92">
        <v>45229</v>
      </c>
      <c r="C63" s="91">
        <v>3649.7</v>
      </c>
      <c r="D63" s="67">
        <f t="shared" si="0"/>
        <v>-4.2968803284726409E-3</v>
      </c>
      <c r="F63" s="91">
        <v>19230.599999999999</v>
      </c>
      <c r="G63" s="67">
        <f t="shared" si="1"/>
        <v>9.6260615049414966E-3</v>
      </c>
      <c r="H63" s="94"/>
      <c r="I63" s="94"/>
      <c r="J63" s="94"/>
      <c r="K63" s="91"/>
    </row>
    <row r="64" spans="2:11" x14ac:dyDescent="0.3">
      <c r="B64" s="92">
        <v>45236</v>
      </c>
      <c r="C64" s="91">
        <v>3798.4</v>
      </c>
      <c r="D64" s="67">
        <f t="shared" si="0"/>
        <v>4.0743074773269106E-2</v>
      </c>
      <c r="F64" s="91">
        <v>19425.349999999999</v>
      </c>
      <c r="G64" s="67">
        <f t="shared" si="1"/>
        <v>1.0127089118384225E-2</v>
      </c>
      <c r="H64" s="94"/>
      <c r="I64" s="94"/>
      <c r="J64" s="94"/>
      <c r="K64" s="91"/>
    </row>
    <row r="65" spans="2:11" x14ac:dyDescent="0.3">
      <c r="B65" s="92">
        <v>45243</v>
      </c>
      <c r="C65" s="91">
        <v>3810.9</v>
      </c>
      <c r="D65" s="67">
        <f t="shared" si="0"/>
        <v>3.2908593091827143E-3</v>
      </c>
      <c r="F65" s="91">
        <v>19731.8</v>
      </c>
      <c r="G65" s="67">
        <f t="shared" si="1"/>
        <v>1.5775777527818002E-2</v>
      </c>
      <c r="H65" s="94"/>
      <c r="I65" s="94"/>
      <c r="J65" s="94"/>
      <c r="K65" s="91"/>
    </row>
    <row r="66" spans="2:11" x14ac:dyDescent="0.3">
      <c r="B66" s="92">
        <v>45250</v>
      </c>
      <c r="C66" s="91">
        <v>3842.9</v>
      </c>
      <c r="D66" s="67">
        <f t="shared" si="0"/>
        <v>8.3969665958172346E-3</v>
      </c>
      <c r="F66" s="91">
        <v>19794.7</v>
      </c>
      <c r="G66" s="67">
        <f t="shared" si="1"/>
        <v>3.1877476966115648E-3</v>
      </c>
      <c r="H66" s="94"/>
      <c r="I66" s="94"/>
      <c r="J66" s="94"/>
      <c r="K66" s="91"/>
    </row>
    <row r="67" spans="2:11" x14ac:dyDescent="0.3">
      <c r="B67" s="92">
        <v>45257</v>
      </c>
      <c r="C67" s="91">
        <v>3988.4</v>
      </c>
      <c r="D67" s="67">
        <f t="shared" si="0"/>
        <v>3.7862031278461661E-2</v>
      </c>
      <c r="F67" s="91">
        <v>20267.900000000001</v>
      </c>
      <c r="G67" s="67">
        <f t="shared" si="1"/>
        <v>2.3905388816198414E-2</v>
      </c>
      <c r="H67" s="94"/>
      <c r="I67" s="94"/>
      <c r="J67" s="94"/>
      <c r="K67" s="91"/>
    </row>
    <row r="68" spans="2:11" x14ac:dyDescent="0.3">
      <c r="B68" s="92">
        <v>45264</v>
      </c>
      <c r="C68" s="91">
        <v>4070.65</v>
      </c>
      <c r="D68" s="67">
        <f t="shared" si="0"/>
        <v>2.0622304683582282E-2</v>
      </c>
      <c r="F68" s="91">
        <v>20969.400000000001</v>
      </c>
      <c r="G68" s="67">
        <f t="shared" si="1"/>
        <v>3.4611380557433069E-2</v>
      </c>
      <c r="H68" s="94"/>
      <c r="I68" s="94"/>
      <c r="J68" s="94"/>
      <c r="K68" s="91"/>
    </row>
    <row r="69" spans="2:11" x14ac:dyDescent="0.3">
      <c r="B69" s="92">
        <v>45271</v>
      </c>
      <c r="C69" s="91">
        <v>4045.65</v>
      </c>
      <c r="D69" s="67">
        <f t="shared" si="0"/>
        <v>-6.1415253092258482E-3</v>
      </c>
      <c r="F69" s="91">
        <v>21456.65</v>
      </c>
      <c r="G69" s="67">
        <f t="shared" si="1"/>
        <v>2.3236239472755438E-2</v>
      </c>
      <c r="H69" s="94"/>
      <c r="I69" s="94"/>
      <c r="J69" s="94"/>
      <c r="K69" s="91"/>
    </row>
    <row r="70" spans="2:11" x14ac:dyDescent="0.3">
      <c r="B70" s="92">
        <v>45278</v>
      </c>
      <c r="C70" s="91">
        <v>4007.95</v>
      </c>
      <c r="D70" s="67">
        <f t="shared" si="0"/>
        <v>-9.3186508966421888E-3</v>
      </c>
      <c r="F70" s="91">
        <v>21349.4</v>
      </c>
      <c r="G70" s="67">
        <f t="shared" si="1"/>
        <v>-4.9984503638732525E-3</v>
      </c>
      <c r="H70" s="94"/>
      <c r="I70" s="94"/>
      <c r="J70" s="94"/>
      <c r="K70" s="91"/>
    </row>
    <row r="71" spans="2:11" x14ac:dyDescent="0.3">
      <c r="B71" s="92">
        <v>45285</v>
      </c>
      <c r="C71" s="91">
        <v>4082.65</v>
      </c>
      <c r="D71" s="67">
        <f t="shared" si="0"/>
        <v>1.8637957060342547E-2</v>
      </c>
      <c r="F71" s="91">
        <v>21731.4</v>
      </c>
      <c r="G71" s="67">
        <f t="shared" si="1"/>
        <v>1.7892774504201459E-2</v>
      </c>
      <c r="H71" s="94"/>
      <c r="I71" s="94"/>
      <c r="J71" s="94"/>
      <c r="K71" s="91"/>
    </row>
    <row r="72" spans="2:11" x14ac:dyDescent="0.3">
      <c r="B72" s="92">
        <v>45292</v>
      </c>
      <c r="C72" s="91">
        <v>3863.5</v>
      </c>
      <c r="D72" s="67">
        <f t="shared" si="0"/>
        <v>-5.3678370666111475E-2</v>
      </c>
      <c r="F72" s="91">
        <v>21710.799999999999</v>
      </c>
      <c r="G72" s="67">
        <f t="shared" si="1"/>
        <v>-9.479370864280412E-4</v>
      </c>
      <c r="H72" s="94"/>
      <c r="I72" s="94"/>
      <c r="J72" s="94"/>
      <c r="K72" s="91"/>
    </row>
    <row r="73" spans="2:11" x14ac:dyDescent="0.3">
      <c r="B73" s="92">
        <v>45299</v>
      </c>
      <c r="C73" s="91">
        <v>3841</v>
      </c>
      <c r="D73" s="67">
        <f t="shared" si="0"/>
        <v>-5.8237349553513784E-3</v>
      </c>
      <c r="F73" s="91">
        <v>21894.55</v>
      </c>
      <c r="G73" s="67">
        <f t="shared" si="1"/>
        <v>8.4635296718684749E-3</v>
      </c>
      <c r="H73" s="94"/>
      <c r="I73" s="94"/>
      <c r="J73" s="94"/>
      <c r="K73" s="91"/>
    </row>
    <row r="74" spans="2:11" x14ac:dyDescent="0.3">
      <c r="B74" s="92">
        <v>45306</v>
      </c>
      <c r="C74" s="91">
        <v>3731.7</v>
      </c>
      <c r="D74" s="67">
        <f t="shared" si="0"/>
        <v>-2.8456131215829239E-2</v>
      </c>
      <c r="F74" s="91">
        <v>21622.400000000001</v>
      </c>
      <c r="G74" s="67">
        <f t="shared" si="1"/>
        <v>-1.2430033958222397E-2</v>
      </c>
      <c r="H74" s="94"/>
      <c r="I74" s="94"/>
      <c r="J74" s="94"/>
      <c r="K74" s="91"/>
    </row>
    <row r="75" spans="2:11" x14ac:dyDescent="0.3">
      <c r="B75" s="92">
        <v>45313</v>
      </c>
      <c r="C75" s="91">
        <v>3734.25</v>
      </c>
      <c r="D75" s="67">
        <f t="shared" si="0"/>
        <v>6.8333467320536023E-4</v>
      </c>
      <c r="F75" s="91">
        <v>21352.6</v>
      </c>
      <c r="G75" s="67">
        <f t="shared" si="1"/>
        <v>-1.2477800799171379E-2</v>
      </c>
      <c r="H75" s="94"/>
      <c r="I75" s="94"/>
      <c r="J75" s="94"/>
      <c r="K75" s="91"/>
    </row>
    <row r="76" spans="2:11" x14ac:dyDescent="0.3">
      <c r="B76" s="92">
        <v>45320</v>
      </c>
      <c r="C76" s="91">
        <v>3784.3</v>
      </c>
      <c r="D76" s="67">
        <f t="shared" ref="D76:D115" si="2">C76/C75-1</f>
        <v>1.3402959094865219E-2</v>
      </c>
      <c r="F76" s="91">
        <v>21853.8</v>
      </c>
      <c r="G76" s="67">
        <f t="shared" ref="G76:G115" si="3">F76/F75-1</f>
        <v>2.3472551352060167E-2</v>
      </c>
      <c r="H76" s="94"/>
      <c r="I76" s="94"/>
      <c r="J76" s="94"/>
      <c r="K76" s="91"/>
    </row>
    <row r="77" spans="2:11" x14ac:dyDescent="0.3">
      <c r="B77" s="92">
        <v>45327</v>
      </c>
      <c r="C77" s="91">
        <v>3719.2</v>
      </c>
      <c r="D77" s="67">
        <f t="shared" si="2"/>
        <v>-1.720265306661739E-2</v>
      </c>
      <c r="F77" s="91">
        <v>21782.5</v>
      </c>
      <c r="G77" s="67">
        <f t="shared" si="3"/>
        <v>-3.2625904876955047E-3</v>
      </c>
      <c r="H77" s="94"/>
      <c r="I77" s="94"/>
      <c r="J77" s="94"/>
      <c r="K77" s="91"/>
    </row>
    <row r="78" spans="2:11" x14ac:dyDescent="0.3">
      <c r="B78" s="92">
        <v>45334</v>
      </c>
      <c r="C78" s="91">
        <v>3693.3</v>
      </c>
      <c r="D78" s="67">
        <f t="shared" si="2"/>
        <v>-6.9638631963861997E-3</v>
      </c>
      <c r="F78" s="91">
        <v>22040.7</v>
      </c>
      <c r="G78" s="67">
        <f t="shared" si="3"/>
        <v>1.1853552163433978E-2</v>
      </c>
      <c r="H78" s="94"/>
      <c r="I78" s="94"/>
      <c r="J78" s="94"/>
      <c r="K78" s="91"/>
    </row>
    <row r="79" spans="2:11" x14ac:dyDescent="0.3">
      <c r="B79" s="92">
        <v>45341</v>
      </c>
      <c r="C79" s="91">
        <v>3840.55</v>
      </c>
      <c r="D79" s="67">
        <f t="shared" si="2"/>
        <v>3.9869493406980094E-2</v>
      </c>
      <c r="F79" s="91">
        <v>22212.7</v>
      </c>
      <c r="G79" s="67">
        <f t="shared" si="3"/>
        <v>7.8037448901351336E-3</v>
      </c>
      <c r="H79" s="94"/>
      <c r="I79" s="94"/>
      <c r="J79" s="94"/>
      <c r="K79" s="91"/>
    </row>
    <row r="80" spans="2:11" x14ac:dyDescent="0.3">
      <c r="B80" s="92">
        <v>45348</v>
      </c>
      <c r="C80" s="91">
        <v>3884.15</v>
      </c>
      <c r="D80" s="67">
        <f t="shared" si="2"/>
        <v>1.1352540651729637E-2</v>
      </c>
      <c r="F80" s="91">
        <v>22338.75</v>
      </c>
      <c r="G80" s="67">
        <f t="shared" si="3"/>
        <v>5.6746816010659895E-3</v>
      </c>
      <c r="H80" s="94"/>
      <c r="I80" s="94"/>
      <c r="J80" s="94"/>
      <c r="K80" s="91"/>
    </row>
    <row r="81" spans="2:11" x14ac:dyDescent="0.3">
      <c r="B81" s="92">
        <v>45355</v>
      </c>
      <c r="C81" s="91">
        <v>3925.95</v>
      </c>
      <c r="D81" s="67">
        <f t="shared" si="2"/>
        <v>1.076168531081434E-2</v>
      </c>
      <c r="F81" s="91">
        <v>22493.55</v>
      </c>
      <c r="G81" s="67">
        <f t="shared" si="3"/>
        <v>6.929662581836471E-3</v>
      </c>
      <c r="H81" s="94"/>
      <c r="I81" s="94"/>
      <c r="J81" s="94"/>
      <c r="K81" s="91"/>
    </row>
    <row r="82" spans="2:11" x14ac:dyDescent="0.3">
      <c r="B82" s="92">
        <v>45362</v>
      </c>
      <c r="C82" s="91">
        <v>3932.1</v>
      </c>
      <c r="D82" s="67">
        <f t="shared" si="2"/>
        <v>1.5664998280671139E-3</v>
      </c>
      <c r="F82" s="91">
        <v>22023.35</v>
      </c>
      <c r="G82" s="67">
        <f t="shared" si="3"/>
        <v>-2.0903770191899484E-2</v>
      </c>
      <c r="H82" s="94"/>
      <c r="I82" s="94"/>
      <c r="J82" s="94"/>
      <c r="K82" s="91"/>
    </row>
    <row r="83" spans="2:11" x14ac:dyDescent="0.3">
      <c r="B83" s="92">
        <v>45369</v>
      </c>
      <c r="C83" s="91">
        <v>4297.6000000000004</v>
      </c>
      <c r="D83" s="67">
        <f t="shared" si="2"/>
        <v>9.2952875054042483E-2</v>
      </c>
      <c r="F83" s="91">
        <v>22096.75</v>
      </c>
      <c r="G83" s="67">
        <f t="shared" si="3"/>
        <v>3.3328262957270649E-3</v>
      </c>
      <c r="H83" s="94"/>
      <c r="I83" s="94"/>
      <c r="J83" s="94"/>
      <c r="K83" s="91"/>
    </row>
    <row r="84" spans="2:11" x14ac:dyDescent="0.3">
      <c r="B84" s="92">
        <v>45376</v>
      </c>
      <c r="C84" s="91">
        <v>4525.6000000000004</v>
      </c>
      <c r="D84" s="67">
        <f t="shared" si="2"/>
        <v>5.3052866716306823E-2</v>
      </c>
      <c r="F84" s="91">
        <v>22326.9</v>
      </c>
      <c r="G84" s="67">
        <f t="shared" si="3"/>
        <v>1.0415558849152129E-2</v>
      </c>
      <c r="H84" s="94"/>
      <c r="I84" s="94"/>
      <c r="J84" s="94"/>
      <c r="K84" s="91"/>
    </row>
    <row r="85" spans="2:11" x14ac:dyDescent="0.3">
      <c r="B85" s="92">
        <v>45383</v>
      </c>
      <c r="C85" s="91">
        <v>4619.25</v>
      </c>
      <c r="D85" s="67">
        <f t="shared" si="2"/>
        <v>2.0693388721937378E-2</v>
      </c>
      <c r="F85" s="91">
        <v>22513.7</v>
      </c>
      <c r="G85" s="67">
        <f t="shared" si="3"/>
        <v>8.3665891816597782E-3</v>
      </c>
      <c r="H85" s="94"/>
      <c r="I85" s="94"/>
      <c r="J85" s="94"/>
      <c r="K85" s="91"/>
    </row>
    <row r="86" spans="2:11" x14ac:dyDescent="0.3">
      <c r="B86" s="92">
        <v>45390</v>
      </c>
      <c r="C86" s="91">
        <v>4765.05</v>
      </c>
      <c r="D86" s="67">
        <f t="shared" si="2"/>
        <v>3.1563565513882175E-2</v>
      </c>
      <c r="F86" s="91">
        <v>22519.4</v>
      </c>
      <c r="G86" s="67">
        <f t="shared" si="3"/>
        <v>2.5317917534661838E-4</v>
      </c>
      <c r="H86" s="94"/>
      <c r="I86" s="94"/>
      <c r="J86" s="94"/>
      <c r="K86" s="91"/>
    </row>
    <row r="87" spans="2:11" x14ac:dyDescent="0.3">
      <c r="B87" s="92">
        <v>45397</v>
      </c>
      <c r="C87" s="91">
        <v>4696</v>
      </c>
      <c r="D87" s="67">
        <f t="shared" si="2"/>
        <v>-1.4490928741566211E-2</v>
      </c>
      <c r="F87" s="91">
        <v>22147</v>
      </c>
      <c r="G87" s="67">
        <f t="shared" si="3"/>
        <v>-1.6536852669254087E-2</v>
      </c>
      <c r="H87" s="94"/>
      <c r="I87" s="94"/>
      <c r="J87" s="94"/>
      <c r="K87" s="91"/>
    </row>
    <row r="88" spans="2:11" x14ac:dyDescent="0.3">
      <c r="B88" s="92">
        <v>45404</v>
      </c>
      <c r="C88" s="91">
        <v>4553.1499999999996</v>
      </c>
      <c r="D88" s="67">
        <f t="shared" si="2"/>
        <v>-3.0419505962521409E-2</v>
      </c>
      <c r="F88" s="91">
        <v>22419.95</v>
      </c>
      <c r="G88" s="67">
        <f t="shared" si="3"/>
        <v>1.2324468325281002E-2</v>
      </c>
      <c r="H88" s="94"/>
      <c r="I88" s="94"/>
      <c r="J88" s="94"/>
      <c r="K88" s="91"/>
    </row>
    <row r="89" spans="2:11" x14ac:dyDescent="0.3">
      <c r="B89" s="92">
        <v>45411</v>
      </c>
      <c r="C89" s="91">
        <v>4612.3500000000004</v>
      </c>
      <c r="D89" s="67">
        <f t="shared" si="2"/>
        <v>1.300198763493432E-2</v>
      </c>
      <c r="F89" s="91">
        <v>22475.85</v>
      </c>
      <c r="G89" s="67">
        <f t="shared" si="3"/>
        <v>2.4933151055197555E-3</v>
      </c>
      <c r="H89" s="94"/>
      <c r="I89" s="94"/>
      <c r="J89" s="94"/>
      <c r="K89" s="91"/>
    </row>
    <row r="90" spans="2:11" x14ac:dyDescent="0.3">
      <c r="B90" s="92">
        <v>45418</v>
      </c>
      <c r="C90" s="91">
        <v>4796.8</v>
      </c>
      <c r="D90" s="67">
        <f t="shared" si="2"/>
        <v>3.9990460394375926E-2</v>
      </c>
      <c r="F90" s="91">
        <v>22055.200000000001</v>
      </c>
      <c r="G90" s="67">
        <f t="shared" si="3"/>
        <v>-1.8715643679771743E-2</v>
      </c>
      <c r="H90" s="94"/>
      <c r="I90" s="94"/>
      <c r="J90" s="94"/>
      <c r="K90" s="91"/>
    </row>
    <row r="91" spans="2:11" x14ac:dyDescent="0.3">
      <c r="B91" s="92">
        <v>45425</v>
      </c>
      <c r="C91" s="91">
        <v>4670.6499999999996</v>
      </c>
      <c r="D91" s="67">
        <f t="shared" si="2"/>
        <v>-2.6298782521681274E-2</v>
      </c>
      <c r="F91" s="91">
        <v>22466.1</v>
      </c>
      <c r="G91" s="67">
        <f t="shared" si="3"/>
        <v>1.8630527041241907E-2</v>
      </c>
      <c r="H91" s="94"/>
      <c r="I91" s="94"/>
      <c r="J91" s="94"/>
      <c r="K91" s="91"/>
    </row>
    <row r="92" spans="2:11" x14ac:dyDescent="0.3">
      <c r="B92" s="92">
        <v>45432</v>
      </c>
      <c r="C92" s="91">
        <v>4684.5</v>
      </c>
      <c r="D92" s="67">
        <f t="shared" si="2"/>
        <v>2.9653260252855418E-3</v>
      </c>
      <c r="F92" s="91">
        <v>22957.1</v>
      </c>
      <c r="G92" s="67">
        <f t="shared" si="3"/>
        <v>2.1855150649200406E-2</v>
      </c>
      <c r="H92" s="94"/>
      <c r="I92" s="94"/>
      <c r="J92" s="94"/>
      <c r="K92" s="91"/>
    </row>
    <row r="93" spans="2:11" x14ac:dyDescent="0.3">
      <c r="B93" s="92">
        <v>45439</v>
      </c>
      <c r="C93" s="91">
        <v>4302.1499999999996</v>
      </c>
      <c r="D93" s="67">
        <f t="shared" si="2"/>
        <v>-8.1620236951649106E-2</v>
      </c>
      <c r="F93" s="91">
        <v>22530.7</v>
      </c>
      <c r="G93" s="67">
        <f t="shared" si="3"/>
        <v>-1.8573774562117951E-2</v>
      </c>
      <c r="H93" s="94"/>
      <c r="I93" s="94"/>
      <c r="J93" s="94"/>
      <c r="K93" s="91"/>
    </row>
    <row r="94" spans="2:11" x14ac:dyDescent="0.3">
      <c r="B94" s="92">
        <v>45446</v>
      </c>
      <c r="C94" s="91">
        <v>4747.25</v>
      </c>
      <c r="D94" s="67">
        <f t="shared" si="2"/>
        <v>0.10345989795799793</v>
      </c>
      <c r="F94" s="91">
        <v>23290.15</v>
      </c>
      <c r="G94" s="67">
        <f t="shared" si="3"/>
        <v>3.3707341538434354E-2</v>
      </c>
      <c r="H94" s="94"/>
      <c r="I94" s="94"/>
      <c r="J94" s="94"/>
      <c r="K94" s="91"/>
    </row>
    <row r="95" spans="2:11" x14ac:dyDescent="0.3">
      <c r="B95" s="92">
        <v>45453</v>
      </c>
      <c r="C95" s="91">
        <v>4739.95</v>
      </c>
      <c r="D95" s="67">
        <f t="shared" si="2"/>
        <v>-1.5377323713728908E-3</v>
      </c>
      <c r="F95" s="91">
        <v>23465.599999999999</v>
      </c>
      <c r="G95" s="67">
        <f t="shared" si="3"/>
        <v>7.5332275661599279E-3</v>
      </c>
      <c r="H95" s="94"/>
      <c r="I95" s="94"/>
      <c r="J95" s="94"/>
      <c r="K95" s="91"/>
    </row>
    <row r="96" spans="2:11" x14ac:dyDescent="0.3">
      <c r="B96" s="92">
        <v>45460</v>
      </c>
      <c r="C96" s="91">
        <v>4804.8500000000004</v>
      </c>
      <c r="D96" s="67">
        <f t="shared" si="2"/>
        <v>1.3692127554088218E-2</v>
      </c>
      <c r="F96" s="91">
        <v>23501.1</v>
      </c>
      <c r="G96" s="67">
        <f t="shared" si="3"/>
        <v>1.5128528569481325E-3</v>
      </c>
      <c r="H96" s="94"/>
      <c r="I96" s="94"/>
      <c r="J96" s="94"/>
      <c r="K96" s="91"/>
    </row>
    <row r="97" spans="2:11" x14ac:dyDescent="0.3">
      <c r="B97" s="92">
        <v>45467</v>
      </c>
      <c r="C97" s="91">
        <v>4716.75</v>
      </c>
      <c r="D97" s="67">
        <f t="shared" si="2"/>
        <v>-1.8335640030386013E-2</v>
      </c>
      <c r="F97" s="91">
        <v>24010.6</v>
      </c>
      <c r="G97" s="67">
        <f t="shared" si="3"/>
        <v>2.1679836262983532E-2</v>
      </c>
      <c r="H97" s="94"/>
      <c r="I97" s="94"/>
      <c r="J97" s="94"/>
      <c r="K97" s="91"/>
    </row>
    <row r="98" spans="2:11" x14ac:dyDescent="0.3">
      <c r="B98" s="92">
        <v>45474</v>
      </c>
      <c r="C98" s="91">
        <v>4853.1000000000004</v>
      </c>
      <c r="D98" s="67">
        <f t="shared" si="2"/>
        <v>2.8907616473207165E-2</v>
      </c>
      <c r="F98" s="91">
        <v>24323.85</v>
      </c>
      <c r="G98" s="67">
        <f t="shared" si="3"/>
        <v>1.3046321208133094E-2</v>
      </c>
      <c r="H98" s="94"/>
      <c r="I98" s="94"/>
      <c r="J98" s="94"/>
      <c r="K98" s="91"/>
    </row>
    <row r="99" spans="2:11" x14ac:dyDescent="0.3">
      <c r="B99" s="92">
        <v>45481</v>
      </c>
      <c r="C99" s="91">
        <v>4943.6499999999996</v>
      </c>
      <c r="D99" s="67">
        <f t="shared" si="2"/>
        <v>1.865817724753227E-2</v>
      </c>
      <c r="F99" s="91">
        <v>24502.15</v>
      </c>
      <c r="G99" s="67">
        <f t="shared" si="3"/>
        <v>7.3302540510651326E-3</v>
      </c>
      <c r="H99" s="94"/>
      <c r="I99" s="94"/>
      <c r="J99" s="94"/>
      <c r="K99" s="91"/>
    </row>
    <row r="100" spans="2:11" x14ac:dyDescent="0.3">
      <c r="B100" s="92">
        <v>45488</v>
      </c>
      <c r="C100" s="91">
        <v>5010.7</v>
      </c>
      <c r="D100" s="67">
        <f t="shared" si="2"/>
        <v>1.3562853357337312E-2</v>
      </c>
      <c r="F100" s="91">
        <v>24530.9</v>
      </c>
      <c r="G100" s="67">
        <f t="shared" si="3"/>
        <v>1.1733664188653403E-3</v>
      </c>
      <c r="H100" s="94"/>
      <c r="I100" s="94"/>
      <c r="J100" s="94"/>
      <c r="K100" s="91"/>
    </row>
    <row r="101" spans="2:11" x14ac:dyDescent="0.3">
      <c r="B101" s="92">
        <v>45495</v>
      </c>
      <c r="C101" s="91">
        <v>5071.6000000000004</v>
      </c>
      <c r="D101" s="67">
        <f t="shared" si="2"/>
        <v>1.2153990460414876E-2</v>
      </c>
      <c r="F101" s="91">
        <v>24834.85</v>
      </c>
      <c r="G101" s="67">
        <f t="shared" si="3"/>
        <v>1.2390495252925682E-2</v>
      </c>
      <c r="H101" s="94"/>
      <c r="I101" s="94"/>
      <c r="J101" s="94"/>
      <c r="K101" s="91"/>
    </row>
    <row r="102" spans="2:11" x14ac:dyDescent="0.3">
      <c r="B102" s="92">
        <v>45502</v>
      </c>
      <c r="C102" s="91">
        <v>4909.7</v>
      </c>
      <c r="D102" s="67">
        <f t="shared" si="2"/>
        <v>-3.1922864579225552E-2</v>
      </c>
      <c r="F102" s="91">
        <v>24717.7</v>
      </c>
      <c r="G102" s="67">
        <f t="shared" si="3"/>
        <v>-4.7171615693268887E-3</v>
      </c>
      <c r="H102" s="94"/>
      <c r="I102" s="94"/>
      <c r="J102" s="94"/>
      <c r="K102" s="91"/>
    </row>
    <row r="103" spans="2:11" x14ac:dyDescent="0.3">
      <c r="B103" s="92">
        <v>45509</v>
      </c>
      <c r="C103" s="91">
        <v>4989.95</v>
      </c>
      <c r="D103" s="67">
        <f t="shared" si="2"/>
        <v>1.6345194207385338E-2</v>
      </c>
      <c r="F103" s="91">
        <v>24367.5</v>
      </c>
      <c r="G103" s="67">
        <f t="shared" si="3"/>
        <v>-1.4167984885325113E-2</v>
      </c>
      <c r="H103" s="94"/>
      <c r="I103" s="94"/>
      <c r="J103" s="94"/>
      <c r="K103" s="91"/>
    </row>
    <row r="104" spans="2:11" x14ac:dyDescent="0.3">
      <c r="B104" s="92">
        <v>45516</v>
      </c>
      <c r="C104" s="91">
        <v>5021.3</v>
      </c>
      <c r="D104" s="67">
        <f t="shared" si="2"/>
        <v>6.2826280824457292E-3</v>
      </c>
      <c r="F104" s="91">
        <v>24541.15</v>
      </c>
      <c r="G104" s="67">
        <f t="shared" si="3"/>
        <v>7.1262952703396998E-3</v>
      </c>
      <c r="H104" s="94"/>
      <c r="I104" s="94"/>
      <c r="J104" s="94"/>
      <c r="K104" s="91"/>
    </row>
    <row r="105" spans="2:11" x14ac:dyDescent="0.3">
      <c r="B105" s="92">
        <v>45523</v>
      </c>
      <c r="C105" s="91">
        <v>4901.5</v>
      </c>
      <c r="D105" s="67">
        <f t="shared" si="2"/>
        <v>-2.3858363372035174E-2</v>
      </c>
      <c r="F105" s="91">
        <v>24823.15</v>
      </c>
      <c r="G105" s="67">
        <f t="shared" si="3"/>
        <v>1.1490904052988471E-2</v>
      </c>
      <c r="H105" s="94"/>
      <c r="I105" s="94"/>
      <c r="J105" s="94"/>
      <c r="K105" s="91"/>
    </row>
    <row r="106" spans="2:11" x14ac:dyDescent="0.3">
      <c r="B106" s="92">
        <v>45530</v>
      </c>
      <c r="C106" s="91">
        <v>4927.45</v>
      </c>
      <c r="D106" s="67">
        <f t="shared" si="2"/>
        <v>5.2942976639804851E-3</v>
      </c>
      <c r="F106" s="91">
        <v>25235.9</v>
      </c>
      <c r="G106" s="67">
        <f t="shared" si="3"/>
        <v>1.6627623810837822E-2</v>
      </c>
      <c r="H106" s="94"/>
      <c r="I106" s="94"/>
      <c r="J106" s="94"/>
      <c r="K106" s="91"/>
    </row>
    <row r="107" spans="2:11" x14ac:dyDescent="0.3">
      <c r="B107" s="92">
        <v>45537</v>
      </c>
      <c r="C107" s="91">
        <v>5303.45</v>
      </c>
      <c r="D107" s="67">
        <f t="shared" si="2"/>
        <v>7.630721772925142E-2</v>
      </c>
      <c r="F107" s="91">
        <v>24852.15</v>
      </c>
      <c r="G107" s="67">
        <f t="shared" si="3"/>
        <v>-1.5206511358818231E-2</v>
      </c>
      <c r="H107" s="94"/>
      <c r="I107" s="94"/>
      <c r="J107" s="94"/>
      <c r="K107" s="91"/>
    </row>
    <row r="108" spans="2:11" x14ac:dyDescent="0.3">
      <c r="B108" s="92">
        <v>45544</v>
      </c>
      <c r="C108" s="91">
        <v>5187.05</v>
      </c>
      <c r="D108" s="67">
        <f t="shared" si="2"/>
        <v>-2.194797726008535E-2</v>
      </c>
      <c r="F108" s="91">
        <v>25356.5</v>
      </c>
      <c r="G108" s="67">
        <f t="shared" si="3"/>
        <v>2.0294018827344829E-2</v>
      </c>
      <c r="H108" s="94"/>
      <c r="I108" s="94"/>
      <c r="J108" s="94"/>
      <c r="K108" s="91"/>
    </row>
    <row r="109" spans="2:11" x14ac:dyDescent="0.3">
      <c r="B109" s="92">
        <v>45551</v>
      </c>
      <c r="C109" s="91">
        <v>5320.55</v>
      </c>
      <c r="D109" s="67">
        <f t="shared" si="2"/>
        <v>2.5737172381218532E-2</v>
      </c>
      <c r="F109" s="91">
        <v>25790.95</v>
      </c>
      <c r="G109" s="67">
        <f t="shared" si="3"/>
        <v>1.7133673811448702E-2</v>
      </c>
      <c r="H109" s="94"/>
      <c r="I109" s="94"/>
      <c r="J109" s="94"/>
      <c r="K109" s="91"/>
    </row>
    <row r="110" spans="2:11" x14ac:dyDescent="0.3">
      <c r="B110" s="92">
        <v>45558</v>
      </c>
      <c r="C110" s="91">
        <v>5102.3</v>
      </c>
      <c r="D110" s="67">
        <f t="shared" si="2"/>
        <v>-4.102019528056311E-2</v>
      </c>
      <c r="F110" s="91">
        <v>26178.95</v>
      </c>
      <c r="G110" s="67">
        <f t="shared" si="3"/>
        <v>1.5044036764834123E-2</v>
      </c>
      <c r="H110" s="94"/>
      <c r="I110" s="94"/>
      <c r="J110" s="94"/>
      <c r="K110" s="91"/>
    </row>
    <row r="111" spans="2:11" x14ac:dyDescent="0.3">
      <c r="B111" s="92">
        <v>45565</v>
      </c>
      <c r="C111" s="91">
        <v>4737.55</v>
      </c>
      <c r="D111" s="67">
        <f t="shared" si="2"/>
        <v>-7.148736844168313E-2</v>
      </c>
      <c r="F111" s="91">
        <v>25014.6</v>
      </c>
      <c r="G111" s="67">
        <f t="shared" si="3"/>
        <v>-4.4476573735768743E-2</v>
      </c>
      <c r="H111" s="94"/>
      <c r="I111" s="94"/>
      <c r="J111" s="94"/>
      <c r="K111" s="91"/>
    </row>
    <row r="112" spans="2:11" x14ac:dyDescent="0.3">
      <c r="B112" s="92">
        <v>45572</v>
      </c>
      <c r="C112" s="91">
        <v>4572.7</v>
      </c>
      <c r="D112" s="67">
        <f t="shared" si="2"/>
        <v>-3.479646652805779E-2</v>
      </c>
      <c r="F112" s="91">
        <v>24964.25</v>
      </c>
      <c r="G112" s="67">
        <f t="shared" si="3"/>
        <v>-2.0128245104857889E-3</v>
      </c>
      <c r="H112" s="94"/>
      <c r="I112" s="94"/>
      <c r="J112" s="94"/>
      <c r="K112" s="91"/>
    </row>
    <row r="113" spans="2:11" x14ac:dyDescent="0.3">
      <c r="B113" s="92">
        <v>45579</v>
      </c>
      <c r="C113" s="91">
        <v>3986.7</v>
      </c>
      <c r="D113" s="67">
        <f t="shared" si="2"/>
        <v>-0.12815185776455928</v>
      </c>
      <c r="F113" s="91">
        <v>24854.05</v>
      </c>
      <c r="G113" s="67">
        <f t="shared" si="3"/>
        <v>-4.4143124668275524E-3</v>
      </c>
      <c r="H113" s="94"/>
      <c r="I113" s="94"/>
      <c r="J113" s="94"/>
      <c r="K113" s="91"/>
    </row>
    <row r="114" spans="2:11" x14ac:dyDescent="0.3">
      <c r="B114" s="92">
        <v>45586</v>
      </c>
      <c r="C114" s="91">
        <v>4156.1000000000004</v>
      </c>
      <c r="D114" s="67">
        <f t="shared" si="2"/>
        <v>4.2491283517696488E-2</v>
      </c>
      <c r="F114" s="91">
        <v>24435.5</v>
      </c>
      <c r="G114" s="67">
        <f t="shared" si="3"/>
        <v>-1.6840313751682268E-2</v>
      </c>
      <c r="H114" s="94"/>
      <c r="I114" s="94"/>
      <c r="J114" s="94"/>
      <c r="K114" s="91"/>
    </row>
    <row r="115" spans="2:11" x14ac:dyDescent="0.3">
      <c r="B115" s="92">
        <v>45589</v>
      </c>
      <c r="C115" s="91">
        <v>4060.1</v>
      </c>
      <c r="D115" s="67">
        <f t="shared" si="2"/>
        <v>-2.3098577993792335E-2</v>
      </c>
      <c r="F115" s="91">
        <v>24399.4</v>
      </c>
      <c r="G115" s="67">
        <f t="shared" si="3"/>
        <v>-1.4773587608192251E-3</v>
      </c>
      <c r="H115" s="94"/>
      <c r="I115" s="94"/>
      <c r="J115" s="94"/>
      <c r="K115" s="91"/>
    </row>
    <row r="116" spans="2:11" x14ac:dyDescent="0.3">
      <c r="F116" s="91"/>
      <c r="H116" s="94"/>
      <c r="I116" s="94"/>
      <c r="J116" s="94"/>
    </row>
    <row r="117" spans="2:11" x14ac:dyDescent="0.3">
      <c r="F117" s="91"/>
      <c r="H117" s="94"/>
      <c r="I117" s="94"/>
      <c r="J117" s="94"/>
    </row>
    <row r="118" spans="2:11" x14ac:dyDescent="0.3">
      <c r="F118" s="91"/>
      <c r="H118" s="94"/>
      <c r="I118" s="94"/>
      <c r="J118" s="94"/>
    </row>
    <row r="119" spans="2:11" x14ac:dyDescent="0.3">
      <c r="H119" s="94"/>
      <c r="I119" s="94"/>
      <c r="J119" s="94"/>
    </row>
    <row r="120" spans="2:11" x14ac:dyDescent="0.3">
      <c r="H120" s="94"/>
      <c r="I120" s="94"/>
      <c r="J120" s="94"/>
    </row>
    <row r="121" spans="2:11" x14ac:dyDescent="0.3">
      <c r="H121" s="94"/>
      <c r="I121" s="94"/>
      <c r="J121" s="94"/>
    </row>
    <row r="122" spans="2:11" x14ac:dyDescent="0.3">
      <c r="H122" s="94"/>
      <c r="I122" s="94"/>
      <c r="J122" s="94"/>
    </row>
    <row r="123" spans="2:11" x14ac:dyDescent="0.3">
      <c r="H123" s="94"/>
      <c r="I123" s="94"/>
      <c r="J123" s="94"/>
    </row>
    <row r="124" spans="2:11" x14ac:dyDescent="0.3">
      <c r="H124" s="94"/>
      <c r="I124" s="94"/>
      <c r="J124" s="94"/>
    </row>
    <row r="125" spans="2:11" x14ac:dyDescent="0.3">
      <c r="H125" s="94"/>
      <c r="I125" s="94"/>
      <c r="J125" s="94"/>
    </row>
    <row r="126" spans="2:11" x14ac:dyDescent="0.3">
      <c r="H126" s="94"/>
      <c r="I126" s="94"/>
      <c r="J126" s="94"/>
    </row>
    <row r="127" spans="2:11" x14ac:dyDescent="0.3">
      <c r="H127" s="94"/>
      <c r="I127" s="94"/>
      <c r="J127" s="94"/>
    </row>
    <row r="128" spans="2:11" x14ac:dyDescent="0.3">
      <c r="H128" s="94"/>
      <c r="I128" s="94"/>
      <c r="J128" s="94"/>
    </row>
    <row r="129" spans="8:10" x14ac:dyDescent="0.3">
      <c r="H129" s="94"/>
      <c r="I129" s="94"/>
      <c r="J129" s="94"/>
    </row>
    <row r="130" spans="8:10" x14ac:dyDescent="0.3">
      <c r="H130" s="94"/>
      <c r="I130" s="94"/>
      <c r="J130" s="94"/>
    </row>
    <row r="131" spans="8:10" x14ac:dyDescent="0.3">
      <c r="H131" s="94"/>
      <c r="I131" s="94"/>
      <c r="J131" s="94"/>
    </row>
    <row r="132" spans="8:10" x14ac:dyDescent="0.3">
      <c r="H132" s="94"/>
      <c r="I132" s="94"/>
      <c r="J132" s="94"/>
    </row>
    <row r="133" spans="8:10" x14ac:dyDescent="0.3">
      <c r="H133" s="94"/>
      <c r="I133" s="94"/>
      <c r="J133" s="94"/>
    </row>
    <row r="134" spans="8:10" x14ac:dyDescent="0.3">
      <c r="H134" s="94"/>
      <c r="I134" s="94"/>
      <c r="J134" s="94"/>
    </row>
    <row r="135" spans="8:10" x14ac:dyDescent="0.3">
      <c r="H135" s="94"/>
      <c r="I135" s="94"/>
      <c r="J135" s="94"/>
    </row>
    <row r="136" spans="8:10" x14ac:dyDescent="0.3">
      <c r="H136" s="94"/>
      <c r="I136" s="94"/>
      <c r="J136" s="94"/>
    </row>
    <row r="137" spans="8:10" x14ac:dyDescent="0.3">
      <c r="H137" s="94"/>
      <c r="I137" s="94"/>
      <c r="J137" s="94"/>
    </row>
    <row r="138" spans="8:10" x14ac:dyDescent="0.3">
      <c r="H138" s="94"/>
      <c r="I138" s="94"/>
      <c r="J138" s="94"/>
    </row>
    <row r="139" spans="8:10" x14ac:dyDescent="0.3">
      <c r="H139" s="94"/>
      <c r="I139" s="94"/>
      <c r="J139" s="94"/>
    </row>
    <row r="140" spans="8:10" x14ac:dyDescent="0.3">
      <c r="H140" s="94"/>
      <c r="I140" s="94"/>
      <c r="J140" s="94"/>
    </row>
    <row r="141" spans="8:10" x14ac:dyDescent="0.3">
      <c r="H141" s="94"/>
      <c r="I141" s="94"/>
      <c r="J141" s="94"/>
    </row>
    <row r="142" spans="8:10" x14ac:dyDescent="0.3">
      <c r="H142" s="94"/>
      <c r="I142" s="94"/>
      <c r="J142" s="94"/>
    </row>
    <row r="143" spans="8:10" x14ac:dyDescent="0.3">
      <c r="H143" s="94"/>
      <c r="I143" s="94"/>
      <c r="J143" s="94"/>
    </row>
    <row r="144" spans="8:10" x14ac:dyDescent="0.3">
      <c r="H144" s="94"/>
      <c r="I144" s="94"/>
      <c r="J144" s="94"/>
    </row>
    <row r="145" spans="8:10" x14ac:dyDescent="0.3">
      <c r="H145" s="94"/>
      <c r="I145" s="94"/>
      <c r="J145" s="94"/>
    </row>
    <row r="146" spans="8:10" x14ac:dyDescent="0.3">
      <c r="H146" s="94"/>
      <c r="I146" s="94"/>
      <c r="J146" s="94"/>
    </row>
    <row r="147" spans="8:10" x14ac:dyDescent="0.3">
      <c r="H147" s="94"/>
      <c r="I147" s="94"/>
      <c r="J147" s="94"/>
    </row>
    <row r="148" spans="8:10" x14ac:dyDescent="0.3">
      <c r="H148" s="94"/>
      <c r="I148" s="94"/>
      <c r="J148" s="94"/>
    </row>
    <row r="149" spans="8:10" x14ac:dyDescent="0.3">
      <c r="H149" s="94"/>
      <c r="I149" s="94"/>
      <c r="J149" s="94"/>
    </row>
    <row r="150" spans="8:10" x14ac:dyDescent="0.3">
      <c r="H150" s="94"/>
      <c r="I150" s="94"/>
      <c r="J150" s="94"/>
    </row>
    <row r="151" spans="8:10" x14ac:dyDescent="0.3">
      <c r="H151" s="94"/>
      <c r="I151" s="94"/>
      <c r="J151" s="94"/>
    </row>
    <row r="152" spans="8:10" x14ac:dyDescent="0.3">
      <c r="H152" s="94"/>
      <c r="I152" s="94"/>
      <c r="J152" s="94"/>
    </row>
    <row r="153" spans="8:10" x14ac:dyDescent="0.3">
      <c r="H153" s="94"/>
      <c r="I153" s="94"/>
      <c r="J153" s="94"/>
    </row>
    <row r="154" spans="8:10" x14ac:dyDescent="0.3">
      <c r="H154" s="94"/>
      <c r="I154" s="94"/>
      <c r="J154" s="94"/>
    </row>
    <row r="155" spans="8:10" x14ac:dyDescent="0.3">
      <c r="H155" s="94"/>
      <c r="I155" s="94"/>
      <c r="J155" s="94"/>
    </row>
    <row r="156" spans="8:10" x14ac:dyDescent="0.3">
      <c r="H156" s="94"/>
      <c r="I156" s="94"/>
      <c r="J156" s="94"/>
    </row>
    <row r="157" spans="8:10" x14ac:dyDescent="0.3">
      <c r="H157" s="94"/>
      <c r="I157" s="94"/>
      <c r="J157" s="94"/>
    </row>
    <row r="158" spans="8:10" x14ac:dyDescent="0.3">
      <c r="H158" s="94"/>
      <c r="I158" s="94"/>
      <c r="J158" s="94"/>
    </row>
    <row r="159" spans="8:10" x14ac:dyDescent="0.3">
      <c r="H159" s="94"/>
      <c r="I159" s="94"/>
      <c r="J159" s="94"/>
    </row>
    <row r="160" spans="8:10" x14ac:dyDescent="0.3">
      <c r="H160" s="94"/>
      <c r="I160" s="94"/>
      <c r="J160" s="94"/>
    </row>
    <row r="161" spans="8:10" x14ac:dyDescent="0.3">
      <c r="H161" s="94"/>
      <c r="I161" s="94"/>
      <c r="J161" s="94"/>
    </row>
    <row r="162" spans="8:10" x14ac:dyDescent="0.3">
      <c r="H162" s="94"/>
      <c r="I162" s="94"/>
      <c r="J162" s="94"/>
    </row>
    <row r="163" spans="8:10" x14ac:dyDescent="0.3">
      <c r="H163" s="94"/>
      <c r="I163" s="94"/>
      <c r="J163" s="94"/>
    </row>
    <row r="164" spans="8:10" x14ac:dyDescent="0.3">
      <c r="H164" s="94"/>
      <c r="I164" s="94"/>
      <c r="J164" s="94"/>
    </row>
    <row r="165" spans="8:10" x14ac:dyDescent="0.3">
      <c r="H165" s="94"/>
      <c r="I165" s="94"/>
      <c r="J165" s="94"/>
    </row>
    <row r="166" spans="8:10" x14ac:dyDescent="0.3">
      <c r="H166" s="94"/>
      <c r="I166" s="94"/>
      <c r="J166" s="94"/>
    </row>
    <row r="167" spans="8:10" x14ac:dyDescent="0.3">
      <c r="H167" s="94"/>
      <c r="I167" s="94"/>
      <c r="J167" s="94"/>
    </row>
    <row r="168" spans="8:10" x14ac:dyDescent="0.3">
      <c r="H168" s="94"/>
      <c r="I168" s="94"/>
      <c r="J168" s="94"/>
    </row>
    <row r="169" spans="8:10" x14ac:dyDescent="0.3">
      <c r="H169" s="94"/>
      <c r="I169" s="94"/>
      <c r="J169" s="94"/>
    </row>
    <row r="170" spans="8:10" x14ac:dyDescent="0.3">
      <c r="H170" s="94"/>
      <c r="I170" s="94"/>
      <c r="J170" s="94"/>
    </row>
    <row r="171" spans="8:10" x14ac:dyDescent="0.3">
      <c r="H171" s="94"/>
      <c r="I171" s="94"/>
      <c r="J171" s="94"/>
    </row>
    <row r="172" spans="8:10" x14ac:dyDescent="0.3">
      <c r="H172" s="94"/>
      <c r="I172" s="94"/>
      <c r="J172" s="94"/>
    </row>
    <row r="173" spans="8:10" x14ac:dyDescent="0.3">
      <c r="H173" s="94"/>
      <c r="I173" s="94"/>
      <c r="J173" s="94"/>
    </row>
    <row r="174" spans="8:10" x14ac:dyDescent="0.3">
      <c r="H174" s="94"/>
      <c r="I174" s="94"/>
      <c r="J174" s="94"/>
    </row>
    <row r="175" spans="8:10" x14ac:dyDescent="0.3">
      <c r="H175" s="94"/>
      <c r="I175" s="94"/>
      <c r="J175" s="94"/>
    </row>
    <row r="176" spans="8:10" x14ac:dyDescent="0.3">
      <c r="H176" s="94"/>
      <c r="I176" s="94"/>
      <c r="J176" s="94"/>
    </row>
    <row r="177" spans="8:10" x14ac:dyDescent="0.3">
      <c r="H177" s="94"/>
      <c r="I177" s="94"/>
      <c r="J177" s="94"/>
    </row>
    <row r="178" spans="8:10" x14ac:dyDescent="0.3">
      <c r="H178" s="94"/>
      <c r="I178" s="94"/>
      <c r="J178" s="94"/>
    </row>
    <row r="179" spans="8:10" x14ac:dyDescent="0.3">
      <c r="H179" s="94"/>
      <c r="I179" s="94"/>
      <c r="J179" s="94"/>
    </row>
    <row r="180" spans="8:10" x14ac:dyDescent="0.3">
      <c r="H180" s="94"/>
      <c r="I180" s="94"/>
      <c r="J180" s="94"/>
    </row>
    <row r="181" spans="8:10" x14ac:dyDescent="0.3">
      <c r="H181" s="94"/>
      <c r="I181" s="94"/>
      <c r="J181" s="94"/>
    </row>
    <row r="182" spans="8:10" x14ac:dyDescent="0.3">
      <c r="H182" s="94"/>
      <c r="I182" s="94"/>
      <c r="J182" s="94"/>
    </row>
    <row r="183" spans="8:10" x14ac:dyDescent="0.3">
      <c r="H183" s="94"/>
      <c r="I183" s="94"/>
      <c r="J183" s="94"/>
    </row>
    <row r="184" spans="8:10" x14ac:dyDescent="0.3">
      <c r="H184" s="94"/>
      <c r="I184" s="94"/>
      <c r="J184" s="94"/>
    </row>
    <row r="185" spans="8:10" x14ac:dyDescent="0.3">
      <c r="H185" s="94"/>
      <c r="I185" s="94"/>
      <c r="J185" s="94"/>
    </row>
    <row r="186" spans="8:10" x14ac:dyDescent="0.3">
      <c r="H186" s="94"/>
      <c r="I186" s="94"/>
      <c r="J186" s="94"/>
    </row>
    <row r="187" spans="8:10" x14ac:dyDescent="0.3">
      <c r="H187" s="94"/>
      <c r="I187" s="94"/>
      <c r="J187" s="94"/>
    </row>
    <row r="188" spans="8:10" x14ac:dyDescent="0.3">
      <c r="H188" s="94"/>
      <c r="I188" s="94"/>
      <c r="J188" s="94"/>
    </row>
    <row r="189" spans="8:10" x14ac:dyDescent="0.3">
      <c r="H189" s="94"/>
      <c r="I189" s="94"/>
      <c r="J189" s="94"/>
    </row>
    <row r="190" spans="8:10" x14ac:dyDescent="0.3">
      <c r="H190" s="94"/>
      <c r="I190" s="94"/>
      <c r="J190" s="94"/>
    </row>
    <row r="191" spans="8:10" x14ac:dyDescent="0.3">
      <c r="H191" s="94"/>
      <c r="I191" s="94"/>
      <c r="J191" s="94"/>
    </row>
    <row r="192" spans="8:10" x14ac:dyDescent="0.3">
      <c r="H192" s="94"/>
      <c r="I192" s="94"/>
      <c r="J192" s="94"/>
    </row>
    <row r="193" spans="8:10" x14ac:dyDescent="0.3">
      <c r="H193" s="94"/>
      <c r="I193" s="94"/>
      <c r="J193" s="94"/>
    </row>
    <row r="194" spans="8:10" x14ac:dyDescent="0.3">
      <c r="H194" s="94"/>
      <c r="I194" s="94"/>
      <c r="J194" s="94"/>
    </row>
    <row r="195" spans="8:10" x14ac:dyDescent="0.3">
      <c r="H195" s="94"/>
      <c r="I195" s="94"/>
      <c r="J195" s="94"/>
    </row>
    <row r="196" spans="8:10" x14ac:dyDescent="0.3">
      <c r="H196" s="94"/>
      <c r="I196" s="94"/>
      <c r="J196" s="94"/>
    </row>
    <row r="197" spans="8:10" x14ac:dyDescent="0.3">
      <c r="H197" s="94"/>
      <c r="I197" s="94"/>
      <c r="J197" s="94"/>
    </row>
    <row r="198" spans="8:10" x14ac:dyDescent="0.3">
      <c r="H198" s="94"/>
      <c r="I198" s="94"/>
      <c r="J198" s="94"/>
    </row>
    <row r="199" spans="8:10" x14ac:dyDescent="0.3">
      <c r="H199" s="94"/>
      <c r="I199" s="94"/>
      <c r="J199" s="94"/>
    </row>
    <row r="200" spans="8:10" x14ac:dyDescent="0.3">
      <c r="H200" s="94"/>
      <c r="I200" s="94"/>
      <c r="J200" s="94"/>
    </row>
    <row r="201" spans="8:10" x14ac:dyDescent="0.3">
      <c r="H201" s="94"/>
      <c r="I201" s="94"/>
      <c r="J201" s="94"/>
    </row>
    <row r="202" spans="8:10" x14ac:dyDescent="0.3">
      <c r="H202" s="94"/>
      <c r="I202" s="94"/>
      <c r="J202" s="94"/>
    </row>
    <row r="203" spans="8:10" x14ac:dyDescent="0.3">
      <c r="H203" s="94"/>
      <c r="I203" s="94"/>
      <c r="J203" s="94"/>
    </row>
    <row r="204" spans="8:10" x14ac:dyDescent="0.3">
      <c r="H204" s="94"/>
      <c r="I204" s="94"/>
      <c r="J204" s="94"/>
    </row>
    <row r="205" spans="8:10" x14ac:dyDescent="0.3">
      <c r="H205" s="94"/>
      <c r="I205" s="94"/>
      <c r="J205" s="94"/>
    </row>
    <row r="206" spans="8:10" x14ac:dyDescent="0.3">
      <c r="H206" s="94"/>
      <c r="I206" s="94"/>
      <c r="J206" s="94"/>
    </row>
    <row r="207" spans="8:10" x14ac:dyDescent="0.3">
      <c r="H207" s="94"/>
      <c r="I207" s="94"/>
      <c r="J207" s="94"/>
    </row>
    <row r="208" spans="8:10" x14ac:dyDescent="0.3">
      <c r="H208" s="94"/>
      <c r="I208" s="94"/>
      <c r="J208" s="94"/>
    </row>
    <row r="209" spans="8:10" x14ac:dyDescent="0.3">
      <c r="H209" s="94"/>
      <c r="I209" s="94"/>
      <c r="J209" s="94"/>
    </row>
    <row r="210" spans="8:10" x14ac:dyDescent="0.3">
      <c r="H210" s="94"/>
      <c r="I210" s="94"/>
      <c r="J210" s="94"/>
    </row>
    <row r="211" spans="8:10" x14ac:dyDescent="0.3">
      <c r="H211" s="94"/>
      <c r="I211" s="94"/>
      <c r="J211" s="94"/>
    </row>
    <row r="212" spans="8:10" x14ac:dyDescent="0.3">
      <c r="H212" s="94"/>
      <c r="I212" s="94"/>
      <c r="J212" s="94"/>
    </row>
    <row r="213" spans="8:10" x14ac:dyDescent="0.3">
      <c r="H213" s="94"/>
      <c r="I213" s="94"/>
      <c r="J213" s="94"/>
    </row>
    <row r="214" spans="8:10" x14ac:dyDescent="0.3">
      <c r="H214" s="94"/>
      <c r="I214" s="94"/>
      <c r="J214" s="94"/>
    </row>
    <row r="215" spans="8:10" x14ac:dyDescent="0.3">
      <c r="H215" s="94"/>
      <c r="I215" s="94"/>
      <c r="J215" s="94"/>
    </row>
    <row r="216" spans="8:10" x14ac:dyDescent="0.3">
      <c r="H216" s="94"/>
      <c r="I216" s="94"/>
      <c r="J216" s="94"/>
    </row>
    <row r="217" spans="8:10" x14ac:dyDescent="0.3">
      <c r="H217" s="94"/>
      <c r="I217" s="94"/>
      <c r="J217" s="94"/>
    </row>
    <row r="218" spans="8:10" x14ac:dyDescent="0.3">
      <c r="H218" s="94"/>
      <c r="I218" s="94"/>
      <c r="J218" s="94"/>
    </row>
    <row r="219" spans="8:10" x14ac:dyDescent="0.3">
      <c r="H219" s="94"/>
      <c r="I219" s="94"/>
      <c r="J219" s="94"/>
    </row>
    <row r="220" spans="8:10" x14ac:dyDescent="0.3">
      <c r="H220" s="94"/>
      <c r="I220" s="94"/>
      <c r="J220" s="94"/>
    </row>
    <row r="221" spans="8:10" x14ac:dyDescent="0.3">
      <c r="H221" s="94"/>
      <c r="I221" s="94"/>
      <c r="J221" s="94"/>
    </row>
    <row r="222" spans="8:10" x14ac:dyDescent="0.3">
      <c r="H222" s="94"/>
      <c r="I222" s="94"/>
      <c r="J222" s="94"/>
    </row>
    <row r="223" spans="8:10" x14ac:dyDescent="0.3">
      <c r="H223" s="94"/>
      <c r="I223" s="94"/>
      <c r="J223" s="94"/>
    </row>
    <row r="224" spans="8:10" x14ac:dyDescent="0.3">
      <c r="H224" s="94"/>
      <c r="I224" s="94"/>
      <c r="J224" s="94"/>
    </row>
    <row r="225" spans="8:10" x14ac:dyDescent="0.3">
      <c r="H225" s="94"/>
      <c r="I225" s="94"/>
      <c r="J225" s="94"/>
    </row>
    <row r="226" spans="8:10" x14ac:dyDescent="0.3">
      <c r="H226" s="94"/>
      <c r="I226" s="94"/>
      <c r="J226" s="94"/>
    </row>
    <row r="227" spans="8:10" x14ac:dyDescent="0.3">
      <c r="H227" s="94"/>
      <c r="I227" s="94"/>
      <c r="J227" s="94"/>
    </row>
    <row r="228" spans="8:10" x14ac:dyDescent="0.3">
      <c r="H228" s="94"/>
      <c r="I228" s="94"/>
      <c r="J228" s="94"/>
    </row>
    <row r="229" spans="8:10" x14ac:dyDescent="0.3">
      <c r="H229" s="94"/>
      <c r="I229" s="94"/>
      <c r="J229" s="94"/>
    </row>
    <row r="230" spans="8:10" x14ac:dyDescent="0.3">
      <c r="H230" s="94"/>
      <c r="I230" s="94"/>
      <c r="J230" s="94"/>
    </row>
    <row r="231" spans="8:10" x14ac:dyDescent="0.3">
      <c r="H231" s="94"/>
      <c r="I231" s="94"/>
      <c r="J231" s="94"/>
    </row>
    <row r="232" spans="8:10" x14ac:dyDescent="0.3">
      <c r="H232" s="94"/>
      <c r="I232" s="94"/>
      <c r="J232" s="94"/>
    </row>
    <row r="233" spans="8:10" x14ac:dyDescent="0.3">
      <c r="H233" s="94"/>
      <c r="I233" s="94"/>
      <c r="J233" s="94"/>
    </row>
    <row r="234" spans="8:10" x14ac:dyDescent="0.3">
      <c r="H234" s="94"/>
      <c r="I234" s="94"/>
      <c r="J234" s="94"/>
    </row>
    <row r="235" spans="8:10" x14ac:dyDescent="0.3">
      <c r="H235" s="94"/>
      <c r="I235" s="94"/>
      <c r="J235" s="94"/>
    </row>
    <row r="236" spans="8:10" x14ac:dyDescent="0.3">
      <c r="H236" s="94"/>
      <c r="I236" s="94"/>
      <c r="J236" s="94"/>
    </row>
    <row r="237" spans="8:10" x14ac:dyDescent="0.3">
      <c r="H237" s="94"/>
      <c r="I237" s="94"/>
      <c r="J237" s="94"/>
    </row>
    <row r="238" spans="8:10" x14ac:dyDescent="0.3">
      <c r="H238" s="94"/>
      <c r="I238" s="94"/>
      <c r="J238" s="94"/>
    </row>
    <row r="239" spans="8:10" x14ac:dyDescent="0.3">
      <c r="H239" s="94"/>
      <c r="I239" s="94"/>
      <c r="J239" s="94"/>
    </row>
    <row r="240" spans="8:10" x14ac:dyDescent="0.3">
      <c r="H240" s="94"/>
      <c r="I240" s="94"/>
      <c r="J240" s="94"/>
    </row>
    <row r="241" spans="8:10" x14ac:dyDescent="0.3">
      <c r="H241" s="94"/>
      <c r="I241" s="94"/>
      <c r="J241" s="94"/>
    </row>
    <row r="242" spans="8:10" x14ac:dyDescent="0.3">
      <c r="H242" s="94"/>
      <c r="I242" s="94"/>
      <c r="J242" s="94"/>
    </row>
    <row r="243" spans="8:10" x14ac:dyDescent="0.3">
      <c r="H243" s="94"/>
      <c r="I243" s="94"/>
      <c r="J243" s="94"/>
    </row>
    <row r="244" spans="8:10" x14ac:dyDescent="0.3">
      <c r="H244" s="94"/>
      <c r="I244" s="94"/>
      <c r="J244" s="94"/>
    </row>
    <row r="245" spans="8:10" x14ac:dyDescent="0.3">
      <c r="H245" s="94"/>
      <c r="I245" s="94"/>
      <c r="J245" s="94"/>
    </row>
    <row r="246" spans="8:10" x14ac:dyDescent="0.3">
      <c r="H246" s="94"/>
      <c r="I246" s="94"/>
      <c r="J246" s="94"/>
    </row>
    <row r="247" spans="8:10" x14ac:dyDescent="0.3">
      <c r="H247" s="94"/>
      <c r="I247" s="94"/>
      <c r="J247" s="94"/>
    </row>
    <row r="248" spans="8:10" x14ac:dyDescent="0.3">
      <c r="H248" s="94"/>
      <c r="I248" s="94"/>
      <c r="J248" s="94"/>
    </row>
    <row r="249" spans="8:10" x14ac:dyDescent="0.3">
      <c r="H249" s="94"/>
      <c r="I249" s="94"/>
      <c r="J249" s="94"/>
    </row>
    <row r="250" spans="8:10" x14ac:dyDescent="0.3">
      <c r="H250" s="94"/>
      <c r="I250" s="94"/>
      <c r="J250" s="94"/>
    </row>
    <row r="251" spans="8:10" x14ac:dyDescent="0.3">
      <c r="H251" s="94"/>
      <c r="I251" s="94"/>
      <c r="J251" s="94"/>
    </row>
    <row r="252" spans="8:10" x14ac:dyDescent="0.3">
      <c r="H252" s="94"/>
      <c r="I252" s="94"/>
      <c r="J252" s="94"/>
    </row>
    <row r="253" spans="8:10" x14ac:dyDescent="0.3">
      <c r="H253" s="94"/>
      <c r="I253" s="94"/>
      <c r="J253" s="94"/>
    </row>
    <row r="254" spans="8:10" x14ac:dyDescent="0.3">
      <c r="H254" s="94"/>
      <c r="I254" s="94"/>
      <c r="J254" s="94"/>
    </row>
    <row r="255" spans="8:10" x14ac:dyDescent="0.3">
      <c r="H255" s="94"/>
      <c r="I255" s="94"/>
      <c r="J255" s="94"/>
    </row>
    <row r="256" spans="8:10" x14ac:dyDescent="0.3">
      <c r="H256" s="94"/>
      <c r="I256" s="94"/>
      <c r="J256" s="94"/>
    </row>
    <row r="257" spans="8:10" x14ac:dyDescent="0.3">
      <c r="H257" s="94"/>
      <c r="I257" s="94"/>
      <c r="J257" s="94"/>
    </row>
    <row r="258" spans="8:10" x14ac:dyDescent="0.3">
      <c r="H258" s="94"/>
      <c r="I258" s="94"/>
      <c r="J258" s="94"/>
    </row>
    <row r="259" spans="8:10" x14ac:dyDescent="0.3">
      <c r="H259" s="94"/>
      <c r="I259" s="94"/>
      <c r="J259" s="94"/>
    </row>
    <row r="260" spans="8:10" x14ac:dyDescent="0.3">
      <c r="H260" s="94"/>
      <c r="I260" s="94"/>
      <c r="J260" s="94"/>
    </row>
    <row r="261" spans="8:10" x14ac:dyDescent="0.3">
      <c r="H261" s="94"/>
      <c r="I261" s="94"/>
      <c r="J261" s="94"/>
    </row>
    <row r="262" spans="8:10" x14ac:dyDescent="0.3">
      <c r="H262" s="94"/>
      <c r="I262" s="94"/>
      <c r="J262" s="94"/>
    </row>
    <row r="263" spans="8:10" x14ac:dyDescent="0.3">
      <c r="H263" s="94"/>
      <c r="I263" s="94"/>
      <c r="J263" s="94"/>
    </row>
    <row r="264" spans="8:10" x14ac:dyDescent="0.3">
      <c r="H264" s="94"/>
      <c r="I264" s="94"/>
      <c r="J264" s="94"/>
    </row>
    <row r="265" spans="8:10" x14ac:dyDescent="0.3">
      <c r="H265" s="94"/>
      <c r="I265" s="94"/>
      <c r="J265" s="94"/>
    </row>
    <row r="266" spans="8:10" x14ac:dyDescent="0.3">
      <c r="H266" s="94"/>
      <c r="I266" s="94"/>
      <c r="J266" s="94"/>
    </row>
    <row r="267" spans="8:10" x14ac:dyDescent="0.3">
      <c r="H267" s="94"/>
      <c r="I267" s="94"/>
      <c r="J267" s="94"/>
    </row>
    <row r="268" spans="8:10" x14ac:dyDescent="0.3">
      <c r="H268" s="94"/>
      <c r="I268" s="94"/>
      <c r="J268" s="94"/>
    </row>
    <row r="269" spans="8:10" x14ac:dyDescent="0.3">
      <c r="H269" s="94"/>
      <c r="I269" s="94"/>
      <c r="J269" s="94"/>
    </row>
    <row r="270" spans="8:10" x14ac:dyDescent="0.3">
      <c r="H270" s="94"/>
      <c r="I270" s="94"/>
      <c r="J270" s="94"/>
    </row>
    <row r="271" spans="8:10" x14ac:dyDescent="0.3">
      <c r="H271" s="94"/>
      <c r="I271" s="94"/>
      <c r="J271" s="94"/>
    </row>
    <row r="272" spans="8:10" x14ac:dyDescent="0.3">
      <c r="H272" s="94"/>
      <c r="I272" s="94"/>
      <c r="J272" s="94"/>
    </row>
    <row r="273" spans="8:10" x14ac:dyDescent="0.3">
      <c r="H273" s="94"/>
      <c r="I273" s="94"/>
      <c r="J273" s="94"/>
    </row>
    <row r="274" spans="8:10" x14ac:dyDescent="0.3">
      <c r="H274" s="94"/>
      <c r="I274" s="94"/>
      <c r="J274" s="94"/>
    </row>
    <row r="275" spans="8:10" x14ac:dyDescent="0.3">
      <c r="H275" s="94"/>
      <c r="I275" s="94"/>
      <c r="J275" s="94"/>
    </row>
    <row r="276" spans="8:10" x14ac:dyDescent="0.3">
      <c r="H276" s="94"/>
      <c r="I276" s="94"/>
      <c r="J276" s="94"/>
    </row>
    <row r="277" spans="8:10" x14ac:dyDescent="0.3">
      <c r="H277" s="94"/>
      <c r="I277" s="94"/>
      <c r="J277" s="94"/>
    </row>
    <row r="278" spans="8:10" x14ac:dyDescent="0.3">
      <c r="H278" s="94"/>
      <c r="I278" s="94"/>
      <c r="J278" s="94"/>
    </row>
    <row r="279" spans="8:10" x14ac:dyDescent="0.3">
      <c r="H279" s="94"/>
      <c r="I279" s="94"/>
      <c r="J279" s="94"/>
    </row>
    <row r="280" spans="8:10" x14ac:dyDescent="0.3">
      <c r="H280" s="94"/>
      <c r="I280" s="94"/>
      <c r="J280" s="94"/>
    </row>
    <row r="281" spans="8:10" x14ac:dyDescent="0.3">
      <c r="H281" s="94"/>
      <c r="I281" s="94"/>
      <c r="J281" s="94"/>
    </row>
    <row r="282" spans="8:10" x14ac:dyDescent="0.3">
      <c r="H282" s="94"/>
      <c r="I282" s="94"/>
      <c r="J282" s="94"/>
    </row>
    <row r="283" spans="8:10" x14ac:dyDescent="0.3">
      <c r="H283" s="94"/>
      <c r="I283" s="94"/>
      <c r="J283" s="94"/>
    </row>
    <row r="284" spans="8:10" x14ac:dyDescent="0.3">
      <c r="H284" s="94"/>
      <c r="I284" s="94"/>
      <c r="J284" s="94"/>
    </row>
    <row r="285" spans="8:10" x14ac:dyDescent="0.3">
      <c r="H285" s="94"/>
      <c r="I285" s="94"/>
      <c r="J285" s="94"/>
    </row>
    <row r="286" spans="8:10" x14ac:dyDescent="0.3">
      <c r="H286" s="94"/>
      <c r="I286" s="94"/>
      <c r="J286" s="94"/>
    </row>
    <row r="287" spans="8:10" x14ac:dyDescent="0.3">
      <c r="H287" s="94"/>
      <c r="I287" s="94"/>
      <c r="J287" s="94"/>
    </row>
    <row r="288" spans="8:10" x14ac:dyDescent="0.3">
      <c r="H288" s="94"/>
      <c r="I288" s="94"/>
      <c r="J288" s="94"/>
    </row>
    <row r="289" spans="8:10" x14ac:dyDescent="0.3">
      <c r="H289" s="94"/>
      <c r="I289" s="94"/>
      <c r="J289" s="94"/>
    </row>
    <row r="290" spans="8:10" x14ac:dyDescent="0.3">
      <c r="H290" s="94"/>
      <c r="I290" s="94"/>
      <c r="J290" s="94"/>
    </row>
    <row r="291" spans="8:10" x14ac:dyDescent="0.3">
      <c r="H291" s="94"/>
      <c r="I291" s="94"/>
      <c r="J291" s="94"/>
    </row>
    <row r="292" spans="8:10" x14ac:dyDescent="0.3">
      <c r="H292" s="94"/>
      <c r="I292" s="94"/>
      <c r="J292" s="94"/>
    </row>
    <row r="293" spans="8:10" x14ac:dyDescent="0.3">
      <c r="H293" s="94"/>
      <c r="I293" s="94"/>
      <c r="J293" s="94"/>
    </row>
    <row r="294" spans="8:10" x14ac:dyDescent="0.3">
      <c r="H294" s="94"/>
      <c r="I294" s="94"/>
      <c r="J294" s="94"/>
    </row>
    <row r="295" spans="8:10" x14ac:dyDescent="0.3">
      <c r="H295" s="94"/>
      <c r="I295" s="94"/>
      <c r="J295" s="94"/>
    </row>
    <row r="296" spans="8:10" x14ac:dyDescent="0.3">
      <c r="H296" s="94"/>
      <c r="I296" s="94"/>
      <c r="J296" s="94"/>
    </row>
    <row r="297" spans="8:10" x14ac:dyDescent="0.3">
      <c r="H297" s="94"/>
      <c r="I297" s="94"/>
      <c r="J297" s="94"/>
    </row>
    <row r="298" spans="8:10" x14ac:dyDescent="0.3">
      <c r="H298" s="94"/>
      <c r="I298" s="94"/>
      <c r="J298" s="94"/>
    </row>
    <row r="299" spans="8:10" x14ac:dyDescent="0.3">
      <c r="H299" s="94"/>
      <c r="I299" s="94"/>
      <c r="J299" s="94"/>
    </row>
    <row r="300" spans="8:10" x14ac:dyDescent="0.3">
      <c r="H300" s="94"/>
      <c r="I300" s="94"/>
      <c r="J300" s="94"/>
    </row>
    <row r="301" spans="8:10" x14ac:dyDescent="0.3">
      <c r="H301" s="94"/>
      <c r="I301" s="94"/>
      <c r="J301" s="94"/>
    </row>
    <row r="302" spans="8:10" x14ac:dyDescent="0.3">
      <c r="H302" s="94"/>
      <c r="I302" s="94"/>
      <c r="J302" s="94"/>
    </row>
    <row r="303" spans="8:10" x14ac:dyDescent="0.3">
      <c r="H303" s="94"/>
      <c r="I303" s="94"/>
      <c r="J303" s="94"/>
    </row>
    <row r="304" spans="8:10" x14ac:dyDescent="0.3">
      <c r="H304" s="94"/>
      <c r="I304" s="94"/>
      <c r="J304" s="94"/>
    </row>
    <row r="305" spans="8:10" x14ac:dyDescent="0.3">
      <c r="H305" s="94"/>
      <c r="I305" s="94"/>
      <c r="J305" s="94"/>
    </row>
    <row r="306" spans="8:10" x14ac:dyDescent="0.3">
      <c r="H306" s="94"/>
      <c r="I306" s="94"/>
      <c r="J306" s="94"/>
    </row>
    <row r="307" spans="8:10" x14ac:dyDescent="0.3">
      <c r="H307" s="94"/>
      <c r="I307" s="94"/>
      <c r="J307" s="94"/>
    </row>
    <row r="308" spans="8:10" x14ac:dyDescent="0.3">
      <c r="H308" s="94"/>
      <c r="I308" s="94"/>
      <c r="J308" s="94"/>
    </row>
    <row r="309" spans="8:10" x14ac:dyDescent="0.3">
      <c r="H309" s="94"/>
      <c r="I309" s="94"/>
      <c r="J309" s="94"/>
    </row>
    <row r="310" spans="8:10" x14ac:dyDescent="0.3">
      <c r="H310" s="94"/>
      <c r="I310" s="94"/>
      <c r="J310" s="94"/>
    </row>
    <row r="311" spans="8:10" x14ac:dyDescent="0.3">
      <c r="H311" s="94"/>
      <c r="I311" s="94"/>
      <c r="J311" s="94"/>
    </row>
    <row r="312" spans="8:10" x14ac:dyDescent="0.3">
      <c r="H312" s="94"/>
      <c r="I312" s="94"/>
      <c r="J312" s="94"/>
    </row>
    <row r="313" spans="8:10" x14ac:dyDescent="0.3">
      <c r="H313" s="94"/>
      <c r="I313" s="94"/>
      <c r="J313" s="94"/>
    </row>
    <row r="314" spans="8:10" x14ac:dyDescent="0.3">
      <c r="H314" s="94"/>
      <c r="I314" s="94"/>
      <c r="J314" s="94"/>
    </row>
    <row r="315" spans="8:10" x14ac:dyDescent="0.3">
      <c r="H315" s="94"/>
      <c r="I315" s="94"/>
      <c r="J315" s="94"/>
    </row>
    <row r="316" spans="8:10" x14ac:dyDescent="0.3">
      <c r="H316" s="94"/>
      <c r="I316" s="94"/>
      <c r="J316" s="94"/>
    </row>
    <row r="317" spans="8:10" x14ac:dyDescent="0.3">
      <c r="H317" s="94"/>
      <c r="I317" s="94"/>
      <c r="J317" s="94"/>
    </row>
    <row r="318" spans="8:10" x14ac:dyDescent="0.3">
      <c r="H318" s="94"/>
      <c r="I318" s="94"/>
      <c r="J318" s="94"/>
    </row>
    <row r="319" spans="8:10" x14ac:dyDescent="0.3">
      <c r="H319" s="94"/>
      <c r="I319" s="94"/>
      <c r="J319" s="94"/>
    </row>
    <row r="320" spans="8:10" x14ac:dyDescent="0.3">
      <c r="H320" s="94"/>
      <c r="I320" s="94"/>
      <c r="J320" s="94"/>
    </row>
    <row r="321" spans="8:10" x14ac:dyDescent="0.3">
      <c r="H321" s="94"/>
      <c r="I321" s="94"/>
      <c r="J321" s="94"/>
    </row>
    <row r="322" spans="8:10" x14ac:dyDescent="0.3">
      <c r="H322" s="94"/>
      <c r="I322" s="94"/>
      <c r="J322" s="94"/>
    </row>
    <row r="323" spans="8:10" x14ac:dyDescent="0.3">
      <c r="H323" s="94"/>
      <c r="I323" s="94"/>
      <c r="J323" s="94"/>
    </row>
    <row r="324" spans="8:10" x14ac:dyDescent="0.3">
      <c r="H324" s="94"/>
      <c r="I324" s="94"/>
      <c r="J324" s="94"/>
    </row>
    <row r="325" spans="8:10" x14ac:dyDescent="0.3">
      <c r="H325" s="94"/>
      <c r="I325" s="94"/>
      <c r="J325" s="94"/>
    </row>
    <row r="326" spans="8:10" x14ac:dyDescent="0.3">
      <c r="H326" s="94"/>
      <c r="I326" s="94"/>
      <c r="J326" s="94"/>
    </row>
    <row r="327" spans="8:10" x14ac:dyDescent="0.3">
      <c r="H327" s="94"/>
      <c r="I327" s="94"/>
      <c r="J327" s="94"/>
    </row>
    <row r="328" spans="8:10" x14ac:dyDescent="0.3">
      <c r="H328" s="94"/>
      <c r="I328" s="94"/>
      <c r="J328" s="94"/>
    </row>
    <row r="329" spans="8:10" x14ac:dyDescent="0.3">
      <c r="H329" s="94"/>
      <c r="I329" s="94"/>
      <c r="J329" s="94"/>
    </row>
    <row r="330" spans="8:10" x14ac:dyDescent="0.3">
      <c r="H330" s="94"/>
      <c r="I330" s="94"/>
      <c r="J330" s="94"/>
    </row>
    <row r="331" spans="8:10" x14ac:dyDescent="0.3">
      <c r="H331" s="94"/>
      <c r="I331" s="94"/>
      <c r="J331" s="94"/>
    </row>
    <row r="332" spans="8:10" x14ac:dyDescent="0.3">
      <c r="H332" s="94"/>
      <c r="I332" s="94"/>
      <c r="J332" s="94"/>
    </row>
    <row r="333" spans="8:10" x14ac:dyDescent="0.3">
      <c r="H333" s="94"/>
      <c r="I333" s="94"/>
      <c r="J333" s="94"/>
    </row>
    <row r="334" spans="8:10" x14ac:dyDescent="0.3">
      <c r="H334" s="94"/>
      <c r="I334" s="94"/>
      <c r="J334" s="94"/>
    </row>
    <row r="335" spans="8:10" x14ac:dyDescent="0.3">
      <c r="H335" s="94"/>
      <c r="I335" s="94"/>
      <c r="J335" s="94"/>
    </row>
    <row r="336" spans="8:10" x14ac:dyDescent="0.3">
      <c r="H336" s="94"/>
      <c r="I336" s="94"/>
      <c r="J336" s="94"/>
    </row>
    <row r="337" spans="8:10" x14ac:dyDescent="0.3">
      <c r="H337" s="94"/>
      <c r="I337" s="94"/>
      <c r="J337" s="94"/>
    </row>
    <row r="338" spans="8:10" x14ac:dyDescent="0.3">
      <c r="H338" s="94"/>
      <c r="I338" s="94"/>
      <c r="J338" s="94"/>
    </row>
    <row r="339" spans="8:10" x14ac:dyDescent="0.3">
      <c r="H339" s="94"/>
      <c r="I339" s="94"/>
      <c r="J339" s="94"/>
    </row>
    <row r="340" spans="8:10" x14ac:dyDescent="0.3">
      <c r="H340" s="94"/>
      <c r="I340" s="94"/>
      <c r="J340" s="94"/>
    </row>
    <row r="341" spans="8:10" x14ac:dyDescent="0.3">
      <c r="H341" s="94"/>
      <c r="I341" s="94"/>
      <c r="J341" s="94"/>
    </row>
    <row r="342" spans="8:10" x14ac:dyDescent="0.3">
      <c r="H342" s="94"/>
      <c r="I342" s="94"/>
      <c r="J342" s="94"/>
    </row>
    <row r="343" spans="8:10" x14ac:dyDescent="0.3">
      <c r="H343" s="94"/>
      <c r="I343" s="94"/>
      <c r="J343" s="94"/>
    </row>
    <row r="344" spans="8:10" x14ac:dyDescent="0.3">
      <c r="H344" s="94"/>
      <c r="I344" s="94"/>
      <c r="J344" s="94"/>
    </row>
    <row r="345" spans="8:10" x14ac:dyDescent="0.3">
      <c r="H345" s="94"/>
      <c r="I345" s="94"/>
      <c r="J345" s="94"/>
    </row>
    <row r="346" spans="8:10" x14ac:dyDescent="0.3">
      <c r="H346" s="94"/>
      <c r="I346" s="94"/>
      <c r="J346" s="94"/>
    </row>
    <row r="347" spans="8:10" x14ac:dyDescent="0.3">
      <c r="H347" s="94"/>
      <c r="I347" s="94"/>
      <c r="J347" s="94"/>
    </row>
    <row r="348" spans="8:10" x14ac:dyDescent="0.3">
      <c r="H348" s="94"/>
      <c r="I348" s="94"/>
      <c r="J348" s="94"/>
    </row>
    <row r="349" spans="8:10" x14ac:dyDescent="0.3">
      <c r="H349" s="94"/>
      <c r="I349" s="94"/>
      <c r="J349" s="94"/>
    </row>
    <row r="350" spans="8:10" x14ac:dyDescent="0.3">
      <c r="H350" s="94"/>
      <c r="I350" s="94"/>
      <c r="J350" s="94"/>
    </row>
    <row r="351" spans="8:10" x14ac:dyDescent="0.3">
      <c r="H351" s="94"/>
      <c r="I351" s="94"/>
      <c r="J351" s="94"/>
    </row>
    <row r="352" spans="8:10" x14ac:dyDescent="0.3">
      <c r="H352" s="94"/>
      <c r="I352" s="94"/>
      <c r="J352" s="94"/>
    </row>
    <row r="353" spans="8:10" x14ac:dyDescent="0.3">
      <c r="H353" s="94"/>
      <c r="I353" s="94"/>
      <c r="J353" s="94"/>
    </row>
    <row r="354" spans="8:10" x14ac:dyDescent="0.3">
      <c r="H354" s="94"/>
      <c r="I354" s="94"/>
      <c r="J354" s="94"/>
    </row>
    <row r="355" spans="8:10" x14ac:dyDescent="0.3">
      <c r="H355" s="94"/>
      <c r="I355" s="94"/>
      <c r="J355" s="94"/>
    </row>
    <row r="356" spans="8:10" x14ac:dyDescent="0.3">
      <c r="H356" s="94"/>
      <c r="I356" s="94"/>
      <c r="J356" s="94"/>
    </row>
    <row r="357" spans="8:10" x14ac:dyDescent="0.3">
      <c r="H357" s="94"/>
      <c r="I357" s="94"/>
      <c r="J357" s="94"/>
    </row>
    <row r="358" spans="8:10" x14ac:dyDescent="0.3">
      <c r="H358" s="94"/>
      <c r="I358" s="94"/>
      <c r="J358" s="94"/>
    </row>
    <row r="359" spans="8:10" x14ac:dyDescent="0.3">
      <c r="H359" s="94"/>
      <c r="I359" s="94"/>
      <c r="J359" s="94"/>
    </row>
    <row r="360" spans="8:10" x14ac:dyDescent="0.3">
      <c r="H360" s="94"/>
      <c r="I360" s="94"/>
      <c r="J360" s="94"/>
    </row>
    <row r="361" spans="8:10" x14ac:dyDescent="0.3">
      <c r="H361" s="94"/>
      <c r="I361" s="94"/>
      <c r="J361" s="94"/>
    </row>
    <row r="362" spans="8:10" x14ac:dyDescent="0.3">
      <c r="H362" s="94"/>
      <c r="I362" s="94"/>
      <c r="J362" s="94"/>
    </row>
    <row r="363" spans="8:10" x14ac:dyDescent="0.3">
      <c r="H363" s="94"/>
      <c r="I363" s="94"/>
      <c r="J363" s="94"/>
    </row>
    <row r="364" spans="8:10" x14ac:dyDescent="0.3">
      <c r="H364" s="94"/>
      <c r="I364" s="94"/>
      <c r="J364" s="94"/>
    </row>
    <row r="365" spans="8:10" x14ac:dyDescent="0.3">
      <c r="H365" s="94"/>
      <c r="I365" s="94"/>
      <c r="J365" s="94"/>
    </row>
    <row r="366" spans="8:10" x14ac:dyDescent="0.3">
      <c r="H366" s="94"/>
      <c r="I366" s="94"/>
      <c r="J366" s="94"/>
    </row>
    <row r="367" spans="8:10" x14ac:dyDescent="0.3">
      <c r="H367" s="94"/>
      <c r="I367" s="94"/>
      <c r="J367" s="94"/>
    </row>
    <row r="368" spans="8:10" x14ac:dyDescent="0.3">
      <c r="H368" s="94"/>
      <c r="I368" s="94"/>
      <c r="J368" s="94"/>
    </row>
    <row r="369" spans="8:10" x14ac:dyDescent="0.3">
      <c r="H369" s="94"/>
      <c r="I369" s="94"/>
      <c r="J369" s="94"/>
    </row>
    <row r="370" spans="8:10" x14ac:dyDescent="0.3">
      <c r="H370" s="94"/>
      <c r="I370" s="94"/>
      <c r="J370" s="94"/>
    </row>
    <row r="371" spans="8:10" x14ac:dyDescent="0.3">
      <c r="H371" s="94"/>
      <c r="I371" s="94"/>
      <c r="J371" s="94"/>
    </row>
    <row r="372" spans="8:10" x14ac:dyDescent="0.3">
      <c r="H372" s="94"/>
      <c r="I372" s="94"/>
      <c r="J372" s="94"/>
    </row>
    <row r="373" spans="8:10" x14ac:dyDescent="0.3">
      <c r="H373" s="94"/>
      <c r="I373" s="94"/>
      <c r="J373" s="94"/>
    </row>
    <row r="374" spans="8:10" x14ac:dyDescent="0.3">
      <c r="H374" s="94"/>
      <c r="I374" s="94"/>
      <c r="J374" s="94"/>
    </row>
    <row r="375" spans="8:10" x14ac:dyDescent="0.3">
      <c r="H375" s="94"/>
      <c r="I375" s="94"/>
      <c r="J375" s="94"/>
    </row>
    <row r="376" spans="8:10" x14ac:dyDescent="0.3">
      <c r="H376" s="94"/>
      <c r="I376" s="94"/>
      <c r="J376" s="94"/>
    </row>
    <row r="377" spans="8:10" x14ac:dyDescent="0.3">
      <c r="H377" s="94"/>
      <c r="I377" s="94"/>
      <c r="J377" s="94"/>
    </row>
    <row r="378" spans="8:10" x14ac:dyDescent="0.3">
      <c r="H378" s="94"/>
      <c r="I378" s="94"/>
      <c r="J378" s="94"/>
    </row>
    <row r="379" spans="8:10" x14ac:dyDescent="0.3">
      <c r="H379" s="94"/>
      <c r="I379" s="94"/>
      <c r="J379" s="94"/>
    </row>
    <row r="380" spans="8:10" x14ac:dyDescent="0.3">
      <c r="H380" s="94"/>
      <c r="I380" s="94"/>
      <c r="J380" s="94"/>
    </row>
    <row r="381" spans="8:10" x14ac:dyDescent="0.3">
      <c r="H381" s="94"/>
      <c r="I381" s="94"/>
      <c r="J381" s="94"/>
    </row>
    <row r="382" spans="8:10" x14ac:dyDescent="0.3">
      <c r="H382" s="94"/>
      <c r="I382" s="94"/>
      <c r="J382" s="94"/>
    </row>
    <row r="383" spans="8:10" x14ac:dyDescent="0.3">
      <c r="H383" s="94"/>
      <c r="I383" s="94"/>
      <c r="J383" s="94"/>
    </row>
    <row r="384" spans="8:10" x14ac:dyDescent="0.3">
      <c r="H384" s="94"/>
      <c r="I384" s="94"/>
      <c r="J384" s="94"/>
    </row>
    <row r="385" spans="8:10" x14ac:dyDescent="0.3">
      <c r="H385" s="94"/>
      <c r="I385" s="94"/>
      <c r="J385" s="94"/>
    </row>
    <row r="386" spans="8:10" x14ac:dyDescent="0.3">
      <c r="H386" s="94"/>
      <c r="I386" s="94"/>
      <c r="J386" s="94"/>
    </row>
    <row r="387" spans="8:10" x14ac:dyDescent="0.3">
      <c r="H387" s="94"/>
      <c r="I387" s="94"/>
      <c r="J387" s="94"/>
    </row>
    <row r="388" spans="8:10" x14ac:dyDescent="0.3">
      <c r="H388" s="94"/>
      <c r="I388" s="94"/>
      <c r="J388" s="94"/>
    </row>
    <row r="389" spans="8:10" x14ac:dyDescent="0.3">
      <c r="H389" s="94"/>
      <c r="I389" s="94"/>
      <c r="J389" s="94"/>
    </row>
    <row r="390" spans="8:10" x14ac:dyDescent="0.3">
      <c r="H390" s="94"/>
      <c r="I390" s="94"/>
      <c r="J390" s="94"/>
    </row>
    <row r="391" spans="8:10" x14ac:dyDescent="0.3">
      <c r="H391" s="94"/>
      <c r="I391" s="94"/>
      <c r="J391" s="94"/>
    </row>
    <row r="392" spans="8:10" x14ac:dyDescent="0.3">
      <c r="H392" s="94"/>
      <c r="I392" s="94"/>
      <c r="J392" s="94"/>
    </row>
    <row r="393" spans="8:10" x14ac:dyDescent="0.3">
      <c r="H393" s="94"/>
      <c r="I393" s="94"/>
      <c r="J393" s="94"/>
    </row>
    <row r="394" spans="8:10" x14ac:dyDescent="0.3">
      <c r="H394" s="94"/>
      <c r="I394" s="94"/>
      <c r="J394" s="94"/>
    </row>
    <row r="395" spans="8:10" x14ac:dyDescent="0.3">
      <c r="H395" s="94"/>
      <c r="I395" s="94"/>
      <c r="J395" s="94"/>
    </row>
    <row r="396" spans="8:10" x14ac:dyDescent="0.3">
      <c r="H396" s="94"/>
      <c r="I396" s="94"/>
      <c r="J396" s="94"/>
    </row>
    <row r="397" spans="8:10" x14ac:dyDescent="0.3">
      <c r="H397" s="94"/>
      <c r="I397" s="94"/>
      <c r="J397" s="94"/>
    </row>
    <row r="398" spans="8:10" x14ac:dyDescent="0.3">
      <c r="H398" s="94"/>
      <c r="I398" s="94"/>
      <c r="J398" s="94"/>
    </row>
    <row r="399" spans="8:10" x14ac:dyDescent="0.3">
      <c r="H399" s="94"/>
      <c r="I399" s="94"/>
      <c r="J399" s="94"/>
    </row>
    <row r="400" spans="8:10" x14ac:dyDescent="0.3">
      <c r="H400" s="94"/>
      <c r="I400" s="94"/>
      <c r="J400" s="94"/>
    </row>
    <row r="401" spans="8:10" x14ac:dyDescent="0.3">
      <c r="H401" s="94"/>
      <c r="I401" s="94"/>
      <c r="J401" s="94"/>
    </row>
    <row r="402" spans="8:10" x14ac:dyDescent="0.3">
      <c r="H402" s="94"/>
      <c r="I402" s="94"/>
      <c r="J402" s="94"/>
    </row>
    <row r="403" spans="8:10" x14ac:dyDescent="0.3">
      <c r="H403" s="94"/>
      <c r="I403" s="94"/>
      <c r="J403" s="94"/>
    </row>
    <row r="404" spans="8:10" x14ac:dyDescent="0.3">
      <c r="H404" s="94"/>
      <c r="I404" s="94"/>
      <c r="J404" s="94"/>
    </row>
    <row r="405" spans="8:10" x14ac:dyDescent="0.3">
      <c r="H405" s="94"/>
      <c r="I405" s="94"/>
      <c r="J405" s="94"/>
    </row>
    <row r="406" spans="8:10" x14ac:dyDescent="0.3">
      <c r="H406" s="94"/>
      <c r="I406" s="94"/>
      <c r="J406" s="94"/>
    </row>
    <row r="407" spans="8:10" x14ac:dyDescent="0.3">
      <c r="H407" s="94"/>
      <c r="I407" s="94"/>
      <c r="J407" s="94"/>
    </row>
    <row r="408" spans="8:10" x14ac:dyDescent="0.3">
      <c r="H408" s="94"/>
      <c r="I408" s="94"/>
      <c r="J408" s="94"/>
    </row>
    <row r="409" spans="8:10" x14ac:dyDescent="0.3">
      <c r="H409" s="94"/>
      <c r="I409" s="94"/>
      <c r="J409" s="94"/>
    </row>
    <row r="410" spans="8:10" x14ac:dyDescent="0.3">
      <c r="H410" s="94"/>
      <c r="I410" s="94"/>
      <c r="J410" s="94"/>
    </row>
    <row r="411" spans="8:10" x14ac:dyDescent="0.3">
      <c r="H411" s="94"/>
      <c r="I411" s="94"/>
      <c r="J411" s="94"/>
    </row>
    <row r="412" spans="8:10" x14ac:dyDescent="0.3">
      <c r="H412" s="94"/>
      <c r="I412" s="94"/>
      <c r="J412" s="94"/>
    </row>
    <row r="413" spans="8:10" x14ac:dyDescent="0.3">
      <c r="H413" s="94"/>
      <c r="I413" s="94"/>
      <c r="J413" s="94"/>
    </row>
    <row r="414" spans="8:10" x14ac:dyDescent="0.3">
      <c r="H414" s="94"/>
      <c r="I414" s="94"/>
      <c r="J414" s="94"/>
    </row>
    <row r="415" spans="8:10" x14ac:dyDescent="0.3">
      <c r="H415" s="94"/>
      <c r="I415" s="94"/>
      <c r="J415" s="94"/>
    </row>
    <row r="416" spans="8:10" x14ac:dyDescent="0.3">
      <c r="H416" s="94"/>
      <c r="I416" s="94"/>
      <c r="J416" s="94"/>
    </row>
    <row r="417" spans="8:10" x14ac:dyDescent="0.3">
      <c r="H417" s="94"/>
      <c r="I417" s="94"/>
      <c r="J417" s="94"/>
    </row>
    <row r="418" spans="8:10" x14ac:dyDescent="0.3">
      <c r="H418" s="94"/>
      <c r="I418" s="94"/>
      <c r="J418" s="94"/>
    </row>
    <row r="419" spans="8:10" x14ac:dyDescent="0.3">
      <c r="H419" s="94"/>
      <c r="I419" s="94"/>
      <c r="J419" s="94"/>
    </row>
    <row r="420" spans="8:10" x14ac:dyDescent="0.3">
      <c r="H420" s="94"/>
      <c r="I420" s="94"/>
      <c r="J420" s="94"/>
    </row>
    <row r="421" spans="8:10" x14ac:dyDescent="0.3">
      <c r="H421" s="94"/>
      <c r="I421" s="94"/>
      <c r="J421" s="94"/>
    </row>
    <row r="422" spans="8:10" x14ac:dyDescent="0.3">
      <c r="H422" s="94"/>
      <c r="I422" s="94"/>
      <c r="J422" s="94"/>
    </row>
    <row r="423" spans="8:10" x14ac:dyDescent="0.3">
      <c r="H423" s="94"/>
      <c r="I423" s="94"/>
      <c r="J423" s="94"/>
    </row>
    <row r="424" spans="8:10" x14ac:dyDescent="0.3">
      <c r="H424" s="94"/>
      <c r="I424" s="94"/>
      <c r="J424" s="94"/>
    </row>
    <row r="425" spans="8:10" x14ac:dyDescent="0.3">
      <c r="H425" s="94"/>
      <c r="I425" s="94"/>
      <c r="J425" s="94"/>
    </row>
    <row r="426" spans="8:10" x14ac:dyDescent="0.3">
      <c r="H426" s="94"/>
      <c r="I426" s="94"/>
      <c r="J426" s="94"/>
    </row>
    <row r="427" spans="8:10" x14ac:dyDescent="0.3">
      <c r="H427" s="94"/>
      <c r="I427" s="94"/>
      <c r="J427" s="94"/>
    </row>
    <row r="428" spans="8:10" x14ac:dyDescent="0.3">
      <c r="H428" s="94"/>
      <c r="I428" s="94"/>
      <c r="J428" s="94"/>
    </row>
    <row r="429" spans="8:10" x14ac:dyDescent="0.3">
      <c r="H429" s="94"/>
      <c r="I429" s="94"/>
      <c r="J429" s="94"/>
    </row>
    <row r="430" spans="8:10" x14ac:dyDescent="0.3">
      <c r="H430" s="94"/>
      <c r="I430" s="94"/>
      <c r="J430" s="94"/>
    </row>
    <row r="431" spans="8:10" x14ac:dyDescent="0.3">
      <c r="H431" s="94"/>
      <c r="I431" s="94"/>
      <c r="J431" s="94"/>
    </row>
    <row r="432" spans="8:10" x14ac:dyDescent="0.3">
      <c r="H432" s="94"/>
      <c r="I432" s="94"/>
      <c r="J432" s="94"/>
    </row>
    <row r="433" spans="8:10" x14ac:dyDescent="0.3">
      <c r="H433" s="94"/>
      <c r="I433" s="94"/>
      <c r="J433" s="94"/>
    </row>
    <row r="434" spans="8:10" x14ac:dyDescent="0.3">
      <c r="H434" s="94"/>
      <c r="I434" s="94"/>
      <c r="J434" s="94"/>
    </row>
    <row r="435" spans="8:10" x14ac:dyDescent="0.3">
      <c r="H435" s="94"/>
      <c r="I435" s="94"/>
      <c r="J435" s="94"/>
    </row>
    <row r="436" spans="8:10" x14ac:dyDescent="0.3">
      <c r="H436" s="94"/>
      <c r="I436" s="94"/>
      <c r="J436" s="94"/>
    </row>
    <row r="437" spans="8:10" x14ac:dyDescent="0.3">
      <c r="H437" s="94"/>
      <c r="I437" s="94"/>
      <c r="J437" s="94"/>
    </row>
    <row r="438" spans="8:10" x14ac:dyDescent="0.3">
      <c r="H438" s="94"/>
      <c r="I438" s="94"/>
      <c r="J438" s="94"/>
    </row>
    <row r="439" spans="8:10" x14ac:dyDescent="0.3">
      <c r="H439" s="94"/>
      <c r="I439" s="94"/>
      <c r="J439" s="94"/>
    </row>
    <row r="440" spans="8:10" x14ac:dyDescent="0.3">
      <c r="H440" s="94"/>
      <c r="I440" s="94"/>
      <c r="J440" s="94"/>
    </row>
    <row r="441" spans="8:10" x14ac:dyDescent="0.3">
      <c r="H441" s="94"/>
      <c r="I441" s="94"/>
      <c r="J441" s="94"/>
    </row>
    <row r="442" spans="8:10" x14ac:dyDescent="0.3">
      <c r="H442" s="94"/>
      <c r="I442" s="94"/>
      <c r="J442" s="94"/>
    </row>
    <row r="443" spans="8:10" x14ac:dyDescent="0.3">
      <c r="H443" s="94"/>
      <c r="I443" s="94"/>
      <c r="J443" s="94"/>
    </row>
    <row r="444" spans="8:10" x14ac:dyDescent="0.3">
      <c r="H444" s="94"/>
      <c r="I444" s="94"/>
      <c r="J444" s="94"/>
    </row>
    <row r="445" spans="8:10" x14ac:dyDescent="0.3">
      <c r="H445" s="94"/>
      <c r="I445" s="94"/>
      <c r="J445" s="94"/>
    </row>
    <row r="446" spans="8:10" x14ac:dyDescent="0.3">
      <c r="H446" s="94"/>
      <c r="I446" s="94"/>
      <c r="J446" s="94"/>
    </row>
    <row r="447" spans="8:10" x14ac:dyDescent="0.3">
      <c r="H447" s="94"/>
      <c r="I447" s="94"/>
      <c r="J447" s="94"/>
    </row>
    <row r="448" spans="8:10" x14ac:dyDescent="0.3">
      <c r="H448" s="94"/>
      <c r="I448" s="94"/>
      <c r="J448" s="94"/>
    </row>
    <row r="449" spans="8:10" x14ac:dyDescent="0.3">
      <c r="H449" s="94"/>
      <c r="I449" s="94"/>
      <c r="J449" s="94"/>
    </row>
    <row r="450" spans="8:10" x14ac:dyDescent="0.3">
      <c r="H450" s="94"/>
      <c r="I450" s="94"/>
      <c r="J450" s="94"/>
    </row>
    <row r="451" spans="8:10" x14ac:dyDescent="0.3">
      <c r="H451" s="94"/>
      <c r="I451" s="94"/>
      <c r="J451" s="94"/>
    </row>
    <row r="452" spans="8:10" x14ac:dyDescent="0.3">
      <c r="H452" s="94"/>
      <c r="I452" s="94"/>
      <c r="J452" s="94"/>
    </row>
    <row r="453" spans="8:10" x14ac:dyDescent="0.3">
      <c r="H453" s="94"/>
      <c r="I453" s="94"/>
      <c r="J453" s="94"/>
    </row>
    <row r="454" spans="8:10" x14ac:dyDescent="0.3">
      <c r="H454" s="94"/>
      <c r="I454" s="94"/>
      <c r="J454" s="94"/>
    </row>
    <row r="455" spans="8:10" x14ac:dyDescent="0.3">
      <c r="H455" s="94"/>
      <c r="I455" s="94"/>
      <c r="J455" s="94"/>
    </row>
    <row r="456" spans="8:10" x14ac:dyDescent="0.3">
      <c r="H456" s="94"/>
      <c r="I456" s="94"/>
      <c r="J456" s="94"/>
    </row>
    <row r="457" spans="8:10" x14ac:dyDescent="0.3">
      <c r="H457" s="94"/>
      <c r="I457" s="94"/>
      <c r="J457" s="94"/>
    </row>
    <row r="458" spans="8:10" x14ac:dyDescent="0.3">
      <c r="H458" s="94"/>
      <c r="I458" s="94"/>
      <c r="J458" s="94"/>
    </row>
    <row r="459" spans="8:10" x14ac:dyDescent="0.3">
      <c r="H459" s="94"/>
      <c r="I459" s="94"/>
      <c r="J459" s="94"/>
    </row>
    <row r="460" spans="8:10" x14ac:dyDescent="0.3">
      <c r="H460" s="94"/>
      <c r="I460" s="94"/>
      <c r="J460" s="94"/>
    </row>
    <row r="461" spans="8:10" x14ac:dyDescent="0.3">
      <c r="H461" s="94"/>
      <c r="I461" s="94"/>
      <c r="J461" s="94"/>
    </row>
    <row r="462" spans="8:10" x14ac:dyDescent="0.3">
      <c r="H462" s="94"/>
      <c r="I462" s="94"/>
      <c r="J462" s="94"/>
    </row>
    <row r="463" spans="8:10" x14ac:dyDescent="0.3">
      <c r="H463" s="94"/>
      <c r="I463" s="94"/>
      <c r="J463" s="94"/>
    </row>
    <row r="464" spans="8:10" x14ac:dyDescent="0.3">
      <c r="H464" s="94"/>
      <c r="I464" s="94"/>
      <c r="J464" s="94"/>
    </row>
    <row r="465" spans="8:10" x14ac:dyDescent="0.3">
      <c r="H465" s="94"/>
      <c r="I465" s="94"/>
      <c r="J465" s="94"/>
    </row>
    <row r="466" spans="8:10" x14ac:dyDescent="0.3">
      <c r="H466" s="94"/>
      <c r="I466" s="94"/>
      <c r="J466" s="94"/>
    </row>
    <row r="467" spans="8:10" x14ac:dyDescent="0.3">
      <c r="H467" s="94"/>
      <c r="I467" s="94"/>
      <c r="J467" s="94"/>
    </row>
    <row r="468" spans="8:10" x14ac:dyDescent="0.3">
      <c r="H468" s="94"/>
      <c r="I468" s="94"/>
      <c r="J468" s="94"/>
    </row>
    <row r="469" spans="8:10" x14ac:dyDescent="0.3">
      <c r="H469" s="94"/>
      <c r="I469" s="94"/>
      <c r="J469" s="94"/>
    </row>
    <row r="470" spans="8:10" x14ac:dyDescent="0.3">
      <c r="H470" s="94"/>
      <c r="I470" s="94"/>
      <c r="J470" s="94"/>
    </row>
    <row r="471" spans="8:10" x14ac:dyDescent="0.3">
      <c r="H471" s="94"/>
      <c r="I471" s="94"/>
      <c r="J471" s="94"/>
    </row>
    <row r="472" spans="8:10" x14ac:dyDescent="0.3">
      <c r="H472" s="94"/>
      <c r="I472" s="94"/>
      <c r="J472" s="94"/>
    </row>
    <row r="473" spans="8:10" x14ac:dyDescent="0.3">
      <c r="H473" s="94"/>
      <c r="I473" s="94"/>
      <c r="J473" s="94"/>
    </row>
    <row r="474" spans="8:10" x14ac:dyDescent="0.3">
      <c r="H474" s="94"/>
      <c r="I474" s="94"/>
      <c r="J474" s="94"/>
    </row>
    <row r="475" spans="8:10" x14ac:dyDescent="0.3">
      <c r="H475" s="94"/>
      <c r="I475" s="94"/>
      <c r="J475" s="94"/>
    </row>
    <row r="476" spans="8:10" x14ac:dyDescent="0.3">
      <c r="H476" s="94"/>
      <c r="I476" s="94"/>
      <c r="J476" s="94"/>
    </row>
    <row r="477" spans="8:10" x14ac:dyDescent="0.3">
      <c r="H477" s="94"/>
      <c r="I477" s="94"/>
      <c r="J477" s="94"/>
    </row>
    <row r="478" spans="8:10" x14ac:dyDescent="0.3">
      <c r="H478" s="94"/>
      <c r="I478" s="94"/>
      <c r="J478" s="94"/>
    </row>
    <row r="479" spans="8:10" x14ac:dyDescent="0.3">
      <c r="H479" s="94"/>
      <c r="I479" s="94"/>
      <c r="J479" s="94"/>
    </row>
    <row r="480" spans="8:10" x14ac:dyDescent="0.3">
      <c r="H480" s="94"/>
      <c r="I480" s="94"/>
      <c r="J480" s="94"/>
    </row>
    <row r="481" spans="8:10" x14ac:dyDescent="0.3">
      <c r="H481" s="94"/>
      <c r="I481" s="94"/>
      <c r="J481" s="94"/>
    </row>
    <row r="482" spans="8:10" x14ac:dyDescent="0.3">
      <c r="H482" s="94"/>
      <c r="I482" s="94"/>
      <c r="J482" s="94"/>
    </row>
    <row r="483" spans="8:10" x14ac:dyDescent="0.3">
      <c r="H483" s="94"/>
      <c r="I483" s="94"/>
      <c r="J483" s="94"/>
    </row>
    <row r="484" spans="8:10" x14ac:dyDescent="0.3">
      <c r="H484" s="94"/>
      <c r="I484" s="94"/>
      <c r="J484" s="94"/>
    </row>
    <row r="485" spans="8:10" x14ac:dyDescent="0.3">
      <c r="H485" s="94"/>
      <c r="I485" s="94"/>
      <c r="J485" s="94"/>
    </row>
    <row r="486" spans="8:10" x14ac:dyDescent="0.3">
      <c r="H486" s="94"/>
      <c r="I486" s="94"/>
      <c r="J486" s="94"/>
    </row>
    <row r="487" spans="8:10" x14ac:dyDescent="0.3">
      <c r="H487" s="94"/>
      <c r="I487" s="94"/>
      <c r="J487" s="94"/>
    </row>
    <row r="488" spans="8:10" x14ac:dyDescent="0.3">
      <c r="H488" s="94"/>
      <c r="I488" s="94"/>
      <c r="J488" s="94"/>
    </row>
    <row r="489" spans="8:10" x14ac:dyDescent="0.3">
      <c r="H489" s="94"/>
      <c r="I489" s="94"/>
      <c r="J489" s="94"/>
    </row>
    <row r="490" spans="8:10" x14ac:dyDescent="0.3">
      <c r="H490" s="94"/>
      <c r="I490" s="94"/>
      <c r="J490" s="94"/>
    </row>
    <row r="491" spans="8:10" x14ac:dyDescent="0.3">
      <c r="H491" s="94"/>
      <c r="I491" s="94"/>
      <c r="J491" s="94"/>
    </row>
    <row r="492" spans="8:10" x14ac:dyDescent="0.3">
      <c r="H492" s="94"/>
      <c r="I492" s="94"/>
      <c r="J492" s="94"/>
    </row>
    <row r="493" spans="8:10" x14ac:dyDescent="0.3">
      <c r="H493" s="94"/>
      <c r="I493" s="94"/>
      <c r="J493" s="94"/>
    </row>
    <row r="494" spans="8:10" x14ac:dyDescent="0.3">
      <c r="H494" s="94"/>
      <c r="I494" s="94"/>
      <c r="J494" s="94"/>
    </row>
    <row r="495" spans="8:10" x14ac:dyDescent="0.3">
      <c r="H495" s="94"/>
      <c r="I495" s="94"/>
      <c r="J495" s="94"/>
    </row>
    <row r="496" spans="8:10" x14ac:dyDescent="0.3">
      <c r="H496" s="94"/>
      <c r="I496" s="94"/>
      <c r="J496" s="94"/>
    </row>
    <row r="497" spans="8:10" x14ac:dyDescent="0.3">
      <c r="H497" s="94"/>
      <c r="I497" s="94"/>
      <c r="J497" s="94"/>
    </row>
    <row r="498" spans="8:10" x14ac:dyDescent="0.3">
      <c r="H498" s="94"/>
      <c r="I498" s="94"/>
      <c r="J498" s="94"/>
    </row>
    <row r="499" spans="8:10" x14ac:dyDescent="0.3">
      <c r="H499" s="94"/>
      <c r="I499" s="94"/>
      <c r="J499" s="94"/>
    </row>
    <row r="500" spans="8:10" x14ac:dyDescent="0.3">
      <c r="H500" s="94"/>
      <c r="I500" s="94"/>
      <c r="J500" s="94"/>
    </row>
    <row r="501" spans="8:10" x14ac:dyDescent="0.3">
      <c r="H501" s="94"/>
      <c r="I501" s="94"/>
      <c r="J501" s="94"/>
    </row>
    <row r="502" spans="8:10" x14ac:dyDescent="0.3">
      <c r="H502" s="94"/>
      <c r="I502" s="94"/>
      <c r="J502" s="94"/>
    </row>
    <row r="503" spans="8:10" x14ac:dyDescent="0.3">
      <c r="H503" s="94"/>
      <c r="I503" s="94"/>
      <c r="J503" s="94"/>
    </row>
    <row r="504" spans="8:10" x14ac:dyDescent="0.3">
      <c r="H504" s="94"/>
      <c r="I504" s="94"/>
      <c r="J504" s="94"/>
    </row>
    <row r="505" spans="8:10" x14ac:dyDescent="0.3">
      <c r="H505" s="94"/>
      <c r="I505" s="94"/>
      <c r="J505" s="94"/>
    </row>
    <row r="506" spans="8:10" x14ac:dyDescent="0.3">
      <c r="H506" s="94"/>
      <c r="I506" s="94"/>
      <c r="J506" s="94"/>
    </row>
    <row r="507" spans="8:10" x14ac:dyDescent="0.3">
      <c r="H507" s="94"/>
      <c r="I507" s="94"/>
      <c r="J507" s="94"/>
    </row>
    <row r="508" spans="8:10" x14ac:dyDescent="0.3">
      <c r="H508" s="94"/>
      <c r="I508" s="94"/>
      <c r="J508" s="94"/>
    </row>
    <row r="509" spans="8:10" x14ac:dyDescent="0.3">
      <c r="H509" s="94"/>
      <c r="I509" s="94"/>
      <c r="J509" s="94"/>
    </row>
    <row r="510" spans="8:10" x14ac:dyDescent="0.3">
      <c r="H510" s="94"/>
      <c r="I510" s="94"/>
      <c r="J510" s="94"/>
    </row>
    <row r="511" spans="8:10" x14ac:dyDescent="0.3">
      <c r="H511" s="94"/>
      <c r="I511" s="94"/>
      <c r="J511" s="94"/>
    </row>
    <row r="512" spans="8:10" x14ac:dyDescent="0.3">
      <c r="H512" s="94"/>
      <c r="I512" s="94"/>
      <c r="J512" s="94"/>
    </row>
    <row r="513" spans="8:10" x14ac:dyDescent="0.3">
      <c r="H513" s="94"/>
      <c r="I513" s="94"/>
      <c r="J513" s="94"/>
    </row>
    <row r="514" spans="8:10" x14ac:dyDescent="0.3">
      <c r="H514" s="94"/>
      <c r="I514" s="94"/>
      <c r="J514" s="94"/>
    </row>
    <row r="515" spans="8:10" x14ac:dyDescent="0.3">
      <c r="H515" s="94"/>
      <c r="I515" s="94"/>
      <c r="J515" s="94"/>
    </row>
    <row r="516" spans="8:10" x14ac:dyDescent="0.3">
      <c r="H516" s="94"/>
      <c r="I516" s="94"/>
      <c r="J516" s="94"/>
    </row>
    <row r="517" spans="8:10" x14ac:dyDescent="0.3">
      <c r="H517" s="94"/>
      <c r="I517" s="94"/>
      <c r="J517" s="94"/>
    </row>
    <row r="518" spans="8:10" x14ac:dyDescent="0.3">
      <c r="H518" s="94"/>
      <c r="I518" s="94"/>
      <c r="J518" s="94"/>
    </row>
    <row r="519" spans="8:10" x14ac:dyDescent="0.3">
      <c r="H519" s="94"/>
      <c r="I519" s="94"/>
      <c r="J519" s="94"/>
    </row>
    <row r="520" spans="8:10" x14ac:dyDescent="0.3">
      <c r="H520" s="94"/>
      <c r="I520" s="94"/>
      <c r="J520" s="94"/>
    </row>
    <row r="521" spans="8:10" x14ac:dyDescent="0.3">
      <c r="H521" s="94"/>
      <c r="I521" s="94"/>
      <c r="J521" s="94"/>
    </row>
    <row r="522" spans="8:10" x14ac:dyDescent="0.3">
      <c r="H522" s="94"/>
      <c r="I522" s="94"/>
      <c r="J522" s="94"/>
    </row>
    <row r="523" spans="8:10" x14ac:dyDescent="0.3">
      <c r="H523" s="94"/>
      <c r="I523" s="94"/>
      <c r="J523" s="94"/>
    </row>
    <row r="524" spans="8:10" x14ac:dyDescent="0.3">
      <c r="H524" s="94"/>
      <c r="I524" s="94"/>
      <c r="J524" s="94"/>
    </row>
    <row r="525" spans="8:10" x14ac:dyDescent="0.3">
      <c r="H525" s="94"/>
      <c r="I525" s="94"/>
      <c r="J525" s="94"/>
    </row>
    <row r="526" spans="8:10" x14ac:dyDescent="0.3">
      <c r="H526" s="94"/>
      <c r="I526" s="94"/>
      <c r="J526" s="94"/>
    </row>
    <row r="527" spans="8:10" x14ac:dyDescent="0.3">
      <c r="H527" s="94"/>
      <c r="I527" s="94"/>
      <c r="J527" s="94"/>
    </row>
    <row r="528" spans="8:10" x14ac:dyDescent="0.3">
      <c r="H528" s="94"/>
      <c r="I528" s="94"/>
      <c r="J528" s="94"/>
    </row>
    <row r="529" spans="8:10" x14ac:dyDescent="0.3">
      <c r="H529" s="94"/>
      <c r="I529" s="94"/>
      <c r="J529" s="94"/>
    </row>
    <row r="530" spans="8:10" x14ac:dyDescent="0.3">
      <c r="H530" s="94"/>
      <c r="I530" s="94"/>
      <c r="J530" s="94"/>
    </row>
    <row r="531" spans="8:10" x14ac:dyDescent="0.3">
      <c r="H531" s="94"/>
      <c r="I531" s="94"/>
      <c r="J531" s="94"/>
    </row>
    <row r="532" spans="8:10" x14ac:dyDescent="0.3">
      <c r="H532" s="94"/>
      <c r="I532" s="94"/>
      <c r="J532" s="94"/>
    </row>
    <row r="533" spans="8:10" x14ac:dyDescent="0.3">
      <c r="H533" s="94"/>
      <c r="I533" s="94"/>
      <c r="J533" s="94"/>
    </row>
    <row r="534" spans="8:10" x14ac:dyDescent="0.3">
      <c r="H534" s="94"/>
      <c r="I534" s="94"/>
      <c r="J534" s="94"/>
    </row>
    <row r="535" spans="8:10" x14ac:dyDescent="0.3">
      <c r="H535" s="94"/>
      <c r="I535" s="94"/>
      <c r="J535" s="94"/>
    </row>
    <row r="536" spans="8:10" x14ac:dyDescent="0.3">
      <c r="H536" s="94"/>
      <c r="I536" s="94"/>
      <c r="J536" s="94"/>
    </row>
    <row r="537" spans="8:10" x14ac:dyDescent="0.3">
      <c r="H537" s="94"/>
      <c r="I537" s="94"/>
      <c r="J537" s="94"/>
    </row>
    <row r="538" spans="8:10" x14ac:dyDescent="0.3">
      <c r="H538" s="94"/>
      <c r="I538" s="94"/>
      <c r="J538" s="94"/>
    </row>
    <row r="539" spans="8:10" x14ac:dyDescent="0.3">
      <c r="H539" s="94"/>
      <c r="I539" s="94"/>
      <c r="J539" s="94"/>
    </row>
    <row r="540" spans="8:10" x14ac:dyDescent="0.3">
      <c r="H540" s="94"/>
      <c r="I540" s="94"/>
      <c r="J540" s="94"/>
    </row>
    <row r="541" spans="8:10" x14ac:dyDescent="0.3">
      <c r="H541" s="94"/>
      <c r="I541" s="94"/>
      <c r="J541" s="94"/>
    </row>
    <row r="542" spans="8:10" x14ac:dyDescent="0.3">
      <c r="H542" s="94"/>
      <c r="I542" s="94"/>
      <c r="J542" s="94"/>
    </row>
    <row r="543" spans="8:10" x14ac:dyDescent="0.3">
      <c r="H543" s="94"/>
      <c r="I543" s="94"/>
      <c r="J543" s="94"/>
    </row>
    <row r="544" spans="8:10" x14ac:dyDescent="0.3">
      <c r="H544" s="94"/>
      <c r="I544" s="94"/>
      <c r="J544" s="94"/>
    </row>
    <row r="545" spans="8:10" x14ac:dyDescent="0.3">
      <c r="H545" s="94"/>
      <c r="I545" s="94"/>
      <c r="J545" s="94"/>
    </row>
    <row r="546" spans="8:10" x14ac:dyDescent="0.3">
      <c r="H546" s="94"/>
      <c r="I546" s="94"/>
      <c r="J546" s="94"/>
    </row>
    <row r="547" spans="8:10" x14ac:dyDescent="0.3">
      <c r="H547" s="94"/>
      <c r="I547" s="94"/>
      <c r="J547" s="94"/>
    </row>
    <row r="548" spans="8:10" x14ac:dyDescent="0.3">
      <c r="H548" s="94"/>
      <c r="I548" s="94"/>
      <c r="J548" s="94"/>
    </row>
    <row r="549" spans="8:10" x14ac:dyDescent="0.3">
      <c r="H549" s="94"/>
      <c r="I549" s="94"/>
      <c r="J549" s="94"/>
    </row>
    <row r="550" spans="8:10" x14ac:dyDescent="0.3">
      <c r="H550" s="94"/>
      <c r="I550" s="94"/>
      <c r="J550" s="94"/>
    </row>
    <row r="551" spans="8:10" x14ac:dyDescent="0.3">
      <c r="H551" s="94"/>
      <c r="I551" s="94"/>
      <c r="J551" s="94"/>
    </row>
    <row r="552" spans="8:10" x14ac:dyDescent="0.3">
      <c r="H552" s="94"/>
      <c r="I552" s="94"/>
      <c r="J552" s="94"/>
    </row>
    <row r="553" spans="8:10" x14ac:dyDescent="0.3">
      <c r="H553" s="94"/>
      <c r="I553" s="94"/>
      <c r="J553" s="94"/>
    </row>
    <row r="554" spans="8:10" x14ac:dyDescent="0.3">
      <c r="H554" s="94"/>
      <c r="I554" s="94"/>
      <c r="J554" s="94"/>
    </row>
    <row r="555" spans="8:10" x14ac:dyDescent="0.3">
      <c r="H555" s="94"/>
      <c r="I555" s="94"/>
      <c r="J555" s="94"/>
    </row>
    <row r="556" spans="8:10" x14ac:dyDescent="0.3">
      <c r="H556" s="94"/>
      <c r="I556" s="94"/>
      <c r="J556" s="94"/>
    </row>
    <row r="557" spans="8:10" x14ac:dyDescent="0.3">
      <c r="H557" s="94"/>
      <c r="I557" s="94"/>
      <c r="J557" s="94"/>
    </row>
    <row r="558" spans="8:10" x14ac:dyDescent="0.3">
      <c r="H558" s="94"/>
      <c r="I558" s="94"/>
      <c r="J558" s="94"/>
    </row>
    <row r="559" spans="8:10" x14ac:dyDescent="0.3">
      <c r="H559" s="94"/>
      <c r="I559" s="94"/>
      <c r="J559" s="94"/>
    </row>
    <row r="560" spans="8:10" x14ac:dyDescent="0.3">
      <c r="H560" s="94"/>
      <c r="I560" s="94"/>
      <c r="J560" s="94"/>
    </row>
    <row r="561" spans="8:10" x14ac:dyDescent="0.3">
      <c r="H561" s="94"/>
      <c r="I561" s="94"/>
      <c r="J561" s="94"/>
    </row>
    <row r="562" spans="8:10" x14ac:dyDescent="0.3">
      <c r="H562" s="94"/>
      <c r="I562" s="94"/>
      <c r="J562" s="94"/>
    </row>
    <row r="563" spans="8:10" x14ac:dyDescent="0.3">
      <c r="H563" s="94"/>
      <c r="I563" s="94"/>
      <c r="J563" s="94"/>
    </row>
    <row r="564" spans="8:10" x14ac:dyDescent="0.3">
      <c r="H564" s="94"/>
      <c r="I564" s="94"/>
      <c r="J564" s="94"/>
    </row>
    <row r="565" spans="8:10" x14ac:dyDescent="0.3">
      <c r="H565" s="94"/>
      <c r="I565" s="94"/>
      <c r="J565" s="94"/>
    </row>
    <row r="566" spans="8:10" x14ac:dyDescent="0.3">
      <c r="H566" s="94"/>
      <c r="I566" s="94"/>
      <c r="J566" s="94"/>
    </row>
    <row r="567" spans="8:10" x14ac:dyDescent="0.3">
      <c r="H567" s="94"/>
      <c r="I567" s="94"/>
      <c r="J567" s="94"/>
    </row>
    <row r="568" spans="8:10" x14ac:dyDescent="0.3">
      <c r="H568" s="94"/>
      <c r="I568" s="94"/>
      <c r="J568" s="94"/>
    </row>
    <row r="569" spans="8:10" x14ac:dyDescent="0.3">
      <c r="H569" s="94"/>
      <c r="I569" s="94"/>
      <c r="J569" s="94"/>
    </row>
    <row r="570" spans="8:10" x14ac:dyDescent="0.3">
      <c r="H570" s="94"/>
      <c r="I570" s="94"/>
      <c r="J570" s="94"/>
    </row>
    <row r="571" spans="8:10" x14ac:dyDescent="0.3">
      <c r="H571" s="94"/>
      <c r="I571" s="94"/>
      <c r="J571" s="94"/>
    </row>
    <row r="572" spans="8:10" x14ac:dyDescent="0.3">
      <c r="H572" s="94"/>
      <c r="I572" s="94"/>
      <c r="J572" s="94"/>
    </row>
    <row r="573" spans="8:10" x14ac:dyDescent="0.3">
      <c r="H573" s="94"/>
      <c r="I573" s="94"/>
      <c r="J573" s="94"/>
    </row>
    <row r="574" spans="8:10" x14ac:dyDescent="0.3">
      <c r="H574" s="94"/>
      <c r="I574" s="94"/>
      <c r="J574" s="94"/>
    </row>
    <row r="575" spans="8:10" x14ac:dyDescent="0.3">
      <c r="H575" s="94"/>
      <c r="I575" s="94"/>
      <c r="J575" s="94"/>
    </row>
    <row r="576" spans="8:10" x14ac:dyDescent="0.3">
      <c r="H576" s="94"/>
      <c r="I576" s="94"/>
      <c r="J576" s="94"/>
    </row>
    <row r="577" spans="8:10" x14ac:dyDescent="0.3">
      <c r="H577" s="94"/>
      <c r="I577" s="94"/>
      <c r="J577" s="94"/>
    </row>
    <row r="578" spans="8:10" x14ac:dyDescent="0.3">
      <c r="H578" s="94"/>
      <c r="I578" s="94"/>
      <c r="J578" s="94"/>
    </row>
    <row r="579" spans="8:10" x14ac:dyDescent="0.3">
      <c r="H579" s="94"/>
      <c r="I579" s="94"/>
      <c r="J579" s="94"/>
    </row>
    <row r="580" spans="8:10" x14ac:dyDescent="0.3">
      <c r="H580" s="94"/>
      <c r="I580" s="94"/>
      <c r="J580" s="94"/>
    </row>
    <row r="581" spans="8:10" x14ac:dyDescent="0.3">
      <c r="H581" s="94"/>
      <c r="I581" s="94"/>
      <c r="J581" s="94"/>
    </row>
    <row r="582" spans="8:10" x14ac:dyDescent="0.3">
      <c r="H582" s="94"/>
      <c r="I582" s="94"/>
      <c r="J582" s="94"/>
    </row>
    <row r="583" spans="8:10" x14ac:dyDescent="0.3">
      <c r="H583" s="94"/>
      <c r="I583" s="94"/>
      <c r="J583" s="94"/>
    </row>
    <row r="584" spans="8:10" x14ac:dyDescent="0.3">
      <c r="H584" s="94"/>
      <c r="I584" s="94"/>
      <c r="J584" s="94"/>
    </row>
    <row r="585" spans="8:10" x14ac:dyDescent="0.3">
      <c r="H585" s="94"/>
      <c r="I585" s="94"/>
      <c r="J585" s="94"/>
    </row>
    <row r="586" spans="8:10" x14ac:dyDescent="0.3">
      <c r="H586" s="94"/>
      <c r="I586" s="94"/>
      <c r="J586" s="94"/>
    </row>
    <row r="587" spans="8:10" x14ac:dyDescent="0.3">
      <c r="H587" s="94"/>
      <c r="I587" s="94"/>
      <c r="J587" s="94"/>
    </row>
    <row r="588" spans="8:10" x14ac:dyDescent="0.3">
      <c r="H588" s="94"/>
      <c r="I588" s="94"/>
      <c r="J588" s="94"/>
    </row>
    <row r="589" spans="8:10" x14ac:dyDescent="0.3">
      <c r="H589" s="94"/>
      <c r="I589" s="94"/>
      <c r="J589" s="94"/>
    </row>
    <row r="590" spans="8:10" x14ac:dyDescent="0.3">
      <c r="H590" s="94"/>
      <c r="I590" s="94"/>
      <c r="J590" s="94"/>
    </row>
    <row r="591" spans="8:10" x14ac:dyDescent="0.3">
      <c r="H591" s="94"/>
      <c r="I591" s="94"/>
      <c r="J591" s="94"/>
    </row>
    <row r="592" spans="8:10" x14ac:dyDescent="0.3">
      <c r="H592" s="94"/>
      <c r="I592" s="94"/>
      <c r="J592" s="94"/>
    </row>
    <row r="593" spans="8:10" x14ac:dyDescent="0.3">
      <c r="H593" s="94"/>
      <c r="I593" s="94"/>
      <c r="J593" s="94"/>
    </row>
    <row r="594" spans="8:10" x14ac:dyDescent="0.3">
      <c r="H594" s="94"/>
      <c r="I594" s="94"/>
      <c r="J594" s="94"/>
    </row>
    <row r="595" spans="8:10" x14ac:dyDescent="0.3">
      <c r="H595" s="94"/>
      <c r="I595" s="94"/>
      <c r="J595" s="94"/>
    </row>
    <row r="596" spans="8:10" x14ac:dyDescent="0.3">
      <c r="H596" s="94"/>
      <c r="I596" s="94"/>
      <c r="J596" s="94"/>
    </row>
    <row r="597" spans="8:10" x14ac:dyDescent="0.3">
      <c r="H597" s="94"/>
      <c r="I597" s="94"/>
      <c r="J597" s="94"/>
    </row>
    <row r="598" spans="8:10" x14ac:dyDescent="0.3">
      <c r="H598" s="94"/>
      <c r="I598" s="94"/>
      <c r="J598" s="94"/>
    </row>
    <row r="599" spans="8:10" x14ac:dyDescent="0.3">
      <c r="H599" s="94"/>
      <c r="I599" s="94"/>
      <c r="J599" s="94"/>
    </row>
    <row r="600" spans="8:10" x14ac:dyDescent="0.3">
      <c r="H600" s="94"/>
      <c r="I600" s="94"/>
      <c r="J600" s="94"/>
    </row>
    <row r="601" spans="8:10" x14ac:dyDescent="0.3">
      <c r="H601" s="94"/>
      <c r="I601" s="94"/>
      <c r="J601" s="94"/>
    </row>
    <row r="602" spans="8:10" x14ac:dyDescent="0.3">
      <c r="H602" s="94"/>
      <c r="I602" s="94"/>
      <c r="J602" s="94"/>
    </row>
    <row r="603" spans="8:10" x14ac:dyDescent="0.3">
      <c r="H603" s="94"/>
      <c r="I603" s="94"/>
      <c r="J603" s="94"/>
    </row>
    <row r="604" spans="8:10" x14ac:dyDescent="0.3">
      <c r="H604" s="94"/>
      <c r="I604" s="94"/>
      <c r="J604" s="94"/>
    </row>
    <row r="605" spans="8:10" x14ac:dyDescent="0.3">
      <c r="H605" s="94"/>
      <c r="I605" s="94"/>
      <c r="J605" s="94"/>
    </row>
    <row r="606" spans="8:10" x14ac:dyDescent="0.3">
      <c r="H606" s="94"/>
      <c r="I606" s="94"/>
      <c r="J606" s="94"/>
    </row>
    <row r="607" spans="8:10" x14ac:dyDescent="0.3">
      <c r="H607" s="94"/>
      <c r="I607" s="94"/>
      <c r="J607" s="94"/>
    </row>
    <row r="608" spans="8:10" x14ac:dyDescent="0.3">
      <c r="H608" s="94"/>
      <c r="I608" s="94"/>
      <c r="J608" s="94"/>
    </row>
    <row r="609" spans="8:10" x14ac:dyDescent="0.3">
      <c r="H609" s="94"/>
      <c r="I609" s="94"/>
      <c r="J609" s="94"/>
    </row>
    <row r="610" spans="8:10" x14ac:dyDescent="0.3">
      <c r="H610" s="94"/>
      <c r="I610" s="94"/>
      <c r="J610" s="94"/>
    </row>
    <row r="611" spans="8:10" x14ac:dyDescent="0.3">
      <c r="H611" s="94"/>
      <c r="I611" s="94"/>
      <c r="J611" s="94"/>
    </row>
    <row r="612" spans="8:10" x14ac:dyDescent="0.3">
      <c r="H612" s="94"/>
      <c r="I612" s="94"/>
      <c r="J612" s="94"/>
    </row>
    <row r="613" spans="8:10" x14ac:dyDescent="0.3">
      <c r="H613" s="94"/>
      <c r="I613" s="94"/>
      <c r="J613" s="94"/>
    </row>
    <row r="614" spans="8:10" x14ac:dyDescent="0.3">
      <c r="H614" s="94"/>
      <c r="I614" s="94"/>
      <c r="J614" s="94"/>
    </row>
    <row r="615" spans="8:10" x14ac:dyDescent="0.3">
      <c r="H615" s="94"/>
      <c r="I615" s="94"/>
      <c r="J615" s="94"/>
    </row>
    <row r="616" spans="8:10" x14ac:dyDescent="0.3">
      <c r="H616" s="94"/>
      <c r="I616" s="94"/>
      <c r="J616" s="94"/>
    </row>
    <row r="617" spans="8:10" x14ac:dyDescent="0.3">
      <c r="H617" s="94"/>
      <c r="I617" s="94"/>
      <c r="J617" s="94"/>
    </row>
    <row r="618" spans="8:10" x14ac:dyDescent="0.3">
      <c r="H618" s="94"/>
      <c r="I618" s="94"/>
      <c r="J618" s="94"/>
    </row>
    <row r="619" spans="8:10" x14ac:dyDescent="0.3">
      <c r="H619" s="94"/>
      <c r="I619" s="94"/>
      <c r="J619" s="94"/>
    </row>
    <row r="620" spans="8:10" x14ac:dyDescent="0.3">
      <c r="H620" s="94"/>
      <c r="I620" s="94"/>
      <c r="J620" s="94"/>
    </row>
    <row r="621" spans="8:10" x14ac:dyDescent="0.3">
      <c r="H621" s="94"/>
      <c r="I621" s="94"/>
      <c r="J621" s="94"/>
    </row>
    <row r="622" spans="8:10" x14ac:dyDescent="0.3">
      <c r="H622" s="94"/>
      <c r="I622" s="94"/>
      <c r="J622" s="94"/>
    </row>
    <row r="623" spans="8:10" x14ac:dyDescent="0.3">
      <c r="H623" s="94"/>
      <c r="I623" s="94"/>
      <c r="J623" s="94"/>
    </row>
    <row r="624" spans="8:10" x14ac:dyDescent="0.3">
      <c r="H624" s="94"/>
      <c r="I624" s="94"/>
      <c r="J624" s="94"/>
    </row>
    <row r="625" spans="8:10" x14ac:dyDescent="0.3">
      <c r="H625" s="94"/>
      <c r="I625" s="94"/>
      <c r="J625" s="94"/>
    </row>
    <row r="626" spans="8:10" x14ac:dyDescent="0.3">
      <c r="H626" s="94"/>
      <c r="I626" s="94"/>
      <c r="J626" s="94"/>
    </row>
    <row r="627" spans="8:10" x14ac:dyDescent="0.3">
      <c r="H627" s="94"/>
      <c r="I627" s="94"/>
      <c r="J627" s="94"/>
    </row>
    <row r="628" spans="8:10" x14ac:dyDescent="0.3">
      <c r="H628" s="94"/>
      <c r="I628" s="94"/>
      <c r="J628" s="94"/>
    </row>
    <row r="629" spans="8:10" x14ac:dyDescent="0.3">
      <c r="H629" s="94"/>
      <c r="I629" s="94"/>
      <c r="J629" s="94"/>
    </row>
    <row r="630" spans="8:10" x14ac:dyDescent="0.3">
      <c r="H630" s="94"/>
      <c r="I630" s="94"/>
      <c r="J630" s="94"/>
    </row>
    <row r="631" spans="8:10" x14ac:dyDescent="0.3">
      <c r="H631" s="94"/>
      <c r="I631" s="94"/>
      <c r="J631" s="94"/>
    </row>
    <row r="632" spans="8:10" x14ac:dyDescent="0.3">
      <c r="H632" s="94"/>
      <c r="I632" s="94"/>
      <c r="J632" s="94"/>
    </row>
    <row r="633" spans="8:10" x14ac:dyDescent="0.3">
      <c r="H633" s="94"/>
      <c r="I633" s="94"/>
      <c r="J633" s="94"/>
    </row>
    <row r="634" spans="8:10" x14ac:dyDescent="0.3">
      <c r="H634" s="94"/>
      <c r="I634" s="94"/>
      <c r="J634" s="94"/>
    </row>
    <row r="635" spans="8:10" x14ac:dyDescent="0.3">
      <c r="H635" s="94"/>
      <c r="I635" s="94"/>
      <c r="J635" s="94"/>
    </row>
    <row r="636" spans="8:10" x14ac:dyDescent="0.3">
      <c r="H636" s="94"/>
      <c r="I636" s="94"/>
      <c r="J636" s="94"/>
    </row>
    <row r="637" spans="8:10" x14ac:dyDescent="0.3">
      <c r="H637" s="94"/>
      <c r="I637" s="94"/>
      <c r="J637" s="94"/>
    </row>
    <row r="638" spans="8:10" x14ac:dyDescent="0.3">
      <c r="H638" s="94"/>
      <c r="I638" s="94"/>
      <c r="J638" s="94"/>
    </row>
    <row r="639" spans="8:10" x14ac:dyDescent="0.3">
      <c r="H639" s="94"/>
      <c r="I639" s="94"/>
      <c r="J639" s="94"/>
    </row>
    <row r="640" spans="8:10" x14ac:dyDescent="0.3">
      <c r="H640" s="94"/>
      <c r="I640" s="94"/>
      <c r="J640" s="94"/>
    </row>
    <row r="641" spans="8:10" x14ac:dyDescent="0.3">
      <c r="H641" s="94"/>
      <c r="I641" s="94"/>
      <c r="J641" s="94"/>
    </row>
    <row r="642" spans="8:10" x14ac:dyDescent="0.3">
      <c r="H642" s="94"/>
      <c r="I642" s="94"/>
      <c r="J642" s="94"/>
    </row>
    <row r="643" spans="8:10" x14ac:dyDescent="0.3">
      <c r="H643" s="94"/>
      <c r="I643" s="94"/>
      <c r="J643" s="94"/>
    </row>
    <row r="644" spans="8:10" x14ac:dyDescent="0.3">
      <c r="H644" s="94"/>
      <c r="I644" s="94"/>
      <c r="J644" s="94"/>
    </row>
    <row r="645" spans="8:10" x14ac:dyDescent="0.3">
      <c r="H645" s="94"/>
      <c r="I645" s="94"/>
      <c r="J645" s="94"/>
    </row>
    <row r="646" spans="8:10" x14ac:dyDescent="0.3">
      <c r="H646" s="94"/>
      <c r="I646" s="94"/>
      <c r="J646" s="94"/>
    </row>
    <row r="647" spans="8:10" x14ac:dyDescent="0.3">
      <c r="H647" s="94"/>
      <c r="I647" s="94"/>
      <c r="J647" s="94"/>
    </row>
    <row r="648" spans="8:10" x14ac:dyDescent="0.3">
      <c r="H648" s="94"/>
      <c r="I648" s="94"/>
      <c r="J648" s="94"/>
    </row>
    <row r="649" spans="8:10" x14ac:dyDescent="0.3">
      <c r="H649" s="94"/>
      <c r="I649" s="94"/>
      <c r="J649" s="94"/>
    </row>
    <row r="650" spans="8:10" x14ac:dyDescent="0.3">
      <c r="H650" s="94"/>
      <c r="I650" s="94"/>
      <c r="J650" s="94"/>
    </row>
    <row r="651" spans="8:10" x14ac:dyDescent="0.3">
      <c r="H651" s="94"/>
      <c r="I651" s="94"/>
      <c r="J651" s="94"/>
    </row>
    <row r="652" spans="8:10" x14ac:dyDescent="0.3">
      <c r="H652" s="94"/>
      <c r="I652" s="94"/>
      <c r="J652" s="94"/>
    </row>
    <row r="653" spans="8:10" x14ac:dyDescent="0.3">
      <c r="H653" s="94"/>
      <c r="I653" s="94"/>
      <c r="J653" s="94"/>
    </row>
    <row r="654" spans="8:10" x14ac:dyDescent="0.3">
      <c r="H654" s="94"/>
      <c r="I654" s="94"/>
      <c r="J654" s="94"/>
    </row>
    <row r="655" spans="8:10" x14ac:dyDescent="0.3">
      <c r="H655" s="94"/>
      <c r="I655" s="94"/>
      <c r="J655" s="94"/>
    </row>
    <row r="656" spans="8:10" x14ac:dyDescent="0.3">
      <c r="H656" s="94"/>
      <c r="I656" s="94"/>
      <c r="J656" s="94"/>
    </row>
    <row r="657" spans="8:10" x14ac:dyDescent="0.3">
      <c r="H657" s="94"/>
      <c r="I657" s="94"/>
      <c r="J657" s="94"/>
    </row>
    <row r="658" spans="8:10" x14ac:dyDescent="0.3">
      <c r="H658" s="94"/>
      <c r="I658" s="94"/>
      <c r="J658" s="94"/>
    </row>
    <row r="659" spans="8:10" x14ac:dyDescent="0.3">
      <c r="H659" s="94"/>
      <c r="I659" s="94"/>
      <c r="J659" s="94"/>
    </row>
    <row r="660" spans="8:10" x14ac:dyDescent="0.3">
      <c r="H660" s="94"/>
      <c r="I660" s="94"/>
      <c r="J660" s="94"/>
    </row>
    <row r="661" spans="8:10" x14ac:dyDescent="0.3">
      <c r="H661" s="94"/>
      <c r="I661" s="94"/>
      <c r="J661" s="94"/>
    </row>
    <row r="662" spans="8:10" x14ac:dyDescent="0.3">
      <c r="H662" s="94"/>
      <c r="I662" s="94"/>
      <c r="J662" s="94"/>
    </row>
    <row r="663" spans="8:10" x14ac:dyDescent="0.3">
      <c r="H663" s="94"/>
      <c r="I663" s="94"/>
      <c r="J663" s="94"/>
    </row>
    <row r="664" spans="8:10" x14ac:dyDescent="0.3">
      <c r="H664" s="94"/>
      <c r="I664" s="94"/>
      <c r="J664" s="94"/>
    </row>
    <row r="665" spans="8:10" x14ac:dyDescent="0.3">
      <c r="H665" s="94"/>
      <c r="I665" s="94"/>
      <c r="J665" s="94"/>
    </row>
    <row r="666" spans="8:10" x14ac:dyDescent="0.3">
      <c r="H666" s="94"/>
      <c r="I666" s="94"/>
      <c r="J666" s="94"/>
    </row>
    <row r="667" spans="8:10" x14ac:dyDescent="0.3">
      <c r="H667" s="94"/>
      <c r="I667" s="94"/>
      <c r="J667" s="94"/>
    </row>
    <row r="668" spans="8:10" x14ac:dyDescent="0.3">
      <c r="H668" s="94"/>
      <c r="I668" s="94"/>
      <c r="J668" s="94"/>
    </row>
    <row r="669" spans="8:10" x14ac:dyDescent="0.3">
      <c r="H669" s="94"/>
      <c r="I669" s="94"/>
      <c r="J669" s="94"/>
    </row>
    <row r="670" spans="8:10" x14ac:dyDescent="0.3">
      <c r="H670" s="94"/>
      <c r="I670" s="94"/>
      <c r="J670" s="94"/>
    </row>
    <row r="671" spans="8:10" x14ac:dyDescent="0.3">
      <c r="H671" s="94"/>
      <c r="I671" s="94"/>
      <c r="J671" s="94"/>
    </row>
    <row r="672" spans="8:10" x14ac:dyDescent="0.3">
      <c r="H672" s="94"/>
      <c r="I672" s="94"/>
      <c r="J672" s="94"/>
    </row>
    <row r="673" spans="8:10" x14ac:dyDescent="0.3">
      <c r="H673" s="94"/>
      <c r="I673" s="94"/>
      <c r="J673" s="94"/>
    </row>
    <row r="674" spans="8:10" x14ac:dyDescent="0.3">
      <c r="H674" s="94"/>
      <c r="I674" s="94"/>
      <c r="J674" s="94"/>
    </row>
    <row r="675" spans="8:10" x14ac:dyDescent="0.3">
      <c r="H675" s="94"/>
      <c r="I675" s="94"/>
      <c r="J675" s="94"/>
    </row>
    <row r="676" spans="8:10" x14ac:dyDescent="0.3">
      <c r="H676" s="94"/>
      <c r="I676" s="94"/>
      <c r="J676" s="94"/>
    </row>
    <row r="677" spans="8:10" x14ac:dyDescent="0.3">
      <c r="H677" s="94"/>
      <c r="I677" s="94"/>
      <c r="J677" s="94"/>
    </row>
    <row r="678" spans="8:10" x14ac:dyDescent="0.3">
      <c r="H678" s="94"/>
      <c r="I678" s="94"/>
      <c r="J678" s="94"/>
    </row>
    <row r="679" spans="8:10" x14ac:dyDescent="0.3">
      <c r="H679" s="94"/>
      <c r="I679" s="94"/>
      <c r="J679" s="94"/>
    </row>
    <row r="680" spans="8:10" x14ac:dyDescent="0.3">
      <c r="H680" s="94"/>
      <c r="I680" s="94"/>
      <c r="J680" s="94"/>
    </row>
    <row r="681" spans="8:10" x14ac:dyDescent="0.3">
      <c r="H681" s="94"/>
      <c r="I681" s="94"/>
      <c r="J681" s="94"/>
    </row>
    <row r="682" spans="8:10" x14ac:dyDescent="0.3">
      <c r="H682" s="94"/>
      <c r="I682" s="94"/>
      <c r="J682" s="94"/>
    </row>
    <row r="683" spans="8:10" x14ac:dyDescent="0.3">
      <c r="H683" s="94"/>
      <c r="I683" s="94"/>
      <c r="J683" s="94"/>
    </row>
    <row r="684" spans="8:10" x14ac:dyDescent="0.3">
      <c r="H684" s="94"/>
      <c r="I684" s="94"/>
      <c r="J684" s="94"/>
    </row>
    <row r="685" spans="8:10" x14ac:dyDescent="0.3">
      <c r="H685" s="94"/>
      <c r="I685" s="94"/>
      <c r="J685" s="94"/>
    </row>
    <row r="686" spans="8:10" x14ac:dyDescent="0.3">
      <c r="H686" s="94"/>
      <c r="I686" s="94"/>
      <c r="J686" s="94"/>
    </row>
    <row r="687" spans="8:10" x14ac:dyDescent="0.3">
      <c r="H687" s="94"/>
      <c r="I687" s="94"/>
      <c r="J687" s="94"/>
    </row>
    <row r="688" spans="8:10" x14ac:dyDescent="0.3">
      <c r="H688" s="94"/>
      <c r="I688" s="94"/>
      <c r="J688" s="94"/>
    </row>
    <row r="689" spans="8:10" x14ac:dyDescent="0.3">
      <c r="H689" s="94"/>
      <c r="I689" s="94"/>
      <c r="J689" s="94"/>
    </row>
    <row r="690" spans="8:10" x14ac:dyDescent="0.3">
      <c r="H690" s="94"/>
      <c r="I690" s="94"/>
      <c r="J690" s="94"/>
    </row>
    <row r="691" spans="8:10" x14ac:dyDescent="0.3">
      <c r="H691" s="94"/>
      <c r="I691" s="94"/>
      <c r="J691" s="94"/>
    </row>
    <row r="692" spans="8:10" x14ac:dyDescent="0.3">
      <c r="H692" s="94"/>
      <c r="I692" s="94"/>
      <c r="J692" s="94"/>
    </row>
    <row r="693" spans="8:10" x14ac:dyDescent="0.3">
      <c r="H693" s="94"/>
      <c r="I693" s="94"/>
      <c r="J693" s="94"/>
    </row>
    <row r="694" spans="8:10" x14ac:dyDescent="0.3">
      <c r="H694" s="94"/>
      <c r="I694" s="94"/>
      <c r="J694" s="94"/>
    </row>
    <row r="695" spans="8:10" x14ac:dyDescent="0.3">
      <c r="H695" s="94"/>
      <c r="I695" s="94"/>
      <c r="J695" s="94"/>
    </row>
    <row r="696" spans="8:10" x14ac:dyDescent="0.3">
      <c r="H696" s="94"/>
      <c r="I696" s="94"/>
      <c r="J696" s="94"/>
    </row>
    <row r="697" spans="8:10" x14ac:dyDescent="0.3">
      <c r="H697" s="94"/>
      <c r="I697" s="94"/>
      <c r="J697" s="94"/>
    </row>
    <row r="698" spans="8:10" x14ac:dyDescent="0.3">
      <c r="H698" s="94"/>
      <c r="I698" s="94"/>
      <c r="J698" s="94"/>
    </row>
    <row r="699" spans="8:10" x14ac:dyDescent="0.3">
      <c r="H699" s="94"/>
      <c r="I699" s="94"/>
      <c r="J699" s="94"/>
    </row>
    <row r="700" spans="8:10" x14ac:dyDescent="0.3">
      <c r="H700" s="94"/>
      <c r="I700" s="94"/>
      <c r="J700" s="94"/>
    </row>
    <row r="701" spans="8:10" x14ac:dyDescent="0.3">
      <c r="H701" s="94"/>
      <c r="I701" s="94"/>
      <c r="J701" s="94"/>
    </row>
    <row r="702" spans="8:10" x14ac:dyDescent="0.3">
      <c r="H702" s="94"/>
      <c r="I702" s="94"/>
      <c r="J702" s="94"/>
    </row>
    <row r="703" spans="8:10" x14ac:dyDescent="0.3">
      <c r="H703" s="94"/>
      <c r="I703" s="94"/>
      <c r="J703" s="94"/>
    </row>
    <row r="704" spans="8:10" x14ac:dyDescent="0.3">
      <c r="H704" s="94"/>
      <c r="I704" s="94"/>
      <c r="J704" s="94"/>
    </row>
    <row r="705" spans="8:10" x14ac:dyDescent="0.3">
      <c r="H705" s="94"/>
      <c r="I705" s="94"/>
      <c r="J705" s="94"/>
    </row>
    <row r="706" spans="8:10" x14ac:dyDescent="0.3">
      <c r="H706" s="94"/>
      <c r="I706" s="94"/>
      <c r="J706" s="94"/>
    </row>
    <row r="707" spans="8:10" x14ac:dyDescent="0.3">
      <c r="H707" s="94"/>
      <c r="I707" s="94"/>
      <c r="J707" s="94"/>
    </row>
    <row r="708" spans="8:10" x14ac:dyDescent="0.3">
      <c r="H708" s="94"/>
      <c r="I708" s="94"/>
      <c r="J708" s="94"/>
    </row>
    <row r="709" spans="8:10" x14ac:dyDescent="0.3">
      <c r="H709" s="94"/>
      <c r="I709" s="94"/>
      <c r="J709" s="94"/>
    </row>
    <row r="710" spans="8:10" x14ac:dyDescent="0.3">
      <c r="H710" s="94"/>
      <c r="I710" s="94"/>
      <c r="J710" s="94"/>
    </row>
    <row r="711" spans="8:10" x14ac:dyDescent="0.3">
      <c r="H711" s="94"/>
      <c r="I711" s="94"/>
      <c r="J711" s="94"/>
    </row>
    <row r="712" spans="8:10" x14ac:dyDescent="0.3">
      <c r="H712" s="94"/>
      <c r="I712" s="94"/>
      <c r="J712" s="94"/>
    </row>
    <row r="713" spans="8:10" x14ac:dyDescent="0.3">
      <c r="H713" s="94"/>
      <c r="I713" s="94"/>
      <c r="J713" s="94"/>
    </row>
    <row r="714" spans="8:10" x14ac:dyDescent="0.3">
      <c r="H714" s="94"/>
      <c r="I714" s="94"/>
      <c r="J714" s="94"/>
    </row>
    <row r="715" spans="8:10" x14ac:dyDescent="0.3">
      <c r="H715" s="94"/>
      <c r="I715" s="94"/>
      <c r="J715" s="94"/>
    </row>
    <row r="716" spans="8:10" x14ac:dyDescent="0.3">
      <c r="H716" s="94"/>
      <c r="I716" s="94"/>
      <c r="J716" s="94"/>
    </row>
    <row r="717" spans="8:10" x14ac:dyDescent="0.3">
      <c r="H717" s="94"/>
      <c r="I717" s="94"/>
      <c r="J717" s="94"/>
    </row>
    <row r="718" spans="8:10" x14ac:dyDescent="0.3">
      <c r="H718" s="94"/>
      <c r="I718" s="94"/>
      <c r="J718" s="94"/>
    </row>
    <row r="719" spans="8:10" x14ac:dyDescent="0.3">
      <c r="H719" s="94"/>
      <c r="I719" s="94"/>
      <c r="J719" s="94"/>
    </row>
    <row r="720" spans="8:10" x14ac:dyDescent="0.3">
      <c r="H720" s="94"/>
      <c r="I720" s="94"/>
      <c r="J720" s="94"/>
    </row>
    <row r="721" spans="8:10" x14ac:dyDescent="0.3">
      <c r="H721" s="94"/>
      <c r="I721" s="94"/>
      <c r="J721" s="94"/>
    </row>
    <row r="722" spans="8:10" x14ac:dyDescent="0.3">
      <c r="H722" s="94"/>
      <c r="I722" s="94"/>
      <c r="J722" s="94"/>
    </row>
    <row r="723" spans="8:10" x14ac:dyDescent="0.3">
      <c r="H723" s="94"/>
      <c r="I723" s="94"/>
      <c r="J723" s="94"/>
    </row>
    <row r="724" spans="8:10" x14ac:dyDescent="0.3">
      <c r="H724" s="94"/>
      <c r="I724" s="94"/>
      <c r="J724" s="94"/>
    </row>
    <row r="725" spans="8:10" x14ac:dyDescent="0.3">
      <c r="H725" s="94"/>
      <c r="I725" s="94"/>
      <c r="J725" s="94"/>
    </row>
    <row r="726" spans="8:10" x14ac:dyDescent="0.3">
      <c r="H726" s="94"/>
      <c r="I726" s="94"/>
      <c r="J726" s="94"/>
    </row>
    <row r="727" spans="8:10" x14ac:dyDescent="0.3">
      <c r="H727" s="94"/>
      <c r="I727" s="94"/>
      <c r="J727" s="94"/>
    </row>
    <row r="728" spans="8:10" x14ac:dyDescent="0.3">
      <c r="H728" s="94"/>
      <c r="I728" s="94"/>
      <c r="J728" s="94"/>
    </row>
    <row r="729" spans="8:10" x14ac:dyDescent="0.3">
      <c r="H729" s="94"/>
      <c r="I729" s="94"/>
      <c r="J729" s="94"/>
    </row>
    <row r="730" spans="8:10" x14ac:dyDescent="0.3">
      <c r="H730" s="94"/>
      <c r="I730" s="94"/>
      <c r="J730" s="94"/>
    </row>
    <row r="731" spans="8:10" x14ac:dyDescent="0.3">
      <c r="H731" s="94"/>
      <c r="I731" s="94"/>
      <c r="J731" s="94"/>
    </row>
    <row r="732" spans="8:10" x14ac:dyDescent="0.3">
      <c r="H732" s="94"/>
      <c r="I732" s="94"/>
      <c r="J732" s="94"/>
    </row>
    <row r="733" spans="8:10" x14ac:dyDescent="0.3">
      <c r="H733" s="94"/>
      <c r="I733" s="94"/>
      <c r="J733" s="94"/>
    </row>
    <row r="734" spans="8:10" x14ac:dyDescent="0.3">
      <c r="H734" s="94"/>
      <c r="I734" s="94"/>
      <c r="J734" s="94"/>
    </row>
    <row r="735" spans="8:10" x14ac:dyDescent="0.3">
      <c r="H735" s="94"/>
      <c r="I735" s="94"/>
      <c r="J735" s="94"/>
    </row>
    <row r="736" spans="8:10" x14ac:dyDescent="0.3">
      <c r="H736" s="94"/>
      <c r="I736" s="94"/>
      <c r="J736" s="94"/>
    </row>
    <row r="737" spans="8:10" x14ac:dyDescent="0.3">
      <c r="H737" s="94"/>
      <c r="I737" s="94"/>
      <c r="J737" s="94"/>
    </row>
    <row r="738" spans="8:10" x14ac:dyDescent="0.3">
      <c r="H738" s="94"/>
      <c r="I738" s="94"/>
      <c r="J738" s="94"/>
    </row>
    <row r="739" spans="8:10" x14ac:dyDescent="0.3">
      <c r="H739" s="94"/>
      <c r="I739" s="94"/>
      <c r="J739" s="94"/>
    </row>
    <row r="740" spans="8:10" x14ac:dyDescent="0.3">
      <c r="H740" s="94"/>
      <c r="I740" s="94"/>
      <c r="J740" s="94"/>
    </row>
    <row r="741" spans="8:10" x14ac:dyDescent="0.3">
      <c r="H741" s="94"/>
      <c r="I741" s="94"/>
      <c r="J741" s="94"/>
    </row>
    <row r="742" spans="8:10" x14ac:dyDescent="0.3">
      <c r="H742" s="94"/>
      <c r="I742" s="94"/>
      <c r="J742" s="94"/>
    </row>
    <row r="743" spans="8:10" x14ac:dyDescent="0.3">
      <c r="H743" s="94"/>
      <c r="I743" s="94"/>
      <c r="J743" s="94"/>
    </row>
    <row r="744" spans="8:10" x14ac:dyDescent="0.3">
      <c r="H744" s="94"/>
      <c r="I744" s="94"/>
      <c r="J744" s="94"/>
    </row>
    <row r="745" spans="8:10" x14ac:dyDescent="0.3">
      <c r="H745" s="94"/>
      <c r="I745" s="94"/>
      <c r="J745" s="94"/>
    </row>
    <row r="746" spans="8:10" x14ac:dyDescent="0.3">
      <c r="H746" s="94"/>
      <c r="I746" s="94"/>
      <c r="J746" s="94"/>
    </row>
    <row r="747" spans="8:10" x14ac:dyDescent="0.3">
      <c r="H747" s="94"/>
      <c r="I747" s="94"/>
      <c r="J747" s="94"/>
    </row>
    <row r="748" spans="8:10" x14ac:dyDescent="0.3">
      <c r="H748" s="94"/>
      <c r="I748" s="94"/>
      <c r="J748" s="94"/>
    </row>
    <row r="749" spans="8:10" x14ac:dyDescent="0.3">
      <c r="H749" s="94"/>
      <c r="I749" s="94"/>
      <c r="J749" s="94"/>
    </row>
    <row r="750" spans="8:10" x14ac:dyDescent="0.3">
      <c r="H750" s="94"/>
      <c r="I750" s="94"/>
      <c r="J750" s="94"/>
    </row>
    <row r="751" spans="8:10" x14ac:dyDescent="0.3">
      <c r="H751" s="94"/>
      <c r="I751" s="94"/>
      <c r="J751" s="94"/>
    </row>
    <row r="752" spans="8:10" x14ac:dyDescent="0.3">
      <c r="H752" s="94"/>
      <c r="I752" s="94"/>
      <c r="J752" s="94"/>
    </row>
    <row r="753" spans="8:10" x14ac:dyDescent="0.3">
      <c r="H753" s="94"/>
      <c r="I753" s="94"/>
      <c r="J753" s="94"/>
    </row>
    <row r="754" spans="8:10" x14ac:dyDescent="0.3">
      <c r="H754" s="94"/>
      <c r="I754" s="94"/>
      <c r="J754" s="94"/>
    </row>
    <row r="755" spans="8:10" x14ac:dyDescent="0.3">
      <c r="H755" s="94"/>
      <c r="I755" s="94"/>
      <c r="J755" s="94"/>
    </row>
    <row r="756" spans="8:10" x14ac:dyDescent="0.3">
      <c r="H756" s="94"/>
      <c r="I756" s="94"/>
      <c r="J756" s="94"/>
    </row>
    <row r="757" spans="8:10" x14ac:dyDescent="0.3">
      <c r="H757" s="94"/>
      <c r="I757" s="94"/>
      <c r="J757" s="94"/>
    </row>
    <row r="758" spans="8:10" x14ac:dyDescent="0.3">
      <c r="H758" s="94"/>
      <c r="I758" s="94"/>
      <c r="J758" s="94"/>
    </row>
    <row r="759" spans="8:10" x14ac:dyDescent="0.3">
      <c r="H759" s="94"/>
      <c r="I759" s="94"/>
      <c r="J759" s="94"/>
    </row>
    <row r="760" spans="8:10" x14ac:dyDescent="0.3">
      <c r="H760" s="94"/>
      <c r="I760" s="94"/>
      <c r="J760" s="94"/>
    </row>
    <row r="761" spans="8:10" x14ac:dyDescent="0.3">
      <c r="H761" s="94"/>
      <c r="I761" s="94"/>
      <c r="J761" s="94"/>
    </row>
    <row r="762" spans="8:10" x14ac:dyDescent="0.3">
      <c r="H762" s="94"/>
      <c r="I762" s="94"/>
      <c r="J762" s="94"/>
    </row>
    <row r="763" spans="8:10" x14ac:dyDescent="0.3">
      <c r="H763" s="94"/>
      <c r="I763" s="94"/>
      <c r="J763" s="94"/>
    </row>
    <row r="764" spans="8:10" x14ac:dyDescent="0.3">
      <c r="H764" s="94"/>
      <c r="I764" s="94"/>
      <c r="J764" s="94"/>
    </row>
    <row r="765" spans="8:10" x14ac:dyDescent="0.3">
      <c r="H765" s="94"/>
      <c r="I765" s="94"/>
      <c r="J765" s="94"/>
    </row>
    <row r="766" spans="8:10" x14ac:dyDescent="0.3">
      <c r="H766" s="94"/>
      <c r="I766" s="94"/>
      <c r="J766" s="94"/>
    </row>
    <row r="767" spans="8:10" x14ac:dyDescent="0.3">
      <c r="H767" s="94"/>
      <c r="I767" s="94"/>
      <c r="J767" s="94"/>
    </row>
    <row r="768" spans="8:10" x14ac:dyDescent="0.3">
      <c r="H768" s="94"/>
      <c r="I768" s="94"/>
      <c r="J768" s="94"/>
    </row>
    <row r="769" spans="8:10" x14ac:dyDescent="0.3">
      <c r="H769" s="94"/>
      <c r="I769" s="94"/>
      <c r="J769" s="94"/>
    </row>
    <row r="770" spans="8:10" x14ac:dyDescent="0.3">
      <c r="H770" s="94"/>
      <c r="I770" s="94"/>
      <c r="J770" s="94"/>
    </row>
    <row r="771" spans="8:10" x14ac:dyDescent="0.3">
      <c r="H771" s="94"/>
      <c r="I771" s="94"/>
      <c r="J771" s="94"/>
    </row>
    <row r="772" spans="8:10" x14ac:dyDescent="0.3">
      <c r="H772" s="94"/>
      <c r="I772" s="94"/>
      <c r="J772" s="94"/>
    </row>
    <row r="773" spans="8:10" x14ac:dyDescent="0.3">
      <c r="H773" s="94"/>
      <c r="I773" s="94"/>
      <c r="J773" s="94"/>
    </row>
    <row r="774" spans="8:10" x14ac:dyDescent="0.3">
      <c r="H774" s="94"/>
      <c r="I774" s="94"/>
      <c r="J774" s="94"/>
    </row>
    <row r="775" spans="8:10" x14ac:dyDescent="0.3">
      <c r="H775" s="94"/>
      <c r="I775" s="94"/>
      <c r="J775" s="94"/>
    </row>
    <row r="776" spans="8:10" x14ac:dyDescent="0.3">
      <c r="H776" s="94"/>
      <c r="I776" s="94"/>
      <c r="J776" s="94"/>
    </row>
    <row r="777" spans="8:10" x14ac:dyDescent="0.3">
      <c r="H777" s="94"/>
      <c r="I777" s="94"/>
      <c r="J777" s="94"/>
    </row>
    <row r="778" spans="8:10" x14ac:dyDescent="0.3">
      <c r="H778" s="94"/>
      <c r="I778" s="94"/>
      <c r="J778" s="94"/>
    </row>
    <row r="779" spans="8:10" x14ac:dyDescent="0.3">
      <c r="H779" s="94"/>
      <c r="I779" s="94"/>
      <c r="J779" s="94"/>
    </row>
    <row r="780" spans="8:10" x14ac:dyDescent="0.3">
      <c r="H780" s="94"/>
      <c r="I780" s="94"/>
      <c r="J780" s="94"/>
    </row>
    <row r="781" spans="8:10" x14ac:dyDescent="0.3">
      <c r="H781" s="94"/>
      <c r="I781" s="94"/>
      <c r="J781" s="94"/>
    </row>
    <row r="782" spans="8:10" x14ac:dyDescent="0.3">
      <c r="H782" s="94"/>
      <c r="I782" s="94"/>
      <c r="J782" s="94"/>
    </row>
    <row r="783" spans="8:10" x14ac:dyDescent="0.3">
      <c r="H783" s="94"/>
      <c r="I783" s="94"/>
      <c r="J783" s="94"/>
    </row>
    <row r="784" spans="8:10" x14ac:dyDescent="0.3">
      <c r="H784" s="94"/>
      <c r="I784" s="94"/>
      <c r="J784" s="94"/>
    </row>
    <row r="785" spans="8:10" x14ac:dyDescent="0.3">
      <c r="H785" s="94"/>
      <c r="I785" s="94"/>
      <c r="J785" s="94"/>
    </row>
    <row r="786" spans="8:10" x14ac:dyDescent="0.3">
      <c r="H786" s="94"/>
      <c r="I786" s="94"/>
      <c r="J786" s="94"/>
    </row>
    <row r="787" spans="8:10" x14ac:dyDescent="0.3">
      <c r="H787" s="94"/>
      <c r="I787" s="94"/>
      <c r="J787" s="94"/>
    </row>
    <row r="788" spans="8:10" x14ac:dyDescent="0.3">
      <c r="H788" s="94"/>
      <c r="I788" s="94"/>
      <c r="J788" s="94"/>
    </row>
    <row r="789" spans="8:10" x14ac:dyDescent="0.3">
      <c r="H789" s="94"/>
      <c r="I789" s="94"/>
      <c r="J789" s="94"/>
    </row>
    <row r="790" spans="8:10" x14ac:dyDescent="0.3">
      <c r="H790" s="94"/>
      <c r="I790" s="94"/>
      <c r="J790" s="94"/>
    </row>
    <row r="791" spans="8:10" x14ac:dyDescent="0.3">
      <c r="H791" s="94"/>
      <c r="I791" s="94"/>
      <c r="J791" s="94"/>
    </row>
    <row r="792" spans="8:10" x14ac:dyDescent="0.3">
      <c r="H792" s="94"/>
      <c r="I792" s="94"/>
      <c r="J792" s="94"/>
    </row>
    <row r="793" spans="8:10" x14ac:dyDescent="0.3">
      <c r="H793" s="94"/>
      <c r="I793" s="94"/>
      <c r="J793" s="94"/>
    </row>
    <row r="794" spans="8:10" x14ac:dyDescent="0.3">
      <c r="H794" s="94"/>
      <c r="I794" s="94"/>
      <c r="J794" s="94"/>
    </row>
    <row r="795" spans="8:10" x14ac:dyDescent="0.3">
      <c r="H795" s="94"/>
      <c r="I795" s="94"/>
      <c r="J795" s="94"/>
    </row>
    <row r="796" spans="8:10" x14ac:dyDescent="0.3">
      <c r="H796" s="94"/>
      <c r="I796" s="94"/>
      <c r="J796" s="94"/>
    </row>
    <row r="797" spans="8:10" x14ac:dyDescent="0.3">
      <c r="H797" s="94"/>
      <c r="I797" s="94"/>
      <c r="J797" s="94"/>
    </row>
    <row r="798" spans="8:10" x14ac:dyDescent="0.3">
      <c r="H798" s="94"/>
      <c r="I798" s="94"/>
      <c r="J798" s="94"/>
    </row>
    <row r="799" spans="8:10" x14ac:dyDescent="0.3">
      <c r="H799" s="94"/>
      <c r="I799" s="94"/>
      <c r="J799" s="94"/>
    </row>
    <row r="800" spans="8:10" x14ac:dyDescent="0.3">
      <c r="H800" s="94"/>
      <c r="I800" s="94"/>
      <c r="J800" s="94"/>
    </row>
    <row r="801" spans="8:10" x14ac:dyDescent="0.3">
      <c r="H801" s="94"/>
      <c r="I801" s="94"/>
      <c r="J801" s="94"/>
    </row>
    <row r="802" spans="8:10" x14ac:dyDescent="0.3">
      <c r="H802" s="94"/>
      <c r="I802" s="94"/>
      <c r="J802" s="94"/>
    </row>
    <row r="803" spans="8:10" x14ac:dyDescent="0.3">
      <c r="H803" s="94"/>
      <c r="I803" s="94"/>
      <c r="J803" s="94"/>
    </row>
    <row r="804" spans="8:10" x14ac:dyDescent="0.3">
      <c r="H804" s="94"/>
      <c r="I804" s="94"/>
      <c r="J804" s="94"/>
    </row>
    <row r="805" spans="8:10" x14ac:dyDescent="0.3">
      <c r="H805" s="94"/>
      <c r="I805" s="94"/>
      <c r="J805" s="94"/>
    </row>
    <row r="806" spans="8:10" x14ac:dyDescent="0.3">
      <c r="H806" s="94"/>
      <c r="I806" s="94"/>
      <c r="J806" s="94"/>
    </row>
    <row r="807" spans="8:10" x14ac:dyDescent="0.3">
      <c r="H807" s="94"/>
      <c r="I807" s="94"/>
      <c r="J807" s="94"/>
    </row>
    <row r="808" spans="8:10" x14ac:dyDescent="0.3">
      <c r="H808" s="94"/>
      <c r="I808" s="94"/>
      <c r="J808" s="94"/>
    </row>
    <row r="809" spans="8:10" x14ac:dyDescent="0.3">
      <c r="H809" s="94"/>
      <c r="I809" s="94"/>
      <c r="J809" s="94"/>
    </row>
    <row r="810" spans="8:10" x14ac:dyDescent="0.3">
      <c r="H810" s="94"/>
      <c r="I810" s="94"/>
      <c r="J810" s="94"/>
    </row>
    <row r="811" spans="8:10" x14ac:dyDescent="0.3">
      <c r="H811" s="94"/>
      <c r="I811" s="94"/>
      <c r="J811" s="94"/>
    </row>
    <row r="812" spans="8:10" x14ac:dyDescent="0.3">
      <c r="H812" s="94"/>
      <c r="I812" s="94"/>
      <c r="J812" s="94"/>
    </row>
    <row r="813" spans="8:10" x14ac:dyDescent="0.3">
      <c r="H813" s="94"/>
      <c r="I813" s="94"/>
      <c r="J813" s="94"/>
    </row>
    <row r="814" spans="8:10" x14ac:dyDescent="0.3">
      <c r="H814" s="94"/>
      <c r="I814" s="94"/>
      <c r="J814" s="94"/>
    </row>
    <row r="815" spans="8:10" x14ac:dyDescent="0.3">
      <c r="H815" s="94"/>
      <c r="I815" s="94"/>
      <c r="J815" s="94"/>
    </row>
    <row r="816" spans="8:10" x14ac:dyDescent="0.3">
      <c r="H816" s="94"/>
      <c r="I816" s="94"/>
      <c r="J816" s="94"/>
    </row>
    <row r="817" spans="8:10" x14ac:dyDescent="0.3">
      <c r="H817" s="94"/>
      <c r="I817" s="94"/>
      <c r="J817" s="94"/>
    </row>
    <row r="818" spans="8:10" x14ac:dyDescent="0.3">
      <c r="H818" s="94"/>
      <c r="I818" s="94"/>
      <c r="J818" s="94"/>
    </row>
    <row r="819" spans="8:10" x14ac:dyDescent="0.3">
      <c r="H819" s="94"/>
      <c r="I819" s="94"/>
      <c r="J819" s="94"/>
    </row>
    <row r="820" spans="8:10" x14ac:dyDescent="0.3">
      <c r="H820" s="94"/>
      <c r="I820" s="94"/>
      <c r="J820" s="94"/>
    </row>
    <row r="821" spans="8:10" x14ac:dyDescent="0.3">
      <c r="H821" s="94"/>
      <c r="I821" s="94"/>
      <c r="J821" s="94"/>
    </row>
    <row r="822" spans="8:10" x14ac:dyDescent="0.3">
      <c r="H822" s="94"/>
      <c r="I822" s="94"/>
      <c r="J822" s="94"/>
    </row>
    <row r="823" spans="8:10" x14ac:dyDescent="0.3">
      <c r="H823" s="94"/>
      <c r="I823" s="94"/>
      <c r="J823" s="94"/>
    </row>
    <row r="824" spans="8:10" x14ac:dyDescent="0.3">
      <c r="H824" s="94"/>
      <c r="I824" s="94"/>
      <c r="J824" s="94"/>
    </row>
    <row r="825" spans="8:10" x14ac:dyDescent="0.3">
      <c r="H825" s="94"/>
      <c r="I825" s="94"/>
      <c r="J825" s="94"/>
    </row>
    <row r="826" spans="8:10" x14ac:dyDescent="0.3">
      <c r="H826" s="94"/>
      <c r="I826" s="94"/>
      <c r="J826" s="94"/>
    </row>
    <row r="827" spans="8:10" x14ac:dyDescent="0.3">
      <c r="H827" s="94"/>
      <c r="I827" s="94"/>
      <c r="J827" s="94"/>
    </row>
    <row r="828" spans="8:10" x14ac:dyDescent="0.3">
      <c r="H828" s="94"/>
      <c r="I828" s="94"/>
      <c r="J828" s="94"/>
    </row>
    <row r="829" spans="8:10" x14ac:dyDescent="0.3">
      <c r="H829" s="94"/>
      <c r="I829" s="94"/>
      <c r="J829" s="94"/>
    </row>
    <row r="830" spans="8:10" x14ac:dyDescent="0.3">
      <c r="H830" s="94"/>
      <c r="I830" s="94"/>
      <c r="J830" s="94"/>
    </row>
    <row r="831" spans="8:10" x14ac:dyDescent="0.3">
      <c r="H831" s="94"/>
      <c r="I831" s="94"/>
      <c r="J831" s="94"/>
    </row>
    <row r="832" spans="8:10" x14ac:dyDescent="0.3">
      <c r="H832" s="94"/>
      <c r="I832" s="94"/>
      <c r="J832" s="94"/>
    </row>
    <row r="833" spans="8:10" x14ac:dyDescent="0.3">
      <c r="H833" s="94"/>
      <c r="I833" s="94"/>
      <c r="J833" s="94"/>
    </row>
    <row r="834" spans="8:10" x14ac:dyDescent="0.3">
      <c r="H834" s="94"/>
      <c r="I834" s="94"/>
      <c r="J834" s="94"/>
    </row>
    <row r="835" spans="8:10" x14ac:dyDescent="0.3">
      <c r="H835" s="94"/>
      <c r="I835" s="94"/>
      <c r="J835" s="94"/>
    </row>
    <row r="836" spans="8:10" x14ac:dyDescent="0.3">
      <c r="H836" s="94"/>
      <c r="I836" s="94"/>
      <c r="J836" s="94"/>
    </row>
    <row r="837" spans="8:10" x14ac:dyDescent="0.3">
      <c r="H837" s="94"/>
      <c r="I837" s="94"/>
      <c r="J837" s="94"/>
    </row>
    <row r="838" spans="8:10" x14ac:dyDescent="0.3">
      <c r="H838" s="94"/>
      <c r="I838" s="94"/>
      <c r="J838" s="94"/>
    </row>
    <row r="839" spans="8:10" x14ac:dyDescent="0.3">
      <c r="H839" s="94"/>
      <c r="I839" s="94"/>
      <c r="J839" s="94"/>
    </row>
    <row r="840" spans="8:10" x14ac:dyDescent="0.3">
      <c r="H840" s="94"/>
      <c r="I840" s="94"/>
      <c r="J840" s="94"/>
    </row>
    <row r="841" spans="8:10" x14ac:dyDescent="0.3">
      <c r="H841" s="94"/>
      <c r="I841" s="94"/>
      <c r="J841" s="94"/>
    </row>
    <row r="842" spans="8:10" x14ac:dyDescent="0.3">
      <c r="H842" s="94"/>
      <c r="I842" s="94"/>
      <c r="J842" s="94"/>
    </row>
    <row r="843" spans="8:10" x14ac:dyDescent="0.3">
      <c r="H843" s="94"/>
      <c r="I843" s="94"/>
      <c r="J843" s="94"/>
    </row>
    <row r="844" spans="8:10" x14ac:dyDescent="0.3">
      <c r="H844" s="94"/>
      <c r="I844" s="94"/>
      <c r="J844" s="94"/>
    </row>
    <row r="845" spans="8:10" x14ac:dyDescent="0.3">
      <c r="H845" s="94"/>
      <c r="I845" s="94"/>
      <c r="J845" s="94"/>
    </row>
    <row r="846" spans="8:10" x14ac:dyDescent="0.3">
      <c r="H846" s="94"/>
      <c r="I846" s="94"/>
      <c r="J846" s="94"/>
    </row>
    <row r="847" spans="8:10" x14ac:dyDescent="0.3">
      <c r="H847" s="94"/>
      <c r="I847" s="94"/>
      <c r="J847" s="94"/>
    </row>
    <row r="848" spans="8:10" x14ac:dyDescent="0.3">
      <c r="H848" s="94"/>
      <c r="I848" s="94"/>
      <c r="J848" s="94"/>
    </row>
    <row r="849" spans="8:10" x14ac:dyDescent="0.3">
      <c r="H849" s="94"/>
      <c r="I849" s="94"/>
      <c r="J849" s="94"/>
    </row>
    <row r="850" spans="8:10" x14ac:dyDescent="0.3">
      <c r="H850" s="94"/>
      <c r="I850" s="94"/>
      <c r="J850" s="94"/>
    </row>
    <row r="851" spans="8:10" x14ac:dyDescent="0.3">
      <c r="H851" s="94"/>
      <c r="I851" s="94"/>
      <c r="J851" s="94"/>
    </row>
    <row r="852" spans="8:10" x14ac:dyDescent="0.3">
      <c r="H852" s="94"/>
      <c r="I852" s="94"/>
      <c r="J852" s="94"/>
    </row>
    <row r="853" spans="8:10" x14ac:dyDescent="0.3">
      <c r="H853" s="94"/>
      <c r="I853" s="94"/>
      <c r="J853" s="94"/>
    </row>
    <row r="854" spans="8:10" x14ac:dyDescent="0.3">
      <c r="H854" s="94"/>
      <c r="I854" s="94"/>
      <c r="J854" s="94"/>
    </row>
    <row r="855" spans="8:10" x14ac:dyDescent="0.3">
      <c r="H855" s="94"/>
      <c r="I855" s="94"/>
      <c r="J855" s="94"/>
    </row>
    <row r="856" spans="8:10" x14ac:dyDescent="0.3">
      <c r="H856" s="94"/>
      <c r="I856" s="94"/>
      <c r="J856" s="94"/>
    </row>
    <row r="857" spans="8:10" x14ac:dyDescent="0.3">
      <c r="H857" s="94"/>
      <c r="I857" s="94"/>
      <c r="J857" s="94"/>
    </row>
    <row r="858" spans="8:10" x14ac:dyDescent="0.3">
      <c r="H858" s="94"/>
      <c r="I858" s="94"/>
      <c r="J858" s="94"/>
    </row>
    <row r="859" spans="8:10" x14ac:dyDescent="0.3">
      <c r="H859" s="94"/>
      <c r="I859" s="94"/>
      <c r="J859" s="94"/>
    </row>
    <row r="860" spans="8:10" x14ac:dyDescent="0.3">
      <c r="H860" s="94"/>
      <c r="I860" s="94"/>
      <c r="J860" s="94"/>
    </row>
    <row r="861" spans="8:10" x14ac:dyDescent="0.3">
      <c r="H861" s="94"/>
      <c r="I861" s="94"/>
      <c r="J861" s="94"/>
    </row>
    <row r="862" spans="8:10" x14ac:dyDescent="0.3">
      <c r="H862" s="94"/>
      <c r="I862" s="94"/>
      <c r="J862" s="94"/>
    </row>
    <row r="863" spans="8:10" x14ac:dyDescent="0.3">
      <c r="H863" s="94"/>
      <c r="I863" s="94"/>
      <c r="J863" s="94"/>
    </row>
    <row r="864" spans="8:10" x14ac:dyDescent="0.3">
      <c r="H864" s="94"/>
      <c r="I864" s="94"/>
      <c r="J864" s="94"/>
    </row>
    <row r="865" spans="8:10" x14ac:dyDescent="0.3">
      <c r="H865" s="94"/>
      <c r="I865" s="94"/>
      <c r="J865" s="94"/>
    </row>
    <row r="866" spans="8:10" x14ac:dyDescent="0.3">
      <c r="H866" s="94"/>
      <c r="I866" s="94"/>
      <c r="J866" s="94"/>
    </row>
    <row r="867" spans="8:10" x14ac:dyDescent="0.3">
      <c r="H867" s="94"/>
      <c r="I867" s="94"/>
      <c r="J867" s="94"/>
    </row>
    <row r="868" spans="8:10" x14ac:dyDescent="0.3">
      <c r="H868" s="94"/>
      <c r="I868" s="94"/>
      <c r="J868" s="94"/>
    </row>
    <row r="869" spans="8:10" x14ac:dyDescent="0.3">
      <c r="H869" s="94"/>
      <c r="I869" s="94"/>
      <c r="J869" s="94"/>
    </row>
    <row r="870" spans="8:10" x14ac:dyDescent="0.3">
      <c r="H870" s="94"/>
      <c r="I870" s="94"/>
      <c r="J870" s="94"/>
    </row>
    <row r="871" spans="8:10" x14ac:dyDescent="0.3">
      <c r="H871" s="94"/>
      <c r="I871" s="94"/>
      <c r="J871" s="94"/>
    </row>
    <row r="872" spans="8:10" x14ac:dyDescent="0.3">
      <c r="H872" s="94"/>
      <c r="I872" s="94"/>
      <c r="J872" s="94"/>
    </row>
    <row r="873" spans="8:10" x14ac:dyDescent="0.3">
      <c r="H873" s="94"/>
      <c r="I873" s="94"/>
      <c r="J873" s="94"/>
    </row>
    <row r="874" spans="8:10" x14ac:dyDescent="0.3">
      <c r="H874" s="94"/>
      <c r="I874" s="94"/>
      <c r="J874" s="94"/>
    </row>
    <row r="875" spans="8:10" x14ac:dyDescent="0.3">
      <c r="H875" s="94"/>
      <c r="I875" s="94"/>
      <c r="J875" s="94"/>
    </row>
    <row r="876" spans="8:10" x14ac:dyDescent="0.3">
      <c r="H876" s="94"/>
      <c r="I876" s="94"/>
      <c r="J876" s="94"/>
    </row>
    <row r="877" spans="8:10" x14ac:dyDescent="0.3">
      <c r="H877" s="94"/>
      <c r="I877" s="94"/>
      <c r="J877" s="94"/>
    </row>
    <row r="878" spans="8:10" x14ac:dyDescent="0.3">
      <c r="H878" s="94"/>
      <c r="I878" s="94"/>
      <c r="J878" s="94"/>
    </row>
    <row r="879" spans="8:10" x14ac:dyDescent="0.3">
      <c r="H879" s="94"/>
      <c r="I879" s="94"/>
      <c r="J879" s="94"/>
    </row>
    <row r="880" spans="8:10" x14ac:dyDescent="0.3">
      <c r="H880" s="94"/>
      <c r="I880" s="94"/>
      <c r="J880" s="94"/>
    </row>
    <row r="881" spans="8:10" x14ac:dyDescent="0.3">
      <c r="H881" s="94"/>
      <c r="I881" s="94"/>
      <c r="J881" s="94"/>
    </row>
    <row r="882" spans="8:10" x14ac:dyDescent="0.3">
      <c r="H882" s="94"/>
      <c r="I882" s="94"/>
      <c r="J882" s="94"/>
    </row>
    <row r="883" spans="8:10" x14ac:dyDescent="0.3">
      <c r="H883" s="94"/>
      <c r="I883" s="94"/>
      <c r="J883" s="94"/>
    </row>
    <row r="884" spans="8:10" x14ac:dyDescent="0.3">
      <c r="H884" s="94"/>
      <c r="I884" s="94"/>
      <c r="J884" s="94"/>
    </row>
    <row r="885" spans="8:10" x14ac:dyDescent="0.3">
      <c r="H885" s="94"/>
      <c r="I885" s="94"/>
      <c r="J885" s="94"/>
    </row>
    <row r="886" spans="8:10" x14ac:dyDescent="0.3">
      <c r="H886" s="94"/>
      <c r="I886" s="94"/>
      <c r="J886" s="94"/>
    </row>
    <row r="887" spans="8:10" x14ac:dyDescent="0.3">
      <c r="H887" s="94"/>
      <c r="I887" s="94"/>
      <c r="J887" s="94"/>
    </row>
    <row r="888" spans="8:10" x14ac:dyDescent="0.3">
      <c r="H888" s="94"/>
      <c r="I888" s="94"/>
      <c r="J888" s="94"/>
    </row>
    <row r="889" spans="8:10" x14ac:dyDescent="0.3">
      <c r="H889" s="94"/>
      <c r="I889" s="94"/>
      <c r="J889" s="94"/>
    </row>
    <row r="890" spans="8:10" x14ac:dyDescent="0.3">
      <c r="H890" s="94"/>
      <c r="I890" s="94"/>
      <c r="J890" s="94"/>
    </row>
    <row r="891" spans="8:10" x14ac:dyDescent="0.3">
      <c r="H891" s="94"/>
      <c r="I891" s="94"/>
      <c r="J891" s="94"/>
    </row>
    <row r="892" spans="8:10" x14ac:dyDescent="0.3">
      <c r="H892" s="94"/>
      <c r="I892" s="94"/>
      <c r="J892" s="94"/>
    </row>
    <row r="893" spans="8:10" x14ac:dyDescent="0.3">
      <c r="H893" s="94"/>
      <c r="I893" s="94"/>
      <c r="J893" s="94"/>
    </row>
    <row r="894" spans="8:10" x14ac:dyDescent="0.3">
      <c r="H894" s="94"/>
      <c r="I894" s="94"/>
      <c r="J894" s="94"/>
    </row>
    <row r="895" spans="8:10" x14ac:dyDescent="0.3">
      <c r="H895" s="94"/>
      <c r="I895" s="94"/>
      <c r="J895" s="94"/>
    </row>
    <row r="896" spans="8:10" x14ac:dyDescent="0.3">
      <c r="H896" s="94"/>
      <c r="I896" s="94"/>
      <c r="J896" s="94"/>
    </row>
    <row r="897" spans="8:10" x14ac:dyDescent="0.3">
      <c r="H897" s="94"/>
      <c r="I897" s="94"/>
      <c r="J897" s="94"/>
    </row>
    <row r="898" spans="8:10" x14ac:dyDescent="0.3">
      <c r="H898" s="94"/>
      <c r="I898" s="94"/>
      <c r="J898" s="94"/>
    </row>
    <row r="899" spans="8:10" x14ac:dyDescent="0.3">
      <c r="H899" s="94"/>
      <c r="I899" s="94"/>
      <c r="J899" s="94"/>
    </row>
    <row r="900" spans="8:10" x14ac:dyDescent="0.3">
      <c r="H900" s="94"/>
      <c r="I900" s="94"/>
      <c r="J900" s="94"/>
    </row>
    <row r="901" spans="8:10" x14ac:dyDescent="0.3">
      <c r="H901" s="94"/>
      <c r="I901" s="94"/>
      <c r="J901" s="94"/>
    </row>
    <row r="902" spans="8:10" x14ac:dyDescent="0.3">
      <c r="H902" s="94"/>
      <c r="I902" s="94"/>
      <c r="J902" s="94"/>
    </row>
    <row r="903" spans="8:10" x14ac:dyDescent="0.3">
      <c r="H903" s="94"/>
      <c r="I903" s="94"/>
      <c r="J903" s="94"/>
    </row>
    <row r="904" spans="8:10" x14ac:dyDescent="0.3">
      <c r="H904" s="94"/>
      <c r="I904" s="94"/>
      <c r="J904" s="94"/>
    </row>
    <row r="905" spans="8:10" x14ac:dyDescent="0.3">
      <c r="H905" s="94"/>
      <c r="I905" s="94"/>
      <c r="J905" s="94"/>
    </row>
    <row r="906" spans="8:10" x14ac:dyDescent="0.3">
      <c r="H906" s="94"/>
      <c r="I906" s="94"/>
      <c r="J906" s="94"/>
    </row>
    <row r="907" spans="8:10" x14ac:dyDescent="0.3">
      <c r="H907" s="94"/>
      <c r="I907" s="94"/>
      <c r="J907" s="94"/>
    </row>
    <row r="908" spans="8:10" x14ac:dyDescent="0.3">
      <c r="H908" s="94"/>
      <c r="I908" s="94"/>
      <c r="J908" s="94"/>
    </row>
    <row r="909" spans="8:10" x14ac:dyDescent="0.3">
      <c r="H909" s="94"/>
      <c r="I909" s="94"/>
      <c r="J909" s="94"/>
    </row>
    <row r="910" spans="8:10" x14ac:dyDescent="0.3">
      <c r="H910" s="94"/>
      <c r="I910" s="94"/>
      <c r="J910" s="94"/>
    </row>
    <row r="911" spans="8:10" x14ac:dyDescent="0.3">
      <c r="H911" s="94"/>
      <c r="I911" s="94"/>
      <c r="J911" s="94"/>
    </row>
    <row r="912" spans="8:10" x14ac:dyDescent="0.3">
      <c r="H912" s="94"/>
      <c r="I912" s="94"/>
      <c r="J912" s="94"/>
    </row>
    <row r="913" spans="8:10" x14ac:dyDescent="0.3">
      <c r="H913" s="94"/>
      <c r="I913" s="94"/>
      <c r="J913" s="94"/>
    </row>
    <row r="914" spans="8:10" x14ac:dyDescent="0.3">
      <c r="H914" s="94"/>
      <c r="I914" s="94"/>
      <c r="J914" s="94"/>
    </row>
    <row r="915" spans="8:10" x14ac:dyDescent="0.3">
      <c r="H915" s="94"/>
      <c r="I915" s="94"/>
      <c r="J915" s="94"/>
    </row>
    <row r="916" spans="8:10" x14ac:dyDescent="0.3">
      <c r="H916" s="94"/>
      <c r="I916" s="94"/>
      <c r="J916" s="94"/>
    </row>
    <row r="917" spans="8:10" x14ac:dyDescent="0.3">
      <c r="H917" s="94"/>
      <c r="I917" s="94"/>
      <c r="J917" s="94"/>
    </row>
    <row r="918" spans="8:10" x14ac:dyDescent="0.3">
      <c r="H918" s="94"/>
      <c r="I918" s="94"/>
      <c r="J918" s="94"/>
    </row>
    <row r="919" spans="8:10" x14ac:dyDescent="0.3">
      <c r="H919" s="94"/>
      <c r="I919" s="94"/>
      <c r="J919" s="94"/>
    </row>
    <row r="920" spans="8:10" x14ac:dyDescent="0.3">
      <c r="H920" s="94"/>
      <c r="I920" s="94"/>
      <c r="J920" s="94"/>
    </row>
    <row r="921" spans="8:10" x14ac:dyDescent="0.3">
      <c r="H921" s="94"/>
      <c r="I921" s="94"/>
      <c r="J921" s="94"/>
    </row>
    <row r="922" spans="8:10" x14ac:dyDescent="0.3">
      <c r="H922" s="94"/>
      <c r="I922" s="94"/>
      <c r="J922" s="94"/>
    </row>
    <row r="923" spans="8:10" x14ac:dyDescent="0.3">
      <c r="H923" s="94"/>
      <c r="I923" s="94"/>
      <c r="J923" s="94"/>
    </row>
    <row r="924" spans="8:10" x14ac:dyDescent="0.3">
      <c r="H924" s="94"/>
      <c r="I924" s="94"/>
      <c r="J924" s="94"/>
    </row>
    <row r="925" spans="8:10" x14ac:dyDescent="0.3">
      <c r="H925" s="94"/>
      <c r="I925" s="94"/>
      <c r="J925" s="94"/>
    </row>
    <row r="926" spans="8:10" x14ac:dyDescent="0.3">
      <c r="H926" s="94"/>
      <c r="I926" s="94"/>
      <c r="J926" s="94"/>
    </row>
    <row r="927" spans="8:10" x14ac:dyDescent="0.3">
      <c r="H927" s="94"/>
      <c r="I927" s="94"/>
      <c r="J927" s="94"/>
    </row>
    <row r="928" spans="8:10" x14ac:dyDescent="0.3">
      <c r="H928" s="94"/>
      <c r="I928" s="94"/>
      <c r="J928" s="94"/>
    </row>
    <row r="929" spans="8:10" x14ac:dyDescent="0.3">
      <c r="H929" s="94"/>
      <c r="I929" s="94"/>
      <c r="J929" s="94"/>
    </row>
    <row r="930" spans="8:10" x14ac:dyDescent="0.3">
      <c r="H930" s="94"/>
      <c r="I930" s="94"/>
      <c r="J930" s="94"/>
    </row>
    <row r="931" spans="8:10" x14ac:dyDescent="0.3">
      <c r="H931" s="94"/>
      <c r="I931" s="94"/>
      <c r="J931" s="94"/>
    </row>
    <row r="932" spans="8:10" x14ac:dyDescent="0.3">
      <c r="H932" s="94"/>
      <c r="I932" s="94"/>
      <c r="J932" s="94"/>
    </row>
    <row r="933" spans="8:10" x14ac:dyDescent="0.3">
      <c r="H933" s="94"/>
      <c r="I933" s="94"/>
      <c r="J933" s="94"/>
    </row>
    <row r="934" spans="8:10" x14ac:dyDescent="0.3">
      <c r="H934" s="94"/>
      <c r="I934" s="94"/>
      <c r="J934" s="94"/>
    </row>
    <row r="935" spans="8:10" x14ac:dyDescent="0.3">
      <c r="H935" s="94"/>
      <c r="I935" s="94"/>
      <c r="J935" s="94"/>
    </row>
    <row r="936" spans="8:10" x14ac:dyDescent="0.3">
      <c r="H936" s="94"/>
      <c r="I936" s="94"/>
      <c r="J936" s="94"/>
    </row>
    <row r="937" spans="8:10" x14ac:dyDescent="0.3">
      <c r="H937" s="94"/>
      <c r="I937" s="94"/>
      <c r="J937" s="94"/>
    </row>
    <row r="938" spans="8:10" x14ac:dyDescent="0.3">
      <c r="H938" s="94"/>
      <c r="I938" s="94"/>
      <c r="J938" s="94"/>
    </row>
    <row r="939" spans="8:10" x14ac:dyDescent="0.3">
      <c r="H939" s="94"/>
      <c r="I939" s="94"/>
      <c r="J939" s="94"/>
    </row>
    <row r="940" spans="8:10" x14ac:dyDescent="0.3">
      <c r="H940" s="94"/>
      <c r="I940" s="94"/>
      <c r="J940" s="94"/>
    </row>
    <row r="941" spans="8:10" x14ac:dyDescent="0.3">
      <c r="H941" s="94"/>
      <c r="I941" s="94"/>
      <c r="J941" s="94"/>
    </row>
    <row r="942" spans="8:10" x14ac:dyDescent="0.3">
      <c r="H942" s="94"/>
      <c r="I942" s="94"/>
      <c r="J942" s="94"/>
    </row>
    <row r="943" spans="8:10" x14ac:dyDescent="0.3">
      <c r="H943" s="94"/>
      <c r="I943" s="94"/>
      <c r="J943" s="94"/>
    </row>
    <row r="944" spans="8:10" x14ac:dyDescent="0.3">
      <c r="H944" s="94"/>
      <c r="I944" s="94"/>
      <c r="J944" s="94"/>
    </row>
    <row r="945" spans="8:10" x14ac:dyDescent="0.3">
      <c r="H945" s="94"/>
      <c r="I945" s="94"/>
      <c r="J945" s="94"/>
    </row>
    <row r="946" spans="8:10" x14ac:dyDescent="0.3">
      <c r="H946" s="94"/>
      <c r="I946" s="94"/>
      <c r="J946" s="94"/>
    </row>
    <row r="947" spans="8:10" x14ac:dyDescent="0.3">
      <c r="H947" s="94"/>
      <c r="I947" s="94"/>
      <c r="J947" s="94"/>
    </row>
    <row r="948" spans="8:10" x14ac:dyDescent="0.3">
      <c r="H948" s="94"/>
      <c r="I948" s="94"/>
      <c r="J948" s="94"/>
    </row>
    <row r="949" spans="8:10" x14ac:dyDescent="0.3">
      <c r="H949" s="94"/>
      <c r="I949" s="94"/>
      <c r="J949" s="94"/>
    </row>
    <row r="950" spans="8:10" x14ac:dyDescent="0.3">
      <c r="H950" s="94"/>
      <c r="I950" s="94"/>
      <c r="J950" s="94"/>
    </row>
    <row r="951" spans="8:10" x14ac:dyDescent="0.3">
      <c r="H951" s="94"/>
      <c r="I951" s="94"/>
      <c r="J951" s="94"/>
    </row>
    <row r="952" spans="8:10" x14ac:dyDescent="0.3">
      <c r="H952" s="94"/>
      <c r="I952" s="94"/>
      <c r="J952" s="94"/>
    </row>
    <row r="953" spans="8:10" x14ac:dyDescent="0.3">
      <c r="H953" s="94"/>
      <c r="I953" s="94"/>
      <c r="J953" s="94"/>
    </row>
    <row r="954" spans="8:10" x14ac:dyDescent="0.3">
      <c r="H954" s="94"/>
      <c r="I954" s="94"/>
      <c r="J954" s="94"/>
    </row>
    <row r="955" spans="8:10" x14ac:dyDescent="0.3">
      <c r="H955" s="94"/>
      <c r="I955" s="94"/>
      <c r="J955" s="94"/>
    </row>
    <row r="956" spans="8:10" x14ac:dyDescent="0.3">
      <c r="H956" s="94"/>
      <c r="I956" s="94"/>
      <c r="J956" s="94"/>
    </row>
    <row r="957" spans="8:10" x14ac:dyDescent="0.3">
      <c r="H957" s="94"/>
      <c r="I957" s="94"/>
      <c r="J957" s="94"/>
    </row>
    <row r="958" spans="8:10" x14ac:dyDescent="0.3">
      <c r="H958" s="94"/>
      <c r="I958" s="94"/>
      <c r="J958" s="94"/>
    </row>
    <row r="959" spans="8:10" x14ac:dyDescent="0.3">
      <c r="H959" s="94"/>
      <c r="I959" s="94"/>
      <c r="J959" s="94"/>
    </row>
    <row r="960" spans="8:10" x14ac:dyDescent="0.3">
      <c r="H960" s="94"/>
      <c r="I960" s="94"/>
      <c r="J960" s="94"/>
    </row>
    <row r="961" spans="8:10" x14ac:dyDescent="0.3">
      <c r="H961" s="94"/>
      <c r="I961" s="94"/>
      <c r="J961" s="94"/>
    </row>
    <row r="962" spans="8:10" x14ac:dyDescent="0.3">
      <c r="H962" s="94"/>
      <c r="I962" s="94"/>
      <c r="J962" s="94"/>
    </row>
    <row r="963" spans="8:10" x14ac:dyDescent="0.3">
      <c r="H963" s="94"/>
      <c r="I963" s="94"/>
      <c r="J963" s="94"/>
    </row>
    <row r="964" spans="8:10" x14ac:dyDescent="0.3">
      <c r="H964" s="94"/>
      <c r="I964" s="94"/>
      <c r="J964" s="94"/>
    </row>
    <row r="965" spans="8:10" x14ac:dyDescent="0.3">
      <c r="H965" s="94"/>
      <c r="I965" s="94"/>
      <c r="J965" s="94"/>
    </row>
    <row r="966" spans="8:10" x14ac:dyDescent="0.3">
      <c r="H966" s="94"/>
      <c r="I966" s="94"/>
      <c r="J966" s="94"/>
    </row>
    <row r="967" spans="8:10" x14ac:dyDescent="0.3">
      <c r="H967" s="94"/>
      <c r="I967" s="94"/>
      <c r="J967" s="94"/>
    </row>
    <row r="968" spans="8:10" x14ac:dyDescent="0.3">
      <c r="H968" s="94"/>
      <c r="I968" s="94"/>
      <c r="J968" s="94"/>
    </row>
    <row r="969" spans="8:10" x14ac:dyDescent="0.3">
      <c r="H969" s="94"/>
      <c r="I969" s="94"/>
      <c r="J969" s="94"/>
    </row>
    <row r="970" spans="8:10" x14ac:dyDescent="0.3">
      <c r="H970" s="94"/>
      <c r="I970" s="94"/>
      <c r="J970" s="94"/>
    </row>
    <row r="971" spans="8:10" x14ac:dyDescent="0.3">
      <c r="H971" s="94"/>
      <c r="I971" s="94"/>
      <c r="J971" s="94"/>
    </row>
    <row r="972" spans="8:10" x14ac:dyDescent="0.3">
      <c r="H972" s="94"/>
      <c r="I972" s="94"/>
      <c r="J972" s="94"/>
    </row>
    <row r="973" spans="8:10" x14ac:dyDescent="0.3">
      <c r="H973" s="94"/>
      <c r="I973" s="94"/>
      <c r="J973" s="94"/>
    </row>
    <row r="974" spans="8:10" x14ac:dyDescent="0.3">
      <c r="H974" s="94"/>
      <c r="I974" s="94"/>
      <c r="J974" s="94"/>
    </row>
    <row r="975" spans="8:10" x14ac:dyDescent="0.3">
      <c r="H975" s="94"/>
      <c r="I975" s="94"/>
      <c r="J975" s="94"/>
    </row>
    <row r="976" spans="8:10" x14ac:dyDescent="0.3">
      <c r="H976" s="94"/>
      <c r="I976" s="94"/>
      <c r="J976" s="94"/>
    </row>
    <row r="977" spans="8:10" x14ac:dyDescent="0.3">
      <c r="H977" s="94"/>
      <c r="I977" s="94"/>
      <c r="J977" s="94"/>
    </row>
    <row r="978" spans="8:10" x14ac:dyDescent="0.3">
      <c r="H978" s="94"/>
      <c r="I978" s="94"/>
      <c r="J978" s="94"/>
    </row>
    <row r="979" spans="8:10" x14ac:dyDescent="0.3">
      <c r="H979" s="94"/>
      <c r="I979" s="94"/>
      <c r="J979" s="94"/>
    </row>
    <row r="980" spans="8:10" x14ac:dyDescent="0.3">
      <c r="H980" s="94"/>
      <c r="I980" s="94"/>
      <c r="J980" s="94"/>
    </row>
    <row r="981" spans="8:10" x14ac:dyDescent="0.3">
      <c r="H981" s="94"/>
      <c r="I981" s="94"/>
      <c r="J981" s="94"/>
    </row>
    <row r="982" spans="8:10" x14ac:dyDescent="0.3">
      <c r="H982" s="94"/>
      <c r="I982" s="94"/>
      <c r="J982" s="94"/>
    </row>
    <row r="983" spans="8:10" x14ac:dyDescent="0.3">
      <c r="H983" s="94"/>
      <c r="I983" s="94"/>
      <c r="J983" s="94"/>
    </row>
    <row r="984" spans="8:10" x14ac:dyDescent="0.3">
      <c r="H984" s="94"/>
      <c r="I984" s="94"/>
      <c r="J984" s="94"/>
    </row>
    <row r="985" spans="8:10" x14ac:dyDescent="0.3">
      <c r="H985" s="94"/>
      <c r="I985" s="94"/>
      <c r="J985" s="94"/>
    </row>
    <row r="986" spans="8:10" x14ac:dyDescent="0.3">
      <c r="H986" s="94"/>
      <c r="I986" s="94"/>
      <c r="J986" s="94"/>
    </row>
    <row r="987" spans="8:10" x14ac:dyDescent="0.3">
      <c r="H987" s="94"/>
      <c r="I987" s="94"/>
      <c r="J987" s="94"/>
    </row>
    <row r="988" spans="8:10" x14ac:dyDescent="0.3">
      <c r="H988" s="94"/>
      <c r="I988" s="94"/>
      <c r="J988" s="94"/>
    </row>
    <row r="989" spans="8:10" x14ac:dyDescent="0.3">
      <c r="H989" s="94"/>
      <c r="I989" s="94"/>
      <c r="J989" s="94"/>
    </row>
    <row r="990" spans="8:10" x14ac:dyDescent="0.3">
      <c r="H990" s="94"/>
      <c r="I990" s="94"/>
      <c r="J990" s="94"/>
    </row>
    <row r="991" spans="8:10" x14ac:dyDescent="0.3">
      <c r="H991" s="94"/>
      <c r="I991" s="94"/>
      <c r="J991" s="94"/>
    </row>
    <row r="992" spans="8:10" x14ac:dyDescent="0.3">
      <c r="H992" s="94"/>
      <c r="I992" s="94"/>
      <c r="J992" s="94"/>
    </row>
    <row r="993" spans="8:10" x14ac:dyDescent="0.3">
      <c r="H993" s="94"/>
      <c r="I993" s="94"/>
      <c r="J993" s="94"/>
    </row>
    <row r="994" spans="8:10" x14ac:dyDescent="0.3">
      <c r="H994" s="94"/>
      <c r="I994" s="94"/>
      <c r="J994" s="94"/>
    </row>
    <row r="995" spans="8:10" x14ac:dyDescent="0.3">
      <c r="H995" s="94"/>
      <c r="I995" s="94"/>
      <c r="J995" s="94"/>
    </row>
    <row r="996" spans="8:10" x14ac:dyDescent="0.3">
      <c r="H996" s="94"/>
      <c r="I996" s="94"/>
      <c r="J996" s="94"/>
    </row>
    <row r="997" spans="8:10" x14ac:dyDescent="0.3">
      <c r="H997" s="94"/>
      <c r="I997" s="94"/>
      <c r="J997" s="94"/>
    </row>
    <row r="998" spans="8:10" x14ac:dyDescent="0.3">
      <c r="H998" s="94"/>
      <c r="I998" s="94"/>
      <c r="J998" s="94"/>
    </row>
    <row r="999" spans="8:10" x14ac:dyDescent="0.3">
      <c r="H999" s="94"/>
      <c r="I999" s="94"/>
      <c r="J999" s="94"/>
    </row>
    <row r="1000" spans="8:10" x14ac:dyDescent="0.3">
      <c r="H1000" s="94"/>
      <c r="I1000" s="94"/>
      <c r="J1000" s="94"/>
    </row>
    <row r="1001" spans="8:10" x14ac:dyDescent="0.3">
      <c r="H1001" s="94"/>
      <c r="I1001" s="94"/>
      <c r="J1001" s="94"/>
    </row>
    <row r="1002" spans="8:10" x14ac:dyDescent="0.3">
      <c r="H1002" s="94"/>
      <c r="I1002" s="94"/>
      <c r="J1002" s="94"/>
    </row>
    <row r="1003" spans="8:10" x14ac:dyDescent="0.3">
      <c r="H1003" s="94"/>
      <c r="I1003" s="94"/>
      <c r="J1003" s="94"/>
    </row>
    <row r="1004" spans="8:10" x14ac:dyDescent="0.3">
      <c r="H1004" s="94"/>
      <c r="I1004" s="94"/>
      <c r="J1004" s="94"/>
    </row>
    <row r="1005" spans="8:10" x14ac:dyDescent="0.3">
      <c r="H1005" s="94"/>
      <c r="I1005" s="94"/>
      <c r="J1005" s="94"/>
    </row>
    <row r="1006" spans="8:10" x14ac:dyDescent="0.3">
      <c r="H1006" s="94"/>
      <c r="I1006" s="94"/>
      <c r="J1006" s="94"/>
    </row>
    <row r="1007" spans="8:10" x14ac:dyDescent="0.3">
      <c r="H1007" s="94"/>
      <c r="I1007" s="94"/>
      <c r="J1007" s="94"/>
    </row>
    <row r="1008" spans="8:10" x14ac:dyDescent="0.3">
      <c r="H1008" s="94"/>
      <c r="I1008" s="94"/>
      <c r="J1008" s="94"/>
    </row>
    <row r="1009" spans="8:10" x14ac:dyDescent="0.3">
      <c r="H1009" s="94"/>
      <c r="I1009" s="94"/>
      <c r="J1009" s="94"/>
    </row>
    <row r="1010" spans="8:10" x14ac:dyDescent="0.3">
      <c r="H1010" s="94"/>
      <c r="I1010" s="94"/>
      <c r="J1010" s="94"/>
    </row>
    <row r="1011" spans="8:10" x14ac:dyDescent="0.3">
      <c r="H1011" s="94"/>
      <c r="I1011" s="94"/>
      <c r="J1011" s="94"/>
    </row>
    <row r="1012" spans="8:10" x14ac:dyDescent="0.3">
      <c r="H1012" s="94"/>
      <c r="I1012" s="94"/>
      <c r="J1012" s="94"/>
    </row>
    <row r="1013" spans="8:10" x14ac:dyDescent="0.3">
      <c r="H1013" s="94"/>
      <c r="I1013" s="94"/>
      <c r="J1013" s="94"/>
    </row>
    <row r="1014" spans="8:10" x14ac:dyDescent="0.3">
      <c r="H1014" s="94"/>
      <c r="I1014" s="94"/>
      <c r="J1014" s="94"/>
    </row>
    <row r="1015" spans="8:10" x14ac:dyDescent="0.3">
      <c r="H1015" s="94"/>
      <c r="I1015" s="94"/>
      <c r="J1015" s="94"/>
    </row>
    <row r="1016" spans="8:10" x14ac:dyDescent="0.3">
      <c r="H1016" s="94"/>
      <c r="I1016" s="94"/>
      <c r="J1016" s="94"/>
    </row>
    <row r="1017" spans="8:10" x14ac:dyDescent="0.3">
      <c r="H1017" s="94"/>
      <c r="I1017" s="94"/>
      <c r="J1017" s="94"/>
    </row>
    <row r="1018" spans="8:10" x14ac:dyDescent="0.3">
      <c r="H1018" s="94"/>
      <c r="I1018" s="94"/>
      <c r="J1018" s="94"/>
    </row>
    <row r="1019" spans="8:10" x14ac:dyDescent="0.3">
      <c r="H1019" s="94"/>
      <c r="I1019" s="94"/>
      <c r="J1019" s="94"/>
    </row>
    <row r="1020" spans="8:10" x14ac:dyDescent="0.3">
      <c r="H1020" s="94"/>
      <c r="I1020" s="94"/>
      <c r="J1020" s="94"/>
    </row>
    <row r="1021" spans="8:10" x14ac:dyDescent="0.3">
      <c r="H1021" s="94"/>
      <c r="I1021" s="94"/>
      <c r="J1021" s="94"/>
    </row>
    <row r="1022" spans="8:10" x14ac:dyDescent="0.3">
      <c r="H1022" s="94"/>
      <c r="I1022" s="94"/>
      <c r="J1022" s="94"/>
    </row>
    <row r="1023" spans="8:10" x14ac:dyDescent="0.3">
      <c r="H1023" s="94"/>
      <c r="I1023" s="94"/>
      <c r="J1023" s="94"/>
    </row>
    <row r="1024" spans="8:10" x14ac:dyDescent="0.3">
      <c r="H1024" s="94"/>
      <c r="I1024" s="94"/>
      <c r="J1024" s="94"/>
    </row>
    <row r="1025" spans="8:10" x14ac:dyDescent="0.3">
      <c r="H1025" s="94"/>
      <c r="I1025" s="94"/>
      <c r="J1025" s="94"/>
    </row>
    <row r="1026" spans="8:10" x14ac:dyDescent="0.3">
      <c r="H1026" s="94"/>
      <c r="I1026" s="94"/>
      <c r="J1026" s="94"/>
    </row>
    <row r="1027" spans="8:10" x14ac:dyDescent="0.3">
      <c r="H1027" s="94"/>
      <c r="I1027" s="94"/>
      <c r="J1027" s="94"/>
    </row>
    <row r="1028" spans="8:10" x14ac:dyDescent="0.3">
      <c r="H1028" s="94"/>
      <c r="I1028" s="94"/>
      <c r="J1028" s="94"/>
    </row>
    <row r="1029" spans="8:10" x14ac:dyDescent="0.3">
      <c r="H1029" s="94"/>
      <c r="I1029" s="94"/>
      <c r="J1029" s="94"/>
    </row>
    <row r="1030" spans="8:10" x14ac:dyDescent="0.3">
      <c r="H1030" s="94"/>
      <c r="I1030" s="94"/>
      <c r="J1030" s="94"/>
    </row>
    <row r="1031" spans="8:10" x14ac:dyDescent="0.3">
      <c r="H1031" s="94"/>
      <c r="I1031" s="94"/>
      <c r="J1031" s="94"/>
    </row>
    <row r="1032" spans="8:10" x14ac:dyDescent="0.3">
      <c r="H1032" s="94"/>
      <c r="I1032" s="94"/>
      <c r="J1032" s="94"/>
    </row>
    <row r="1033" spans="8:10" x14ac:dyDescent="0.3">
      <c r="H1033" s="94"/>
      <c r="I1033" s="94"/>
      <c r="J1033" s="94"/>
    </row>
    <row r="1034" spans="8:10" x14ac:dyDescent="0.3">
      <c r="H1034" s="94"/>
      <c r="I1034" s="94"/>
      <c r="J1034" s="94"/>
    </row>
    <row r="1035" spans="8:10" x14ac:dyDescent="0.3">
      <c r="H1035" s="94"/>
      <c r="I1035" s="94"/>
      <c r="J1035" s="94"/>
    </row>
    <row r="1036" spans="8:10" x14ac:dyDescent="0.3">
      <c r="H1036" s="94"/>
      <c r="I1036" s="94"/>
      <c r="J1036" s="94"/>
    </row>
    <row r="1037" spans="8:10" x14ac:dyDescent="0.3">
      <c r="H1037" s="94"/>
      <c r="I1037" s="94"/>
      <c r="J1037" s="94"/>
    </row>
    <row r="1038" spans="8:10" x14ac:dyDescent="0.3">
      <c r="H1038" s="94"/>
      <c r="I1038" s="94"/>
      <c r="J1038" s="94"/>
    </row>
    <row r="1039" spans="8:10" x14ac:dyDescent="0.3">
      <c r="H1039" s="94"/>
      <c r="I1039" s="94"/>
      <c r="J1039" s="94"/>
    </row>
    <row r="1040" spans="8:10" x14ac:dyDescent="0.3">
      <c r="H1040" s="94"/>
      <c r="I1040" s="94"/>
      <c r="J1040" s="94"/>
    </row>
    <row r="1041" spans="8:10" x14ac:dyDescent="0.3">
      <c r="H1041" s="94"/>
      <c r="I1041" s="94"/>
      <c r="J1041" s="94"/>
    </row>
    <row r="1042" spans="8:10" x14ac:dyDescent="0.3">
      <c r="H1042" s="94"/>
      <c r="I1042" s="94"/>
      <c r="J1042" s="94"/>
    </row>
    <row r="1043" spans="8:10" x14ac:dyDescent="0.3">
      <c r="H1043" s="94"/>
      <c r="I1043" s="94"/>
      <c r="J1043" s="94"/>
    </row>
    <row r="1044" spans="8:10" x14ac:dyDescent="0.3">
      <c r="H1044" s="94"/>
      <c r="I1044" s="94"/>
      <c r="J1044" s="94"/>
    </row>
    <row r="1045" spans="8:10" x14ac:dyDescent="0.3">
      <c r="H1045" s="94"/>
      <c r="I1045" s="94"/>
      <c r="J1045" s="94"/>
    </row>
    <row r="1046" spans="8:10" x14ac:dyDescent="0.3">
      <c r="H1046" s="94"/>
      <c r="I1046" s="94"/>
      <c r="J1046" s="94"/>
    </row>
    <row r="1047" spans="8:10" x14ac:dyDescent="0.3">
      <c r="H1047" s="94"/>
      <c r="I1047" s="94"/>
      <c r="J1047" s="94"/>
    </row>
    <row r="1048" spans="8:10" x14ac:dyDescent="0.3">
      <c r="H1048" s="94"/>
      <c r="I1048" s="94"/>
      <c r="J1048" s="94"/>
    </row>
    <row r="1049" spans="8:10" x14ac:dyDescent="0.3">
      <c r="H1049" s="94"/>
      <c r="I1049" s="94"/>
      <c r="J1049" s="94"/>
    </row>
    <row r="1050" spans="8:10" x14ac:dyDescent="0.3">
      <c r="H1050" s="94"/>
      <c r="I1050" s="94"/>
      <c r="J1050" s="94"/>
    </row>
    <row r="1051" spans="8:10" x14ac:dyDescent="0.3">
      <c r="H1051" s="94"/>
      <c r="I1051" s="94"/>
      <c r="J1051" s="94"/>
    </row>
    <row r="1052" spans="8:10" x14ac:dyDescent="0.3">
      <c r="H1052" s="94"/>
      <c r="I1052" s="94"/>
      <c r="J1052" s="94"/>
    </row>
    <row r="1053" spans="8:10" x14ac:dyDescent="0.3">
      <c r="H1053" s="94"/>
      <c r="I1053" s="94"/>
      <c r="J1053" s="94"/>
    </row>
    <row r="1054" spans="8:10" x14ac:dyDescent="0.3">
      <c r="H1054" s="94"/>
      <c r="I1054" s="94"/>
      <c r="J1054" s="94"/>
    </row>
    <row r="1055" spans="8:10" x14ac:dyDescent="0.3">
      <c r="H1055" s="94"/>
      <c r="I1055" s="94"/>
      <c r="J1055" s="94"/>
    </row>
    <row r="1056" spans="8:10" x14ac:dyDescent="0.3">
      <c r="H1056" s="94"/>
      <c r="I1056" s="94"/>
      <c r="J1056" s="94"/>
    </row>
    <row r="1057" spans="8:10" x14ac:dyDescent="0.3">
      <c r="H1057" s="94"/>
      <c r="I1057" s="94"/>
      <c r="J1057" s="94"/>
    </row>
    <row r="1058" spans="8:10" x14ac:dyDescent="0.3">
      <c r="H1058" s="94"/>
      <c r="I1058" s="94"/>
      <c r="J1058" s="94"/>
    </row>
    <row r="1059" spans="8:10" x14ac:dyDescent="0.3">
      <c r="H1059" s="94"/>
      <c r="I1059" s="94"/>
      <c r="J1059" s="94"/>
    </row>
    <row r="1060" spans="8:10" x14ac:dyDescent="0.3">
      <c r="H1060" s="94"/>
      <c r="I1060" s="94"/>
      <c r="J1060" s="94"/>
    </row>
    <row r="1061" spans="8:10" x14ac:dyDescent="0.3">
      <c r="H1061" s="94"/>
      <c r="I1061" s="94"/>
      <c r="J1061" s="94"/>
    </row>
    <row r="1062" spans="8:10" x14ac:dyDescent="0.3">
      <c r="H1062" s="94"/>
      <c r="I1062" s="94"/>
      <c r="J1062" s="94"/>
    </row>
    <row r="1063" spans="8:10" x14ac:dyDescent="0.3">
      <c r="H1063" s="94"/>
      <c r="I1063" s="94"/>
      <c r="J1063" s="94"/>
    </row>
    <row r="1064" spans="8:10" x14ac:dyDescent="0.3">
      <c r="H1064" s="94"/>
      <c r="I1064" s="94"/>
      <c r="J1064" s="94"/>
    </row>
    <row r="1065" spans="8:10" x14ac:dyDescent="0.3">
      <c r="H1065" s="94"/>
      <c r="I1065" s="94"/>
      <c r="J1065" s="94"/>
    </row>
    <row r="1066" spans="8:10" x14ac:dyDescent="0.3">
      <c r="H1066" s="94"/>
      <c r="I1066" s="94"/>
      <c r="J1066" s="94"/>
    </row>
    <row r="1067" spans="8:10" x14ac:dyDescent="0.3">
      <c r="H1067" s="94"/>
      <c r="I1067" s="94"/>
      <c r="J1067" s="94"/>
    </row>
    <row r="1068" spans="8:10" x14ac:dyDescent="0.3">
      <c r="H1068" s="94"/>
      <c r="I1068" s="94"/>
      <c r="J1068" s="94"/>
    </row>
    <row r="1069" spans="8:10" x14ac:dyDescent="0.3">
      <c r="H1069" s="94"/>
      <c r="I1069" s="94"/>
      <c r="J1069" s="94"/>
    </row>
    <row r="1070" spans="8:10" x14ac:dyDescent="0.3">
      <c r="H1070" s="94"/>
      <c r="I1070" s="94"/>
      <c r="J1070" s="94"/>
    </row>
    <row r="1071" spans="8:10" x14ac:dyDescent="0.3">
      <c r="H1071" s="94"/>
      <c r="I1071" s="94"/>
      <c r="J1071" s="94"/>
    </row>
    <row r="1072" spans="8:10" x14ac:dyDescent="0.3">
      <c r="H1072" s="94"/>
      <c r="I1072" s="94"/>
      <c r="J1072" s="94"/>
    </row>
    <row r="1073" spans="8:10" x14ac:dyDescent="0.3">
      <c r="H1073" s="94"/>
      <c r="I1073" s="94"/>
      <c r="J1073" s="94"/>
    </row>
    <row r="1074" spans="8:10" x14ac:dyDescent="0.3">
      <c r="H1074" s="94"/>
      <c r="I1074" s="94"/>
      <c r="J1074" s="94"/>
    </row>
    <row r="1075" spans="8:10" x14ac:dyDescent="0.3">
      <c r="H1075" s="94"/>
      <c r="I1075" s="94"/>
      <c r="J1075" s="94"/>
    </row>
    <row r="1076" spans="8:10" x14ac:dyDescent="0.3">
      <c r="H1076" s="94"/>
      <c r="I1076" s="94"/>
      <c r="J1076" s="94"/>
    </row>
    <row r="1077" spans="8:10" x14ac:dyDescent="0.3">
      <c r="H1077" s="94"/>
      <c r="I1077" s="94"/>
      <c r="J1077" s="94"/>
    </row>
    <row r="1078" spans="8:10" x14ac:dyDescent="0.3">
      <c r="H1078" s="94"/>
      <c r="I1078" s="94"/>
      <c r="J1078" s="94"/>
    </row>
    <row r="1079" spans="8:10" x14ac:dyDescent="0.3">
      <c r="H1079" s="94"/>
      <c r="I1079" s="94"/>
      <c r="J1079" s="94"/>
    </row>
    <row r="1080" spans="8:10" x14ac:dyDescent="0.3">
      <c r="H1080" s="94"/>
      <c r="I1080" s="94"/>
      <c r="J1080" s="94"/>
    </row>
    <row r="1081" spans="8:10" x14ac:dyDescent="0.3">
      <c r="H1081" s="94"/>
      <c r="I1081" s="94"/>
      <c r="J1081" s="94"/>
    </row>
    <row r="1082" spans="8:10" x14ac:dyDescent="0.3">
      <c r="H1082" s="94"/>
      <c r="I1082" s="94"/>
      <c r="J1082" s="94"/>
    </row>
    <row r="1083" spans="8:10" x14ac:dyDescent="0.3">
      <c r="H1083" s="94"/>
      <c r="I1083" s="94"/>
      <c r="J1083" s="94"/>
    </row>
    <row r="1084" spans="8:10" x14ac:dyDescent="0.3">
      <c r="H1084" s="94"/>
      <c r="I1084" s="94"/>
      <c r="J1084" s="94"/>
    </row>
    <row r="1085" spans="8:10" x14ac:dyDescent="0.3">
      <c r="H1085" s="94"/>
      <c r="I1085" s="94"/>
      <c r="J1085" s="94"/>
    </row>
    <row r="1086" spans="8:10" x14ac:dyDescent="0.3">
      <c r="H1086" s="94"/>
      <c r="I1086" s="94"/>
      <c r="J1086" s="94"/>
    </row>
    <row r="1087" spans="8:10" x14ac:dyDescent="0.3">
      <c r="H1087" s="94"/>
      <c r="I1087" s="94"/>
      <c r="J1087" s="94"/>
    </row>
    <row r="1088" spans="8:10" x14ac:dyDescent="0.3">
      <c r="H1088" s="94"/>
      <c r="I1088" s="94"/>
      <c r="J1088" s="94"/>
    </row>
    <row r="1089" spans="8:10" x14ac:dyDescent="0.3">
      <c r="H1089" s="94"/>
      <c r="I1089" s="94"/>
      <c r="J1089" s="94"/>
    </row>
    <row r="1090" spans="8:10" x14ac:dyDescent="0.3">
      <c r="H1090" s="94"/>
      <c r="I1090" s="94"/>
      <c r="J1090" s="94"/>
    </row>
    <row r="1091" spans="8:10" x14ac:dyDescent="0.3">
      <c r="H1091" s="94"/>
      <c r="I1091" s="94"/>
      <c r="J1091" s="94"/>
    </row>
    <row r="1092" spans="8:10" x14ac:dyDescent="0.3">
      <c r="H1092" s="94"/>
      <c r="I1092" s="94"/>
      <c r="J1092" s="94"/>
    </row>
    <row r="1093" spans="8:10" x14ac:dyDescent="0.3">
      <c r="H1093" s="94"/>
      <c r="I1093" s="94"/>
      <c r="J1093" s="94"/>
    </row>
    <row r="1094" spans="8:10" x14ac:dyDescent="0.3">
      <c r="H1094" s="94"/>
      <c r="I1094" s="94"/>
      <c r="J1094" s="94"/>
    </row>
    <row r="1095" spans="8:10" x14ac:dyDescent="0.3">
      <c r="H1095" s="94"/>
      <c r="I1095" s="94"/>
      <c r="J1095" s="94"/>
    </row>
    <row r="1096" spans="8:10" x14ac:dyDescent="0.3">
      <c r="H1096" s="94"/>
      <c r="I1096" s="94"/>
      <c r="J1096" s="94"/>
    </row>
    <row r="1097" spans="8:10" x14ac:dyDescent="0.3">
      <c r="H1097" s="94"/>
      <c r="I1097" s="94"/>
      <c r="J1097" s="94"/>
    </row>
    <row r="1098" spans="8:10" x14ac:dyDescent="0.3">
      <c r="H1098" s="94"/>
      <c r="I1098" s="94"/>
      <c r="J1098" s="94"/>
    </row>
    <row r="1099" spans="8:10" x14ac:dyDescent="0.3">
      <c r="H1099" s="94"/>
      <c r="I1099" s="94"/>
      <c r="J1099" s="94"/>
    </row>
    <row r="1100" spans="8:10" x14ac:dyDescent="0.3">
      <c r="H1100" s="94"/>
      <c r="I1100" s="94"/>
      <c r="J1100" s="94"/>
    </row>
    <row r="1101" spans="8:10" x14ac:dyDescent="0.3">
      <c r="H1101" s="94"/>
      <c r="I1101" s="94"/>
      <c r="J1101" s="94"/>
    </row>
    <row r="1102" spans="8:10" x14ac:dyDescent="0.3">
      <c r="H1102" s="94"/>
      <c r="I1102" s="94"/>
      <c r="J1102" s="94"/>
    </row>
    <row r="1103" spans="8:10" x14ac:dyDescent="0.3">
      <c r="H1103" s="94"/>
      <c r="I1103" s="94"/>
      <c r="J1103" s="94"/>
    </row>
    <row r="1104" spans="8:10" x14ac:dyDescent="0.3">
      <c r="H1104" s="94"/>
      <c r="I1104" s="94"/>
      <c r="J1104" s="94"/>
    </row>
    <row r="1105" spans="8:10" x14ac:dyDescent="0.3">
      <c r="H1105" s="94"/>
      <c r="I1105" s="94"/>
      <c r="J1105" s="94"/>
    </row>
    <row r="1106" spans="8:10" x14ac:dyDescent="0.3">
      <c r="H1106" s="94"/>
      <c r="I1106" s="94"/>
      <c r="J1106" s="94"/>
    </row>
    <row r="1107" spans="8:10" x14ac:dyDescent="0.3">
      <c r="H1107" s="94"/>
      <c r="I1107" s="94"/>
      <c r="J1107" s="94"/>
    </row>
    <row r="1108" spans="8:10" x14ac:dyDescent="0.3">
      <c r="H1108" s="94"/>
      <c r="I1108" s="94"/>
      <c r="J1108" s="94"/>
    </row>
    <row r="1109" spans="8:10" x14ac:dyDescent="0.3">
      <c r="H1109" s="94"/>
      <c r="I1109" s="94"/>
      <c r="J1109" s="94"/>
    </row>
    <row r="1110" spans="8:10" x14ac:dyDescent="0.3">
      <c r="H1110" s="94"/>
      <c r="I1110" s="94"/>
      <c r="J1110" s="94"/>
    </row>
    <row r="1111" spans="8:10" x14ac:dyDescent="0.3">
      <c r="H1111" s="94"/>
      <c r="I1111" s="94"/>
      <c r="J1111" s="94"/>
    </row>
    <row r="1112" spans="8:10" x14ac:dyDescent="0.3">
      <c r="H1112" s="94"/>
      <c r="I1112" s="94"/>
      <c r="J1112" s="94"/>
    </row>
    <row r="1113" spans="8:10" x14ac:dyDescent="0.3">
      <c r="H1113" s="94"/>
      <c r="I1113" s="94"/>
      <c r="J1113" s="94"/>
    </row>
    <row r="1114" spans="8:10" x14ac:dyDescent="0.3">
      <c r="H1114" s="94"/>
      <c r="I1114" s="94"/>
      <c r="J1114" s="94"/>
    </row>
    <row r="1115" spans="8:10" x14ac:dyDescent="0.3">
      <c r="H1115" s="94"/>
      <c r="I1115" s="94"/>
      <c r="J1115" s="94"/>
    </row>
    <row r="1116" spans="8:10" x14ac:dyDescent="0.3">
      <c r="H1116" s="94"/>
      <c r="I1116" s="94"/>
      <c r="J1116" s="94"/>
    </row>
    <row r="1117" spans="8:10" x14ac:dyDescent="0.3">
      <c r="H1117" s="94"/>
      <c r="I1117" s="94"/>
      <c r="J1117" s="94"/>
    </row>
    <row r="1118" spans="8:10" x14ac:dyDescent="0.3">
      <c r="H1118" s="94"/>
      <c r="I1118" s="94"/>
      <c r="J1118" s="94"/>
    </row>
    <row r="1119" spans="8:10" x14ac:dyDescent="0.3">
      <c r="H1119" s="94"/>
      <c r="I1119" s="94"/>
      <c r="J1119" s="94"/>
    </row>
    <row r="1120" spans="8:10" x14ac:dyDescent="0.3">
      <c r="H1120" s="94"/>
      <c r="I1120" s="94"/>
      <c r="J1120" s="94"/>
    </row>
    <row r="1121" spans="8:10" x14ac:dyDescent="0.3">
      <c r="H1121" s="94"/>
      <c r="I1121" s="94"/>
      <c r="J1121" s="94"/>
    </row>
    <row r="1122" spans="8:10" x14ac:dyDescent="0.3">
      <c r="H1122" s="94"/>
      <c r="I1122" s="94"/>
      <c r="J1122" s="94"/>
    </row>
    <row r="1123" spans="8:10" x14ac:dyDescent="0.3">
      <c r="H1123" s="94"/>
      <c r="I1123" s="94"/>
      <c r="J1123" s="94"/>
    </row>
    <row r="1124" spans="8:10" x14ac:dyDescent="0.3">
      <c r="H1124" s="94"/>
      <c r="I1124" s="94"/>
      <c r="J1124" s="94"/>
    </row>
    <row r="1125" spans="8:10" x14ac:dyDescent="0.3">
      <c r="H1125" s="94"/>
      <c r="I1125" s="94"/>
      <c r="J1125" s="94"/>
    </row>
    <row r="1126" spans="8:10" x14ac:dyDescent="0.3">
      <c r="H1126" s="94"/>
      <c r="I1126" s="94"/>
      <c r="J1126" s="94"/>
    </row>
    <row r="1127" spans="8:10" x14ac:dyDescent="0.3">
      <c r="H1127" s="94"/>
      <c r="I1127" s="94"/>
      <c r="J1127" s="94"/>
    </row>
    <row r="1128" spans="8:10" x14ac:dyDescent="0.3">
      <c r="H1128" s="94"/>
      <c r="I1128" s="94"/>
      <c r="J1128" s="94"/>
    </row>
    <row r="1129" spans="8:10" x14ac:dyDescent="0.3">
      <c r="H1129" s="94"/>
      <c r="I1129" s="94"/>
      <c r="J1129" s="94"/>
    </row>
    <row r="1130" spans="8:10" x14ac:dyDescent="0.3">
      <c r="H1130" s="94"/>
      <c r="I1130" s="94"/>
      <c r="J1130" s="94"/>
    </row>
    <row r="1131" spans="8:10" x14ac:dyDescent="0.3">
      <c r="H1131" s="94"/>
      <c r="I1131" s="94"/>
      <c r="J1131" s="94"/>
    </row>
    <row r="1132" spans="8:10" x14ac:dyDescent="0.3">
      <c r="H1132" s="94"/>
      <c r="I1132" s="94"/>
      <c r="J1132" s="94"/>
    </row>
    <row r="1133" spans="8:10" x14ac:dyDescent="0.3">
      <c r="H1133" s="94"/>
      <c r="I1133" s="94"/>
      <c r="J1133" s="94"/>
    </row>
    <row r="1134" spans="8:10" x14ac:dyDescent="0.3">
      <c r="H1134" s="94"/>
      <c r="I1134" s="94"/>
      <c r="J1134" s="94"/>
    </row>
    <row r="1135" spans="8:10" x14ac:dyDescent="0.3">
      <c r="H1135" s="94"/>
      <c r="I1135" s="94"/>
      <c r="J1135" s="94"/>
    </row>
    <row r="1136" spans="8:10" x14ac:dyDescent="0.3">
      <c r="H1136" s="94"/>
      <c r="I1136" s="94"/>
      <c r="J1136" s="94"/>
    </row>
    <row r="1137" spans="8:10" x14ac:dyDescent="0.3">
      <c r="H1137" s="94"/>
      <c r="I1137" s="94"/>
      <c r="J1137" s="94"/>
    </row>
    <row r="1138" spans="8:10" x14ac:dyDescent="0.3">
      <c r="H1138" s="94"/>
      <c r="I1138" s="94"/>
      <c r="J1138" s="94"/>
    </row>
    <row r="1139" spans="8:10" x14ac:dyDescent="0.3">
      <c r="H1139" s="94"/>
      <c r="I1139" s="94"/>
      <c r="J1139" s="94"/>
    </row>
    <row r="1140" spans="8:10" x14ac:dyDescent="0.3">
      <c r="H1140" s="94"/>
      <c r="I1140" s="94"/>
      <c r="J1140" s="94"/>
    </row>
    <row r="1141" spans="8:10" x14ac:dyDescent="0.3">
      <c r="H1141" s="94"/>
      <c r="I1141" s="94"/>
      <c r="J1141" s="94"/>
    </row>
    <row r="1142" spans="8:10" x14ac:dyDescent="0.3">
      <c r="H1142" s="94"/>
      <c r="I1142" s="94"/>
      <c r="J1142" s="94"/>
    </row>
    <row r="1143" spans="8:10" x14ac:dyDescent="0.3">
      <c r="H1143" s="94"/>
      <c r="I1143" s="94"/>
      <c r="J1143" s="94"/>
    </row>
    <row r="1144" spans="8:10" x14ac:dyDescent="0.3">
      <c r="H1144" s="94"/>
      <c r="I1144" s="94"/>
      <c r="J1144" s="94"/>
    </row>
    <row r="1145" spans="8:10" x14ac:dyDescent="0.3">
      <c r="H1145" s="94"/>
      <c r="I1145" s="94"/>
      <c r="J1145" s="94"/>
    </row>
    <row r="1146" spans="8:10" x14ac:dyDescent="0.3">
      <c r="H1146" s="94"/>
      <c r="I1146" s="94"/>
      <c r="J1146" s="94"/>
    </row>
    <row r="1147" spans="8:10" x14ac:dyDescent="0.3">
      <c r="H1147" s="94"/>
      <c r="I1147" s="94"/>
      <c r="J1147" s="94"/>
    </row>
    <row r="1148" spans="8:10" x14ac:dyDescent="0.3">
      <c r="H1148" s="94"/>
      <c r="I1148" s="94"/>
      <c r="J1148" s="94"/>
    </row>
    <row r="1149" spans="8:10" x14ac:dyDescent="0.3">
      <c r="H1149" s="94"/>
      <c r="I1149" s="94"/>
      <c r="J1149" s="94"/>
    </row>
    <row r="1150" spans="8:10" x14ac:dyDescent="0.3">
      <c r="H1150" s="94"/>
      <c r="I1150" s="94"/>
      <c r="J1150" s="94"/>
    </row>
    <row r="1151" spans="8:10" x14ac:dyDescent="0.3">
      <c r="H1151" s="94"/>
      <c r="I1151" s="94"/>
      <c r="J1151" s="94"/>
    </row>
    <row r="1152" spans="8:10" x14ac:dyDescent="0.3">
      <c r="H1152" s="94"/>
      <c r="I1152" s="94"/>
      <c r="J1152" s="94"/>
    </row>
    <row r="1153" spans="8:10" x14ac:dyDescent="0.3">
      <c r="H1153" s="94"/>
      <c r="I1153" s="94"/>
      <c r="J1153" s="94"/>
    </row>
    <row r="1154" spans="8:10" x14ac:dyDescent="0.3">
      <c r="H1154" s="94"/>
      <c r="I1154" s="94"/>
      <c r="J1154" s="94"/>
    </row>
    <row r="1155" spans="8:10" x14ac:dyDescent="0.3">
      <c r="H1155" s="94"/>
      <c r="I1155" s="94"/>
      <c r="J1155" s="94"/>
    </row>
    <row r="1156" spans="8:10" x14ac:dyDescent="0.3">
      <c r="H1156" s="94"/>
      <c r="I1156" s="94"/>
      <c r="J1156" s="94"/>
    </row>
    <row r="1157" spans="8:10" x14ac:dyDescent="0.3">
      <c r="H1157" s="94"/>
      <c r="I1157" s="94"/>
      <c r="J1157" s="94"/>
    </row>
    <row r="1158" spans="8:10" x14ac:dyDescent="0.3">
      <c r="H1158" s="94"/>
      <c r="I1158" s="94"/>
      <c r="J1158" s="94"/>
    </row>
    <row r="1159" spans="8:10" x14ac:dyDescent="0.3">
      <c r="H1159" s="94"/>
      <c r="I1159" s="94"/>
      <c r="J1159" s="94"/>
    </row>
    <row r="1160" spans="8:10" x14ac:dyDescent="0.3">
      <c r="H1160" s="94"/>
      <c r="I1160" s="94"/>
      <c r="J1160" s="94"/>
    </row>
    <row r="1161" spans="8:10" x14ac:dyDescent="0.3">
      <c r="H1161" s="94"/>
      <c r="I1161" s="94"/>
      <c r="J1161" s="94"/>
    </row>
    <row r="1162" spans="8:10" x14ac:dyDescent="0.3">
      <c r="H1162" s="94"/>
      <c r="I1162" s="94"/>
      <c r="J1162" s="94"/>
    </row>
    <row r="1163" spans="8:10" x14ac:dyDescent="0.3">
      <c r="H1163" s="94"/>
      <c r="I1163" s="94"/>
      <c r="J1163" s="94"/>
    </row>
    <row r="1164" spans="8:10" x14ac:dyDescent="0.3">
      <c r="H1164" s="94"/>
      <c r="I1164" s="94"/>
      <c r="J1164" s="94"/>
    </row>
    <row r="1165" spans="8:10" x14ac:dyDescent="0.3">
      <c r="H1165" s="94"/>
      <c r="I1165" s="94"/>
      <c r="J1165" s="94"/>
    </row>
    <row r="1166" spans="8:10" x14ac:dyDescent="0.3">
      <c r="H1166" s="94"/>
      <c r="I1166" s="94"/>
      <c r="J1166" s="94"/>
    </row>
    <row r="1167" spans="8:10" x14ac:dyDescent="0.3">
      <c r="H1167" s="94"/>
      <c r="I1167" s="94"/>
      <c r="J1167" s="94"/>
    </row>
    <row r="1168" spans="8:10" x14ac:dyDescent="0.3">
      <c r="H1168" s="94"/>
      <c r="I1168" s="94"/>
      <c r="J1168" s="94"/>
    </row>
    <row r="1169" spans="8:10" x14ac:dyDescent="0.3">
      <c r="H1169" s="94"/>
      <c r="I1169" s="94"/>
      <c r="J1169" s="94"/>
    </row>
    <row r="1170" spans="8:10" x14ac:dyDescent="0.3">
      <c r="H1170" s="94"/>
      <c r="I1170" s="94"/>
      <c r="J1170" s="94"/>
    </row>
    <row r="1171" spans="8:10" x14ac:dyDescent="0.3">
      <c r="H1171" s="94"/>
      <c r="I1171" s="94"/>
      <c r="J1171" s="94"/>
    </row>
    <row r="1172" spans="8:10" x14ac:dyDescent="0.3">
      <c r="H1172" s="94"/>
      <c r="I1172" s="94"/>
      <c r="J1172" s="94"/>
    </row>
    <row r="1173" spans="8:10" x14ac:dyDescent="0.3">
      <c r="H1173" s="94"/>
      <c r="I1173" s="94"/>
      <c r="J1173" s="94"/>
    </row>
    <row r="1174" spans="8:10" x14ac:dyDescent="0.3">
      <c r="H1174" s="94"/>
      <c r="I1174" s="94"/>
      <c r="J1174" s="94"/>
    </row>
    <row r="1175" spans="8:10" x14ac:dyDescent="0.3">
      <c r="H1175" s="94"/>
      <c r="I1175" s="94"/>
      <c r="J1175" s="94"/>
    </row>
    <row r="1176" spans="8:10" x14ac:dyDescent="0.3">
      <c r="H1176" s="94"/>
      <c r="I1176" s="94"/>
      <c r="J1176" s="94"/>
    </row>
    <row r="1177" spans="8:10" x14ac:dyDescent="0.3">
      <c r="H1177" s="94"/>
      <c r="I1177" s="94"/>
      <c r="J1177" s="94"/>
    </row>
    <row r="1178" spans="8:10" x14ac:dyDescent="0.3">
      <c r="H1178" s="94"/>
      <c r="I1178" s="94"/>
      <c r="J1178" s="94"/>
    </row>
    <row r="1179" spans="8:10" x14ac:dyDescent="0.3">
      <c r="H1179" s="94"/>
      <c r="I1179" s="94"/>
      <c r="J1179" s="94"/>
    </row>
    <row r="1180" spans="8:10" x14ac:dyDescent="0.3">
      <c r="H1180" s="94"/>
      <c r="I1180" s="94"/>
      <c r="J1180" s="94"/>
    </row>
    <row r="1181" spans="8:10" x14ac:dyDescent="0.3">
      <c r="H1181" s="94"/>
      <c r="I1181" s="94"/>
      <c r="J1181" s="94"/>
    </row>
    <row r="1182" spans="8:10" x14ac:dyDescent="0.3">
      <c r="H1182" s="94"/>
      <c r="I1182" s="94"/>
      <c r="J1182" s="94"/>
    </row>
    <row r="1183" spans="8:10" x14ac:dyDescent="0.3">
      <c r="H1183" s="94"/>
      <c r="I1183" s="94"/>
      <c r="J1183" s="94"/>
    </row>
    <row r="1184" spans="8:10" x14ac:dyDescent="0.3">
      <c r="H1184" s="94"/>
      <c r="I1184" s="94"/>
      <c r="J1184" s="94"/>
    </row>
    <row r="1185" spans="8:10" x14ac:dyDescent="0.3">
      <c r="H1185" s="94"/>
      <c r="I1185" s="94"/>
      <c r="J1185" s="94"/>
    </row>
    <row r="1186" spans="8:10" x14ac:dyDescent="0.3">
      <c r="H1186" s="94"/>
      <c r="I1186" s="94"/>
      <c r="J1186" s="94"/>
    </row>
    <row r="1187" spans="8:10" x14ac:dyDescent="0.3">
      <c r="H1187" s="94"/>
      <c r="I1187" s="94"/>
      <c r="J1187" s="94"/>
    </row>
    <row r="1188" spans="8:10" x14ac:dyDescent="0.3">
      <c r="H1188" s="94"/>
      <c r="I1188" s="94"/>
      <c r="J1188" s="94"/>
    </row>
    <row r="1189" spans="8:10" x14ac:dyDescent="0.3">
      <c r="H1189" s="94"/>
      <c r="I1189" s="94"/>
      <c r="J1189" s="94"/>
    </row>
    <row r="1190" spans="8:10" x14ac:dyDescent="0.3">
      <c r="H1190" s="94"/>
      <c r="I1190" s="94"/>
      <c r="J1190" s="94"/>
    </row>
    <row r="1191" spans="8:10" x14ac:dyDescent="0.3">
      <c r="H1191" s="94"/>
      <c r="I1191" s="94"/>
      <c r="J1191" s="94"/>
    </row>
    <row r="1192" spans="8:10" x14ac:dyDescent="0.3">
      <c r="H1192" s="94"/>
      <c r="I1192" s="94"/>
      <c r="J1192" s="94"/>
    </row>
    <row r="1193" spans="8:10" x14ac:dyDescent="0.3">
      <c r="H1193" s="94"/>
      <c r="I1193" s="94"/>
      <c r="J1193" s="94"/>
    </row>
    <row r="1194" spans="8:10" x14ac:dyDescent="0.3">
      <c r="H1194" s="94"/>
      <c r="I1194" s="94"/>
      <c r="J1194" s="94"/>
    </row>
    <row r="1195" spans="8:10" x14ac:dyDescent="0.3">
      <c r="H1195" s="94"/>
      <c r="I1195" s="94"/>
      <c r="J1195" s="94"/>
    </row>
    <row r="1196" spans="8:10" x14ac:dyDescent="0.3">
      <c r="H1196" s="94"/>
      <c r="I1196" s="94"/>
      <c r="J1196" s="94"/>
    </row>
    <row r="1197" spans="8:10" x14ac:dyDescent="0.3">
      <c r="H1197" s="94"/>
      <c r="I1197" s="94"/>
      <c r="J1197" s="94"/>
    </row>
    <row r="1198" spans="8:10" x14ac:dyDescent="0.3">
      <c r="H1198" s="94"/>
      <c r="I1198" s="94"/>
      <c r="J1198" s="94"/>
    </row>
    <row r="1199" spans="8:10" x14ac:dyDescent="0.3">
      <c r="H1199" s="94"/>
      <c r="I1199" s="94"/>
      <c r="J1199" s="94"/>
    </row>
    <row r="1200" spans="8:10" x14ac:dyDescent="0.3">
      <c r="H1200" s="94"/>
      <c r="I1200" s="94"/>
      <c r="J1200" s="94"/>
    </row>
    <row r="1201" spans="8:10" x14ac:dyDescent="0.3">
      <c r="H1201" s="94"/>
      <c r="I1201" s="94"/>
      <c r="J1201" s="94"/>
    </row>
    <row r="1202" spans="8:10" x14ac:dyDescent="0.3">
      <c r="H1202" s="94"/>
      <c r="I1202" s="94"/>
      <c r="J1202" s="94"/>
    </row>
    <row r="1203" spans="8:10" x14ac:dyDescent="0.3">
      <c r="H1203" s="94"/>
      <c r="I1203" s="94"/>
      <c r="J1203" s="94"/>
    </row>
    <row r="1204" spans="8:10" x14ac:dyDescent="0.3">
      <c r="H1204" s="94"/>
      <c r="I1204" s="94"/>
      <c r="J1204" s="94"/>
    </row>
    <row r="1205" spans="8:10" x14ac:dyDescent="0.3">
      <c r="H1205" s="94"/>
      <c r="I1205" s="94"/>
      <c r="J1205" s="94"/>
    </row>
    <row r="1206" spans="8:10" x14ac:dyDescent="0.3">
      <c r="H1206" s="94"/>
      <c r="I1206" s="94"/>
      <c r="J1206" s="94"/>
    </row>
    <row r="1207" spans="8:10" x14ac:dyDescent="0.3">
      <c r="H1207" s="94"/>
      <c r="I1207" s="94"/>
      <c r="J1207" s="94"/>
    </row>
    <row r="1208" spans="8:10" x14ac:dyDescent="0.3">
      <c r="H1208" s="94"/>
      <c r="I1208" s="94"/>
      <c r="J1208" s="94"/>
    </row>
    <row r="1209" spans="8:10" x14ac:dyDescent="0.3">
      <c r="H1209" s="94"/>
      <c r="I1209" s="94"/>
      <c r="J1209" s="94"/>
    </row>
    <row r="1210" spans="8:10" x14ac:dyDescent="0.3">
      <c r="H1210" s="94"/>
      <c r="I1210" s="94"/>
      <c r="J1210" s="94"/>
    </row>
    <row r="1211" spans="8:10" x14ac:dyDescent="0.3">
      <c r="H1211" s="94"/>
      <c r="I1211" s="94"/>
      <c r="J1211" s="94"/>
    </row>
    <row r="1212" spans="8:10" x14ac:dyDescent="0.3">
      <c r="H1212" s="94"/>
      <c r="I1212" s="94"/>
      <c r="J1212" s="94"/>
    </row>
    <row r="1213" spans="8:10" x14ac:dyDescent="0.3">
      <c r="H1213" s="94"/>
      <c r="I1213" s="94"/>
      <c r="J1213" s="94"/>
    </row>
    <row r="1214" spans="8:10" x14ac:dyDescent="0.3">
      <c r="H1214" s="94"/>
      <c r="I1214" s="94"/>
      <c r="J1214" s="94"/>
    </row>
    <row r="1215" spans="8:10" x14ac:dyDescent="0.3">
      <c r="H1215" s="94"/>
      <c r="I1215" s="94"/>
      <c r="J1215" s="94"/>
    </row>
    <row r="1216" spans="8:10" x14ac:dyDescent="0.3">
      <c r="H1216" s="94"/>
      <c r="I1216" s="94"/>
      <c r="J1216" s="94"/>
    </row>
    <row r="1217" spans="8:10" x14ac:dyDescent="0.3">
      <c r="H1217" s="94"/>
      <c r="I1217" s="94"/>
      <c r="J1217" s="94"/>
    </row>
    <row r="1218" spans="8:10" x14ac:dyDescent="0.3">
      <c r="H1218" s="94"/>
      <c r="I1218" s="94"/>
      <c r="J1218" s="94"/>
    </row>
    <row r="1219" spans="8:10" x14ac:dyDescent="0.3">
      <c r="H1219" s="94"/>
      <c r="I1219" s="94"/>
      <c r="J1219" s="94"/>
    </row>
    <row r="1220" spans="8:10" x14ac:dyDescent="0.3">
      <c r="H1220" s="94"/>
      <c r="I1220" s="94"/>
      <c r="J1220" s="94"/>
    </row>
    <row r="1221" spans="8:10" x14ac:dyDescent="0.3">
      <c r="H1221" s="94"/>
      <c r="I1221" s="94"/>
      <c r="J1221" s="94"/>
    </row>
    <row r="1222" spans="8:10" x14ac:dyDescent="0.3">
      <c r="H1222" s="94"/>
      <c r="I1222" s="94"/>
      <c r="J1222" s="94"/>
    </row>
    <row r="1223" spans="8:10" x14ac:dyDescent="0.3">
      <c r="H1223" s="94"/>
      <c r="I1223" s="94"/>
      <c r="J1223" s="94"/>
    </row>
    <row r="1224" spans="8:10" x14ac:dyDescent="0.3">
      <c r="H1224" s="94"/>
      <c r="I1224" s="94"/>
      <c r="J1224" s="94"/>
    </row>
    <row r="1225" spans="8:10" x14ac:dyDescent="0.3">
      <c r="H1225" s="94"/>
      <c r="I1225" s="94"/>
      <c r="J1225" s="94"/>
    </row>
    <row r="1226" spans="8:10" x14ac:dyDescent="0.3">
      <c r="H1226" s="94"/>
      <c r="I1226" s="94"/>
      <c r="J1226" s="94"/>
    </row>
    <row r="1227" spans="8:10" x14ac:dyDescent="0.3">
      <c r="H1227" s="94"/>
      <c r="I1227" s="94"/>
      <c r="J1227" s="94"/>
    </row>
    <row r="1228" spans="8:10" x14ac:dyDescent="0.3">
      <c r="H1228" s="94"/>
      <c r="I1228" s="94"/>
      <c r="J1228" s="94"/>
    </row>
    <row r="1229" spans="8:10" x14ac:dyDescent="0.3">
      <c r="H1229" s="94"/>
      <c r="I1229" s="94"/>
      <c r="J1229" s="94"/>
    </row>
    <row r="1230" spans="8:10" x14ac:dyDescent="0.3">
      <c r="H1230" s="94"/>
      <c r="I1230" s="94"/>
      <c r="J1230" s="94"/>
    </row>
    <row r="1231" spans="8:10" x14ac:dyDescent="0.3">
      <c r="H1231" s="94"/>
      <c r="I1231" s="94"/>
      <c r="J1231" s="94"/>
    </row>
    <row r="1232" spans="8:10" x14ac:dyDescent="0.3">
      <c r="H1232" s="94"/>
      <c r="I1232" s="94"/>
      <c r="J1232" s="94"/>
    </row>
    <row r="1233" spans="8:10" x14ac:dyDescent="0.3">
      <c r="H1233" s="94"/>
      <c r="I1233" s="94"/>
      <c r="J1233" s="94"/>
    </row>
    <row r="1234" spans="8:10" x14ac:dyDescent="0.3">
      <c r="H1234" s="94"/>
      <c r="I1234" s="94"/>
      <c r="J1234" s="94"/>
    </row>
    <row r="1235" spans="8:10" x14ac:dyDescent="0.3">
      <c r="H1235" s="94"/>
      <c r="I1235" s="94"/>
      <c r="J1235" s="94"/>
    </row>
    <row r="1236" spans="8:10" x14ac:dyDescent="0.3">
      <c r="H1236" s="94"/>
      <c r="I1236" s="94"/>
      <c r="J1236" s="94"/>
    </row>
    <row r="1237" spans="8:10" x14ac:dyDescent="0.3">
      <c r="H1237" s="94"/>
      <c r="I1237" s="94"/>
      <c r="J1237" s="94"/>
    </row>
    <row r="1238" spans="8:10" x14ac:dyDescent="0.3">
      <c r="H1238" s="94"/>
      <c r="I1238" s="94"/>
      <c r="J1238" s="94"/>
    </row>
    <row r="1239" spans="8:10" x14ac:dyDescent="0.3">
      <c r="H1239" s="94"/>
      <c r="I1239" s="94"/>
      <c r="J1239" s="94"/>
    </row>
    <row r="1240" spans="8:10" x14ac:dyDescent="0.3">
      <c r="H1240" s="94"/>
      <c r="I1240" s="94"/>
      <c r="J1240" s="94"/>
    </row>
    <row r="1241" spans="8:10" x14ac:dyDescent="0.3">
      <c r="H1241" s="94"/>
      <c r="I1241" s="94"/>
      <c r="J1241" s="94"/>
    </row>
    <row r="1242" spans="8:10" x14ac:dyDescent="0.3">
      <c r="H1242" s="94"/>
      <c r="I1242" s="94"/>
      <c r="J1242" s="94"/>
    </row>
    <row r="1243" spans="8:10" x14ac:dyDescent="0.3">
      <c r="H1243" s="94"/>
      <c r="I1243" s="94"/>
      <c r="J1243" s="94"/>
    </row>
    <row r="1244" spans="8:10" x14ac:dyDescent="0.3">
      <c r="H1244" s="94"/>
      <c r="I1244" s="94"/>
      <c r="J1244" s="94"/>
    </row>
    <row r="1245" spans="8:10" x14ac:dyDescent="0.3">
      <c r="H1245" s="94"/>
      <c r="I1245" s="94"/>
      <c r="J1245" s="94"/>
    </row>
    <row r="1246" spans="8:10" x14ac:dyDescent="0.3">
      <c r="H1246" s="94"/>
      <c r="I1246" s="94"/>
      <c r="J1246" s="94"/>
    </row>
    <row r="1247" spans="8:10" x14ac:dyDescent="0.3">
      <c r="H1247" s="94"/>
      <c r="I1247" s="94"/>
      <c r="J1247" s="94"/>
    </row>
    <row r="1248" spans="8:10" x14ac:dyDescent="0.3">
      <c r="H1248" s="94"/>
      <c r="I1248" s="94"/>
      <c r="J1248" s="94"/>
    </row>
    <row r="1249" spans="8:10" x14ac:dyDescent="0.3">
      <c r="H1249" s="94"/>
      <c r="I1249" s="94"/>
      <c r="J1249" s="94"/>
    </row>
    <row r="1250" spans="8:10" x14ac:dyDescent="0.3">
      <c r="H1250" s="94"/>
      <c r="I1250" s="94"/>
      <c r="J1250" s="94"/>
    </row>
    <row r="1251" spans="8:10" x14ac:dyDescent="0.3">
      <c r="H1251" s="94"/>
      <c r="I1251" s="94"/>
      <c r="J1251" s="94"/>
    </row>
    <row r="1252" spans="8:10" x14ac:dyDescent="0.3">
      <c r="H1252" s="94"/>
      <c r="I1252" s="94"/>
      <c r="J1252" s="94"/>
    </row>
  </sheetData>
  <mergeCells count="5">
    <mergeCell ref="B7:D7"/>
    <mergeCell ref="F7:G7"/>
    <mergeCell ref="I7:J7"/>
    <mergeCell ref="B5:D5"/>
    <mergeCell ref="B2:L2"/>
  </mergeCells>
  <pageMargins left="0.23622047244094491" right="0" top="0.39370078740157483" bottom="0" header="0.31496062992125984" footer="0.31496062992125984"/>
  <pageSetup paperSize="9" scale="9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67"/>
  <sheetViews>
    <sheetView showGridLines="0" workbookViewId="0">
      <pane ySplit="5" topLeftCell="A6" activePane="bottomLeft" state="frozen"/>
      <selection pane="bottomLeft" activeCell="N30" sqref="N30"/>
    </sheetView>
  </sheetViews>
  <sheetFormatPr defaultRowHeight="14.4" x14ac:dyDescent="0.3"/>
  <cols>
    <col min="1" max="1" width="1.88671875" customWidth="1"/>
    <col min="6" max="6" width="3.21875" customWidth="1"/>
    <col min="7" max="9" width="11.77734375" customWidth="1"/>
    <col min="10" max="10" width="14" bestFit="1" customWidth="1"/>
    <col min="11" max="11" width="12.44140625" customWidth="1"/>
  </cols>
  <sheetData>
    <row r="1" spans="2:12" ht="5.4" customHeight="1" x14ac:dyDescent="0.3"/>
    <row r="2" spans="2:12" ht="40.799999999999997" customHeight="1" x14ac:dyDescent="0.35">
      <c r="B2" s="240" t="s">
        <v>1645</v>
      </c>
      <c r="C2" s="240"/>
      <c r="D2" s="240"/>
      <c r="E2" s="240"/>
      <c r="F2" s="240"/>
      <c r="G2" s="240"/>
      <c r="H2" s="240"/>
      <c r="I2" s="240"/>
      <c r="J2" s="240"/>
      <c r="K2" s="240"/>
      <c r="L2" s="240"/>
    </row>
    <row r="3" spans="2:12" ht="11.4" customHeight="1" x14ac:dyDescent="0.3">
      <c r="B3" s="237" t="s">
        <v>1643</v>
      </c>
      <c r="C3" s="232"/>
      <c r="D3" s="232"/>
      <c r="E3" s="232"/>
      <c r="F3" s="232"/>
      <c r="G3" s="232"/>
      <c r="H3" s="232"/>
      <c r="I3" s="232"/>
      <c r="J3" s="232"/>
      <c r="K3" s="232"/>
      <c r="L3" s="232"/>
    </row>
    <row r="4" spans="2:12" ht="11.4" customHeight="1" thickBot="1" x14ac:dyDescent="0.35">
      <c r="B4" s="238" t="s">
        <v>1644</v>
      </c>
      <c r="C4" s="239"/>
      <c r="D4" s="239"/>
      <c r="E4" s="239"/>
      <c r="F4" s="239"/>
      <c r="G4" s="239"/>
      <c r="H4" s="239"/>
      <c r="I4" s="239"/>
      <c r="J4" s="239"/>
      <c r="K4" s="239"/>
      <c r="L4" s="232"/>
    </row>
    <row r="5" spans="2:12" ht="2.4" customHeight="1" x14ac:dyDescent="0.3"/>
    <row r="6" spans="2:12" x14ac:dyDescent="0.3">
      <c r="B6" s="234" t="s">
        <v>419</v>
      </c>
      <c r="C6" s="234"/>
      <c r="D6" s="234"/>
      <c r="E6" s="234"/>
      <c r="F6" s="234"/>
      <c r="G6" s="235">
        <f>Sheet1!J2</f>
        <v>43891</v>
      </c>
      <c r="H6" s="235">
        <f>Sheet1!K2</f>
        <v>44256</v>
      </c>
      <c r="I6" s="235">
        <f>Sheet1!L2</f>
        <v>44621</v>
      </c>
      <c r="J6" s="235">
        <f>Sheet1!M2</f>
        <v>44986</v>
      </c>
      <c r="K6" s="235">
        <f>Sheet1!N2</f>
        <v>45352</v>
      </c>
    </row>
    <row r="7" spans="2:12" ht="3.6" customHeight="1" x14ac:dyDescent="0.3"/>
    <row r="8" spans="2:12" x14ac:dyDescent="0.3">
      <c r="B8" s="173" t="s">
        <v>420</v>
      </c>
      <c r="C8" s="173"/>
      <c r="D8" s="173"/>
      <c r="E8" s="173"/>
      <c r="F8" s="173"/>
      <c r="G8" s="174">
        <f>Sheet1!J35</f>
        <v>1947</v>
      </c>
      <c r="H8" s="174">
        <f>Sheet1!K35</f>
        <v>2248</v>
      </c>
      <c r="I8" s="174">
        <f>Sheet1!L35</f>
        <v>2743</v>
      </c>
      <c r="J8" s="174">
        <f>Sheet1!M35</f>
        <v>3243</v>
      </c>
      <c r="K8" s="174">
        <f>Sheet1!N35</f>
        <v>3927</v>
      </c>
    </row>
    <row r="9" spans="2:12" x14ac:dyDescent="0.3">
      <c r="B9" s="173" t="str">
        <f>Sheet1!B35</f>
        <v>Inventories</v>
      </c>
      <c r="C9" s="173"/>
      <c r="D9" s="173"/>
      <c r="E9" s="173"/>
      <c r="F9" s="173"/>
      <c r="G9" s="174">
        <f>Sheet1!J36</f>
        <v>20</v>
      </c>
      <c r="H9" s="174">
        <f>Sheet1!K36</f>
        <v>44</v>
      </c>
      <c r="I9" s="174">
        <f>Sheet1!L36</f>
        <v>67</v>
      </c>
      <c r="J9" s="174">
        <f>Sheet1!M36</f>
        <v>62</v>
      </c>
      <c r="K9" s="174">
        <f>Sheet1!N36</f>
        <v>166</v>
      </c>
    </row>
    <row r="10" spans="2:12" x14ac:dyDescent="0.3">
      <c r="B10" s="173" t="str">
        <f>Sheet1!B36</f>
        <v>Trade receivables</v>
      </c>
      <c r="C10" s="173"/>
      <c r="D10" s="173"/>
      <c r="E10" s="173"/>
      <c r="F10" s="173"/>
      <c r="G10" s="174">
        <f>Sheet1!J38</f>
        <v>2</v>
      </c>
      <c r="H10" s="174">
        <f>Sheet1!K38</f>
        <v>2</v>
      </c>
      <c r="I10" s="174">
        <f>Sheet1!L38</f>
        <v>2</v>
      </c>
      <c r="J10" s="174">
        <f>Sheet1!M38</f>
        <v>2</v>
      </c>
      <c r="K10" s="174">
        <f>Sheet1!N38</f>
        <v>3</v>
      </c>
    </row>
    <row r="11" spans="2:12" x14ac:dyDescent="0.3">
      <c r="B11" s="173" t="str">
        <f>Sheet1!B38</f>
        <v>Loans n Advances</v>
      </c>
      <c r="C11" s="173"/>
      <c r="D11" s="173"/>
      <c r="E11" s="173"/>
      <c r="F11" s="173"/>
      <c r="G11" s="174">
        <f>Sheet1!J39</f>
        <v>3672</v>
      </c>
      <c r="H11" s="174">
        <f>Sheet1!K39</f>
        <v>1884</v>
      </c>
      <c r="I11" s="174">
        <f>Sheet1!L39</f>
        <v>1965</v>
      </c>
      <c r="J11" s="174">
        <f>Sheet1!M39</f>
        <v>1017</v>
      </c>
      <c r="K11" s="174">
        <f>Sheet1!N39</f>
        <v>1981</v>
      </c>
    </row>
    <row r="12" spans="2:12" x14ac:dyDescent="0.3">
      <c r="B12" s="173" t="str">
        <f>Sheet1!B39</f>
        <v>Other asset items</v>
      </c>
      <c r="C12" s="173"/>
      <c r="D12" s="173"/>
      <c r="E12" s="173"/>
      <c r="F12" s="173"/>
      <c r="G12" s="174"/>
      <c r="H12" s="174"/>
      <c r="I12" s="174"/>
      <c r="J12" s="174"/>
      <c r="K12" s="174"/>
    </row>
    <row r="13" spans="2:12" x14ac:dyDescent="0.3">
      <c r="B13" s="8" t="s">
        <v>108</v>
      </c>
      <c r="C13" s="8"/>
      <c r="D13" s="11"/>
      <c r="E13" s="11"/>
      <c r="F13" s="11"/>
      <c r="G13" s="168">
        <f>SUM(G8:G11)</f>
        <v>5641</v>
      </c>
      <c r="H13" s="168">
        <f t="shared" ref="H13:K13" si="0">SUM(H8:H11)</f>
        <v>4178</v>
      </c>
      <c r="I13" s="168">
        <f t="shared" si="0"/>
        <v>4777</v>
      </c>
      <c r="J13" s="168">
        <f t="shared" si="0"/>
        <v>4324</v>
      </c>
      <c r="K13" s="168">
        <f t="shared" si="0"/>
        <v>6077</v>
      </c>
    </row>
    <row r="14" spans="2:12" ht="5.4" customHeight="1" x14ac:dyDescent="0.3">
      <c r="B14" s="11"/>
      <c r="C14" s="11"/>
      <c r="D14" s="11"/>
      <c r="E14" s="11"/>
      <c r="F14" s="11"/>
      <c r="G14" s="160"/>
      <c r="H14" s="160"/>
      <c r="I14" s="160"/>
      <c r="J14" s="160"/>
      <c r="K14" s="160"/>
    </row>
    <row r="15" spans="2:12" x14ac:dyDescent="0.3">
      <c r="B15" s="8" t="s">
        <v>422</v>
      </c>
      <c r="C15" s="8"/>
      <c r="D15" s="11"/>
      <c r="E15" s="11"/>
      <c r="F15" s="11"/>
      <c r="G15" s="168"/>
      <c r="H15" s="168"/>
      <c r="I15" s="168"/>
      <c r="J15" s="168"/>
      <c r="K15" s="168"/>
    </row>
    <row r="16" spans="2:12" x14ac:dyDescent="0.3">
      <c r="B16" t="str">
        <f>Sheet1!B13</f>
        <v>Trade Payables</v>
      </c>
      <c r="G16" s="166">
        <f>Sheet1!J13</f>
        <v>433</v>
      </c>
      <c r="H16" s="166">
        <f>Sheet1!K13</f>
        <v>578</v>
      </c>
      <c r="I16" s="166">
        <f>Sheet1!L13</f>
        <v>589</v>
      </c>
      <c r="J16" s="166">
        <f>Sheet1!M13</f>
        <v>754</v>
      </c>
      <c r="K16" s="166">
        <f>Sheet1!N13</f>
        <v>985</v>
      </c>
    </row>
    <row r="17" spans="1:11 16374:16374" x14ac:dyDescent="0.3">
      <c r="B17" t="str">
        <f>Sheet1!B14</f>
        <v>Other liability items</v>
      </c>
      <c r="G17" s="166">
        <f>Sheet1!J14</f>
        <v>229</v>
      </c>
      <c r="H17" s="166">
        <f>Sheet1!K14</f>
        <v>500</v>
      </c>
      <c r="I17" s="166">
        <f>Sheet1!L14</f>
        <v>557</v>
      </c>
      <c r="J17" s="166">
        <f>Sheet1!M14</f>
        <v>629</v>
      </c>
      <c r="K17" s="166">
        <f>Sheet1!N14</f>
        <v>898</v>
      </c>
    </row>
    <row r="18" spans="1:11 16374:16374" x14ac:dyDescent="0.3">
      <c r="B18" s="114" t="s">
        <v>421</v>
      </c>
      <c r="C18" s="114"/>
      <c r="D18" s="107"/>
      <c r="E18" s="107"/>
      <c r="F18" s="107"/>
      <c r="G18" s="167">
        <f>SUM(G16:G17)</f>
        <v>662</v>
      </c>
      <c r="H18" s="167">
        <f t="shared" ref="H18:K18" si="1">SUM(H16:H17)</f>
        <v>1078</v>
      </c>
      <c r="I18" s="167">
        <f t="shared" si="1"/>
        <v>1146</v>
      </c>
      <c r="J18" s="167">
        <f t="shared" si="1"/>
        <v>1383</v>
      </c>
      <c r="K18" s="167">
        <f t="shared" si="1"/>
        <v>1883</v>
      </c>
    </row>
    <row r="19" spans="1:11 16374:16374" x14ac:dyDescent="0.3">
      <c r="G19" s="166"/>
      <c r="H19" s="166"/>
      <c r="I19" s="166"/>
      <c r="J19" s="166"/>
      <c r="K19" s="166"/>
    </row>
    <row r="20" spans="1:11 16374:16374" ht="15" thickBot="1" x14ac:dyDescent="0.35">
      <c r="A20" s="36" t="s">
        <v>82</v>
      </c>
      <c r="B20" s="161" t="s">
        <v>424</v>
      </c>
      <c r="C20" s="161"/>
      <c r="D20" s="161"/>
      <c r="E20" s="161"/>
      <c r="F20" s="161"/>
      <c r="G20" s="169">
        <f>G13-G18</f>
        <v>4979</v>
      </c>
      <c r="H20" s="169">
        <f t="shared" ref="H20:K20" si="2">H13-H18</f>
        <v>3100</v>
      </c>
      <c r="I20" s="169">
        <f t="shared" si="2"/>
        <v>3631</v>
      </c>
      <c r="J20" s="169">
        <f t="shared" si="2"/>
        <v>2941</v>
      </c>
      <c r="K20" s="169">
        <f t="shared" si="2"/>
        <v>4194</v>
      </c>
    </row>
    <row r="21" spans="1:11 16374:16374" ht="3.6" customHeight="1" x14ac:dyDescent="0.3">
      <c r="G21" s="166"/>
      <c r="H21" s="166"/>
      <c r="I21" s="166"/>
      <c r="J21" s="166"/>
      <c r="K21" s="166"/>
    </row>
    <row r="22" spans="1:11 16374:16374" x14ac:dyDescent="0.3">
      <c r="B22" s="8" t="s">
        <v>425</v>
      </c>
      <c r="C22" s="8"/>
      <c r="D22" s="11"/>
      <c r="E22" s="11"/>
      <c r="F22" s="11"/>
      <c r="G22" s="168"/>
      <c r="H22" s="168"/>
      <c r="I22" s="168"/>
      <c r="J22" s="168"/>
      <c r="K22" s="168"/>
    </row>
    <row r="23" spans="1:11 16374:16374" x14ac:dyDescent="0.3">
      <c r="B23" s="162" t="str">
        <f>Sheet1!B18</f>
        <v>Land</v>
      </c>
      <c r="C23" s="162"/>
      <c r="D23" s="162"/>
      <c r="E23" s="162"/>
      <c r="F23" s="162"/>
      <c r="G23" s="170">
        <f>Sheet1!J18</f>
        <v>2740</v>
      </c>
      <c r="H23" s="170">
        <f>Sheet1!K18</f>
        <v>3483</v>
      </c>
      <c r="I23" s="170">
        <f>Sheet1!L18</f>
        <v>4527</v>
      </c>
      <c r="J23" s="170">
        <f>Sheet1!M18</f>
        <v>5519</v>
      </c>
      <c r="K23" s="170">
        <f>Sheet1!N18</f>
        <v>6904</v>
      </c>
    </row>
    <row r="24" spans="1:11 16374:16374" x14ac:dyDescent="0.3">
      <c r="B24" s="162" t="str">
        <f>Sheet1!B19</f>
        <v>Building</v>
      </c>
      <c r="C24" s="162"/>
      <c r="D24" s="162"/>
      <c r="E24" s="162"/>
      <c r="F24" s="162"/>
      <c r="G24" s="170">
        <f>Sheet1!J19</f>
        <v>3139</v>
      </c>
      <c r="H24" s="170">
        <f>Sheet1!K19</f>
        <v>3649</v>
      </c>
      <c r="I24" s="170">
        <f>Sheet1!L19</f>
        <v>4938</v>
      </c>
      <c r="J24" s="170">
        <f>Sheet1!M19</f>
        <v>6201</v>
      </c>
      <c r="K24" s="170">
        <f>Sheet1!N19</f>
        <v>7062</v>
      </c>
    </row>
    <row r="25" spans="1:11 16374:16374" x14ac:dyDescent="0.3">
      <c r="B25" s="162" t="str">
        <f>Sheet1!B20</f>
        <v>Plant Machinery</v>
      </c>
      <c r="C25" s="162"/>
      <c r="D25" s="162"/>
      <c r="E25" s="162"/>
      <c r="F25" s="162"/>
      <c r="G25" s="170">
        <f>Sheet1!J20</f>
        <v>272</v>
      </c>
      <c r="H25" s="170">
        <f>Sheet1!K20</f>
        <v>352</v>
      </c>
      <c r="I25" s="170">
        <f>Sheet1!L20</f>
        <v>491</v>
      </c>
      <c r="J25" s="170">
        <f>Sheet1!M20</f>
        <v>656</v>
      </c>
      <c r="K25" s="170">
        <f>Sheet1!N20</f>
        <v>870</v>
      </c>
    </row>
    <row r="26" spans="1:11 16374:16374" x14ac:dyDescent="0.3">
      <c r="B26" s="162" t="str">
        <f>Sheet1!B21</f>
        <v>Equipments</v>
      </c>
      <c r="C26" s="162"/>
      <c r="D26" s="162"/>
      <c r="E26" s="162"/>
      <c r="F26" s="162"/>
      <c r="G26" s="170">
        <f>Sheet1!J21</f>
        <v>39</v>
      </c>
      <c r="H26" s="170">
        <f>Sheet1!K21</f>
        <v>50</v>
      </c>
      <c r="I26" s="170">
        <f>Sheet1!L21</f>
        <v>73</v>
      </c>
      <c r="J26" s="170">
        <f>Sheet1!M21</f>
        <v>85</v>
      </c>
      <c r="K26" s="170">
        <f>Sheet1!N21</f>
        <v>97</v>
      </c>
    </row>
    <row r="27" spans="1:11 16374:16374" x14ac:dyDescent="0.3">
      <c r="B27" s="162" t="str">
        <f>Sheet1!B22</f>
        <v>Computers</v>
      </c>
      <c r="C27" s="162"/>
      <c r="D27" s="162"/>
      <c r="E27" s="162"/>
      <c r="F27" s="162"/>
      <c r="G27" s="170">
        <f>Sheet1!J22</f>
        <v>95</v>
      </c>
      <c r="H27" s="170">
        <f>Sheet1!K22</f>
        <v>119</v>
      </c>
      <c r="I27" s="170">
        <f>Sheet1!L22</f>
        <v>153</v>
      </c>
      <c r="J27" s="170">
        <f>Sheet1!M22</f>
        <v>190</v>
      </c>
      <c r="K27" s="170">
        <f>Sheet1!N22</f>
        <v>219</v>
      </c>
      <c r="XET27" t="s">
        <v>423</v>
      </c>
    </row>
    <row r="28" spans="1:11 16374:16374" x14ac:dyDescent="0.3">
      <c r="B28" s="162" t="str">
        <f>Sheet1!B23</f>
        <v>Furniture n fittings</v>
      </c>
      <c r="C28" s="162"/>
      <c r="D28" s="162"/>
      <c r="E28" s="162"/>
      <c r="F28" s="162"/>
      <c r="G28" s="170">
        <f>Sheet1!J23</f>
        <v>476</v>
      </c>
      <c r="H28" s="170">
        <f>Sheet1!K23</f>
        <v>581</v>
      </c>
      <c r="I28" s="170">
        <f>Sheet1!L23</f>
        <v>772</v>
      </c>
      <c r="J28" s="170">
        <f>Sheet1!M23</f>
        <v>968</v>
      </c>
      <c r="K28" s="170">
        <f>Sheet1!N23</f>
        <v>1205</v>
      </c>
    </row>
    <row r="29" spans="1:11 16374:16374" x14ac:dyDescent="0.3">
      <c r="B29" s="162" t="str">
        <f>Sheet1!B24</f>
        <v>Vehicles</v>
      </c>
      <c r="C29" s="162"/>
      <c r="D29" s="162"/>
      <c r="E29" s="162"/>
      <c r="F29" s="162"/>
      <c r="G29" s="170">
        <f>Sheet1!J24</f>
        <v>4</v>
      </c>
      <c r="H29" s="170">
        <f>Sheet1!K24</f>
        <v>4</v>
      </c>
      <c r="I29" s="170">
        <f>Sheet1!L24</f>
        <v>3</v>
      </c>
      <c r="J29" s="170">
        <f>Sheet1!M24</f>
        <v>15</v>
      </c>
      <c r="K29" s="170">
        <f>Sheet1!N24</f>
        <v>17</v>
      </c>
    </row>
    <row r="30" spans="1:11 16374:16374" x14ac:dyDescent="0.3">
      <c r="B30" s="162" t="str">
        <f>Sheet1!B25</f>
        <v>Intangible Assets</v>
      </c>
      <c r="C30" s="162"/>
      <c r="D30" s="162"/>
      <c r="E30" s="162"/>
      <c r="F30" s="162"/>
      <c r="G30" s="170">
        <f>Sheet1!J25</f>
        <v>78</v>
      </c>
      <c r="H30" s="170">
        <f>Sheet1!K25</f>
        <v>78</v>
      </c>
      <c r="I30" s="170">
        <f>Sheet1!L25</f>
        <v>78</v>
      </c>
      <c r="J30" s="170">
        <f>Sheet1!M25</f>
        <v>78</v>
      </c>
      <c r="K30" s="170">
        <f>Sheet1!N25</f>
        <v>78</v>
      </c>
    </row>
    <row r="31" spans="1:11 16374:16374" x14ac:dyDescent="0.3">
      <c r="B31" s="162" t="str">
        <f>Sheet1!B26</f>
        <v>Other fixed assets</v>
      </c>
      <c r="C31" s="162"/>
      <c r="D31" s="162"/>
      <c r="E31" s="162"/>
      <c r="F31" s="162"/>
      <c r="G31" s="170">
        <f>Sheet1!J26</f>
        <v>82</v>
      </c>
      <c r="H31" s="170">
        <f>Sheet1!K26</f>
        <v>81</v>
      </c>
      <c r="I31" s="170">
        <f>Sheet1!L26</f>
        <v>91</v>
      </c>
      <c r="J31" s="170">
        <f>Sheet1!M26</f>
        <v>105</v>
      </c>
      <c r="K31" s="170">
        <f>Sheet1!N26</f>
        <v>119</v>
      </c>
    </row>
    <row r="32" spans="1:11 16374:16374" ht="4.2" customHeight="1" thickBot="1" x14ac:dyDescent="0.35">
      <c r="B32" s="11"/>
      <c r="C32" s="11"/>
      <c r="D32" s="11"/>
      <c r="E32" s="11"/>
      <c r="F32" s="11"/>
      <c r="G32" s="160"/>
      <c r="H32" s="160"/>
      <c r="I32" s="160"/>
      <c r="J32" s="160"/>
      <c r="K32" s="160"/>
    </row>
    <row r="33" spans="1:12" x14ac:dyDescent="0.3">
      <c r="B33" s="163" t="s">
        <v>409</v>
      </c>
      <c r="C33" s="163"/>
      <c r="D33" s="163"/>
      <c r="E33" s="163"/>
      <c r="F33" s="163"/>
      <c r="G33" s="171">
        <f>SUM(G23:G31)</f>
        <v>6925</v>
      </c>
      <c r="H33" s="171">
        <f t="shared" ref="H33:K33" si="3">SUM(H23:H31)</f>
        <v>8397</v>
      </c>
      <c r="I33" s="171">
        <f t="shared" si="3"/>
        <v>11126</v>
      </c>
      <c r="J33" s="171">
        <f t="shared" si="3"/>
        <v>13817</v>
      </c>
      <c r="K33" s="171">
        <f t="shared" si="3"/>
        <v>16571</v>
      </c>
      <c r="L33" s="78"/>
    </row>
    <row r="34" spans="1:12" x14ac:dyDescent="0.3">
      <c r="B34" t="str">
        <f>Sheet1!B28</f>
        <v>Accumulated Depreciation</v>
      </c>
      <c r="G34" s="166">
        <f>-Sheet1!J28</f>
        <v>-979</v>
      </c>
      <c r="H34" s="166">
        <f>-Sheet1!K28</f>
        <v>-1387</v>
      </c>
      <c r="I34" s="166">
        <f>-Sheet1!L28</f>
        <v>-1867</v>
      </c>
      <c r="J34" s="166">
        <f>-Sheet1!M28</f>
        <v>-2476</v>
      </c>
      <c r="K34" s="166">
        <f>-Sheet1!N28</f>
        <v>-3156</v>
      </c>
    </row>
    <row r="35" spans="1:12" ht="15" thickBot="1" x14ac:dyDescent="0.35">
      <c r="A35" t="s">
        <v>82</v>
      </c>
      <c r="B35" s="161" t="s">
        <v>426</v>
      </c>
      <c r="C35" s="161"/>
      <c r="D35" s="161"/>
      <c r="E35" s="161"/>
      <c r="F35" s="161"/>
      <c r="G35" s="169">
        <f>SUM(G33:G34)</f>
        <v>5946</v>
      </c>
      <c r="H35" s="169">
        <f t="shared" ref="H35:K35" si="4">SUM(H33:H34)</f>
        <v>7010</v>
      </c>
      <c r="I35" s="169">
        <f t="shared" si="4"/>
        <v>9259</v>
      </c>
      <c r="J35" s="169">
        <f t="shared" si="4"/>
        <v>11341</v>
      </c>
      <c r="K35" s="169">
        <f t="shared" si="4"/>
        <v>13415</v>
      </c>
    </row>
    <row r="36" spans="1:12" ht="3.6" customHeight="1" x14ac:dyDescent="0.3">
      <c r="G36" s="166"/>
      <c r="H36" s="166"/>
      <c r="I36" s="166"/>
      <c r="J36" s="166"/>
      <c r="K36" s="166"/>
    </row>
    <row r="37" spans="1:12" x14ac:dyDescent="0.3">
      <c r="A37" t="s">
        <v>82</v>
      </c>
      <c r="B37" s="78" t="s">
        <v>427</v>
      </c>
      <c r="C37" s="78"/>
      <c r="D37" s="78"/>
      <c r="E37" s="78"/>
      <c r="F37" s="78"/>
      <c r="G37" s="172">
        <f>G35+G20</f>
        <v>10925</v>
      </c>
      <c r="H37" s="172">
        <f t="shared" ref="H37:K37" si="5">H35+H20</f>
        <v>10110</v>
      </c>
      <c r="I37" s="172">
        <f t="shared" si="5"/>
        <v>12890</v>
      </c>
      <c r="J37" s="172">
        <f t="shared" si="5"/>
        <v>14282</v>
      </c>
      <c r="K37" s="172">
        <f t="shared" si="5"/>
        <v>17609</v>
      </c>
    </row>
    <row r="38" spans="1:12" x14ac:dyDescent="0.3">
      <c r="B38" s="78" t="s">
        <v>428</v>
      </c>
      <c r="C38" s="78"/>
      <c r="D38" s="78"/>
      <c r="E38" s="78"/>
      <c r="F38" s="78"/>
      <c r="G38" s="172">
        <f>'Historical FS'!H31+'Historical FS'!H25</f>
        <v>1753.9000000000005</v>
      </c>
      <c r="H38" s="172">
        <f>'Historical FS'!I31+'Historical FS'!I25</f>
        <v>1330.6699999999985</v>
      </c>
      <c r="I38" s="172">
        <f>'Historical FS'!J31+'Historical FS'!J25</f>
        <v>2004.2700000000013</v>
      </c>
      <c r="J38" s="172">
        <f>'Historical FS'!K31+'Historical FS'!K25</f>
        <v>2999.8999999999969</v>
      </c>
      <c r="K38" s="172">
        <f>'Historical FS'!L31+'Historical FS'!L25</f>
        <v>3374.8800000000051</v>
      </c>
    </row>
    <row r="39" spans="1:12" ht="15" thickBot="1" x14ac:dyDescent="0.35"/>
    <row r="40" spans="1:12" ht="15.6" thickTop="1" thickBot="1" x14ac:dyDescent="0.35">
      <c r="A40" t="s">
        <v>82</v>
      </c>
      <c r="B40" s="164" t="s">
        <v>429</v>
      </c>
      <c r="C40" s="164"/>
      <c r="D40" s="164"/>
      <c r="E40" s="164"/>
      <c r="F40" s="164"/>
      <c r="G40" s="165">
        <f>G38/G37</f>
        <v>0.16054004576659045</v>
      </c>
      <c r="H40" s="165">
        <f t="shared" ref="H40:K40" si="6">H38/H37</f>
        <v>0.13161918892185939</v>
      </c>
      <c r="I40" s="165">
        <f t="shared" si="6"/>
        <v>0.15549030256012422</v>
      </c>
      <c r="J40" s="165">
        <f t="shared" si="6"/>
        <v>0.21004761237921837</v>
      </c>
      <c r="K40" s="165">
        <f t="shared" si="6"/>
        <v>0.19165653926969192</v>
      </c>
    </row>
    <row r="41" spans="1:12" ht="4.2" customHeight="1" thickTop="1" x14ac:dyDescent="0.3"/>
    <row r="42" spans="1:12" ht="4.8" customHeight="1" x14ac:dyDescent="0.3"/>
    <row r="43" spans="1:12" x14ac:dyDescent="0.3">
      <c r="B43" s="234" t="s">
        <v>419</v>
      </c>
      <c r="C43" s="234"/>
      <c r="D43" s="234"/>
      <c r="E43" s="234"/>
      <c r="F43" s="234"/>
      <c r="G43" s="235">
        <f>Sheet1!J2</f>
        <v>43891</v>
      </c>
      <c r="H43" s="235">
        <f>Sheet1!K2</f>
        <v>44256</v>
      </c>
      <c r="I43" s="235">
        <f>Sheet1!L2</f>
        <v>44621</v>
      </c>
      <c r="J43" s="235">
        <f>Sheet1!M2</f>
        <v>44986</v>
      </c>
      <c r="K43" s="235">
        <f>Sheet1!N2</f>
        <v>45352</v>
      </c>
    </row>
    <row r="44" spans="1:12" ht="3.6" customHeight="1" x14ac:dyDescent="0.3"/>
    <row r="45" spans="1:12" x14ac:dyDescent="0.3">
      <c r="B45" s="175" t="s">
        <v>437</v>
      </c>
      <c r="C45" s="175"/>
      <c r="D45" s="175"/>
      <c r="E45" s="175"/>
      <c r="F45" s="175"/>
      <c r="G45" s="176">
        <f>-SUM(Sheet1!J55:J56)</f>
        <v>1706</v>
      </c>
      <c r="H45" s="176">
        <f>-SUM(Sheet1!K55:K56)</f>
        <v>2027</v>
      </c>
      <c r="I45" s="176">
        <f>-SUM(Sheet1!L55:L56)</f>
        <v>2389</v>
      </c>
      <c r="J45" s="176">
        <f>-SUM(Sheet1!M55:M56)</f>
        <v>2207</v>
      </c>
      <c r="K45" s="176">
        <f>-SUM(Sheet1!N55:N56)</f>
        <v>2722</v>
      </c>
    </row>
    <row r="46" spans="1:12" x14ac:dyDescent="0.3">
      <c r="B46" s="175" t="s">
        <v>438</v>
      </c>
      <c r="C46" s="175"/>
      <c r="D46" s="175"/>
      <c r="E46" s="175"/>
      <c r="F46" s="175"/>
      <c r="G46" s="176"/>
      <c r="H46" s="176">
        <f>G20-H20</f>
        <v>1879</v>
      </c>
      <c r="I46" s="176">
        <f>H20-I20</f>
        <v>-531</v>
      </c>
      <c r="J46" s="176">
        <f>I20-J20</f>
        <v>690</v>
      </c>
      <c r="K46" s="176">
        <f>J20-K20</f>
        <v>-1253</v>
      </c>
    </row>
    <row r="47" spans="1:12" x14ac:dyDescent="0.3">
      <c r="B47" s="175"/>
      <c r="C47" s="175"/>
      <c r="D47" s="175"/>
      <c r="E47" s="175"/>
      <c r="F47" s="175"/>
      <c r="G47" s="176"/>
      <c r="H47" s="176"/>
      <c r="I47" s="176"/>
      <c r="J47" s="176"/>
      <c r="K47" s="176"/>
    </row>
    <row r="48" spans="1:12" x14ac:dyDescent="0.3">
      <c r="B48" s="175" t="s">
        <v>428</v>
      </c>
      <c r="C48" s="175"/>
      <c r="D48" s="175"/>
      <c r="E48" s="175"/>
      <c r="F48" s="175"/>
      <c r="G48" s="176">
        <f>G38</f>
        <v>1753.9000000000005</v>
      </c>
      <c r="H48" s="176">
        <f t="shared" ref="H48:K48" si="7">H38</f>
        <v>1330.6699999999985</v>
      </c>
      <c r="I48" s="176">
        <f t="shared" si="7"/>
        <v>2004.2700000000013</v>
      </c>
      <c r="J48" s="176">
        <f t="shared" si="7"/>
        <v>2999.8999999999969</v>
      </c>
      <c r="K48" s="176">
        <f t="shared" si="7"/>
        <v>3374.8800000000051</v>
      </c>
    </row>
    <row r="49" spans="2:11" x14ac:dyDescent="0.3">
      <c r="B49" s="175" t="s">
        <v>439</v>
      </c>
      <c r="C49" s="175"/>
      <c r="D49" s="175"/>
      <c r="E49" s="175"/>
      <c r="F49" s="175"/>
      <c r="G49" s="185">
        <v>0.25</v>
      </c>
      <c r="H49" s="185">
        <v>0.25</v>
      </c>
      <c r="I49" s="185">
        <v>0.25</v>
      </c>
      <c r="J49" s="185">
        <v>0.25</v>
      </c>
      <c r="K49" s="185">
        <v>0.25</v>
      </c>
    </row>
    <row r="50" spans="2:11" x14ac:dyDescent="0.3">
      <c r="B50" s="175" t="s">
        <v>441</v>
      </c>
      <c r="C50" s="175"/>
      <c r="D50" s="175"/>
      <c r="E50" s="175"/>
      <c r="F50" s="175"/>
      <c r="G50" s="176">
        <f>G48*(1-G49)</f>
        <v>1315.4250000000004</v>
      </c>
      <c r="H50" s="176">
        <f t="shared" ref="H50:K50" si="8">H48*(1-H49)</f>
        <v>998.00249999999892</v>
      </c>
      <c r="I50" s="176">
        <f t="shared" si="8"/>
        <v>1503.202500000001</v>
      </c>
      <c r="J50" s="176">
        <f t="shared" si="8"/>
        <v>2249.9249999999975</v>
      </c>
      <c r="K50" s="176">
        <f t="shared" si="8"/>
        <v>2531.1600000000039</v>
      </c>
    </row>
    <row r="51" spans="2:11" x14ac:dyDescent="0.3">
      <c r="B51" s="175"/>
      <c r="C51" s="175"/>
      <c r="D51" s="175"/>
      <c r="E51" s="175"/>
      <c r="F51" s="175"/>
      <c r="G51" s="176"/>
      <c r="H51" s="176"/>
      <c r="I51" s="176"/>
      <c r="J51" s="176"/>
      <c r="K51" s="176"/>
    </row>
    <row r="52" spans="2:11" x14ac:dyDescent="0.3">
      <c r="B52" s="175" t="s">
        <v>440</v>
      </c>
      <c r="C52" s="175"/>
      <c r="D52" s="175"/>
      <c r="E52" s="175"/>
      <c r="F52" s="175"/>
      <c r="G52" s="176"/>
      <c r="H52" s="176">
        <f>SUM(H45:H46)</f>
        <v>3906</v>
      </c>
      <c r="I52" s="176">
        <f t="shared" ref="I52:K52" si="9">SUM(I45:I46)</f>
        <v>1858</v>
      </c>
      <c r="J52" s="176">
        <f t="shared" si="9"/>
        <v>2897</v>
      </c>
      <c r="K52" s="176">
        <f t="shared" si="9"/>
        <v>1469</v>
      </c>
    </row>
    <row r="53" spans="2:11" ht="4.8" customHeight="1" thickBot="1" x14ac:dyDescent="0.35"/>
    <row r="54" spans="2:11" ht="15" thickBot="1" x14ac:dyDescent="0.35">
      <c r="B54" s="177" t="s">
        <v>442</v>
      </c>
      <c r="C54" s="177"/>
      <c r="D54" s="177"/>
      <c r="E54" s="177"/>
      <c r="F54" s="177"/>
      <c r="G54" s="177"/>
      <c r="H54" s="178">
        <f>H52/H50</f>
        <v>3.9138178511576918</v>
      </c>
      <c r="I54" s="178">
        <f t="shared" ref="I54:K54" si="10">I52/I50</f>
        <v>1.2360277474259116</v>
      </c>
      <c r="J54" s="178">
        <f t="shared" si="10"/>
        <v>1.2875984755047405</v>
      </c>
      <c r="K54" s="178">
        <f t="shared" si="10"/>
        <v>0.58036631425907403</v>
      </c>
    </row>
    <row r="55" spans="2:11" ht="7.2" customHeight="1" thickTop="1" x14ac:dyDescent="0.3">
      <c r="B55" s="78"/>
      <c r="C55" s="78"/>
      <c r="D55" s="78"/>
      <c r="E55" s="78"/>
      <c r="F55" s="78"/>
      <c r="G55" s="78"/>
      <c r="H55" s="84"/>
      <c r="I55" s="84"/>
      <c r="J55" s="84"/>
      <c r="K55" s="84"/>
    </row>
    <row r="56" spans="2:11" x14ac:dyDescent="0.3">
      <c r="J56" s="132" t="s">
        <v>443</v>
      </c>
      <c r="K56" s="179">
        <f>AVERAGE(H54:K54)</f>
        <v>1.7544525970868543</v>
      </c>
    </row>
    <row r="57" spans="2:11" x14ac:dyDescent="0.3">
      <c r="J57" s="132" t="s">
        <v>444</v>
      </c>
      <c r="K57" s="179">
        <f>MEDIAN(H54:K54)</f>
        <v>1.2618131114653259</v>
      </c>
    </row>
    <row r="58" spans="2:11" ht="7.2" customHeight="1" x14ac:dyDescent="0.3"/>
    <row r="59" spans="2:11" x14ac:dyDescent="0.3">
      <c r="B59" s="234" t="s">
        <v>445</v>
      </c>
      <c r="C59" s="234"/>
      <c r="D59" s="234"/>
      <c r="E59" s="234"/>
      <c r="F59" s="234"/>
      <c r="G59" s="235">
        <f>Sheet1!J2</f>
        <v>43891</v>
      </c>
      <c r="H59" s="235">
        <f>Sheet1!K2</f>
        <v>44256</v>
      </c>
      <c r="I59" s="235">
        <f>Sheet1!L2</f>
        <v>44621</v>
      </c>
      <c r="J59" s="235">
        <f>Sheet1!M2</f>
        <v>44986</v>
      </c>
      <c r="K59" s="235">
        <f>Sheet1!N2</f>
        <v>45352</v>
      </c>
    </row>
    <row r="60" spans="2:11" ht="3.6" customHeight="1" x14ac:dyDescent="0.3"/>
    <row r="61" spans="2:11" x14ac:dyDescent="0.3">
      <c r="B61" s="180" t="s">
        <v>442</v>
      </c>
      <c r="C61" s="175"/>
      <c r="D61" s="175"/>
      <c r="E61" s="175"/>
      <c r="F61" s="175"/>
      <c r="G61" s="175"/>
      <c r="H61" s="181">
        <f>H54</f>
        <v>3.9138178511576918</v>
      </c>
      <c r="I61" s="181">
        <f t="shared" ref="I61:K61" si="11">I54</f>
        <v>1.2360277474259116</v>
      </c>
      <c r="J61" s="181">
        <f t="shared" si="11"/>
        <v>1.2875984755047405</v>
      </c>
      <c r="K61" s="181">
        <f t="shared" si="11"/>
        <v>0.58036631425907403</v>
      </c>
    </row>
    <row r="62" spans="2:11" x14ac:dyDescent="0.3">
      <c r="B62" s="175" t="s">
        <v>429</v>
      </c>
      <c r="C62" s="175"/>
      <c r="D62" s="175"/>
      <c r="E62" s="175"/>
      <c r="F62" s="175"/>
      <c r="G62" s="175"/>
      <c r="H62" s="181">
        <f>H40</f>
        <v>0.13161918892185939</v>
      </c>
      <c r="I62" s="181">
        <f t="shared" ref="I62:K62" si="12">I40</f>
        <v>0.15549030256012422</v>
      </c>
      <c r="J62" s="181">
        <f t="shared" si="12"/>
        <v>0.21004761237921837</v>
      </c>
      <c r="K62" s="181">
        <f t="shared" si="12"/>
        <v>0.19165653926969192</v>
      </c>
    </row>
    <row r="63" spans="2:11" ht="4.8" customHeight="1" thickBot="1" x14ac:dyDescent="0.35"/>
    <row r="64" spans="2:11" ht="15" thickBot="1" x14ac:dyDescent="0.35">
      <c r="B64" s="177" t="s">
        <v>446</v>
      </c>
      <c r="C64" s="177"/>
      <c r="D64" s="177"/>
      <c r="E64" s="177"/>
      <c r="F64" s="177"/>
      <c r="G64" s="177"/>
      <c r="H64" s="182">
        <f>H61*H62</f>
        <v>0.51513353115727001</v>
      </c>
      <c r="I64" s="182">
        <f t="shared" ref="I64:K64" si="13">I61*I62</f>
        <v>0.19219032841996381</v>
      </c>
      <c r="J64" s="182">
        <f t="shared" si="13"/>
        <v>0.27045698548289221</v>
      </c>
      <c r="K64" s="182">
        <f t="shared" si="13"/>
        <v>0.11123099929960059</v>
      </c>
    </row>
    <row r="65" spans="10:11" ht="9" customHeight="1" thickTop="1" x14ac:dyDescent="0.3"/>
    <row r="66" spans="10:11" x14ac:dyDescent="0.3">
      <c r="J66" s="132" t="s">
        <v>443</v>
      </c>
      <c r="K66" s="179">
        <f>AVERAGE(H64:K64)</f>
        <v>0.27225296108993163</v>
      </c>
    </row>
    <row r="67" spans="10:11" x14ac:dyDescent="0.3">
      <c r="J67" s="132" t="s">
        <v>444</v>
      </c>
      <c r="K67" s="179">
        <f>MEDIAN(H64:K64)</f>
        <v>0.23132365695142801</v>
      </c>
    </row>
  </sheetData>
  <pageMargins left="0.43307086614173229" right="0.43307086614173229" top="0.51181102362204722" bottom="0.31496062992125984" header="0.31496062992125984" footer="0.31496062992125984"/>
  <pageSetup paperSize="9" scale="90" orientation="portrait" r:id="rId1"/>
  <ignoredErrors>
    <ignoredError sqref="G45:K45" formulaRange="1"/>
  </ignoredError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4"/>
  <sheetViews>
    <sheetView showGridLines="0" tabSelected="1" workbookViewId="0">
      <selection activeCell="Q12" sqref="Q12"/>
    </sheetView>
  </sheetViews>
  <sheetFormatPr defaultRowHeight="14.4" outlineLevelRow="1" x14ac:dyDescent="0.3"/>
  <cols>
    <col min="1" max="1" width="1.88671875" customWidth="1"/>
    <col min="2" max="2" width="32.5546875" bestFit="1" customWidth="1"/>
    <col min="3" max="3" width="2.77734375" customWidth="1"/>
    <col min="4" max="4" width="12" bestFit="1" customWidth="1"/>
    <col min="5" max="10" width="8.77734375" customWidth="1"/>
  </cols>
  <sheetData>
    <row r="1" spans="2:12" ht="45" customHeight="1" x14ac:dyDescent="0.35">
      <c r="B1" s="264" t="s">
        <v>1645</v>
      </c>
      <c r="C1" s="264"/>
      <c r="D1" s="264"/>
      <c r="E1" s="264"/>
      <c r="F1" s="264"/>
      <c r="G1" s="264"/>
      <c r="H1" s="264"/>
      <c r="I1" s="264"/>
      <c r="J1" s="264"/>
    </row>
    <row r="2" spans="2:12" ht="11.4" customHeight="1" x14ac:dyDescent="0.3">
      <c r="B2" s="237" t="s">
        <v>1643</v>
      </c>
      <c r="C2" s="232"/>
      <c r="D2" s="232"/>
      <c r="E2" s="232"/>
      <c r="F2" s="232"/>
      <c r="G2" s="232"/>
      <c r="H2" s="232"/>
      <c r="I2" s="232"/>
    </row>
    <row r="3" spans="2:12" ht="11.4" customHeight="1" thickBot="1" x14ac:dyDescent="0.35">
      <c r="B3" s="238" t="s">
        <v>1644</v>
      </c>
      <c r="C3" s="239"/>
      <c r="D3" s="239"/>
      <c r="E3" s="239"/>
      <c r="F3" s="239"/>
      <c r="G3" s="239"/>
      <c r="H3" s="239"/>
      <c r="I3" s="239"/>
      <c r="J3" s="245"/>
    </row>
    <row r="4" spans="2:12" ht="3.6" customHeight="1" x14ac:dyDescent="0.3"/>
    <row r="5" spans="2:12" x14ac:dyDescent="0.3">
      <c r="B5" s="234" t="s">
        <v>447</v>
      </c>
      <c r="C5" s="234"/>
      <c r="D5" s="234"/>
      <c r="E5" s="257">
        <f>'Intrisic growth'!K6</f>
        <v>45352</v>
      </c>
      <c r="F5" s="258">
        <f>E5+365</f>
        <v>45717</v>
      </c>
      <c r="G5" s="258">
        <f t="shared" ref="G5:J5" si="0">F5+365</f>
        <v>46082</v>
      </c>
      <c r="H5" s="258">
        <f t="shared" si="0"/>
        <v>46447</v>
      </c>
      <c r="I5" s="258">
        <f t="shared" si="0"/>
        <v>46812</v>
      </c>
      <c r="J5" s="258">
        <f t="shared" si="0"/>
        <v>47177</v>
      </c>
      <c r="K5" s="28"/>
      <c r="L5" s="28"/>
    </row>
    <row r="7" spans="2:12" x14ac:dyDescent="0.3">
      <c r="B7" s="173" t="s">
        <v>177</v>
      </c>
      <c r="C7" s="173"/>
      <c r="D7" s="173"/>
      <c r="E7" s="202">
        <f>'Data Sheet'!K32-'Data Sheet'!K26</f>
        <v>3520.0200000000004</v>
      </c>
      <c r="F7" s="203">
        <f>E7*(1+$D$17)</f>
        <v>4478.3558680957813</v>
      </c>
      <c r="G7" s="203">
        <f>F7*(1+$D$17)</f>
        <v>5697.6015139993287</v>
      </c>
      <c r="H7" s="203">
        <f>G7*(1+$D$17)</f>
        <v>7248.790397296123</v>
      </c>
      <c r="I7" s="203">
        <f>H7*(1+$D$17)</f>
        <v>9222.2950472802549</v>
      </c>
      <c r="J7" s="203">
        <f>I7*(1+$D$17)</f>
        <v>11733.092181947315</v>
      </c>
    </row>
    <row r="8" spans="2:12" x14ac:dyDescent="0.3">
      <c r="B8" s="173" t="s">
        <v>448</v>
      </c>
      <c r="C8" s="173"/>
      <c r="D8" s="173"/>
      <c r="E8" s="194">
        <v>0.25</v>
      </c>
      <c r="F8" s="192">
        <f>E8</f>
        <v>0.25</v>
      </c>
      <c r="G8" s="192">
        <f t="shared" ref="G8:J8" si="1">F8</f>
        <v>0.25</v>
      </c>
      <c r="H8" s="192">
        <f t="shared" si="1"/>
        <v>0.25</v>
      </c>
      <c r="I8" s="192">
        <f t="shared" si="1"/>
        <v>0.25</v>
      </c>
      <c r="J8" s="192">
        <f t="shared" si="1"/>
        <v>0.25</v>
      </c>
    </row>
    <row r="9" spans="2:12" x14ac:dyDescent="0.3">
      <c r="B9" s="173" t="s">
        <v>449</v>
      </c>
      <c r="C9" s="173"/>
      <c r="D9" s="173"/>
      <c r="E9" s="202">
        <f t="shared" ref="E9:J9" si="2">E7*(1-E8)</f>
        <v>2640.0150000000003</v>
      </c>
      <c r="F9" s="203">
        <f t="shared" si="2"/>
        <v>3358.7669010718359</v>
      </c>
      <c r="G9" s="203">
        <f t="shared" si="2"/>
        <v>4273.2011354994966</v>
      </c>
      <c r="H9" s="203">
        <f t="shared" si="2"/>
        <v>5436.5927979720927</v>
      </c>
      <c r="I9" s="203">
        <f t="shared" si="2"/>
        <v>6916.7212854601912</v>
      </c>
      <c r="J9" s="203">
        <f t="shared" si="2"/>
        <v>8799.8191364604863</v>
      </c>
    </row>
    <row r="10" spans="2:12" x14ac:dyDescent="0.3">
      <c r="B10" s="173" t="s">
        <v>450</v>
      </c>
      <c r="C10" s="173"/>
      <c r="D10" s="173"/>
      <c r="E10" s="195">
        <f>'Intrisic growth'!K57</f>
        <v>1.2618131114653259</v>
      </c>
      <c r="F10" s="192">
        <f>E10+(($J$10-$E$10)/4)</f>
        <v>1.0346848335989944</v>
      </c>
      <c r="G10" s="192">
        <f t="shared" ref="G10:I10" si="3">F10+(($J$10-$E$10)/4)</f>
        <v>0.80755655573266294</v>
      </c>
      <c r="H10" s="192">
        <f t="shared" si="3"/>
        <v>0.58042827786633144</v>
      </c>
      <c r="I10" s="192">
        <f t="shared" si="3"/>
        <v>0.35329999999999995</v>
      </c>
      <c r="J10" s="192">
        <v>0.3533</v>
      </c>
    </row>
    <row r="11" spans="2:12" x14ac:dyDescent="0.3">
      <c r="B11" s="173" t="s">
        <v>451</v>
      </c>
      <c r="C11" s="173"/>
      <c r="D11" s="173"/>
      <c r="E11" s="202">
        <f t="shared" ref="E11:J11" si="4">E9*(1-E10)</f>
        <v>-691.19054146513247</v>
      </c>
      <c r="F11" s="203">
        <f t="shared" si="4"/>
        <v>-116.49827106148683</v>
      </c>
      <c r="G11" s="203">
        <f t="shared" si="4"/>
        <v>822.3495445626188</v>
      </c>
      <c r="H11" s="203">
        <f t="shared" si="4"/>
        <v>2281.0406027846507</v>
      </c>
      <c r="I11" s="203">
        <f t="shared" si="4"/>
        <v>4473.0436553071058</v>
      </c>
      <c r="J11" s="203">
        <f t="shared" si="4"/>
        <v>5690.8430355489972</v>
      </c>
    </row>
    <row r="12" spans="2:12" x14ac:dyDescent="0.3">
      <c r="B12" s="173" t="s">
        <v>452</v>
      </c>
      <c r="C12" s="173"/>
      <c r="D12" s="173"/>
      <c r="E12" s="193">
        <v>0.5</v>
      </c>
      <c r="F12" s="173">
        <f>E12+1</f>
        <v>1.5</v>
      </c>
      <c r="G12" s="173">
        <f t="shared" ref="G12:J12" si="5">F12+1</f>
        <v>2.5</v>
      </c>
      <c r="H12" s="173">
        <f t="shared" si="5"/>
        <v>3.5</v>
      </c>
      <c r="I12" s="173">
        <f t="shared" si="5"/>
        <v>4.5</v>
      </c>
      <c r="J12" s="173">
        <f t="shared" si="5"/>
        <v>5.5</v>
      </c>
    </row>
    <row r="13" spans="2:12" x14ac:dyDescent="0.3">
      <c r="B13" t="s">
        <v>453</v>
      </c>
      <c r="F13" s="196">
        <f>1/(1+$D$19)^E12</f>
        <v>0.92657660064379488</v>
      </c>
      <c r="G13" s="196">
        <f t="shared" ref="G13:J13" si="6">1/(1+$D$19)^F12</f>
        <v>0.79550696342956162</v>
      </c>
      <c r="H13" s="196">
        <f t="shared" si="6"/>
        <v>0.68297788701465612</v>
      </c>
      <c r="I13" s="196">
        <f t="shared" si="6"/>
        <v>0.58636670148055481</v>
      </c>
      <c r="J13" s="196">
        <f t="shared" si="6"/>
        <v>0.50342172878842839</v>
      </c>
    </row>
    <row r="14" spans="2:12" ht="5.4" customHeight="1" x14ac:dyDescent="0.3">
      <c r="F14" s="196"/>
      <c r="G14" s="196"/>
      <c r="H14" s="196"/>
      <c r="I14" s="196"/>
      <c r="J14" s="196"/>
    </row>
    <row r="15" spans="2:12" x14ac:dyDescent="0.3">
      <c r="B15" s="151" t="s">
        <v>454</v>
      </c>
      <c r="C15" s="151"/>
      <c r="D15" s="151"/>
      <c r="E15" s="151"/>
      <c r="F15" s="204">
        <f>F11*F13</f>
        <v>-107.94457198103186</v>
      </c>
      <c r="G15" s="204">
        <f t="shared" ref="G15:J15" si="7">G11*G13</f>
        <v>654.18478907269184</v>
      </c>
      <c r="H15" s="204">
        <f t="shared" si="7"/>
        <v>1557.9002910844981</v>
      </c>
      <c r="I15" s="204">
        <f t="shared" si="7"/>
        <v>2622.8438537409515</v>
      </c>
      <c r="J15" s="204">
        <f t="shared" si="7"/>
        <v>2864.8940392196637</v>
      </c>
    </row>
    <row r="17" spans="2:11" outlineLevel="1" x14ac:dyDescent="0.3">
      <c r="B17" s="190" t="s">
        <v>455</v>
      </c>
      <c r="C17" s="190"/>
      <c r="D17" s="191">
        <f>'Intrisic growth'!K66</f>
        <v>0.27225296108993163</v>
      </c>
    </row>
    <row r="18" spans="2:11" outlineLevel="1" x14ac:dyDescent="0.3">
      <c r="B18" s="190" t="s">
        <v>456</v>
      </c>
      <c r="C18" s="190"/>
      <c r="D18" s="191">
        <v>5.3800000000000001E-2</v>
      </c>
    </row>
    <row r="19" spans="2:11" outlineLevel="1" x14ac:dyDescent="0.3">
      <c r="B19" s="190" t="s">
        <v>388</v>
      </c>
      <c r="C19" s="190"/>
      <c r="D19" s="191">
        <f>WACC!K47</f>
        <v>0.16476240088354524</v>
      </c>
    </row>
    <row r="21" spans="2:11" x14ac:dyDescent="0.3">
      <c r="B21" s="234" t="s">
        <v>457</v>
      </c>
      <c r="C21" s="236"/>
      <c r="D21" s="236"/>
      <c r="F21" s="268" t="s">
        <v>510</v>
      </c>
      <c r="G21" s="268"/>
      <c r="H21" s="268"/>
      <c r="I21" s="268"/>
      <c r="J21" s="268"/>
    </row>
    <row r="22" spans="2:11" x14ac:dyDescent="0.3">
      <c r="F22" s="224">
        <f>D34</f>
        <v>40439.670946932485</v>
      </c>
      <c r="G22" s="225">
        <v>0.14000000000000001</v>
      </c>
      <c r="H22" s="225">
        <v>0.1648</v>
      </c>
      <c r="I22" s="225">
        <v>0.18</v>
      </c>
      <c r="J22" s="225">
        <v>0.2</v>
      </c>
      <c r="K22" s="225"/>
    </row>
    <row r="23" spans="2:11" x14ac:dyDescent="0.3">
      <c r="B23" t="s">
        <v>458</v>
      </c>
      <c r="D23" s="198">
        <f>J11*(1+D17)</f>
        <v>7240.1919030752269</v>
      </c>
      <c r="F23" s="227">
        <v>0.03</v>
      </c>
      <c r="G23" s="198">
        <f t="dataTable" ref="G23:J27" dt2D="1" dtr="1" r1="D24" r2="D25"/>
        <v>40727.059533919608</v>
      </c>
      <c r="H23" s="198">
        <v>34630.972797324546</v>
      </c>
      <c r="I23" s="198">
        <v>31891.01123184419</v>
      </c>
      <c r="J23" s="198">
        <v>29032.289722349196</v>
      </c>
    </row>
    <row r="24" spans="2:11" x14ac:dyDescent="0.3">
      <c r="B24" t="s">
        <v>388</v>
      </c>
      <c r="D24" s="186">
        <f>D19</f>
        <v>0.16476240088354524</v>
      </c>
      <c r="F24" s="227">
        <v>0.04</v>
      </c>
      <c r="G24" s="198">
        <v>44040.577647197897</v>
      </c>
      <c r="H24" s="198">
        <v>36797.566899583187</v>
      </c>
      <c r="I24" s="198">
        <v>33626.663576894716</v>
      </c>
      <c r="J24" s="198">
        <v>30372.315429924973</v>
      </c>
    </row>
    <row r="25" spans="2:11" x14ac:dyDescent="0.3">
      <c r="B25" t="s">
        <v>459</v>
      </c>
      <c r="D25" s="186">
        <f>D18</f>
        <v>5.3800000000000001E-2</v>
      </c>
      <c r="F25" s="227">
        <v>5.3800000000000001E-2</v>
      </c>
      <c r="G25" s="259">
        <v>49875.752236474495</v>
      </c>
      <c r="H25" s="260">
        <v>40428.544388579227</v>
      </c>
      <c r="I25" s="198">
        <v>36473.573524798521</v>
      </c>
      <c r="J25" s="198">
        <v>32522.589239755871</v>
      </c>
    </row>
    <row r="26" spans="2:11" x14ac:dyDescent="0.3">
      <c r="F26" s="227">
        <v>0.06</v>
      </c>
      <c r="G26" s="198">
        <v>53152.75245871317</v>
      </c>
      <c r="H26" s="198">
        <v>42371.171574859218</v>
      </c>
      <c r="I26" s="198">
        <v>37965.794439521043</v>
      </c>
      <c r="J26" s="198">
        <v>33626.663576894716</v>
      </c>
    </row>
    <row r="27" spans="2:11" ht="15" thickBot="1" x14ac:dyDescent="0.35">
      <c r="B27" s="197" t="s">
        <v>460</v>
      </c>
      <c r="C27" s="197"/>
      <c r="D27" s="200">
        <f>D23/(D24-D25)</f>
        <v>65249.055945299799</v>
      </c>
      <c r="F27" s="227">
        <v>7.0000000000000007E-2</v>
      </c>
      <c r="G27" s="198">
        <v>59661.448752652657</v>
      </c>
      <c r="H27" s="198">
        <v>46039.873386433319</v>
      </c>
      <c r="I27" s="198">
        <v>40727.059533919615</v>
      </c>
      <c r="J27" s="198">
        <v>35629.339359645324</v>
      </c>
    </row>
    <row r="28" spans="2:11" x14ac:dyDescent="0.3">
      <c r="B28" s="8"/>
      <c r="C28" s="8"/>
      <c r="D28" s="8"/>
    </row>
    <row r="30" spans="2:11" x14ac:dyDescent="0.3">
      <c r="B30" s="234" t="s">
        <v>465</v>
      </c>
      <c r="C30" s="236"/>
      <c r="D30" s="236"/>
      <c r="F30" s="269"/>
      <c r="G30" s="269"/>
      <c r="H30" s="269"/>
      <c r="I30" s="269"/>
      <c r="J30" s="269"/>
    </row>
    <row r="31" spans="2:11" x14ac:dyDescent="0.3">
      <c r="F31" s="198"/>
      <c r="G31" s="223"/>
      <c r="H31" s="225"/>
      <c r="I31" s="225"/>
      <c r="J31" s="225"/>
      <c r="K31" s="225"/>
    </row>
    <row r="32" spans="2:11" x14ac:dyDescent="0.3">
      <c r="B32" t="s">
        <v>454</v>
      </c>
      <c r="D32" s="198">
        <f>SUM(F15:J15)</f>
        <v>7591.8784011367734</v>
      </c>
      <c r="F32" s="227"/>
      <c r="G32" s="226"/>
      <c r="H32" s="226"/>
      <c r="I32" s="226"/>
      <c r="J32" s="226"/>
    </row>
    <row r="33" spans="2:10" x14ac:dyDescent="0.3">
      <c r="B33" t="s">
        <v>461</v>
      </c>
      <c r="D33" s="198">
        <f>D27*J13</f>
        <v>32847.79254579571</v>
      </c>
      <c r="F33" s="227"/>
      <c r="G33" s="226"/>
      <c r="H33" s="226"/>
      <c r="I33" s="226"/>
      <c r="J33" s="226"/>
    </row>
    <row r="34" spans="2:10" x14ac:dyDescent="0.3">
      <c r="B34" s="78" t="s">
        <v>462</v>
      </c>
      <c r="C34" s="78"/>
      <c r="D34" s="199">
        <f>SUM(D32:D33)</f>
        <v>40439.670946932485</v>
      </c>
      <c r="F34" s="227"/>
      <c r="G34" s="226"/>
      <c r="H34" s="226"/>
      <c r="I34" s="226"/>
      <c r="J34" s="226"/>
    </row>
    <row r="35" spans="2:10" x14ac:dyDescent="0.3">
      <c r="F35" s="227"/>
      <c r="G35" s="226"/>
      <c r="H35" s="226"/>
      <c r="I35" s="226"/>
      <c r="J35" s="226"/>
    </row>
    <row r="36" spans="2:10" x14ac:dyDescent="0.3">
      <c r="B36" t="s">
        <v>463</v>
      </c>
      <c r="D36">
        <f>'Data Sheet'!K69</f>
        <v>638.17999999999995</v>
      </c>
      <c r="F36" s="227"/>
      <c r="G36" s="226"/>
      <c r="H36" s="226"/>
      <c r="I36" s="226"/>
      <c r="J36" s="226"/>
    </row>
    <row r="37" spans="2:10" x14ac:dyDescent="0.3">
      <c r="B37" t="s">
        <v>464</v>
      </c>
      <c r="D37">
        <f>'Historical FS'!L53</f>
        <v>592.16</v>
      </c>
      <c r="G37" s="226"/>
      <c r="H37" s="226"/>
      <c r="I37" s="226"/>
      <c r="J37" s="226"/>
    </row>
    <row r="38" spans="2:10" x14ac:dyDescent="0.3">
      <c r="B38" s="78" t="s">
        <v>466</v>
      </c>
      <c r="C38" s="78"/>
      <c r="D38" s="199">
        <f>D34+D36-D37</f>
        <v>40485.690946932482</v>
      </c>
    </row>
    <row r="39" spans="2:10" x14ac:dyDescent="0.3">
      <c r="B39" t="s">
        <v>467</v>
      </c>
      <c r="D39" s="198">
        <f>'Data Sheet'!B6</f>
        <v>65.073306243258841</v>
      </c>
    </row>
    <row r="40" spans="2:10" ht="4.8" customHeight="1" x14ac:dyDescent="0.3">
      <c r="D40" s="198"/>
    </row>
    <row r="41" spans="2:10" ht="15" thickBot="1" x14ac:dyDescent="0.35">
      <c r="B41" s="197" t="s">
        <v>511</v>
      </c>
      <c r="C41" s="197"/>
      <c r="D41" s="200">
        <f>D38/D39</f>
        <v>622.15512449279504</v>
      </c>
    </row>
    <row r="43" spans="2:10" x14ac:dyDescent="0.3">
      <c r="B43" t="s">
        <v>468</v>
      </c>
      <c r="D43">
        <v>3963</v>
      </c>
    </row>
    <row r="44" spans="2:10" x14ac:dyDescent="0.3">
      <c r="B44" t="s">
        <v>469</v>
      </c>
      <c r="D44" s="201">
        <f>D43/D41</f>
        <v>6.3697940336516412</v>
      </c>
    </row>
  </sheetData>
  <mergeCells count="3">
    <mergeCell ref="F21:J21"/>
    <mergeCell ref="F30:J30"/>
    <mergeCell ref="B1:J1"/>
  </mergeCells>
  <pageMargins left="0.23622047244094491" right="0.23622047244094491" top="0.39370078740157483" bottom="0.74803149606299213" header="0.31496062992125984" footer="0.31496062992125984"/>
  <pageSetup paperSize="9" scale="95" orientation="portrait" r:id="rId1"/>
  <ignoredErrors>
    <ignoredError sqref="E10:J10" formula="1"/>
  </ignoredError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5"/>
  <sheetViews>
    <sheetView showGridLines="0" workbookViewId="0">
      <selection activeCell="J55" sqref="J55"/>
    </sheetView>
  </sheetViews>
  <sheetFormatPr defaultRowHeight="14.4" x14ac:dyDescent="0.3"/>
  <cols>
    <col min="1" max="1" width="1.88671875" customWidth="1"/>
    <col min="2" max="2" width="22.77734375" bestFit="1" customWidth="1"/>
  </cols>
  <sheetData>
    <row r="2" spans="2:15" x14ac:dyDescent="0.3">
      <c r="B2" s="29" t="s">
        <v>418</v>
      </c>
      <c r="C2" s="30">
        <v>41334</v>
      </c>
      <c r="D2" s="30">
        <v>41699</v>
      </c>
      <c r="E2" s="30">
        <v>42064</v>
      </c>
      <c r="F2" s="30">
        <v>42430</v>
      </c>
      <c r="G2" s="30">
        <v>42795</v>
      </c>
      <c r="H2" s="30">
        <v>43160</v>
      </c>
      <c r="I2" s="30">
        <v>43525</v>
      </c>
      <c r="J2" s="30">
        <v>43891</v>
      </c>
      <c r="K2" s="30">
        <v>44256</v>
      </c>
      <c r="L2" s="30">
        <v>44621</v>
      </c>
      <c r="M2" s="30">
        <v>44986</v>
      </c>
      <c r="N2" s="30">
        <v>45352</v>
      </c>
      <c r="O2" s="28"/>
    </row>
    <row r="3" spans="2:15" x14ac:dyDescent="0.3">
      <c r="B3" s="78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28"/>
    </row>
    <row r="4" spans="2:15" x14ac:dyDescent="0.3">
      <c r="B4" s="78" t="s">
        <v>389</v>
      </c>
      <c r="C4" s="153">
        <v>544</v>
      </c>
      <c r="D4" s="154">
        <v>547</v>
      </c>
      <c r="E4" s="154">
        <v>562</v>
      </c>
      <c r="F4" s="154">
        <v>562</v>
      </c>
      <c r="G4" s="154">
        <v>624</v>
      </c>
      <c r="H4" s="154">
        <v>624</v>
      </c>
      <c r="I4" s="154">
        <v>624</v>
      </c>
      <c r="J4" s="154">
        <v>648</v>
      </c>
      <c r="K4" s="154">
        <v>648</v>
      </c>
      <c r="L4" s="154">
        <v>648</v>
      </c>
      <c r="M4" s="154">
        <v>648</v>
      </c>
      <c r="N4" s="154">
        <v>651</v>
      </c>
    </row>
    <row r="5" spans="2:15" x14ac:dyDescent="0.3">
      <c r="B5" s="78" t="s">
        <v>25</v>
      </c>
      <c r="C5" s="153">
        <v>245</v>
      </c>
      <c r="D5" s="154">
        <v>409</v>
      </c>
      <c r="E5" s="154">
        <v>638</v>
      </c>
      <c r="F5" s="154">
        <v>959</v>
      </c>
      <c r="G5" s="154">
        <v>3218</v>
      </c>
      <c r="H5" s="154">
        <v>4045</v>
      </c>
      <c r="I5" s="154">
        <v>4963</v>
      </c>
      <c r="J5" s="154">
        <v>10432</v>
      </c>
      <c r="K5" s="154">
        <v>11536</v>
      </c>
      <c r="L5" s="154">
        <v>13030</v>
      </c>
      <c r="M5" s="154">
        <v>15430</v>
      </c>
      <c r="N5" s="154">
        <v>18047</v>
      </c>
      <c r="O5" s="39"/>
    </row>
    <row r="6" spans="2:15" x14ac:dyDescent="0.3">
      <c r="B6" s="78" t="s">
        <v>390</v>
      </c>
      <c r="C6" s="153"/>
      <c r="D6" s="154"/>
      <c r="E6" s="154"/>
      <c r="F6" s="154"/>
      <c r="G6" s="154"/>
      <c r="H6" s="154"/>
      <c r="I6" s="154"/>
      <c r="J6" s="154"/>
      <c r="K6" s="154"/>
      <c r="L6" s="154"/>
      <c r="M6" s="154"/>
      <c r="N6" s="154"/>
    </row>
    <row r="7" spans="2:15" x14ac:dyDescent="0.3">
      <c r="B7" t="s">
        <v>391</v>
      </c>
      <c r="C7" s="153"/>
      <c r="D7" s="154"/>
      <c r="E7" s="154"/>
      <c r="F7" s="154">
        <v>908</v>
      </c>
      <c r="G7" s="154">
        <v>981</v>
      </c>
      <c r="H7" s="154"/>
      <c r="I7" s="154">
        <v>126</v>
      </c>
      <c r="J7" s="154">
        <v>0</v>
      </c>
      <c r="K7" s="154">
        <v>0</v>
      </c>
      <c r="L7" s="154">
        <v>0</v>
      </c>
      <c r="M7" s="154">
        <v>0</v>
      </c>
      <c r="N7" s="154">
        <v>0</v>
      </c>
    </row>
    <row r="8" spans="2:15" x14ac:dyDescent="0.3">
      <c r="B8" t="s">
        <v>392</v>
      </c>
      <c r="C8" s="153"/>
      <c r="D8" s="154"/>
      <c r="E8" s="154"/>
      <c r="F8" s="154">
        <v>129</v>
      </c>
      <c r="G8" s="154">
        <v>139</v>
      </c>
      <c r="H8" s="154">
        <v>7</v>
      </c>
      <c r="I8" s="154">
        <v>304</v>
      </c>
      <c r="J8" s="154">
        <v>4</v>
      </c>
      <c r="K8" s="154">
        <v>0</v>
      </c>
      <c r="L8" s="154">
        <v>0</v>
      </c>
      <c r="M8" s="154">
        <v>0</v>
      </c>
      <c r="N8" s="154">
        <v>0</v>
      </c>
    </row>
    <row r="9" spans="2:15" x14ac:dyDescent="0.3">
      <c r="B9" t="s">
        <v>393</v>
      </c>
      <c r="C9" s="153"/>
      <c r="D9" s="154"/>
      <c r="E9" s="154"/>
      <c r="F9" s="154">
        <v>0</v>
      </c>
      <c r="G9" s="154">
        <v>0</v>
      </c>
      <c r="H9" s="154">
        <v>0</v>
      </c>
      <c r="I9" s="154">
        <v>0</v>
      </c>
      <c r="J9" s="154">
        <v>295</v>
      </c>
      <c r="K9" s="154">
        <v>393</v>
      </c>
      <c r="L9" s="154">
        <v>647</v>
      </c>
      <c r="M9" s="154">
        <v>643</v>
      </c>
      <c r="N9" s="154">
        <v>592</v>
      </c>
    </row>
    <row r="10" spans="2:15" x14ac:dyDescent="0.3">
      <c r="B10" t="s">
        <v>394</v>
      </c>
      <c r="C10" s="153">
        <v>526</v>
      </c>
      <c r="D10" s="154">
        <v>641</v>
      </c>
      <c r="E10" s="154">
        <v>904</v>
      </c>
      <c r="F10" s="154">
        <v>155</v>
      </c>
      <c r="G10" s="154">
        <v>378</v>
      </c>
      <c r="H10" s="154">
        <v>186</v>
      </c>
      <c r="I10" s="154">
        <v>270</v>
      </c>
      <c r="J10" s="154">
        <v>34</v>
      </c>
      <c r="K10" s="154">
        <v>0</v>
      </c>
      <c r="L10" s="154">
        <v>0</v>
      </c>
      <c r="M10" s="154">
        <v>0</v>
      </c>
      <c r="N10" s="154">
        <v>0</v>
      </c>
    </row>
    <row r="11" spans="2:15" x14ac:dyDescent="0.3">
      <c r="B11" s="78" t="s">
        <v>395</v>
      </c>
      <c r="C11" s="153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39"/>
    </row>
    <row r="12" spans="2:15" x14ac:dyDescent="0.3">
      <c r="B12" t="s">
        <v>396</v>
      </c>
      <c r="C12" s="153">
        <v>0</v>
      </c>
      <c r="D12" s="154">
        <v>0</v>
      </c>
      <c r="E12" s="154">
        <v>0</v>
      </c>
      <c r="F12" s="154">
        <v>0</v>
      </c>
      <c r="G12" s="154">
        <v>0</v>
      </c>
      <c r="H12" s="154">
        <v>1</v>
      </c>
      <c r="I12" s="154">
        <v>1</v>
      </c>
      <c r="J12" s="154">
        <v>0</v>
      </c>
      <c r="K12" s="154">
        <v>0</v>
      </c>
      <c r="L12" s="154">
        <v>0</v>
      </c>
      <c r="M12" s="154">
        <v>0</v>
      </c>
      <c r="N12" s="154">
        <v>0</v>
      </c>
    </row>
    <row r="13" spans="2:15" x14ac:dyDescent="0.3">
      <c r="B13" t="s">
        <v>397</v>
      </c>
      <c r="C13" s="153">
        <v>94</v>
      </c>
      <c r="D13" s="154">
        <v>123</v>
      </c>
      <c r="E13" s="154">
        <v>119</v>
      </c>
      <c r="F13" s="154">
        <v>194</v>
      </c>
      <c r="G13" s="154">
        <v>261</v>
      </c>
      <c r="H13" s="154">
        <v>317</v>
      </c>
      <c r="I13" s="154">
        <v>463</v>
      </c>
      <c r="J13" s="154">
        <v>433</v>
      </c>
      <c r="K13" s="154">
        <v>578</v>
      </c>
      <c r="L13" s="154">
        <v>589</v>
      </c>
      <c r="M13" s="154">
        <v>754</v>
      </c>
      <c r="N13" s="154">
        <v>985</v>
      </c>
      <c r="O13" s="39"/>
    </row>
    <row r="14" spans="2:15" x14ac:dyDescent="0.3">
      <c r="B14" t="s">
        <v>398</v>
      </c>
      <c r="C14" s="153">
        <v>82</v>
      </c>
      <c r="D14" s="154">
        <v>89</v>
      </c>
      <c r="E14" s="154">
        <v>133</v>
      </c>
      <c r="F14" s="154">
        <v>194</v>
      </c>
      <c r="G14" s="154">
        <v>219</v>
      </c>
      <c r="H14" s="154">
        <v>222</v>
      </c>
      <c r="I14" s="154">
        <v>254</v>
      </c>
      <c r="J14" s="154">
        <v>229</v>
      </c>
      <c r="K14" s="154">
        <v>500</v>
      </c>
      <c r="L14" s="154">
        <v>557</v>
      </c>
      <c r="M14" s="154">
        <v>629</v>
      </c>
      <c r="N14" s="154">
        <v>898</v>
      </c>
    </row>
    <row r="15" spans="2:15" x14ac:dyDescent="0.3">
      <c r="B15" s="151" t="s">
        <v>176</v>
      </c>
      <c r="C15" s="152">
        <v>1492</v>
      </c>
      <c r="D15" s="155">
        <v>1808</v>
      </c>
      <c r="E15" s="155">
        <v>2355</v>
      </c>
      <c r="F15" s="155">
        <v>3102</v>
      </c>
      <c r="G15" s="155">
        <v>5819</v>
      </c>
      <c r="H15" s="155">
        <v>5648</v>
      </c>
      <c r="I15" s="155">
        <v>7006</v>
      </c>
      <c r="J15" s="155">
        <v>12076</v>
      </c>
      <c r="K15" s="155">
        <v>13655</v>
      </c>
      <c r="L15" s="155">
        <v>15471</v>
      </c>
      <c r="M15" s="155">
        <v>18105</v>
      </c>
      <c r="N15" s="155">
        <v>21172</v>
      </c>
      <c r="O15" s="39"/>
    </row>
    <row r="16" spans="2:15" x14ac:dyDescent="0.3"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</row>
    <row r="17" spans="2:15" x14ac:dyDescent="0.3">
      <c r="B17" s="78" t="s">
        <v>399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</row>
    <row r="18" spans="2:15" x14ac:dyDescent="0.3">
      <c r="B18" t="s">
        <v>400</v>
      </c>
      <c r="C18" s="154">
        <v>379</v>
      </c>
      <c r="D18" s="154">
        <v>460</v>
      </c>
      <c r="E18" s="154">
        <v>602</v>
      </c>
      <c r="F18" s="154">
        <v>784</v>
      </c>
      <c r="G18" s="154">
        <v>1044</v>
      </c>
      <c r="H18" s="154">
        <v>1438</v>
      </c>
      <c r="I18" s="154">
        <v>2028</v>
      </c>
      <c r="J18" s="154">
        <v>2740</v>
      </c>
      <c r="K18" s="154">
        <v>3483</v>
      </c>
      <c r="L18" s="154">
        <v>4527</v>
      </c>
      <c r="M18" s="154">
        <v>5519</v>
      </c>
      <c r="N18" s="154">
        <v>6904</v>
      </c>
    </row>
    <row r="19" spans="2:15" x14ac:dyDescent="0.3">
      <c r="B19" t="s">
        <v>401</v>
      </c>
      <c r="C19" s="154">
        <v>543</v>
      </c>
      <c r="D19" s="154">
        <v>717</v>
      </c>
      <c r="E19" s="154">
        <v>946</v>
      </c>
      <c r="F19" s="154">
        <v>1162</v>
      </c>
      <c r="G19" s="154">
        <v>1379</v>
      </c>
      <c r="H19" s="154">
        <v>1757</v>
      </c>
      <c r="I19" s="154">
        <v>2173</v>
      </c>
      <c r="J19" s="154">
        <v>3139</v>
      </c>
      <c r="K19" s="154">
        <v>3649</v>
      </c>
      <c r="L19" s="154">
        <v>4938</v>
      </c>
      <c r="M19" s="154">
        <v>6201</v>
      </c>
      <c r="N19" s="154">
        <v>7062</v>
      </c>
    </row>
    <row r="20" spans="2:15" x14ac:dyDescent="0.3">
      <c r="B20" t="s">
        <v>402</v>
      </c>
      <c r="C20" s="154">
        <v>30</v>
      </c>
      <c r="D20" s="154">
        <v>39</v>
      </c>
      <c r="E20" s="154">
        <v>51</v>
      </c>
      <c r="F20" s="154">
        <v>59</v>
      </c>
      <c r="G20" s="154">
        <v>88</v>
      </c>
      <c r="H20" s="154">
        <v>124</v>
      </c>
      <c r="I20" s="154">
        <v>191</v>
      </c>
      <c r="J20" s="154">
        <v>272</v>
      </c>
      <c r="K20" s="154">
        <v>352</v>
      </c>
      <c r="L20" s="154">
        <v>491</v>
      </c>
      <c r="M20" s="154">
        <v>656</v>
      </c>
      <c r="N20" s="154">
        <v>870</v>
      </c>
    </row>
    <row r="21" spans="2:15" x14ac:dyDescent="0.3">
      <c r="B21" t="s">
        <v>403</v>
      </c>
      <c r="C21" s="154">
        <v>6</v>
      </c>
      <c r="D21" s="154">
        <v>9</v>
      </c>
      <c r="E21" s="154">
        <v>12</v>
      </c>
      <c r="F21" s="154">
        <v>11</v>
      </c>
      <c r="G21" s="154">
        <v>16</v>
      </c>
      <c r="H21" s="154">
        <v>21</v>
      </c>
      <c r="I21" s="154">
        <v>29</v>
      </c>
      <c r="J21" s="154">
        <v>39</v>
      </c>
      <c r="K21" s="154">
        <v>50</v>
      </c>
      <c r="L21" s="154">
        <v>73</v>
      </c>
      <c r="M21" s="154">
        <v>85</v>
      </c>
      <c r="N21" s="154">
        <v>97</v>
      </c>
    </row>
    <row r="22" spans="2:15" x14ac:dyDescent="0.3">
      <c r="B22" t="s">
        <v>404</v>
      </c>
      <c r="C22" s="154">
        <v>18</v>
      </c>
      <c r="D22" s="154">
        <v>23</v>
      </c>
      <c r="E22" s="154">
        <v>30</v>
      </c>
      <c r="F22" s="154">
        <v>21</v>
      </c>
      <c r="G22" s="154">
        <v>30</v>
      </c>
      <c r="H22" s="154">
        <v>53</v>
      </c>
      <c r="I22" s="154">
        <v>76</v>
      </c>
      <c r="J22" s="154">
        <v>95</v>
      </c>
      <c r="K22" s="154">
        <v>119</v>
      </c>
      <c r="L22" s="154">
        <v>153</v>
      </c>
      <c r="M22" s="154">
        <v>190</v>
      </c>
      <c r="N22" s="154">
        <v>219</v>
      </c>
    </row>
    <row r="23" spans="2:15" x14ac:dyDescent="0.3">
      <c r="B23" t="s">
        <v>405</v>
      </c>
      <c r="C23" s="154">
        <v>108</v>
      </c>
      <c r="D23" s="154">
        <v>135</v>
      </c>
      <c r="E23" s="154">
        <v>172</v>
      </c>
      <c r="F23" s="154">
        <v>143</v>
      </c>
      <c r="G23" s="154">
        <v>202</v>
      </c>
      <c r="H23" s="154">
        <v>265</v>
      </c>
      <c r="I23" s="154">
        <v>357</v>
      </c>
      <c r="J23" s="154">
        <v>476</v>
      </c>
      <c r="K23" s="154">
        <v>581</v>
      </c>
      <c r="L23" s="154">
        <v>772</v>
      </c>
      <c r="M23" s="154">
        <v>968</v>
      </c>
      <c r="N23" s="154">
        <v>1205</v>
      </c>
    </row>
    <row r="24" spans="2:15" x14ac:dyDescent="0.3">
      <c r="B24" t="s">
        <v>406</v>
      </c>
      <c r="C24" s="154">
        <v>2</v>
      </c>
      <c r="D24" s="154">
        <v>4</v>
      </c>
      <c r="E24" s="154">
        <v>6</v>
      </c>
      <c r="F24" s="154">
        <v>6</v>
      </c>
      <c r="G24" s="154">
        <v>6</v>
      </c>
      <c r="H24" s="154">
        <v>2</v>
      </c>
      <c r="I24" s="154">
        <v>3</v>
      </c>
      <c r="J24" s="154">
        <v>4</v>
      </c>
      <c r="K24" s="154">
        <v>4</v>
      </c>
      <c r="L24" s="154">
        <v>3</v>
      </c>
      <c r="M24" s="154">
        <v>15</v>
      </c>
      <c r="N24" s="154">
        <v>17</v>
      </c>
    </row>
    <row r="25" spans="2:15" x14ac:dyDescent="0.3">
      <c r="B25" t="s">
        <v>407</v>
      </c>
      <c r="C25" s="154">
        <v>0</v>
      </c>
      <c r="D25" s="154">
        <v>0</v>
      </c>
      <c r="E25" s="154">
        <v>0</v>
      </c>
      <c r="F25" s="154">
        <v>0</v>
      </c>
      <c r="G25" s="154">
        <v>0</v>
      </c>
      <c r="H25" s="154">
        <v>78</v>
      </c>
      <c r="I25" s="154">
        <v>78</v>
      </c>
      <c r="J25" s="154">
        <v>78</v>
      </c>
      <c r="K25" s="154">
        <v>78</v>
      </c>
      <c r="L25" s="154">
        <v>78</v>
      </c>
      <c r="M25" s="154">
        <v>78</v>
      </c>
      <c r="N25" s="154">
        <v>78</v>
      </c>
    </row>
    <row r="26" spans="2:15" x14ac:dyDescent="0.3">
      <c r="B26" t="s">
        <v>408</v>
      </c>
      <c r="C26" s="154">
        <v>8</v>
      </c>
      <c r="D26" s="154">
        <v>10</v>
      </c>
      <c r="E26" s="154">
        <v>12</v>
      </c>
      <c r="F26" s="154">
        <v>6</v>
      </c>
      <c r="G26" s="154">
        <v>39</v>
      </c>
      <c r="H26" s="154">
        <v>61</v>
      </c>
      <c r="I26" s="154">
        <v>74</v>
      </c>
      <c r="J26" s="154">
        <v>82</v>
      </c>
      <c r="K26" s="154">
        <v>81</v>
      </c>
      <c r="L26" s="154">
        <v>91</v>
      </c>
      <c r="M26" s="154">
        <v>105</v>
      </c>
      <c r="N26" s="154">
        <v>119</v>
      </c>
    </row>
    <row r="27" spans="2:15" x14ac:dyDescent="0.3">
      <c r="B27" s="78" t="s">
        <v>409</v>
      </c>
      <c r="C27" s="156">
        <v>1095</v>
      </c>
      <c r="D27" s="156">
        <v>1397</v>
      </c>
      <c r="E27" s="156">
        <v>1832</v>
      </c>
      <c r="F27" s="156">
        <v>2192</v>
      </c>
      <c r="G27" s="156">
        <v>2805</v>
      </c>
      <c r="H27" s="156">
        <v>3801</v>
      </c>
      <c r="I27" s="156">
        <v>5010</v>
      </c>
      <c r="J27" s="156">
        <v>6927</v>
      </c>
      <c r="K27" s="156">
        <v>8396</v>
      </c>
      <c r="L27" s="156">
        <v>11127</v>
      </c>
      <c r="M27" s="156">
        <v>13816</v>
      </c>
      <c r="N27" s="156">
        <v>16571</v>
      </c>
    </row>
    <row r="28" spans="2:15" x14ac:dyDescent="0.3">
      <c r="B28" s="78" t="s">
        <v>410</v>
      </c>
      <c r="C28" s="157">
        <v>170</v>
      </c>
      <c r="D28" s="157">
        <v>225</v>
      </c>
      <c r="E28" s="157">
        <v>304</v>
      </c>
      <c r="F28" s="157">
        <v>98</v>
      </c>
      <c r="G28" s="157">
        <v>228</v>
      </c>
      <c r="H28" s="157">
        <v>401</v>
      </c>
      <c r="I28" s="157">
        <v>609</v>
      </c>
      <c r="J28" s="157">
        <v>979</v>
      </c>
      <c r="K28" s="157">
        <v>1387</v>
      </c>
      <c r="L28" s="157">
        <v>1867</v>
      </c>
      <c r="M28" s="157">
        <v>2476</v>
      </c>
      <c r="N28" s="157">
        <v>3156</v>
      </c>
    </row>
    <row r="29" spans="2:15" x14ac:dyDescent="0.3">
      <c r="B29" s="114" t="s">
        <v>27</v>
      </c>
      <c r="C29" s="159">
        <f>C27-C28</f>
        <v>925</v>
      </c>
      <c r="D29" s="159">
        <f t="shared" ref="D29:N29" si="0">D27-D28</f>
        <v>1172</v>
      </c>
      <c r="E29" s="159">
        <f t="shared" si="0"/>
        <v>1528</v>
      </c>
      <c r="F29" s="159">
        <f t="shared" si="0"/>
        <v>2094</v>
      </c>
      <c r="G29" s="159">
        <f t="shared" si="0"/>
        <v>2577</v>
      </c>
      <c r="H29" s="159">
        <f t="shared" si="0"/>
        <v>3400</v>
      </c>
      <c r="I29" s="159">
        <f t="shared" si="0"/>
        <v>4401</v>
      </c>
      <c r="J29" s="159">
        <f t="shared" si="0"/>
        <v>5948</v>
      </c>
      <c r="K29" s="159">
        <f t="shared" si="0"/>
        <v>7009</v>
      </c>
      <c r="L29" s="159">
        <f t="shared" si="0"/>
        <v>9260</v>
      </c>
      <c r="M29" s="159">
        <f t="shared" si="0"/>
        <v>11340</v>
      </c>
      <c r="N29" s="159">
        <f t="shared" si="0"/>
        <v>13415</v>
      </c>
    </row>
    <row r="30" spans="2:15" x14ac:dyDescent="0.3">
      <c r="B30" s="8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</row>
    <row r="31" spans="2:15" x14ac:dyDescent="0.3">
      <c r="B31" s="78" t="s">
        <v>411</v>
      </c>
      <c r="C31" s="158">
        <v>118</v>
      </c>
      <c r="D31" s="158">
        <v>89</v>
      </c>
      <c r="E31" s="158">
        <v>98</v>
      </c>
      <c r="F31" s="158">
        <v>82</v>
      </c>
      <c r="G31" s="158">
        <v>153</v>
      </c>
      <c r="H31" s="158">
        <v>147</v>
      </c>
      <c r="I31" s="158">
        <v>377</v>
      </c>
      <c r="J31" s="158">
        <v>364</v>
      </c>
      <c r="K31" s="158">
        <v>1020</v>
      </c>
      <c r="L31" s="158">
        <v>1129</v>
      </c>
      <c r="M31" s="158">
        <v>829</v>
      </c>
      <c r="N31" s="158">
        <v>935</v>
      </c>
      <c r="O31" s="39"/>
    </row>
    <row r="32" spans="2:15" x14ac:dyDescent="0.3">
      <c r="B32" s="78" t="s">
        <v>29</v>
      </c>
      <c r="C32" s="157">
        <v>16</v>
      </c>
      <c r="D32" s="157">
        <v>16</v>
      </c>
      <c r="E32" s="157">
        <v>15</v>
      </c>
      <c r="F32" s="157">
        <v>29</v>
      </c>
      <c r="G32" s="157">
        <v>26</v>
      </c>
      <c r="H32" s="157">
        <v>68</v>
      </c>
      <c r="I32" s="157">
        <v>17</v>
      </c>
      <c r="J32" s="157">
        <v>15</v>
      </c>
      <c r="K32" s="157">
        <v>3</v>
      </c>
      <c r="L32" s="157">
        <v>6</v>
      </c>
      <c r="M32" s="157">
        <v>202</v>
      </c>
      <c r="N32" s="157">
        <v>107</v>
      </c>
    </row>
    <row r="33" spans="2:15" x14ac:dyDescent="0.3">
      <c r="B33" s="78"/>
      <c r="C33" s="160"/>
      <c r="D33" s="160"/>
      <c r="E33" s="160"/>
      <c r="F33" s="160"/>
      <c r="G33" s="160"/>
      <c r="H33" s="160"/>
      <c r="I33" s="160"/>
      <c r="J33" s="160"/>
      <c r="K33" s="160"/>
      <c r="L33" s="160"/>
      <c r="M33" s="160"/>
      <c r="N33" s="160"/>
    </row>
    <row r="34" spans="2:15" x14ac:dyDescent="0.3">
      <c r="B34" s="78" t="s">
        <v>412</v>
      </c>
      <c r="C34" s="160"/>
      <c r="D34" s="160"/>
      <c r="E34" s="160"/>
      <c r="F34" s="160"/>
      <c r="G34" s="160"/>
      <c r="H34" s="160"/>
      <c r="I34" s="160"/>
      <c r="J34" s="160"/>
      <c r="K34" s="160"/>
      <c r="L34" s="160"/>
      <c r="M34" s="160"/>
      <c r="N34" s="160"/>
      <c r="O34" s="39"/>
    </row>
    <row r="35" spans="2:15" x14ac:dyDescent="0.3">
      <c r="B35" t="s">
        <v>413</v>
      </c>
      <c r="C35" s="158">
        <v>276</v>
      </c>
      <c r="D35" s="158">
        <v>378</v>
      </c>
      <c r="E35" s="158">
        <v>540</v>
      </c>
      <c r="F35" s="158">
        <v>672</v>
      </c>
      <c r="G35" s="158">
        <v>948</v>
      </c>
      <c r="H35" s="158">
        <v>1163</v>
      </c>
      <c r="I35" s="158">
        <v>1609</v>
      </c>
      <c r="J35" s="158">
        <v>1947</v>
      </c>
      <c r="K35" s="158">
        <v>2248</v>
      </c>
      <c r="L35" s="158">
        <v>2743</v>
      </c>
      <c r="M35" s="158">
        <v>3243</v>
      </c>
      <c r="N35" s="158">
        <v>3927</v>
      </c>
      <c r="O35" s="39"/>
    </row>
    <row r="36" spans="2:15" x14ac:dyDescent="0.3">
      <c r="B36" t="s">
        <v>414</v>
      </c>
      <c r="C36" s="154">
        <v>13</v>
      </c>
      <c r="D36" s="154">
        <v>10</v>
      </c>
      <c r="E36" s="154">
        <v>7</v>
      </c>
      <c r="F36" s="154">
        <v>8</v>
      </c>
      <c r="G36" s="154">
        <v>21</v>
      </c>
      <c r="H36" s="154">
        <v>34</v>
      </c>
      <c r="I36" s="154">
        <v>64</v>
      </c>
      <c r="J36" s="154">
        <v>20</v>
      </c>
      <c r="K36" s="154">
        <v>44</v>
      </c>
      <c r="L36" s="154">
        <v>67</v>
      </c>
      <c r="M36" s="154">
        <v>62</v>
      </c>
      <c r="N36" s="154">
        <v>166</v>
      </c>
    </row>
    <row r="37" spans="2:15" x14ac:dyDescent="0.3">
      <c r="B37" t="s">
        <v>415</v>
      </c>
      <c r="C37" s="154">
        <v>62</v>
      </c>
      <c r="D37" s="154">
        <v>55</v>
      </c>
      <c r="E37" s="154">
        <v>38</v>
      </c>
      <c r="F37" s="154">
        <v>35</v>
      </c>
      <c r="G37" s="154">
        <v>1884</v>
      </c>
      <c r="H37" s="154">
        <v>560</v>
      </c>
      <c r="I37" s="154">
        <v>219</v>
      </c>
      <c r="J37" s="154">
        <v>108</v>
      </c>
      <c r="K37" s="154">
        <v>1446</v>
      </c>
      <c r="L37" s="154">
        <v>299</v>
      </c>
      <c r="M37" s="154">
        <v>1408</v>
      </c>
      <c r="N37" s="154">
        <v>638</v>
      </c>
    </row>
    <row r="38" spans="2:15" x14ac:dyDescent="0.3">
      <c r="B38" t="s">
        <v>416</v>
      </c>
      <c r="C38" s="154">
        <v>0</v>
      </c>
      <c r="D38" s="154">
        <v>0</v>
      </c>
      <c r="E38" s="154">
        <v>1</v>
      </c>
      <c r="F38" s="154">
        <v>1</v>
      </c>
      <c r="G38" s="154">
        <v>1</v>
      </c>
      <c r="H38" s="154">
        <v>2</v>
      </c>
      <c r="I38" s="154">
        <v>2</v>
      </c>
      <c r="J38" s="154">
        <v>2</v>
      </c>
      <c r="K38" s="154">
        <v>2</v>
      </c>
      <c r="L38" s="154">
        <v>2</v>
      </c>
      <c r="M38" s="154">
        <v>2</v>
      </c>
      <c r="N38" s="154">
        <v>3</v>
      </c>
    </row>
    <row r="39" spans="2:15" x14ac:dyDescent="0.3">
      <c r="B39" t="s">
        <v>417</v>
      </c>
      <c r="C39" s="154">
        <v>82</v>
      </c>
      <c r="D39" s="154">
        <v>88</v>
      </c>
      <c r="E39" s="154">
        <v>128</v>
      </c>
      <c r="F39" s="154">
        <v>181</v>
      </c>
      <c r="G39" s="154">
        <v>209</v>
      </c>
      <c r="H39" s="154">
        <v>274</v>
      </c>
      <c r="I39" s="154">
        <v>318</v>
      </c>
      <c r="J39" s="154">
        <v>3672</v>
      </c>
      <c r="K39" s="154">
        <v>1884</v>
      </c>
      <c r="L39" s="154">
        <v>1965</v>
      </c>
      <c r="M39" s="154">
        <v>1017</v>
      </c>
      <c r="N39" s="154">
        <v>1981</v>
      </c>
      <c r="O39" s="39"/>
    </row>
    <row r="40" spans="2:15" x14ac:dyDescent="0.3">
      <c r="B40" s="78" t="s">
        <v>109</v>
      </c>
      <c r="C40" s="156">
        <v>1492</v>
      </c>
      <c r="D40" s="156">
        <v>1808</v>
      </c>
      <c r="E40" s="156">
        <v>2355</v>
      </c>
      <c r="F40" s="156">
        <v>3102</v>
      </c>
      <c r="G40" s="156">
        <v>5819</v>
      </c>
      <c r="H40" s="156">
        <v>5648</v>
      </c>
      <c r="I40" s="156">
        <v>7006</v>
      </c>
      <c r="J40" s="156">
        <v>12076</v>
      </c>
      <c r="K40" s="156">
        <v>13655</v>
      </c>
      <c r="L40" s="156">
        <v>15471</v>
      </c>
      <c r="M40" s="156">
        <v>18105</v>
      </c>
      <c r="N40" s="156">
        <v>21172</v>
      </c>
      <c r="O40" s="39"/>
    </row>
    <row r="43" spans="2:15" x14ac:dyDescent="0.3">
      <c r="C43" s="28">
        <v>41334</v>
      </c>
      <c r="D43" s="28">
        <v>41699</v>
      </c>
      <c r="E43" s="28">
        <v>42064</v>
      </c>
      <c r="F43" s="28">
        <v>42430</v>
      </c>
      <c r="G43" s="28">
        <v>42795</v>
      </c>
      <c r="H43" s="28">
        <v>43160</v>
      </c>
      <c r="I43" s="28">
        <v>43525</v>
      </c>
      <c r="J43" s="28">
        <v>43891</v>
      </c>
      <c r="K43" s="28">
        <v>44256</v>
      </c>
      <c r="L43" s="28">
        <v>44621</v>
      </c>
      <c r="M43" s="28">
        <v>44986</v>
      </c>
      <c r="N43" s="28">
        <v>45352</v>
      </c>
    </row>
    <row r="44" spans="2:15" x14ac:dyDescent="0.3">
      <c r="B44" t="s">
        <v>111</v>
      </c>
      <c r="C44">
        <v>127</v>
      </c>
      <c r="D44">
        <v>198</v>
      </c>
      <c r="E44">
        <v>222</v>
      </c>
      <c r="F44">
        <v>433</v>
      </c>
      <c r="G44">
        <v>455</v>
      </c>
      <c r="H44">
        <v>730</v>
      </c>
      <c r="I44">
        <v>807</v>
      </c>
      <c r="J44" s="39">
        <v>1280</v>
      </c>
      <c r="K44" s="39">
        <v>1375</v>
      </c>
      <c r="L44" s="39">
        <v>1372</v>
      </c>
      <c r="M44" s="39">
        <v>2630</v>
      </c>
      <c r="N44" s="39">
        <v>2746</v>
      </c>
    </row>
    <row r="45" spans="2:15" x14ac:dyDescent="0.3">
      <c r="B45" t="s">
        <v>112</v>
      </c>
      <c r="C45">
        <v>229</v>
      </c>
      <c r="D45">
        <v>356</v>
      </c>
      <c r="E45">
        <v>474</v>
      </c>
      <c r="F45">
        <v>666</v>
      </c>
      <c r="G45">
        <v>984</v>
      </c>
      <c r="H45" s="39">
        <v>1375</v>
      </c>
      <c r="I45" s="39">
        <v>1659</v>
      </c>
      <c r="J45" s="39">
        <v>2149</v>
      </c>
      <c r="K45" s="39">
        <v>1764</v>
      </c>
      <c r="L45" s="39">
        <v>2515</v>
      </c>
      <c r="M45" s="39">
        <v>3659</v>
      </c>
      <c r="N45" s="39">
        <v>4131</v>
      </c>
    </row>
    <row r="46" spans="2:15" x14ac:dyDescent="0.3">
      <c r="B46" t="s">
        <v>69</v>
      </c>
      <c r="C46">
        <v>-8</v>
      </c>
      <c r="D46">
        <v>4</v>
      </c>
      <c r="E46">
        <v>2</v>
      </c>
      <c r="F46">
        <v>-1</v>
      </c>
      <c r="G46">
        <v>54</v>
      </c>
      <c r="H46">
        <v>-13</v>
      </c>
      <c r="I46">
        <v>-31</v>
      </c>
      <c r="J46">
        <v>45</v>
      </c>
      <c r="K46">
        <v>-24</v>
      </c>
      <c r="L46">
        <v>-23</v>
      </c>
      <c r="M46">
        <v>5</v>
      </c>
      <c r="N46">
        <v>-104</v>
      </c>
    </row>
    <row r="47" spans="2:15" x14ac:dyDescent="0.3">
      <c r="B47" t="s">
        <v>45</v>
      </c>
      <c r="C47">
        <v>-80</v>
      </c>
      <c r="D47">
        <v>-102</v>
      </c>
      <c r="E47">
        <v>-161</v>
      </c>
      <c r="F47">
        <v>-132</v>
      </c>
      <c r="G47">
        <v>-276</v>
      </c>
      <c r="H47">
        <v>-212</v>
      </c>
      <c r="I47">
        <v>-445</v>
      </c>
      <c r="J47">
        <v>-339</v>
      </c>
      <c r="K47">
        <v>-301</v>
      </c>
      <c r="L47">
        <v>-494</v>
      </c>
      <c r="M47">
        <v>-501</v>
      </c>
      <c r="N47">
        <v>-684</v>
      </c>
    </row>
    <row r="48" spans="2:15" x14ac:dyDescent="0.3">
      <c r="B48" t="s">
        <v>113</v>
      </c>
      <c r="C48">
        <v>30</v>
      </c>
      <c r="D48">
        <v>28</v>
      </c>
      <c r="E48">
        <v>-4</v>
      </c>
      <c r="F48">
        <v>72</v>
      </c>
      <c r="G48">
        <v>0</v>
      </c>
      <c r="H48">
        <v>55</v>
      </c>
      <c r="I48">
        <v>146</v>
      </c>
      <c r="J48">
        <v>-30</v>
      </c>
      <c r="K48">
        <v>145</v>
      </c>
      <c r="L48">
        <v>11</v>
      </c>
      <c r="M48">
        <v>165</v>
      </c>
      <c r="N48">
        <v>231</v>
      </c>
    </row>
    <row r="49" spans="2:14" x14ac:dyDescent="0.3">
      <c r="B49" t="s">
        <v>114</v>
      </c>
      <c r="C49">
        <v>-13</v>
      </c>
      <c r="D49">
        <v>-18</v>
      </c>
      <c r="E49">
        <v>-5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2:14" x14ac:dyDescent="0.3">
      <c r="B50" t="s">
        <v>430</v>
      </c>
      <c r="C50">
        <v>0</v>
      </c>
      <c r="D50">
        <v>0</v>
      </c>
      <c r="E50">
        <v>0</v>
      </c>
      <c r="F50">
        <v>0</v>
      </c>
      <c r="G50">
        <v>-2</v>
      </c>
      <c r="H50">
        <v>-62</v>
      </c>
      <c r="I50">
        <v>52</v>
      </c>
      <c r="J50">
        <v>2</v>
      </c>
      <c r="K50">
        <v>12</v>
      </c>
      <c r="L50">
        <v>-3</v>
      </c>
      <c r="M50">
        <v>0</v>
      </c>
      <c r="N50">
        <v>0</v>
      </c>
    </row>
    <row r="51" spans="2:14" x14ac:dyDescent="0.3">
      <c r="B51" t="s">
        <v>115</v>
      </c>
      <c r="C51">
        <v>6</v>
      </c>
      <c r="D51">
        <v>6</v>
      </c>
      <c r="E51">
        <v>16</v>
      </c>
      <c r="F51">
        <v>-7</v>
      </c>
      <c r="G51">
        <v>-46</v>
      </c>
      <c r="H51">
        <v>-11</v>
      </c>
      <c r="I51">
        <v>-72</v>
      </c>
      <c r="J51">
        <v>-54</v>
      </c>
      <c r="K51">
        <v>41</v>
      </c>
      <c r="L51">
        <v>-73</v>
      </c>
      <c r="M51">
        <v>12</v>
      </c>
      <c r="N51">
        <v>-87</v>
      </c>
    </row>
    <row r="52" spans="2:14" x14ac:dyDescent="0.3">
      <c r="B52" t="s">
        <v>116</v>
      </c>
      <c r="C52">
        <v>-65</v>
      </c>
      <c r="D52">
        <v>-83</v>
      </c>
      <c r="E52">
        <v>-152</v>
      </c>
      <c r="F52">
        <v>-69</v>
      </c>
      <c r="G52">
        <v>-270</v>
      </c>
      <c r="H52">
        <v>-243</v>
      </c>
      <c r="I52">
        <v>-351</v>
      </c>
      <c r="J52">
        <v>-376</v>
      </c>
      <c r="K52">
        <v>-127</v>
      </c>
      <c r="L52">
        <v>-582</v>
      </c>
      <c r="M52">
        <v>-320</v>
      </c>
      <c r="N52">
        <v>-644</v>
      </c>
    </row>
    <row r="53" spans="2:14" x14ac:dyDescent="0.3">
      <c r="B53" t="s">
        <v>117</v>
      </c>
      <c r="C53">
        <v>-37</v>
      </c>
      <c r="D53">
        <v>-75</v>
      </c>
      <c r="E53">
        <v>-100</v>
      </c>
      <c r="F53">
        <v>-164</v>
      </c>
      <c r="G53">
        <v>-258</v>
      </c>
      <c r="H53">
        <v>-403</v>
      </c>
      <c r="I53">
        <v>-502</v>
      </c>
      <c r="J53">
        <v>-492</v>
      </c>
      <c r="K53">
        <v>-262</v>
      </c>
      <c r="L53">
        <v>-560</v>
      </c>
      <c r="M53">
        <v>-709</v>
      </c>
      <c r="N53">
        <v>-742</v>
      </c>
    </row>
    <row r="54" spans="2:14" x14ac:dyDescent="0.3">
      <c r="B54" t="s">
        <v>119</v>
      </c>
      <c r="C54">
        <v>-231</v>
      </c>
      <c r="D54">
        <v>-270</v>
      </c>
      <c r="E54">
        <v>-474</v>
      </c>
      <c r="F54">
        <v>-633</v>
      </c>
      <c r="G54" s="39">
        <v>-2482</v>
      </c>
      <c r="H54">
        <v>464</v>
      </c>
      <c r="I54">
        <v>-958</v>
      </c>
      <c r="J54" s="39">
        <v>-4657</v>
      </c>
      <c r="K54" s="39">
        <v>-1110</v>
      </c>
      <c r="L54" s="39">
        <v>-1289</v>
      </c>
      <c r="M54" s="39">
        <v>-2313</v>
      </c>
      <c r="N54" s="39">
        <v>-2468</v>
      </c>
    </row>
    <row r="55" spans="2:14" x14ac:dyDescent="0.3">
      <c r="B55" t="s">
        <v>120</v>
      </c>
      <c r="C55">
        <v>-239</v>
      </c>
      <c r="D55">
        <v>-272</v>
      </c>
      <c r="E55">
        <v>-477</v>
      </c>
      <c r="F55">
        <v>0</v>
      </c>
      <c r="G55">
        <v>-645</v>
      </c>
      <c r="H55">
        <v>-916</v>
      </c>
      <c r="I55" s="39">
        <v>-1417</v>
      </c>
      <c r="J55" s="39">
        <v>-1712</v>
      </c>
      <c r="K55" s="39">
        <v>-2029</v>
      </c>
      <c r="L55" s="39">
        <v>-2410</v>
      </c>
      <c r="M55" s="39">
        <v>-2212</v>
      </c>
      <c r="N55" s="39">
        <v>-2731</v>
      </c>
    </row>
    <row r="56" spans="2:14" x14ac:dyDescent="0.3">
      <c r="B56" t="s">
        <v>121</v>
      </c>
      <c r="C56">
        <v>2</v>
      </c>
      <c r="D56">
        <v>1</v>
      </c>
      <c r="E56">
        <v>0</v>
      </c>
      <c r="F56">
        <v>2</v>
      </c>
      <c r="G56">
        <v>10</v>
      </c>
      <c r="H56">
        <v>7</v>
      </c>
      <c r="I56">
        <v>8</v>
      </c>
      <c r="J56">
        <v>6</v>
      </c>
      <c r="K56">
        <v>2</v>
      </c>
      <c r="L56">
        <v>21</v>
      </c>
      <c r="M56">
        <v>5</v>
      </c>
      <c r="N56">
        <v>9</v>
      </c>
    </row>
    <row r="57" spans="2:14" x14ac:dyDescent="0.3">
      <c r="B57" t="s">
        <v>122</v>
      </c>
      <c r="C57">
        <v>-187</v>
      </c>
      <c r="D57">
        <v>-644</v>
      </c>
      <c r="E57" s="39">
        <v>-2901</v>
      </c>
      <c r="F57">
        <v>-638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-193</v>
      </c>
      <c r="N57">
        <v>0</v>
      </c>
    </row>
    <row r="58" spans="2:14" x14ac:dyDescent="0.3">
      <c r="B58" t="s">
        <v>123</v>
      </c>
      <c r="C58">
        <v>194</v>
      </c>
      <c r="D58">
        <v>645</v>
      </c>
      <c r="E58" s="39">
        <v>2904</v>
      </c>
      <c r="F58">
        <v>0</v>
      </c>
      <c r="G58">
        <v>0</v>
      </c>
      <c r="H58" s="39">
        <v>1376</v>
      </c>
      <c r="I58">
        <v>410</v>
      </c>
      <c r="J58">
        <v>232</v>
      </c>
      <c r="K58">
        <v>3</v>
      </c>
      <c r="L58">
        <v>4</v>
      </c>
      <c r="M58">
        <v>6</v>
      </c>
      <c r="N58">
        <v>123</v>
      </c>
    </row>
    <row r="59" spans="2:14" x14ac:dyDescent="0.3">
      <c r="B59" t="s">
        <v>431</v>
      </c>
      <c r="C59">
        <v>0</v>
      </c>
      <c r="D59">
        <v>0</v>
      </c>
      <c r="E59">
        <v>0</v>
      </c>
      <c r="F59">
        <v>3</v>
      </c>
      <c r="G59">
        <v>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2:14" x14ac:dyDescent="0.3">
      <c r="B60" t="s">
        <v>124</v>
      </c>
      <c r="C60">
        <v>0</v>
      </c>
      <c r="D60">
        <v>0</v>
      </c>
      <c r="E60">
        <v>0</v>
      </c>
      <c r="F60">
        <v>1</v>
      </c>
      <c r="G60">
        <v>1</v>
      </c>
      <c r="H60">
        <v>31</v>
      </c>
      <c r="I60">
        <v>36</v>
      </c>
      <c r="J60">
        <v>12</v>
      </c>
      <c r="K60">
        <v>129</v>
      </c>
      <c r="L60">
        <v>43</v>
      </c>
      <c r="M60">
        <v>39</v>
      </c>
      <c r="N60">
        <v>262</v>
      </c>
    </row>
    <row r="61" spans="2:14" x14ac:dyDescent="0.3">
      <c r="B61" t="s">
        <v>125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2:14" x14ac:dyDescent="0.3">
      <c r="B62" t="s">
        <v>432</v>
      </c>
      <c r="C62">
        <v>0</v>
      </c>
      <c r="D62">
        <v>0</v>
      </c>
      <c r="E62">
        <v>0</v>
      </c>
      <c r="F62">
        <v>-14</v>
      </c>
      <c r="G62">
        <v>-21</v>
      </c>
      <c r="H62">
        <v>-49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2:14" x14ac:dyDescent="0.3">
      <c r="B63" t="s">
        <v>433</v>
      </c>
      <c r="C63">
        <v>0</v>
      </c>
      <c r="D63">
        <v>0</v>
      </c>
      <c r="E63">
        <v>0</v>
      </c>
      <c r="F63">
        <v>0</v>
      </c>
      <c r="G63">
        <v>0</v>
      </c>
      <c r="H63">
        <v>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2:14" x14ac:dyDescent="0.3">
      <c r="B64" t="s">
        <v>127</v>
      </c>
      <c r="C64">
        <v>0</v>
      </c>
      <c r="D64">
        <v>0</v>
      </c>
      <c r="E64">
        <v>0</v>
      </c>
      <c r="F64">
        <v>14</v>
      </c>
      <c r="G64" s="39">
        <v>-1835</v>
      </c>
      <c r="H64">
        <v>7</v>
      </c>
      <c r="I64">
        <v>3</v>
      </c>
      <c r="J64" s="39">
        <v>-3194</v>
      </c>
      <c r="K64">
        <v>786</v>
      </c>
      <c r="L64" s="39">
        <v>1054</v>
      </c>
      <c r="M64">
        <v>42</v>
      </c>
      <c r="N64">
        <v>-131</v>
      </c>
    </row>
    <row r="65" spans="2:14" x14ac:dyDescent="0.3">
      <c r="B65" t="s">
        <v>128</v>
      </c>
      <c r="C65">
        <v>118</v>
      </c>
      <c r="D65">
        <v>65</v>
      </c>
      <c r="E65">
        <v>234</v>
      </c>
      <c r="F65">
        <v>196</v>
      </c>
      <c r="G65" s="39">
        <v>2025</v>
      </c>
      <c r="H65" s="39">
        <v>-1159</v>
      </c>
      <c r="I65">
        <v>209</v>
      </c>
      <c r="J65" s="39">
        <v>3357</v>
      </c>
      <c r="K65">
        <v>-180</v>
      </c>
      <c r="L65">
        <v>-179</v>
      </c>
      <c r="M65">
        <v>-205</v>
      </c>
      <c r="N65">
        <v>-148</v>
      </c>
    </row>
    <row r="66" spans="2:14" x14ac:dyDescent="0.3">
      <c r="B66" t="s">
        <v>129</v>
      </c>
      <c r="C66">
        <v>14</v>
      </c>
      <c r="D66">
        <v>5</v>
      </c>
      <c r="E66">
        <v>33</v>
      </c>
      <c r="F66">
        <v>0</v>
      </c>
      <c r="G66" s="39">
        <v>1841</v>
      </c>
      <c r="H66">
        <v>0</v>
      </c>
      <c r="I66">
        <v>0</v>
      </c>
      <c r="J66">
        <v>110</v>
      </c>
      <c r="K66">
        <v>0</v>
      </c>
      <c r="L66">
        <v>0</v>
      </c>
      <c r="M66">
        <v>15</v>
      </c>
      <c r="N66">
        <v>75</v>
      </c>
    </row>
    <row r="67" spans="2:14" x14ac:dyDescent="0.3">
      <c r="B67" t="s">
        <v>434</v>
      </c>
      <c r="C67">
        <v>0</v>
      </c>
      <c r="D67">
        <v>0</v>
      </c>
      <c r="E67">
        <v>200</v>
      </c>
      <c r="F67">
        <v>350</v>
      </c>
      <c r="G67">
        <v>250</v>
      </c>
      <c r="H67">
        <v>0</v>
      </c>
      <c r="I67">
        <v>0</v>
      </c>
      <c r="J67">
        <v>300</v>
      </c>
      <c r="K67">
        <v>0</v>
      </c>
      <c r="L67">
        <v>0</v>
      </c>
      <c r="M67">
        <v>0</v>
      </c>
      <c r="N67">
        <v>0</v>
      </c>
    </row>
    <row r="68" spans="2:14" x14ac:dyDescent="0.3">
      <c r="B68" t="s">
        <v>435</v>
      </c>
      <c r="C68">
        <v>0</v>
      </c>
      <c r="D68">
        <v>0</v>
      </c>
      <c r="E68">
        <v>0</v>
      </c>
      <c r="F68">
        <v>0</v>
      </c>
      <c r="G68">
        <v>0</v>
      </c>
      <c r="H68">
        <v>-384</v>
      </c>
      <c r="I68">
        <v>-170</v>
      </c>
      <c r="J68">
        <v>-512</v>
      </c>
      <c r="K68">
        <v>-34</v>
      </c>
      <c r="L68">
        <v>0</v>
      </c>
      <c r="M68">
        <v>0</v>
      </c>
      <c r="N68">
        <v>0</v>
      </c>
    </row>
    <row r="69" spans="2:14" x14ac:dyDescent="0.3">
      <c r="B69" t="s">
        <v>130</v>
      </c>
      <c r="C69">
        <v>219</v>
      </c>
      <c r="D69">
        <v>245</v>
      </c>
      <c r="E69">
        <v>295</v>
      </c>
      <c r="F69">
        <v>-60</v>
      </c>
      <c r="G69">
        <v>260</v>
      </c>
      <c r="H69">
        <v>0</v>
      </c>
      <c r="I69">
        <v>992</v>
      </c>
      <c r="J69" s="39">
        <v>1100</v>
      </c>
      <c r="K69">
        <v>200</v>
      </c>
      <c r="L69">
        <v>248</v>
      </c>
      <c r="M69">
        <v>0</v>
      </c>
      <c r="N69">
        <v>0</v>
      </c>
    </row>
    <row r="70" spans="2:14" x14ac:dyDescent="0.3">
      <c r="B70" t="s">
        <v>131</v>
      </c>
      <c r="C70">
        <v>-73</v>
      </c>
      <c r="D70">
        <v>-130</v>
      </c>
      <c r="E70">
        <v>-232</v>
      </c>
      <c r="F70">
        <v>0</v>
      </c>
      <c r="G70">
        <v>-155</v>
      </c>
      <c r="H70">
        <v>-695</v>
      </c>
      <c r="I70">
        <v>-562</v>
      </c>
      <c r="J70" s="39">
        <v>-1550</v>
      </c>
      <c r="K70">
        <v>-204</v>
      </c>
      <c r="L70">
        <v>-248</v>
      </c>
      <c r="M70">
        <v>0</v>
      </c>
      <c r="N70">
        <v>0</v>
      </c>
    </row>
    <row r="71" spans="2:14" x14ac:dyDescent="0.3">
      <c r="B71" t="s">
        <v>132</v>
      </c>
      <c r="C71">
        <v>-42</v>
      </c>
      <c r="D71">
        <v>-54</v>
      </c>
      <c r="E71">
        <v>-62</v>
      </c>
      <c r="F71">
        <v>-93</v>
      </c>
      <c r="G71">
        <v>-120</v>
      </c>
      <c r="H71">
        <v>-80</v>
      </c>
      <c r="I71">
        <v>-51</v>
      </c>
      <c r="J71">
        <v>-98</v>
      </c>
      <c r="K71">
        <v>-44</v>
      </c>
      <c r="L71">
        <v>-54</v>
      </c>
      <c r="M71">
        <v>-67</v>
      </c>
      <c r="N71">
        <v>-58</v>
      </c>
    </row>
    <row r="72" spans="2:14" x14ac:dyDescent="0.3">
      <c r="B72" t="s">
        <v>134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-70</v>
      </c>
      <c r="K72">
        <v>-98</v>
      </c>
      <c r="L72">
        <v>-125</v>
      </c>
      <c r="M72">
        <v>-153</v>
      </c>
      <c r="N72">
        <v>-164</v>
      </c>
    </row>
    <row r="73" spans="2:14" x14ac:dyDescent="0.3">
      <c r="B73" t="s">
        <v>436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</row>
    <row r="74" spans="2:14" x14ac:dyDescent="0.3">
      <c r="B74" t="s">
        <v>135</v>
      </c>
      <c r="C74">
        <v>0</v>
      </c>
      <c r="D74">
        <v>0</v>
      </c>
      <c r="E74">
        <v>0</v>
      </c>
      <c r="F74">
        <v>0</v>
      </c>
      <c r="G74">
        <v>-50</v>
      </c>
      <c r="H74">
        <v>0</v>
      </c>
      <c r="I74">
        <v>0</v>
      </c>
      <c r="J74" s="39">
        <v>4077</v>
      </c>
      <c r="K74">
        <v>0</v>
      </c>
      <c r="L74">
        <v>0</v>
      </c>
      <c r="M74">
        <v>0</v>
      </c>
      <c r="N74">
        <v>0</v>
      </c>
    </row>
    <row r="75" spans="2:14" x14ac:dyDescent="0.3">
      <c r="B75" t="s">
        <v>35</v>
      </c>
      <c r="C75">
        <v>14</v>
      </c>
      <c r="D75">
        <v>-7</v>
      </c>
      <c r="E75">
        <v>-17</v>
      </c>
      <c r="F75">
        <v>-3</v>
      </c>
      <c r="G75">
        <v>-1</v>
      </c>
      <c r="H75">
        <v>34</v>
      </c>
      <c r="I75">
        <v>57</v>
      </c>
      <c r="J75">
        <v>-19</v>
      </c>
      <c r="K75">
        <v>86</v>
      </c>
      <c r="L75">
        <v>-96</v>
      </c>
      <c r="M75">
        <v>112</v>
      </c>
      <c r="N75">
        <v>130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D23" sqref="D23"/>
    </sheetView>
  </sheetViews>
  <sheetFormatPr defaultRowHeight="14.4" x14ac:dyDescent="0.3"/>
  <cols>
    <col min="2" max="2" width="14.88671875" bestFit="1" customWidth="1"/>
    <col min="5" max="5" width="10.109375" bestFit="1" customWidth="1"/>
    <col min="6" max="6" width="8.5546875" bestFit="1" customWidth="1"/>
    <col min="17" max="17" width="3" bestFit="1" customWidth="1"/>
    <col min="18" max="18" width="14.88671875" bestFit="1" customWidth="1"/>
    <col min="19" max="19" width="8" bestFit="1" customWidth="1"/>
    <col min="20" max="20" width="13.6640625" bestFit="1" customWidth="1"/>
    <col min="21" max="21" width="10.109375" bestFit="1" customWidth="1"/>
    <col min="22" max="22" width="8.5546875" bestFit="1" customWidth="1"/>
  </cols>
  <sheetData>
    <row r="1" spans="1:11" x14ac:dyDescent="0.3">
      <c r="A1" s="129"/>
      <c r="B1" s="129"/>
      <c r="C1" s="129"/>
      <c r="D1" s="129"/>
      <c r="E1" s="129"/>
      <c r="F1" s="129"/>
      <c r="G1" s="129"/>
      <c r="H1" s="129"/>
      <c r="I1" s="129"/>
      <c r="J1" s="129"/>
      <c r="K1" s="129"/>
    </row>
    <row r="2" spans="1:11" x14ac:dyDescent="0.3">
      <c r="A2" s="129"/>
      <c r="B2" s="129"/>
      <c r="C2" s="129"/>
      <c r="D2" s="129"/>
      <c r="E2" s="129"/>
      <c r="F2" s="129"/>
      <c r="G2" s="129"/>
      <c r="H2" s="129"/>
      <c r="I2" s="129"/>
      <c r="J2" s="129"/>
      <c r="K2" s="129"/>
    </row>
    <row r="3" spans="1:11" x14ac:dyDescent="0.3">
      <c r="A3" s="129"/>
      <c r="B3" s="129"/>
      <c r="C3" s="129"/>
      <c r="D3" s="129"/>
      <c r="E3" s="129"/>
      <c r="F3" s="129"/>
      <c r="G3" s="129"/>
      <c r="H3" s="129"/>
      <c r="I3" s="129"/>
      <c r="J3" s="129"/>
      <c r="K3" s="129"/>
    </row>
    <row r="4" spans="1:11" x14ac:dyDescent="0.3">
      <c r="A4" s="129"/>
      <c r="B4" s="129"/>
      <c r="C4" s="129"/>
      <c r="D4" s="129"/>
      <c r="E4" s="129"/>
      <c r="F4" s="129"/>
      <c r="G4" s="129"/>
      <c r="H4" s="129"/>
      <c r="I4" s="129"/>
      <c r="J4" s="129"/>
      <c r="K4" s="129"/>
    </row>
    <row r="5" spans="1:11" x14ac:dyDescent="0.3">
      <c r="B5" t="s">
        <v>369</v>
      </c>
      <c r="C5" t="s">
        <v>370</v>
      </c>
      <c r="D5" t="s">
        <v>371</v>
      </c>
      <c r="E5" t="s">
        <v>372</v>
      </c>
      <c r="F5" t="s">
        <v>373</v>
      </c>
    </row>
    <row r="6" spans="1:11" x14ac:dyDescent="0.3">
      <c r="A6">
        <v>1</v>
      </c>
      <c r="B6" t="s">
        <v>374</v>
      </c>
      <c r="C6">
        <v>4052.2</v>
      </c>
      <c r="D6">
        <v>263690.05</v>
      </c>
      <c r="E6">
        <v>712.91</v>
      </c>
      <c r="F6">
        <v>0.04</v>
      </c>
    </row>
    <row r="7" spans="1:11" x14ac:dyDescent="0.3">
      <c r="A7">
        <v>2</v>
      </c>
      <c r="B7" t="s">
        <v>375</v>
      </c>
      <c r="C7">
        <v>7361.45</v>
      </c>
      <c r="D7">
        <v>261690.32</v>
      </c>
      <c r="E7">
        <v>1752.99</v>
      </c>
      <c r="F7">
        <v>0.43</v>
      </c>
    </row>
    <row r="8" spans="1:11" x14ac:dyDescent="0.3">
      <c r="A8">
        <v>3</v>
      </c>
      <c r="B8" t="s">
        <v>376</v>
      </c>
      <c r="C8">
        <v>619.79999999999995</v>
      </c>
      <c r="D8">
        <v>32179.03</v>
      </c>
      <c r="E8">
        <v>1429.59</v>
      </c>
      <c r="F8">
        <v>0.45</v>
      </c>
    </row>
    <row r="9" spans="1:11" x14ac:dyDescent="0.3">
      <c r="A9">
        <v>4</v>
      </c>
      <c r="B9" t="s">
        <v>377</v>
      </c>
      <c r="C9">
        <v>300.3</v>
      </c>
      <c r="D9">
        <v>32166.97</v>
      </c>
      <c r="E9">
        <v>9451.4</v>
      </c>
      <c r="F9">
        <v>2.34</v>
      </c>
    </row>
    <row r="10" spans="1:11" x14ac:dyDescent="0.3">
      <c r="A10">
        <v>5</v>
      </c>
      <c r="B10" t="s">
        <v>378</v>
      </c>
      <c r="C10">
        <v>863.3</v>
      </c>
      <c r="D10">
        <v>11930.97</v>
      </c>
      <c r="E10">
        <v>480.06</v>
      </c>
      <c r="F10">
        <v>0.74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5"/>
  <sheetViews>
    <sheetView workbookViewId="0">
      <selection activeCell="J23" sqref="J23"/>
    </sheetView>
  </sheetViews>
  <sheetFormatPr defaultRowHeight="14.4" x14ac:dyDescent="0.3"/>
  <cols>
    <col min="2" max="2" width="13.21875" bestFit="1" customWidth="1"/>
    <col min="3" max="3" width="10.88671875" bestFit="1" customWidth="1"/>
    <col min="6" max="6" width="13.21875" bestFit="1" customWidth="1"/>
    <col min="7" max="7" width="10.88671875" bestFit="1" customWidth="1"/>
  </cols>
  <sheetData>
    <row r="2" spans="2:7" x14ac:dyDescent="0.3">
      <c r="B2" s="85"/>
    </row>
    <row r="3" spans="2:7" x14ac:dyDescent="0.3">
      <c r="B3" s="85"/>
    </row>
    <row r="4" spans="2:7" x14ac:dyDescent="0.3">
      <c r="B4" s="85"/>
    </row>
    <row r="5" spans="2:7" x14ac:dyDescent="0.3">
      <c r="B5" s="85"/>
      <c r="C5" t="s">
        <v>287</v>
      </c>
      <c r="F5" t="s">
        <v>292</v>
      </c>
    </row>
    <row r="6" spans="2:7" x14ac:dyDescent="0.3">
      <c r="B6" s="86" t="s">
        <v>179</v>
      </c>
      <c r="C6" s="87" t="s">
        <v>180</v>
      </c>
      <c r="F6" s="86" t="s">
        <v>179</v>
      </c>
      <c r="G6" s="87" t="s">
        <v>180</v>
      </c>
    </row>
    <row r="7" spans="2:7" x14ac:dyDescent="0.3">
      <c r="B7" s="90" t="s">
        <v>181</v>
      </c>
      <c r="C7" s="88">
        <v>4060.1</v>
      </c>
      <c r="F7" s="89" t="s">
        <v>181</v>
      </c>
      <c r="G7" s="88">
        <v>24399.4</v>
      </c>
    </row>
    <row r="8" spans="2:7" x14ac:dyDescent="0.3">
      <c r="B8" s="90" t="s">
        <v>182</v>
      </c>
      <c r="C8" s="88">
        <v>4156.1000000000004</v>
      </c>
      <c r="F8" s="89" t="s">
        <v>182</v>
      </c>
      <c r="G8" s="88">
        <v>24435.5</v>
      </c>
    </row>
    <row r="9" spans="2:7" x14ac:dyDescent="0.3">
      <c r="B9" s="90" t="s">
        <v>183</v>
      </c>
      <c r="C9" s="88">
        <v>3986.7</v>
      </c>
      <c r="F9" s="89" t="s">
        <v>183</v>
      </c>
      <c r="G9" s="88">
        <v>24854.05</v>
      </c>
    </row>
    <row r="10" spans="2:7" x14ac:dyDescent="0.3">
      <c r="B10" s="90" t="s">
        <v>184</v>
      </c>
      <c r="C10" s="88">
        <v>4572.7</v>
      </c>
      <c r="F10" s="89" t="s">
        <v>184</v>
      </c>
      <c r="G10" s="88">
        <v>24964.25</v>
      </c>
    </row>
    <row r="11" spans="2:7" x14ac:dyDescent="0.3">
      <c r="B11" s="90" t="s">
        <v>185</v>
      </c>
      <c r="C11" s="88">
        <v>4737.55</v>
      </c>
      <c r="F11" s="89" t="s">
        <v>185</v>
      </c>
      <c r="G11" s="88">
        <v>25014.6</v>
      </c>
    </row>
    <row r="12" spans="2:7" x14ac:dyDescent="0.3">
      <c r="B12" s="90" t="s">
        <v>186</v>
      </c>
      <c r="C12" s="88">
        <v>5102.3</v>
      </c>
      <c r="F12" s="89" t="s">
        <v>186</v>
      </c>
      <c r="G12" s="88">
        <v>26178.95</v>
      </c>
    </row>
    <row r="13" spans="2:7" x14ac:dyDescent="0.3">
      <c r="B13" s="90" t="s">
        <v>187</v>
      </c>
      <c r="C13" s="88">
        <v>5320.55</v>
      </c>
      <c r="F13" s="89" t="s">
        <v>187</v>
      </c>
      <c r="G13" s="88">
        <v>25790.95</v>
      </c>
    </row>
    <row r="14" spans="2:7" x14ac:dyDescent="0.3">
      <c r="B14" s="90" t="s">
        <v>188</v>
      </c>
      <c r="C14" s="88">
        <v>5187.05</v>
      </c>
      <c r="F14" s="89" t="s">
        <v>188</v>
      </c>
      <c r="G14" s="88">
        <v>25356.5</v>
      </c>
    </row>
    <row r="15" spans="2:7" x14ac:dyDescent="0.3">
      <c r="B15" s="90" t="s">
        <v>189</v>
      </c>
      <c r="C15" s="88">
        <v>5303.45</v>
      </c>
      <c r="F15" s="89" t="s">
        <v>189</v>
      </c>
      <c r="G15" s="88">
        <v>24852.15</v>
      </c>
    </row>
    <row r="16" spans="2:7" x14ac:dyDescent="0.3">
      <c r="B16" s="90" t="s">
        <v>190</v>
      </c>
      <c r="C16" s="88">
        <v>4927.45</v>
      </c>
      <c r="F16" s="89" t="s">
        <v>190</v>
      </c>
      <c r="G16" s="88">
        <v>25235.9</v>
      </c>
    </row>
    <row r="17" spans="2:7" x14ac:dyDescent="0.3">
      <c r="B17" s="90" t="s">
        <v>191</v>
      </c>
      <c r="C17" s="88">
        <v>4901.5</v>
      </c>
      <c r="F17" s="89" t="s">
        <v>191</v>
      </c>
      <c r="G17" s="88">
        <v>24823.15</v>
      </c>
    </row>
    <row r="18" spans="2:7" x14ac:dyDescent="0.3">
      <c r="B18" s="90" t="s">
        <v>192</v>
      </c>
      <c r="C18" s="88">
        <v>5021.3</v>
      </c>
      <c r="F18" s="89" t="s">
        <v>192</v>
      </c>
      <c r="G18" s="88">
        <v>24541.15</v>
      </c>
    </row>
    <row r="19" spans="2:7" x14ac:dyDescent="0.3">
      <c r="B19" s="90" t="s">
        <v>193</v>
      </c>
      <c r="C19" s="88">
        <v>4989.95</v>
      </c>
      <c r="F19" s="89" t="s">
        <v>193</v>
      </c>
      <c r="G19" s="88">
        <v>24367.5</v>
      </c>
    </row>
    <row r="20" spans="2:7" x14ac:dyDescent="0.3">
      <c r="B20" s="90" t="s">
        <v>194</v>
      </c>
      <c r="C20" s="88">
        <v>4909.7</v>
      </c>
      <c r="F20" s="89" t="s">
        <v>194</v>
      </c>
      <c r="G20" s="88">
        <v>24717.7</v>
      </c>
    </row>
    <row r="21" spans="2:7" x14ac:dyDescent="0.3">
      <c r="B21" s="90" t="s">
        <v>195</v>
      </c>
      <c r="C21" s="88">
        <v>5071.6000000000004</v>
      </c>
      <c r="F21" s="89" t="s">
        <v>195</v>
      </c>
      <c r="G21" s="88">
        <v>24834.85</v>
      </c>
    </row>
    <row r="22" spans="2:7" x14ac:dyDescent="0.3">
      <c r="B22" s="90" t="s">
        <v>196</v>
      </c>
      <c r="C22" s="88">
        <v>5010.7</v>
      </c>
      <c r="F22" s="89" t="s">
        <v>196</v>
      </c>
      <c r="G22" s="88">
        <v>24530.9</v>
      </c>
    </row>
    <row r="23" spans="2:7" x14ac:dyDescent="0.3">
      <c r="B23" s="90" t="s">
        <v>197</v>
      </c>
      <c r="C23" s="88">
        <v>4943.6499999999996</v>
      </c>
      <c r="F23" s="89" t="s">
        <v>197</v>
      </c>
      <c r="G23" s="88">
        <v>24502.15</v>
      </c>
    </row>
    <row r="24" spans="2:7" x14ac:dyDescent="0.3">
      <c r="B24" s="90" t="s">
        <v>198</v>
      </c>
      <c r="C24" s="88">
        <v>4853.1000000000004</v>
      </c>
      <c r="F24" s="89" t="s">
        <v>198</v>
      </c>
      <c r="G24" s="88">
        <v>24323.85</v>
      </c>
    </row>
    <row r="25" spans="2:7" x14ac:dyDescent="0.3">
      <c r="B25" s="90" t="s">
        <v>199</v>
      </c>
      <c r="C25" s="88">
        <v>4716.75</v>
      </c>
      <c r="F25" s="89" t="s">
        <v>199</v>
      </c>
      <c r="G25" s="88">
        <v>24010.6</v>
      </c>
    </row>
    <row r="26" spans="2:7" x14ac:dyDescent="0.3">
      <c r="B26" s="90" t="s">
        <v>200</v>
      </c>
      <c r="C26" s="88">
        <v>4804.8500000000004</v>
      </c>
      <c r="F26" s="89" t="s">
        <v>200</v>
      </c>
      <c r="G26" s="88">
        <v>23501.1</v>
      </c>
    </row>
    <row r="27" spans="2:7" x14ac:dyDescent="0.3">
      <c r="B27" s="90" t="s">
        <v>201</v>
      </c>
      <c r="C27" s="88">
        <v>4739.95</v>
      </c>
      <c r="F27" s="89" t="s">
        <v>201</v>
      </c>
      <c r="G27" s="88">
        <v>23465.599999999999</v>
      </c>
    </row>
    <row r="28" spans="2:7" x14ac:dyDescent="0.3">
      <c r="B28" s="90" t="s">
        <v>202</v>
      </c>
      <c r="C28" s="88">
        <v>4747.25</v>
      </c>
      <c r="F28" s="89" t="s">
        <v>202</v>
      </c>
      <c r="G28" s="88">
        <v>23290.15</v>
      </c>
    </row>
    <row r="29" spans="2:7" x14ac:dyDescent="0.3">
      <c r="B29" s="90" t="s">
        <v>203</v>
      </c>
      <c r="C29" s="88">
        <v>4302.1499999999996</v>
      </c>
      <c r="F29" s="89" t="s">
        <v>203</v>
      </c>
      <c r="G29" s="88">
        <v>22530.7</v>
      </c>
    </row>
    <row r="30" spans="2:7" x14ac:dyDescent="0.3">
      <c r="B30" s="90" t="s">
        <v>204</v>
      </c>
      <c r="C30" s="88">
        <v>4684.5</v>
      </c>
      <c r="F30" s="89" t="s">
        <v>204</v>
      </c>
      <c r="G30" s="88">
        <v>22957.1</v>
      </c>
    </row>
    <row r="31" spans="2:7" x14ac:dyDescent="0.3">
      <c r="B31" s="90" t="s">
        <v>205</v>
      </c>
      <c r="C31" s="88">
        <v>4670.6499999999996</v>
      </c>
      <c r="F31" s="89" t="s">
        <v>205</v>
      </c>
      <c r="G31" s="88">
        <v>22466.1</v>
      </c>
    </row>
    <row r="32" spans="2:7" x14ac:dyDescent="0.3">
      <c r="B32" s="90" t="s">
        <v>206</v>
      </c>
      <c r="C32" s="88">
        <v>4796.8</v>
      </c>
      <c r="F32" s="89" t="s">
        <v>206</v>
      </c>
      <c r="G32" s="88">
        <v>22055.200000000001</v>
      </c>
    </row>
    <row r="33" spans="2:7" x14ac:dyDescent="0.3">
      <c r="B33" s="90" t="s">
        <v>207</v>
      </c>
      <c r="C33" s="88">
        <v>4612.3500000000004</v>
      </c>
      <c r="F33" s="89" t="s">
        <v>207</v>
      </c>
      <c r="G33" s="88">
        <v>22475.85</v>
      </c>
    </row>
    <row r="34" spans="2:7" x14ac:dyDescent="0.3">
      <c r="B34" s="90" t="s">
        <v>208</v>
      </c>
      <c r="C34" s="88">
        <v>4553.1499999999996</v>
      </c>
      <c r="F34" s="89" t="s">
        <v>208</v>
      </c>
      <c r="G34" s="88">
        <v>22419.95</v>
      </c>
    </row>
    <row r="35" spans="2:7" x14ac:dyDescent="0.3">
      <c r="B35" s="90" t="s">
        <v>209</v>
      </c>
      <c r="C35" s="88">
        <v>4696</v>
      </c>
      <c r="F35" s="89" t="s">
        <v>209</v>
      </c>
      <c r="G35" s="88">
        <v>22147</v>
      </c>
    </row>
    <row r="36" spans="2:7" x14ac:dyDescent="0.3">
      <c r="B36" s="90" t="s">
        <v>210</v>
      </c>
      <c r="C36" s="88">
        <v>4765.05</v>
      </c>
      <c r="F36" s="89" t="s">
        <v>210</v>
      </c>
      <c r="G36" s="88">
        <v>22519.4</v>
      </c>
    </row>
    <row r="37" spans="2:7" x14ac:dyDescent="0.3">
      <c r="B37" s="90" t="s">
        <v>211</v>
      </c>
      <c r="C37" s="88">
        <v>4619.25</v>
      </c>
      <c r="F37" s="89" t="s">
        <v>211</v>
      </c>
      <c r="G37" s="88">
        <v>22513.7</v>
      </c>
    </row>
    <row r="38" spans="2:7" x14ac:dyDescent="0.3">
      <c r="B38" s="90" t="s">
        <v>212</v>
      </c>
      <c r="C38" s="88">
        <v>4525.6000000000004</v>
      </c>
      <c r="F38" s="89" t="s">
        <v>212</v>
      </c>
      <c r="G38" s="88">
        <v>22326.9</v>
      </c>
    </row>
    <row r="39" spans="2:7" x14ac:dyDescent="0.3">
      <c r="B39" s="90" t="s">
        <v>213</v>
      </c>
      <c r="C39" s="88">
        <v>4297.6000000000004</v>
      </c>
      <c r="F39" s="89" t="s">
        <v>213</v>
      </c>
      <c r="G39" s="88">
        <v>22096.75</v>
      </c>
    </row>
    <row r="40" spans="2:7" x14ac:dyDescent="0.3">
      <c r="B40" s="90" t="s">
        <v>214</v>
      </c>
      <c r="C40" s="88">
        <v>3932.1</v>
      </c>
      <c r="F40" s="89" t="s">
        <v>214</v>
      </c>
      <c r="G40" s="88">
        <v>22023.35</v>
      </c>
    </row>
    <row r="41" spans="2:7" x14ac:dyDescent="0.3">
      <c r="B41" s="90" t="s">
        <v>215</v>
      </c>
      <c r="C41" s="88">
        <v>3925.95</v>
      </c>
      <c r="F41" s="89" t="s">
        <v>215</v>
      </c>
      <c r="G41" s="88">
        <v>22493.55</v>
      </c>
    </row>
    <row r="42" spans="2:7" x14ac:dyDescent="0.3">
      <c r="B42" s="90" t="s">
        <v>216</v>
      </c>
      <c r="C42" s="88">
        <v>3884.15</v>
      </c>
      <c r="F42" s="89" t="s">
        <v>216</v>
      </c>
      <c r="G42" s="88">
        <v>22338.75</v>
      </c>
    </row>
    <row r="43" spans="2:7" x14ac:dyDescent="0.3">
      <c r="B43" s="90" t="s">
        <v>217</v>
      </c>
      <c r="C43" s="88">
        <v>3840.55</v>
      </c>
      <c r="F43" s="89" t="s">
        <v>217</v>
      </c>
      <c r="G43" s="88">
        <v>22212.7</v>
      </c>
    </row>
    <row r="44" spans="2:7" x14ac:dyDescent="0.3">
      <c r="B44" s="90" t="s">
        <v>218</v>
      </c>
      <c r="C44" s="88">
        <v>3693.3</v>
      </c>
      <c r="F44" s="89" t="s">
        <v>218</v>
      </c>
      <c r="G44" s="88">
        <v>22040.7</v>
      </c>
    </row>
    <row r="45" spans="2:7" x14ac:dyDescent="0.3">
      <c r="B45" s="90" t="s">
        <v>219</v>
      </c>
      <c r="C45" s="88">
        <v>3719.2</v>
      </c>
      <c r="F45" s="89" t="s">
        <v>219</v>
      </c>
      <c r="G45" s="88">
        <v>21782.5</v>
      </c>
    </row>
    <row r="46" spans="2:7" x14ac:dyDescent="0.3">
      <c r="B46" s="90" t="s">
        <v>220</v>
      </c>
      <c r="C46" s="88">
        <v>3784.3</v>
      </c>
      <c r="F46" s="89" t="s">
        <v>220</v>
      </c>
      <c r="G46" s="88">
        <v>21853.8</v>
      </c>
    </row>
    <row r="47" spans="2:7" x14ac:dyDescent="0.3">
      <c r="B47" s="90" t="s">
        <v>221</v>
      </c>
      <c r="C47" s="88">
        <v>3734.25</v>
      </c>
      <c r="F47" s="89" t="s">
        <v>221</v>
      </c>
      <c r="G47" s="88">
        <v>21352.6</v>
      </c>
    </row>
    <row r="48" spans="2:7" x14ac:dyDescent="0.3">
      <c r="B48" s="90" t="s">
        <v>222</v>
      </c>
      <c r="C48" s="88">
        <v>3731.7</v>
      </c>
      <c r="F48" s="89" t="s">
        <v>222</v>
      </c>
      <c r="G48" s="88">
        <v>21622.400000000001</v>
      </c>
    </row>
    <row r="49" spans="2:7" x14ac:dyDescent="0.3">
      <c r="B49" s="90" t="s">
        <v>223</v>
      </c>
      <c r="C49" s="88">
        <v>3841</v>
      </c>
      <c r="F49" s="89" t="s">
        <v>223</v>
      </c>
      <c r="G49" s="88">
        <v>21894.55</v>
      </c>
    </row>
    <row r="50" spans="2:7" x14ac:dyDescent="0.3">
      <c r="B50" s="90" t="s">
        <v>224</v>
      </c>
      <c r="C50" s="88">
        <v>3863.5</v>
      </c>
      <c r="F50" s="89" t="s">
        <v>224</v>
      </c>
      <c r="G50" s="88">
        <v>21710.799999999999</v>
      </c>
    </row>
    <row r="51" spans="2:7" x14ac:dyDescent="0.3">
      <c r="B51" s="90" t="s">
        <v>225</v>
      </c>
      <c r="C51" s="88">
        <v>4082.65</v>
      </c>
      <c r="F51" s="89" t="s">
        <v>225</v>
      </c>
      <c r="G51" s="88">
        <v>21731.4</v>
      </c>
    </row>
    <row r="52" spans="2:7" x14ac:dyDescent="0.3">
      <c r="B52" s="90" t="s">
        <v>226</v>
      </c>
      <c r="C52" s="88">
        <v>4007.95</v>
      </c>
      <c r="F52" s="89" t="s">
        <v>226</v>
      </c>
      <c r="G52" s="88">
        <v>21349.4</v>
      </c>
    </row>
    <row r="53" spans="2:7" x14ac:dyDescent="0.3">
      <c r="B53" s="90" t="s">
        <v>227</v>
      </c>
      <c r="C53" s="88">
        <v>4045.65</v>
      </c>
      <c r="F53" s="89" t="s">
        <v>227</v>
      </c>
      <c r="G53" s="88">
        <v>21456.65</v>
      </c>
    </row>
    <row r="54" spans="2:7" x14ac:dyDescent="0.3">
      <c r="B54" s="90" t="s">
        <v>228</v>
      </c>
      <c r="C54" s="88">
        <v>4070.65</v>
      </c>
      <c r="F54" s="89" t="s">
        <v>228</v>
      </c>
      <c r="G54" s="88">
        <v>20969.400000000001</v>
      </c>
    </row>
    <row r="55" spans="2:7" x14ac:dyDescent="0.3">
      <c r="B55" s="90" t="s">
        <v>229</v>
      </c>
      <c r="C55" s="88">
        <v>3988.4</v>
      </c>
      <c r="F55" s="89" t="s">
        <v>229</v>
      </c>
      <c r="G55" s="88">
        <v>20267.900000000001</v>
      </c>
    </row>
    <row r="56" spans="2:7" x14ac:dyDescent="0.3">
      <c r="B56" s="90" t="s">
        <v>230</v>
      </c>
      <c r="C56" s="88">
        <v>3842.9</v>
      </c>
      <c r="F56" s="89" t="s">
        <v>230</v>
      </c>
      <c r="G56" s="88">
        <v>19794.7</v>
      </c>
    </row>
    <row r="57" spans="2:7" x14ac:dyDescent="0.3">
      <c r="B57" s="90" t="s">
        <v>231</v>
      </c>
      <c r="C57" s="88">
        <v>3810.9</v>
      </c>
      <c r="F57" s="89" t="s">
        <v>231</v>
      </c>
      <c r="G57" s="88">
        <v>19731.8</v>
      </c>
    </row>
    <row r="58" spans="2:7" x14ac:dyDescent="0.3">
      <c r="B58" s="90" t="s">
        <v>232</v>
      </c>
      <c r="C58" s="88">
        <v>3798.4</v>
      </c>
      <c r="F58" s="89" t="s">
        <v>232</v>
      </c>
      <c r="G58" s="88">
        <v>19425.349999999999</v>
      </c>
    </row>
    <row r="59" spans="2:7" x14ac:dyDescent="0.3">
      <c r="B59" s="90" t="s">
        <v>233</v>
      </c>
      <c r="C59" s="88">
        <v>3649.7</v>
      </c>
      <c r="F59" s="89" t="s">
        <v>233</v>
      </c>
      <c r="G59" s="88">
        <v>19230.599999999999</v>
      </c>
    </row>
    <row r="60" spans="2:7" x14ac:dyDescent="0.3">
      <c r="B60" s="90" t="s">
        <v>234</v>
      </c>
      <c r="C60" s="88">
        <v>3665.45</v>
      </c>
      <c r="F60" s="89" t="s">
        <v>234</v>
      </c>
      <c r="G60" s="88">
        <v>19047.25</v>
      </c>
    </row>
    <row r="61" spans="2:7" x14ac:dyDescent="0.3">
      <c r="B61" s="90" t="s">
        <v>235</v>
      </c>
      <c r="C61" s="88">
        <v>3749.5</v>
      </c>
      <c r="F61" s="89" t="s">
        <v>235</v>
      </c>
      <c r="G61" s="88">
        <v>19542.650000000001</v>
      </c>
    </row>
    <row r="62" spans="2:7" x14ac:dyDescent="0.3">
      <c r="B62" s="90" t="s">
        <v>236</v>
      </c>
      <c r="C62" s="88">
        <v>3935.85</v>
      </c>
      <c r="F62" s="89" t="s">
        <v>236</v>
      </c>
      <c r="G62" s="88">
        <v>19751.05</v>
      </c>
    </row>
    <row r="63" spans="2:7" x14ac:dyDescent="0.3">
      <c r="B63" s="90" t="s">
        <v>237</v>
      </c>
      <c r="C63" s="88">
        <v>3833.95</v>
      </c>
      <c r="F63" s="89" t="s">
        <v>237</v>
      </c>
      <c r="G63" s="88">
        <v>19653.5</v>
      </c>
    </row>
    <row r="64" spans="2:7" x14ac:dyDescent="0.3">
      <c r="B64" s="90" t="s">
        <v>238</v>
      </c>
      <c r="C64" s="88">
        <v>3675.6</v>
      </c>
      <c r="F64" s="89" t="s">
        <v>238</v>
      </c>
      <c r="G64" s="88">
        <v>19638.3</v>
      </c>
    </row>
    <row r="65" spans="2:7" x14ac:dyDescent="0.3">
      <c r="B65" s="90" t="s">
        <v>239</v>
      </c>
      <c r="C65" s="88">
        <v>3689.1</v>
      </c>
      <c r="F65" s="89" t="s">
        <v>239</v>
      </c>
      <c r="G65" s="88">
        <v>19674.25</v>
      </c>
    </row>
    <row r="66" spans="2:7" x14ac:dyDescent="0.3">
      <c r="B66" s="90" t="s">
        <v>240</v>
      </c>
      <c r="C66" s="88">
        <v>3796</v>
      </c>
      <c r="F66" s="89" t="s">
        <v>240</v>
      </c>
      <c r="G66" s="88">
        <v>20192.349999999999</v>
      </c>
    </row>
    <row r="67" spans="2:7" x14ac:dyDescent="0.3">
      <c r="B67" s="90" t="s">
        <v>241</v>
      </c>
      <c r="C67" s="88">
        <v>3782.4</v>
      </c>
      <c r="F67" s="89" t="s">
        <v>241</v>
      </c>
      <c r="G67" s="88">
        <v>19819.95</v>
      </c>
    </row>
    <row r="68" spans="2:7" x14ac:dyDescent="0.3">
      <c r="B68" s="90" t="s">
        <v>242</v>
      </c>
      <c r="C68" s="88">
        <v>3761.05</v>
      </c>
      <c r="F68" s="89" t="s">
        <v>242</v>
      </c>
      <c r="G68" s="88">
        <v>19435.3</v>
      </c>
    </row>
    <row r="69" spans="2:7" x14ac:dyDescent="0.3">
      <c r="B69" s="90" t="s">
        <v>243</v>
      </c>
      <c r="C69" s="88">
        <v>3534.6</v>
      </c>
      <c r="F69" s="89" t="s">
        <v>243</v>
      </c>
      <c r="G69" s="88">
        <v>19265.8</v>
      </c>
    </row>
    <row r="70" spans="2:7" x14ac:dyDescent="0.3">
      <c r="B70" s="90" t="s">
        <v>244</v>
      </c>
      <c r="C70" s="88">
        <v>3540.95</v>
      </c>
      <c r="F70" s="89" t="s">
        <v>244</v>
      </c>
      <c r="G70" s="88">
        <v>19310.150000000001</v>
      </c>
    </row>
    <row r="71" spans="2:7" x14ac:dyDescent="0.3">
      <c r="B71" s="90" t="s">
        <v>245</v>
      </c>
      <c r="C71" s="88">
        <v>3550.05</v>
      </c>
      <c r="F71" s="89" t="s">
        <v>245</v>
      </c>
      <c r="G71" s="88">
        <v>19428.3</v>
      </c>
    </row>
    <row r="72" spans="2:7" x14ac:dyDescent="0.3">
      <c r="B72" s="90" t="s">
        <v>246</v>
      </c>
      <c r="C72" s="88">
        <v>3652.1</v>
      </c>
      <c r="F72" s="89" t="s">
        <v>246</v>
      </c>
      <c r="G72" s="88">
        <v>19517</v>
      </c>
    </row>
    <row r="73" spans="2:7" x14ac:dyDescent="0.3">
      <c r="B73" s="90" t="s">
        <v>247</v>
      </c>
      <c r="C73" s="88">
        <v>3713.9</v>
      </c>
      <c r="F73" s="89" t="s">
        <v>247</v>
      </c>
      <c r="G73" s="88">
        <v>19646.05</v>
      </c>
    </row>
    <row r="74" spans="2:7" x14ac:dyDescent="0.3">
      <c r="B74" s="90" t="s">
        <v>248</v>
      </c>
      <c r="C74" s="88">
        <v>3675.7</v>
      </c>
      <c r="F74" s="89" t="s">
        <v>248</v>
      </c>
      <c r="G74" s="88">
        <v>19745</v>
      </c>
    </row>
    <row r="75" spans="2:7" x14ac:dyDescent="0.3">
      <c r="B75" s="90" t="s">
        <v>249</v>
      </c>
      <c r="C75" s="88">
        <v>3838.75</v>
      </c>
      <c r="F75" s="89" t="s">
        <v>249</v>
      </c>
      <c r="G75" s="88">
        <v>19564.5</v>
      </c>
    </row>
    <row r="76" spans="2:7" x14ac:dyDescent="0.3">
      <c r="B76" s="90" t="s">
        <v>250</v>
      </c>
      <c r="C76" s="88">
        <v>3808.95</v>
      </c>
      <c r="F76" s="89" t="s">
        <v>250</v>
      </c>
      <c r="G76" s="88">
        <v>19331.8</v>
      </c>
    </row>
    <row r="77" spans="2:7" x14ac:dyDescent="0.3">
      <c r="B77" s="90" t="s">
        <v>251</v>
      </c>
      <c r="C77" s="88">
        <v>3889.2</v>
      </c>
      <c r="F77" s="89" t="s">
        <v>251</v>
      </c>
      <c r="G77" s="88">
        <v>19189.05</v>
      </c>
    </row>
    <row r="78" spans="2:7" x14ac:dyDescent="0.3">
      <c r="B78" s="90" t="s">
        <v>252</v>
      </c>
      <c r="C78" s="88">
        <v>3744.05</v>
      </c>
      <c r="F78" s="89" t="s">
        <v>252</v>
      </c>
      <c r="G78" s="88">
        <v>18665.5</v>
      </c>
    </row>
    <row r="79" spans="2:7" x14ac:dyDescent="0.3">
      <c r="B79" s="90" t="s">
        <v>253</v>
      </c>
      <c r="C79" s="88">
        <v>4085.6</v>
      </c>
      <c r="F79" s="89" t="s">
        <v>253</v>
      </c>
      <c r="G79" s="88">
        <v>18826</v>
      </c>
    </row>
    <row r="80" spans="2:7" x14ac:dyDescent="0.3">
      <c r="B80" s="90" t="s">
        <v>254</v>
      </c>
      <c r="C80" s="88">
        <v>3632.1</v>
      </c>
      <c r="F80" s="89" t="s">
        <v>254</v>
      </c>
      <c r="G80" s="88">
        <v>18563.400000000001</v>
      </c>
    </row>
    <row r="81" spans="2:7" x14ac:dyDescent="0.3">
      <c r="B81" s="90" t="s">
        <v>255</v>
      </c>
      <c r="C81" s="88">
        <v>3531.6</v>
      </c>
      <c r="F81" s="89" t="s">
        <v>255</v>
      </c>
      <c r="G81" s="88">
        <v>18534.099999999999</v>
      </c>
    </row>
    <row r="82" spans="2:7" x14ac:dyDescent="0.3">
      <c r="B82" s="90" t="s">
        <v>256</v>
      </c>
      <c r="C82" s="88">
        <v>3501.75</v>
      </c>
      <c r="F82" s="89" t="s">
        <v>256</v>
      </c>
      <c r="G82" s="88">
        <v>18499.349999999999</v>
      </c>
    </row>
    <row r="83" spans="2:7" x14ac:dyDescent="0.3">
      <c r="B83" s="90" t="s">
        <v>257</v>
      </c>
      <c r="C83" s="88">
        <v>3395.25</v>
      </c>
      <c r="F83" s="89" t="s">
        <v>257</v>
      </c>
      <c r="G83" s="88">
        <v>18203.400000000001</v>
      </c>
    </row>
    <row r="84" spans="2:7" x14ac:dyDescent="0.3">
      <c r="B84" s="90" t="s">
        <v>258</v>
      </c>
      <c r="C84" s="88">
        <v>3677.55</v>
      </c>
      <c r="F84" s="89" t="s">
        <v>258</v>
      </c>
      <c r="G84" s="88">
        <v>18314.8</v>
      </c>
    </row>
    <row r="85" spans="2:7" x14ac:dyDescent="0.3">
      <c r="B85" s="90" t="s">
        <v>259</v>
      </c>
      <c r="C85" s="88">
        <v>3598.2</v>
      </c>
      <c r="F85" s="89" t="s">
        <v>259</v>
      </c>
      <c r="G85" s="88">
        <v>18069</v>
      </c>
    </row>
    <row r="86" spans="2:7" x14ac:dyDescent="0.3">
      <c r="B86" s="90" t="s">
        <v>260</v>
      </c>
      <c r="C86" s="88">
        <v>3511.95</v>
      </c>
      <c r="F86" s="89" t="s">
        <v>260</v>
      </c>
      <c r="G86" s="88">
        <v>18065</v>
      </c>
    </row>
    <row r="87" spans="2:7" x14ac:dyDescent="0.3">
      <c r="B87" s="90" t="s">
        <v>261</v>
      </c>
      <c r="C87" s="88">
        <v>3455.9</v>
      </c>
      <c r="F87" s="89" t="s">
        <v>261</v>
      </c>
      <c r="G87" s="88">
        <v>17624.05</v>
      </c>
    </row>
    <row r="88" spans="2:7" x14ac:dyDescent="0.3">
      <c r="B88" s="90" t="s">
        <v>262</v>
      </c>
      <c r="C88" s="88">
        <v>3501.05</v>
      </c>
      <c r="F88" s="89" t="s">
        <v>262</v>
      </c>
      <c r="G88" s="88">
        <v>17828</v>
      </c>
    </row>
    <row r="89" spans="2:7" x14ac:dyDescent="0.3">
      <c r="B89" s="90" t="s">
        <v>263</v>
      </c>
      <c r="C89" s="88">
        <v>3496.1</v>
      </c>
      <c r="F89" s="89" t="s">
        <v>263</v>
      </c>
      <c r="G89" s="88">
        <v>17599.150000000001</v>
      </c>
    </row>
    <row r="90" spans="2:7" x14ac:dyDescent="0.3">
      <c r="B90" s="90" t="s">
        <v>264</v>
      </c>
      <c r="C90" s="88">
        <v>3401.05</v>
      </c>
      <c r="F90" s="89" t="s">
        <v>264</v>
      </c>
      <c r="G90" s="88">
        <v>17359.75</v>
      </c>
    </row>
    <row r="91" spans="2:7" x14ac:dyDescent="0.3">
      <c r="B91" s="90" t="s">
        <v>265</v>
      </c>
      <c r="C91" s="88">
        <v>3358.4</v>
      </c>
      <c r="F91" s="89" t="s">
        <v>265</v>
      </c>
      <c r="G91" s="88">
        <v>16945.05</v>
      </c>
    </row>
    <row r="92" spans="2:7" x14ac:dyDescent="0.3">
      <c r="B92" s="90" t="s">
        <v>266</v>
      </c>
      <c r="C92" s="88">
        <v>3311.3</v>
      </c>
      <c r="F92" s="89" t="s">
        <v>266</v>
      </c>
      <c r="G92" s="88">
        <v>17100.05</v>
      </c>
    </row>
    <row r="93" spans="2:7" x14ac:dyDescent="0.3">
      <c r="B93" s="90" t="s">
        <v>267</v>
      </c>
      <c r="C93" s="88">
        <v>3391.85</v>
      </c>
      <c r="F93" s="89" t="s">
        <v>267</v>
      </c>
      <c r="G93" s="88">
        <v>17412.900000000001</v>
      </c>
    </row>
    <row r="94" spans="2:7" x14ac:dyDescent="0.3">
      <c r="B94" s="90" t="s">
        <v>268</v>
      </c>
      <c r="C94" s="88">
        <v>3463.25</v>
      </c>
      <c r="F94" s="89" t="s">
        <v>268</v>
      </c>
      <c r="G94" s="88">
        <v>17594.349999999999</v>
      </c>
    </row>
    <row r="95" spans="2:7" x14ac:dyDescent="0.3">
      <c r="B95" s="90" t="s">
        <v>269</v>
      </c>
      <c r="C95" s="88">
        <v>3499.2</v>
      </c>
      <c r="F95" s="89" t="s">
        <v>269</v>
      </c>
      <c r="G95" s="88">
        <v>17465.8</v>
      </c>
    </row>
    <row r="96" spans="2:7" x14ac:dyDescent="0.3">
      <c r="B96" s="90" t="s">
        <v>270</v>
      </c>
      <c r="C96" s="88">
        <v>3545</v>
      </c>
      <c r="F96" s="89" t="s">
        <v>270</v>
      </c>
      <c r="G96" s="88">
        <v>17944.2</v>
      </c>
    </row>
    <row r="97" spans="2:7" x14ac:dyDescent="0.3">
      <c r="B97" s="90" t="s">
        <v>271</v>
      </c>
      <c r="C97" s="88">
        <v>3498.85</v>
      </c>
      <c r="F97" s="89" t="s">
        <v>271</v>
      </c>
      <c r="G97" s="88">
        <v>17856.5</v>
      </c>
    </row>
    <row r="98" spans="2:7" x14ac:dyDescent="0.3">
      <c r="B98" s="90" t="s">
        <v>272</v>
      </c>
      <c r="C98" s="88">
        <v>3470.35</v>
      </c>
      <c r="F98" s="89" t="s">
        <v>272</v>
      </c>
      <c r="G98" s="88">
        <v>17854.05</v>
      </c>
    </row>
    <row r="99" spans="2:7" x14ac:dyDescent="0.3">
      <c r="B99" s="90" t="s">
        <v>273</v>
      </c>
      <c r="C99" s="88">
        <v>3562.35</v>
      </c>
      <c r="F99" s="89" t="s">
        <v>273</v>
      </c>
      <c r="G99" s="88">
        <v>17604.349999999999</v>
      </c>
    </row>
    <row r="100" spans="2:7" x14ac:dyDescent="0.3">
      <c r="B100" s="90" t="s">
        <v>274</v>
      </c>
      <c r="C100" s="88">
        <v>3513.75</v>
      </c>
      <c r="F100" s="89" t="s">
        <v>274</v>
      </c>
      <c r="G100" s="88">
        <v>18027.650000000001</v>
      </c>
    </row>
    <row r="101" spans="2:7" x14ac:dyDescent="0.3">
      <c r="B101" s="90" t="s">
        <v>275</v>
      </c>
      <c r="C101" s="88">
        <v>3863.7</v>
      </c>
      <c r="F101" s="89" t="s">
        <v>275</v>
      </c>
      <c r="G101" s="88">
        <v>17956.599999999999</v>
      </c>
    </row>
    <row r="102" spans="2:7" x14ac:dyDescent="0.3">
      <c r="B102" s="90" t="s">
        <v>276</v>
      </c>
      <c r="C102" s="88">
        <v>3842.5</v>
      </c>
      <c r="F102" s="89" t="s">
        <v>276</v>
      </c>
      <c r="G102" s="88">
        <v>17859.45</v>
      </c>
    </row>
    <row r="103" spans="2:7" x14ac:dyDescent="0.3">
      <c r="B103" s="90" t="s">
        <v>277</v>
      </c>
      <c r="C103" s="88">
        <v>4068.75</v>
      </c>
      <c r="F103" s="89" t="s">
        <v>277</v>
      </c>
      <c r="G103" s="88">
        <v>18105.3</v>
      </c>
    </row>
    <row r="104" spans="2:7" x14ac:dyDescent="0.3">
      <c r="B104" s="90" t="s">
        <v>278</v>
      </c>
      <c r="C104" s="88">
        <v>3875.6</v>
      </c>
      <c r="F104" s="89" t="s">
        <v>278</v>
      </c>
      <c r="G104" s="88">
        <v>17806.8</v>
      </c>
    </row>
    <row r="105" spans="2:7" x14ac:dyDescent="0.3">
      <c r="B105" s="90" t="s">
        <v>279</v>
      </c>
      <c r="C105" s="88">
        <v>3990</v>
      </c>
      <c r="F105" s="89" t="s">
        <v>279</v>
      </c>
      <c r="G105" s="88">
        <v>18269</v>
      </c>
    </row>
    <row r="106" spans="2:7" x14ac:dyDescent="0.3">
      <c r="B106" s="90" t="s">
        <v>280</v>
      </c>
      <c r="C106" s="88">
        <v>4002.4</v>
      </c>
      <c r="F106" s="89" t="s">
        <v>280</v>
      </c>
      <c r="G106" s="88">
        <v>18496.599999999999</v>
      </c>
    </row>
    <row r="107" spans="2:7" x14ac:dyDescent="0.3">
      <c r="B107" s="90" t="s">
        <v>281</v>
      </c>
      <c r="C107" s="88">
        <v>4005.75</v>
      </c>
      <c r="F107" s="89" t="s">
        <v>281</v>
      </c>
      <c r="G107" s="88">
        <v>18696.099999999999</v>
      </c>
    </row>
    <row r="108" spans="2:7" x14ac:dyDescent="0.3">
      <c r="B108" s="90" t="s">
        <v>282</v>
      </c>
      <c r="C108" s="88">
        <v>3904.45</v>
      </c>
      <c r="F108" s="89" t="s">
        <v>282</v>
      </c>
      <c r="G108" s="88">
        <v>18512.75</v>
      </c>
    </row>
    <row r="109" spans="2:7" x14ac:dyDescent="0.3">
      <c r="B109" s="90" t="s">
        <v>283</v>
      </c>
      <c r="C109" s="88">
        <v>3910.6</v>
      </c>
      <c r="F109" s="89" t="s">
        <v>283</v>
      </c>
      <c r="G109" s="88">
        <v>18307.650000000001</v>
      </c>
    </row>
    <row r="110" spans="2:7" x14ac:dyDescent="0.3">
      <c r="B110" s="90" t="s">
        <v>284</v>
      </c>
      <c r="C110" s="88">
        <v>4128.3500000000004</v>
      </c>
      <c r="F110" s="89" t="s">
        <v>284</v>
      </c>
      <c r="G110" s="88">
        <v>18349.7</v>
      </c>
    </row>
    <row r="111" spans="2:7" x14ac:dyDescent="0.3">
      <c r="B111" s="90" t="s">
        <v>285</v>
      </c>
      <c r="C111" s="88">
        <v>4167.3500000000004</v>
      </c>
      <c r="F111" s="89" t="s">
        <v>285</v>
      </c>
      <c r="G111" s="88">
        <v>18117.150000000001</v>
      </c>
    </row>
    <row r="112" spans="2:7" x14ac:dyDescent="0.3">
      <c r="B112" s="90" t="s">
        <v>286</v>
      </c>
      <c r="C112" s="88">
        <v>4307.3500000000004</v>
      </c>
      <c r="F112" s="89" t="s">
        <v>286</v>
      </c>
      <c r="G112" s="88">
        <v>17786.8</v>
      </c>
    </row>
    <row r="113" spans="6:7" x14ac:dyDescent="0.3">
      <c r="F113" s="89" t="s">
        <v>289</v>
      </c>
      <c r="G113" s="88">
        <v>17576.3</v>
      </c>
    </row>
    <row r="114" spans="6:7" x14ac:dyDescent="0.3">
      <c r="F114" s="89" t="s">
        <v>290</v>
      </c>
      <c r="G114" s="88">
        <v>17185.7</v>
      </c>
    </row>
    <row r="115" spans="6:7" x14ac:dyDescent="0.3">
      <c r="F115" s="89" t="s">
        <v>291</v>
      </c>
      <c r="G115" s="88">
        <v>17314.650000000001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9"/>
  <sheetViews>
    <sheetView showGridLines="0" workbookViewId="0">
      <selection activeCell="T17" sqref="T17"/>
    </sheetView>
  </sheetViews>
  <sheetFormatPr defaultRowHeight="14.4" x14ac:dyDescent="0.3"/>
  <cols>
    <col min="1" max="1" width="1.88671875" customWidth="1"/>
    <col min="2" max="2" width="27.88671875" bestFit="1" customWidth="1"/>
    <col min="4" max="4" width="11.33203125" customWidth="1"/>
    <col min="5" max="5" width="8.5546875" customWidth="1"/>
    <col min="6" max="6" width="11.5546875" bestFit="1" customWidth="1"/>
    <col min="8" max="8" width="14.109375" bestFit="1" customWidth="1"/>
    <col min="9" max="9" width="4.33203125" customWidth="1"/>
    <col min="10" max="10" width="5" customWidth="1"/>
    <col min="13" max="13" width="8.88671875" customWidth="1"/>
    <col min="14" max="14" width="4.33203125" customWidth="1"/>
    <col min="15" max="15" width="11.44140625" bestFit="1" customWidth="1"/>
    <col min="16" max="17" width="10.21875" bestFit="1" customWidth="1"/>
  </cols>
  <sheetData>
    <row r="1" spans="2:17" s="208" customFormat="1" x14ac:dyDescent="0.3"/>
    <row r="2" spans="2:17" ht="38.4" customHeight="1" x14ac:dyDescent="0.35">
      <c r="B2" s="264" t="s">
        <v>1645</v>
      </c>
      <c r="C2" s="264"/>
      <c r="D2" s="264"/>
      <c r="E2" s="264"/>
      <c r="F2" s="264"/>
      <c r="G2" s="264"/>
      <c r="H2" s="264"/>
      <c r="I2" s="264"/>
      <c r="J2" s="264"/>
      <c r="K2" s="264"/>
      <c r="L2" s="264"/>
      <c r="M2" s="264"/>
      <c r="N2" s="264"/>
      <c r="O2" s="264"/>
      <c r="P2" s="264"/>
      <c r="Q2" s="264"/>
    </row>
    <row r="3" spans="2:17" ht="11.4" customHeight="1" x14ac:dyDescent="0.3">
      <c r="B3" s="237" t="s">
        <v>1643</v>
      </c>
      <c r="C3" s="232"/>
      <c r="D3" s="232"/>
      <c r="E3" s="232"/>
      <c r="F3" s="232"/>
      <c r="G3" s="232"/>
      <c r="H3" s="232"/>
      <c r="I3" s="232"/>
      <c r="K3" s="208"/>
      <c r="L3" s="208"/>
      <c r="M3" s="208"/>
      <c r="N3" s="208"/>
      <c r="O3" s="208"/>
      <c r="P3" s="208"/>
      <c r="Q3" s="208"/>
    </row>
    <row r="4" spans="2:17" ht="11.4" customHeight="1" thickBot="1" x14ac:dyDescent="0.35">
      <c r="B4" s="238" t="s">
        <v>1644</v>
      </c>
      <c r="C4" s="239"/>
      <c r="D4" s="239"/>
      <c r="E4" s="239"/>
      <c r="F4" s="239"/>
      <c r="G4" s="239"/>
      <c r="H4" s="239"/>
      <c r="I4" s="239"/>
      <c r="J4" s="245"/>
      <c r="K4" s="245"/>
      <c r="L4" s="245"/>
      <c r="M4" s="245"/>
      <c r="N4" s="245"/>
      <c r="O4" s="245"/>
      <c r="P4" s="245"/>
      <c r="Q4" s="245"/>
    </row>
    <row r="5" spans="2:17" ht="3.6" customHeight="1" x14ac:dyDescent="0.3"/>
    <row r="6" spans="2:17" x14ac:dyDescent="0.3">
      <c r="B6" s="36" t="s">
        <v>508</v>
      </c>
    </row>
    <row r="7" spans="2:17" x14ac:dyDescent="0.3">
      <c r="B7" s="59" t="s">
        <v>470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</row>
    <row r="8" spans="2:17" ht="4.8" customHeight="1" x14ac:dyDescent="0.3"/>
    <row r="9" spans="2:17" x14ac:dyDescent="0.3">
      <c r="B9" s="234"/>
      <c r="C9" s="234"/>
      <c r="D9" s="270" t="s">
        <v>489</v>
      </c>
      <c r="E9" s="270"/>
      <c r="F9" s="270"/>
      <c r="G9" s="270"/>
      <c r="H9" s="270"/>
      <c r="I9" s="234"/>
      <c r="J9" s="234"/>
      <c r="K9" s="270" t="s">
        <v>490</v>
      </c>
      <c r="L9" s="270"/>
      <c r="M9" s="270"/>
      <c r="N9" s="234"/>
      <c r="O9" s="270" t="s">
        <v>491</v>
      </c>
      <c r="P9" s="270"/>
      <c r="Q9" s="270"/>
    </row>
    <row r="10" spans="2:17" ht="43.2" x14ac:dyDescent="0.3">
      <c r="B10" s="234" t="s">
        <v>482</v>
      </c>
      <c r="C10" s="234" t="s">
        <v>483</v>
      </c>
      <c r="D10" s="246" t="s">
        <v>468</v>
      </c>
      <c r="E10" s="246" t="s">
        <v>471</v>
      </c>
      <c r="F10" s="246" t="s">
        <v>472</v>
      </c>
      <c r="G10" s="234" t="s">
        <v>473</v>
      </c>
      <c r="H10" s="234" t="s">
        <v>481</v>
      </c>
      <c r="I10" s="234"/>
      <c r="J10" s="234"/>
      <c r="K10" s="234" t="s">
        <v>487</v>
      </c>
      <c r="L10" s="234" t="s">
        <v>177</v>
      </c>
      <c r="M10" s="234" t="s">
        <v>486</v>
      </c>
      <c r="N10" s="234"/>
      <c r="O10" s="234" t="s">
        <v>484</v>
      </c>
      <c r="P10" s="234" t="s">
        <v>485</v>
      </c>
      <c r="Q10" s="234" t="s">
        <v>488</v>
      </c>
    </row>
    <row r="11" spans="2:17" s="208" customFormat="1" ht="3.6" customHeight="1" x14ac:dyDescent="0.3">
      <c r="B11" s="214"/>
      <c r="C11" s="214"/>
      <c r="D11" s="215"/>
      <c r="E11" s="215"/>
      <c r="F11" s="215"/>
      <c r="G11" s="214"/>
      <c r="H11" s="214"/>
      <c r="I11" s="214"/>
      <c r="J11" s="214"/>
      <c r="K11" s="214"/>
      <c r="L11" s="214"/>
      <c r="M11" s="214"/>
      <c r="N11" s="214"/>
      <c r="O11" s="214"/>
      <c r="P11" s="214"/>
      <c r="Q11" s="214"/>
    </row>
    <row r="12" spans="2:17" x14ac:dyDescent="0.3">
      <c r="B12" s="247" t="str">
        <f>'RV data'!C2</f>
        <v>Avenue Supermarts LTD</v>
      </c>
      <c r="C12" s="247"/>
      <c r="D12" s="248">
        <f>'RV data'!D2</f>
        <v>3945.85</v>
      </c>
      <c r="E12" s="249">
        <f>'RV data'!E2</f>
        <v>65.069999999999993</v>
      </c>
      <c r="F12" s="250">
        <f>D12*E12</f>
        <v>256756.45949999997</v>
      </c>
      <c r="G12" s="248">
        <f>'RV data'!I2</f>
        <v>74.730000000000018</v>
      </c>
      <c r="H12" s="248">
        <f>F12+G12</f>
        <v>256831.18949999998</v>
      </c>
      <c r="I12" s="248"/>
      <c r="J12" s="248"/>
      <c r="K12" s="248">
        <f>'RV data'!K2</f>
        <v>54812.66</v>
      </c>
      <c r="L12" s="248">
        <f>'RV data'!L2</f>
        <v>4518.493833567909</v>
      </c>
      <c r="M12" s="248">
        <f>'RV data'!N2</f>
        <v>2686.67</v>
      </c>
      <c r="N12" s="247"/>
      <c r="O12" s="251">
        <f>H12/K12</f>
        <v>4.6856180579450069</v>
      </c>
      <c r="P12" s="251">
        <f>H12/L12</f>
        <v>56.840000000000011</v>
      </c>
      <c r="Q12" s="251">
        <f>F12/M12</f>
        <v>95.56680184019622</v>
      </c>
    </row>
    <row r="13" spans="2:17" x14ac:dyDescent="0.3">
      <c r="B13" s="175" t="str">
        <f>'RV data'!C3</f>
        <v>Trent</v>
      </c>
      <c r="C13" s="175"/>
      <c r="D13" s="219">
        <f>'RV data'!D3</f>
        <v>7063.75</v>
      </c>
      <c r="E13" s="221">
        <f>'RV data'!E3</f>
        <v>35.549999999999997</v>
      </c>
      <c r="F13" s="220">
        <f t="shared" ref="F13:F21" si="0">D13*E13</f>
        <v>251116.31249999997</v>
      </c>
      <c r="G13" s="219">
        <f>'RV data'!I3</f>
        <v>1455.43</v>
      </c>
      <c r="H13" s="219">
        <f t="shared" ref="H13:H21" si="1">F13+G13</f>
        <v>252571.74249999996</v>
      </c>
      <c r="I13" s="219"/>
      <c r="J13" s="219"/>
      <c r="K13" s="219">
        <f>'RV data'!K3</f>
        <v>13851.18</v>
      </c>
      <c r="L13" s="219">
        <f>'RV data'!L3</f>
        <v>2603.2956349206347</v>
      </c>
      <c r="M13" s="219">
        <f>'RV data'!N3</f>
        <v>1702</v>
      </c>
      <c r="N13" s="175"/>
      <c r="O13" s="231">
        <f t="shared" ref="O13:O21" si="2">H13/K13</f>
        <v>18.234673327471015</v>
      </c>
      <c r="P13" s="218">
        <f>H13/L13</f>
        <v>97.02</v>
      </c>
      <c r="Q13" s="218">
        <f t="shared" ref="Q13:Q21" si="3">F13/M13</f>
        <v>147.54189923619271</v>
      </c>
    </row>
    <row r="14" spans="2:17" x14ac:dyDescent="0.3">
      <c r="B14" s="175" t="str">
        <f>'RV data'!C4</f>
        <v>Aditya Bir. Fas.</v>
      </c>
      <c r="C14" s="175"/>
      <c r="D14" s="219">
        <f>'RV data'!D4</f>
        <v>300.14999999999998</v>
      </c>
      <c r="E14" s="221">
        <f>'RV data'!E4</f>
        <v>107.12</v>
      </c>
      <c r="F14" s="220">
        <f t="shared" si="0"/>
        <v>32152.067999999999</v>
      </c>
      <c r="G14" s="219">
        <f>'RV data'!I4</f>
        <v>8989.01</v>
      </c>
      <c r="H14" s="219">
        <f t="shared" si="1"/>
        <v>41141.078000000001</v>
      </c>
      <c r="I14" s="219"/>
      <c r="J14" s="219"/>
      <c r="K14" s="219">
        <f>'RV data'!K4</f>
        <v>14227.62</v>
      </c>
      <c r="L14" s="219">
        <f>'RV data'!L4</f>
        <v>1755.9145539906103</v>
      </c>
      <c r="M14" s="219">
        <f>'RV data'!N4</f>
        <v>-789.21</v>
      </c>
      <c r="N14" s="175"/>
      <c r="O14" s="231">
        <f t="shared" si="2"/>
        <v>2.8916345811878585</v>
      </c>
      <c r="P14" s="218">
        <f>H14/L14</f>
        <v>23.43</v>
      </c>
      <c r="Q14" s="218">
        <f t="shared" si="3"/>
        <v>-40.739559812977532</v>
      </c>
    </row>
    <row r="15" spans="2:17" x14ac:dyDescent="0.3">
      <c r="B15" s="175" t="str">
        <f>'RV data'!C5</f>
        <v>Brainbees Solut.</v>
      </c>
      <c r="C15" s="175"/>
      <c r="D15" s="219">
        <f>'RV data'!D5</f>
        <v>617.54999999999995</v>
      </c>
      <c r="E15" s="221">
        <f>'RV data'!E5</f>
        <v>51.92</v>
      </c>
      <c r="F15" s="220">
        <f t="shared" si="0"/>
        <v>32063.196</v>
      </c>
      <c r="G15" s="219">
        <f>'RV data'!I5</f>
        <v>755.8</v>
      </c>
      <c r="H15" s="219">
        <f t="shared" si="1"/>
        <v>32818.995999999999</v>
      </c>
      <c r="I15" s="219"/>
      <c r="J15" s="219"/>
      <c r="K15" s="219">
        <f>'RV data'!K5</f>
        <v>6480.86</v>
      </c>
      <c r="L15" s="219">
        <f>'RV data'!L5</f>
        <v>164.71265244667504</v>
      </c>
      <c r="M15" s="219">
        <f>'RV data'!N5</f>
        <v>-321.51</v>
      </c>
      <c r="N15" s="175"/>
      <c r="O15" s="231">
        <f t="shared" si="2"/>
        <v>5.0639878040877289</v>
      </c>
      <c r="P15" s="218">
        <f>H15/L15</f>
        <v>199.25</v>
      </c>
      <c r="Q15" s="218">
        <f t="shared" si="3"/>
        <v>-99.726901185033128</v>
      </c>
    </row>
    <row r="16" spans="2:17" x14ac:dyDescent="0.3">
      <c r="B16" s="175" t="str">
        <f>'RV data'!C6</f>
        <v>Redtape</v>
      </c>
      <c r="C16" s="175"/>
      <c r="D16" s="219">
        <f>'RV data'!D6</f>
        <v>922.1</v>
      </c>
      <c r="E16" s="221">
        <f>'RV data'!E6</f>
        <v>13.82</v>
      </c>
      <c r="F16" s="220">
        <f t="shared" si="0"/>
        <v>12743.422</v>
      </c>
      <c r="G16" s="219">
        <f>'RV data'!I6</f>
        <v>459.02</v>
      </c>
      <c r="H16" s="219">
        <f t="shared" si="1"/>
        <v>13202.442000000001</v>
      </c>
      <c r="I16" s="219"/>
      <c r="J16" s="219"/>
      <c r="K16" s="219">
        <f>'RV data'!K6</f>
        <v>1892.94</v>
      </c>
      <c r="L16" s="219">
        <f>'RV data'!L6</f>
        <v>318.97661270838364</v>
      </c>
      <c r="M16" s="219">
        <f>'RV data'!N6</f>
        <v>160.16</v>
      </c>
      <c r="N16" s="175"/>
      <c r="O16" s="231">
        <f>H16/K16</f>
        <v>6.9745697169482392</v>
      </c>
      <c r="P16" s="218">
        <f t="shared" ref="P16:P21" si="4">H16/L16</f>
        <v>41.390000000000008</v>
      </c>
      <c r="Q16" s="218">
        <f t="shared" si="3"/>
        <v>79.566820679320685</v>
      </c>
    </row>
    <row r="17" spans="2:18" x14ac:dyDescent="0.3">
      <c r="B17" s="175" t="str">
        <f>'RV data'!C7</f>
        <v>V-Mart Retail</v>
      </c>
      <c r="C17" s="175"/>
      <c r="D17" s="219">
        <f>'RV data'!D7</f>
        <v>4194.25</v>
      </c>
      <c r="E17" s="221">
        <f>'RV data'!E7</f>
        <v>1.98</v>
      </c>
      <c r="F17" s="220">
        <f t="shared" si="0"/>
        <v>8304.6149999999998</v>
      </c>
      <c r="G17" s="219">
        <f>'RV data'!I7</f>
        <v>1580.86</v>
      </c>
      <c r="H17" s="219">
        <f t="shared" si="1"/>
        <v>9885.4750000000004</v>
      </c>
      <c r="I17" s="219"/>
      <c r="J17" s="219"/>
      <c r="K17" s="219">
        <f>'RV data'!K7</f>
        <v>3004.7</v>
      </c>
      <c r="L17" s="219">
        <f>'RV data'!L7</f>
        <v>321.06122117570641</v>
      </c>
      <c r="M17" s="219">
        <f>'RV data'!N7</f>
        <v>-55.06</v>
      </c>
      <c r="N17" s="175"/>
      <c r="O17" s="231">
        <f t="shared" si="2"/>
        <v>3.2900039937431362</v>
      </c>
      <c r="P17" s="218">
        <f t="shared" si="4"/>
        <v>30.79</v>
      </c>
      <c r="Q17" s="218">
        <f t="shared" si="3"/>
        <v>-150.82845986196875</v>
      </c>
    </row>
    <row r="18" spans="2:18" x14ac:dyDescent="0.3">
      <c r="B18" s="175" t="str">
        <f>'RV data'!C8</f>
        <v>Medplus Health</v>
      </c>
      <c r="C18" s="175"/>
      <c r="D18" s="219">
        <f>'RV data'!D8</f>
        <v>670.35</v>
      </c>
      <c r="E18" s="221">
        <f>'RV data'!E8</f>
        <v>11.95</v>
      </c>
      <c r="F18" s="220">
        <f t="shared" si="0"/>
        <v>8010.6824999999999</v>
      </c>
      <c r="G18" s="219">
        <f>'RV data'!I8</f>
        <v>867.8900000000001</v>
      </c>
      <c r="H18" s="219">
        <f t="shared" si="1"/>
        <v>8878.5725000000002</v>
      </c>
      <c r="I18" s="219"/>
      <c r="J18" s="219"/>
      <c r="K18" s="219">
        <f>'RV data'!K8</f>
        <v>5829.39</v>
      </c>
      <c r="L18" s="219">
        <f>'RV data'!L8</f>
        <v>415.66350655430716</v>
      </c>
      <c r="M18" s="219">
        <f>'RV data'!N8</f>
        <v>76.16</v>
      </c>
      <c r="N18" s="175"/>
      <c r="O18" s="231">
        <f t="shared" si="2"/>
        <v>1.5230705957227084</v>
      </c>
      <c r="P18" s="218">
        <f t="shared" si="4"/>
        <v>21.36</v>
      </c>
      <c r="Q18" s="218">
        <f t="shared" si="3"/>
        <v>105.18228072478992</v>
      </c>
    </row>
    <row r="19" spans="2:18" x14ac:dyDescent="0.3">
      <c r="B19" s="175" t="str">
        <f>'RV data'!C9</f>
        <v>Electronics Mart</v>
      </c>
      <c r="C19" s="175"/>
      <c r="D19" s="219">
        <f>'RV data'!D9</f>
        <v>203.88</v>
      </c>
      <c r="E19" s="221">
        <f>'RV data'!E9</f>
        <v>38.47</v>
      </c>
      <c r="F19" s="220">
        <f t="shared" si="0"/>
        <v>7843.2635999999993</v>
      </c>
      <c r="G19" s="219">
        <f>'RV data'!I9</f>
        <v>1486.1899999999998</v>
      </c>
      <c r="H19" s="219">
        <f t="shared" si="1"/>
        <v>9329.4535999999989</v>
      </c>
      <c r="I19" s="219"/>
      <c r="J19" s="219"/>
      <c r="K19" s="219">
        <f>'RV data'!K9</f>
        <v>6586.9</v>
      </c>
      <c r="L19" s="219">
        <f>'RV data'!L9</f>
        <v>483.14104609010872</v>
      </c>
      <c r="M19" s="219">
        <f>'RV data'!N9</f>
        <v>196.23</v>
      </c>
      <c r="N19" s="175"/>
      <c r="O19" s="231">
        <f t="shared" si="2"/>
        <v>1.4163648453749107</v>
      </c>
      <c r="P19" s="218">
        <f t="shared" si="4"/>
        <v>19.309999999999999</v>
      </c>
      <c r="Q19" s="218">
        <f t="shared" si="3"/>
        <v>39.969747744993121</v>
      </c>
    </row>
    <row r="20" spans="2:18" x14ac:dyDescent="0.3">
      <c r="B20" s="175" t="str">
        <f>'RV data'!C10</f>
        <v>Shoppers Stop</v>
      </c>
      <c r="C20" s="175"/>
      <c r="D20" s="219">
        <f>'RV data'!D10</f>
        <v>658.5</v>
      </c>
      <c r="E20" s="221">
        <f>'RV data'!E10</f>
        <v>11</v>
      </c>
      <c r="F20" s="220">
        <f t="shared" si="0"/>
        <v>7243.5</v>
      </c>
      <c r="G20" s="219">
        <f>'RV data'!I10</f>
        <v>2913.51</v>
      </c>
      <c r="H20" s="219">
        <f t="shared" si="1"/>
        <v>10157.01</v>
      </c>
      <c r="I20" s="219"/>
      <c r="J20" s="219"/>
      <c r="K20" s="219">
        <f>'RV data'!K10</f>
        <v>4468.04</v>
      </c>
      <c r="L20" s="219">
        <f>'RV data'!L10</f>
        <v>728.10107526881723</v>
      </c>
      <c r="M20" s="219">
        <f>'RV data'!N10</f>
        <v>16.72</v>
      </c>
      <c r="N20" s="175"/>
      <c r="O20" s="231">
        <f t="shared" si="2"/>
        <v>2.2732585205145881</v>
      </c>
      <c r="P20" s="218">
        <f t="shared" si="4"/>
        <v>13.95</v>
      </c>
      <c r="Q20" s="218">
        <f t="shared" si="3"/>
        <v>433.22368421052636</v>
      </c>
    </row>
    <row r="21" spans="2:18" x14ac:dyDescent="0.3">
      <c r="B21" s="175" t="str">
        <f>'RV data'!C11</f>
        <v>Ethos Ltd</v>
      </c>
      <c r="C21" s="175"/>
      <c r="D21" s="219">
        <f>'RV data'!D11</f>
        <v>2839.55</v>
      </c>
      <c r="E21" s="221">
        <f>'RV data'!E11</f>
        <v>2.4500000000000002</v>
      </c>
      <c r="F21" s="220">
        <f t="shared" si="0"/>
        <v>6956.8975000000009</v>
      </c>
      <c r="G21" s="219">
        <f>'RV data'!I11</f>
        <v>-200.43999999999997</v>
      </c>
      <c r="H21" s="219">
        <f t="shared" si="1"/>
        <v>6756.4575000000013</v>
      </c>
      <c r="I21" s="219"/>
      <c r="J21" s="219"/>
      <c r="K21" s="219">
        <f>'RV data'!K11</f>
        <v>1042.21</v>
      </c>
      <c r="L21" s="219">
        <f>'RV data'!L11</f>
        <v>186.84893528761069</v>
      </c>
      <c r="M21" s="219">
        <f>'RV data'!N11</f>
        <v>87.94</v>
      </c>
      <c r="N21" s="175"/>
      <c r="O21" s="231">
        <f t="shared" si="2"/>
        <v>6.482817762255209</v>
      </c>
      <c r="P21" s="218">
        <f t="shared" si="4"/>
        <v>36.159999999999997</v>
      </c>
      <c r="Q21" s="218">
        <f t="shared" si="3"/>
        <v>79.109591767113955</v>
      </c>
    </row>
    <row r="22" spans="2:18" ht="3.6" customHeight="1" x14ac:dyDescent="0.3">
      <c r="O22" s="231" t="e">
        <f t="shared" ref="O22" si="5">H$12/K22</f>
        <v>#DIV/0!</v>
      </c>
    </row>
    <row r="23" spans="2:18" x14ac:dyDescent="0.3">
      <c r="B23" s="247" t="s">
        <v>498</v>
      </c>
      <c r="C23" s="247"/>
      <c r="D23" s="247"/>
      <c r="E23" s="247"/>
      <c r="F23" s="247"/>
      <c r="G23" s="247"/>
      <c r="H23" s="247"/>
      <c r="I23" s="247"/>
      <c r="J23" s="247"/>
      <c r="K23" s="247"/>
      <c r="L23" s="247"/>
      <c r="M23" s="247"/>
      <c r="N23" s="247"/>
      <c r="O23" s="251">
        <f>MAX(O12:O21)</f>
        <v>18.234673327471015</v>
      </c>
      <c r="P23" s="251">
        <f t="shared" ref="P23:Q23" si="6">MAX(P12:P21)</f>
        <v>199.25</v>
      </c>
      <c r="Q23" s="251">
        <f t="shared" si="6"/>
        <v>433.22368421052636</v>
      </c>
      <c r="R23" s="216"/>
    </row>
    <row r="24" spans="2:18" x14ac:dyDescent="0.3">
      <c r="B24" s="247" t="s">
        <v>499</v>
      </c>
      <c r="C24" s="247"/>
      <c r="D24" s="247"/>
      <c r="E24" s="247"/>
      <c r="F24" s="247"/>
      <c r="G24" s="247"/>
      <c r="H24" s="247"/>
      <c r="I24" s="247"/>
      <c r="J24" s="247"/>
      <c r="K24" s="247"/>
      <c r="L24" s="247"/>
      <c r="M24" s="247"/>
      <c r="N24" s="247"/>
      <c r="O24" s="251">
        <f>QUARTILE(O12:O21,3)</f>
        <v>6.1281102727133394</v>
      </c>
      <c r="P24" s="251">
        <f t="shared" ref="P24:Q24" si="7">QUARTILE(P12:P21,3)</f>
        <v>52.977500000000006</v>
      </c>
      <c r="Q24" s="251">
        <f t="shared" si="7"/>
        <v>102.77841100364149</v>
      </c>
    </row>
    <row r="25" spans="2:18" x14ac:dyDescent="0.3">
      <c r="B25" s="252" t="s">
        <v>346</v>
      </c>
      <c r="C25" s="252"/>
      <c r="D25" s="252"/>
      <c r="E25" s="252"/>
      <c r="F25" s="252"/>
      <c r="G25" s="252"/>
      <c r="H25" s="252"/>
      <c r="I25" s="252"/>
      <c r="J25" s="252"/>
      <c r="K25" s="252"/>
      <c r="L25" s="252"/>
      <c r="M25" s="252"/>
      <c r="N25" s="252"/>
      <c r="O25" s="253">
        <f>AVERAGE(O12:O21)</f>
        <v>5.2835999205250399</v>
      </c>
      <c r="P25" s="253">
        <f>AVERAGE(P12:P21)</f>
        <v>53.95</v>
      </c>
      <c r="Q25" s="253">
        <f t="shared" ref="Q25" si="8">AVERAGE(Q12:Q21)</f>
        <v>68.88659053431536</v>
      </c>
      <c r="R25" s="216"/>
    </row>
    <row r="26" spans="2:18" x14ac:dyDescent="0.3">
      <c r="B26" s="252" t="s">
        <v>172</v>
      </c>
      <c r="C26" s="252"/>
      <c r="D26" s="252"/>
      <c r="E26" s="252"/>
      <c r="F26" s="252"/>
      <c r="G26" s="252"/>
      <c r="H26" s="252"/>
      <c r="I26" s="252"/>
      <c r="J26" s="252"/>
      <c r="K26" s="252"/>
      <c r="L26" s="252"/>
      <c r="M26" s="252"/>
      <c r="N26" s="252"/>
      <c r="O26" s="253">
        <f>MEDIAN(O12:O21)</f>
        <v>3.9878110258440715</v>
      </c>
      <c r="P26" s="253">
        <f t="shared" ref="P26:Q26" si="9">MEDIAN(P12:P21)</f>
        <v>33.474999999999994</v>
      </c>
      <c r="Q26" s="253">
        <f t="shared" si="9"/>
        <v>79.338206223217327</v>
      </c>
      <c r="R26" s="216"/>
    </row>
    <row r="27" spans="2:18" x14ac:dyDescent="0.3">
      <c r="B27" s="247" t="s">
        <v>500</v>
      </c>
      <c r="C27" s="247"/>
      <c r="D27" s="247"/>
      <c r="E27" s="247"/>
      <c r="F27" s="247"/>
      <c r="G27" s="247"/>
      <c r="H27" s="247"/>
      <c r="I27" s="247"/>
      <c r="J27" s="247"/>
      <c r="K27" s="247"/>
      <c r="L27" s="247"/>
      <c r="M27" s="247"/>
      <c r="N27" s="247"/>
      <c r="O27" s="251">
        <f>QUARTILE(O12:O21,)</f>
        <v>1.4163648453749107</v>
      </c>
      <c r="P27" s="251">
        <f t="shared" ref="P27:Q27" si="10">QUARTILE(P12:P21,)</f>
        <v>13.95</v>
      </c>
      <c r="Q27" s="251">
        <f t="shared" si="10"/>
        <v>-150.82845986196875</v>
      </c>
    </row>
    <row r="28" spans="2:18" x14ac:dyDescent="0.3">
      <c r="B28" s="247" t="s">
        <v>501</v>
      </c>
      <c r="C28" s="247"/>
      <c r="D28" s="247"/>
      <c r="E28" s="247"/>
      <c r="F28" s="247"/>
      <c r="G28" s="247"/>
      <c r="H28" s="247"/>
      <c r="I28" s="247"/>
      <c r="J28" s="247"/>
      <c r="K28" s="247"/>
      <c r="L28" s="247"/>
      <c r="M28" s="247"/>
      <c r="N28" s="247"/>
      <c r="O28" s="251">
        <f>MIN(O12:O21)</f>
        <v>1.4163648453749107</v>
      </c>
      <c r="P28" s="251">
        <f t="shared" ref="P28:Q28" si="11">MIN(P12:P21)</f>
        <v>13.95</v>
      </c>
      <c r="Q28" s="251">
        <f t="shared" si="11"/>
        <v>-150.82845986196875</v>
      </c>
      <c r="R28" s="216"/>
    </row>
    <row r="30" spans="2:18" x14ac:dyDescent="0.3">
      <c r="B30" s="256" t="s">
        <v>502</v>
      </c>
      <c r="C30" s="234"/>
      <c r="D30" s="234"/>
      <c r="E30" s="236"/>
      <c r="F30" s="236"/>
      <c r="G30" s="236"/>
      <c r="H30" s="236"/>
      <c r="I30" s="236"/>
      <c r="J30" s="236"/>
      <c r="K30" s="236"/>
      <c r="L30" s="236"/>
      <c r="M30" s="236"/>
      <c r="N30" s="236"/>
      <c r="O30" s="234" t="s">
        <v>484</v>
      </c>
      <c r="P30" s="234" t="s">
        <v>485</v>
      </c>
      <c r="Q30" s="234" t="s">
        <v>488</v>
      </c>
    </row>
    <row r="31" spans="2:18" ht="3.6" customHeight="1" x14ac:dyDescent="0.3"/>
    <row r="32" spans="2:18" x14ac:dyDescent="0.3">
      <c r="B32" s="175" t="s">
        <v>503</v>
      </c>
      <c r="C32" s="175"/>
      <c r="D32" s="175"/>
      <c r="E32" s="175"/>
      <c r="F32" s="175"/>
      <c r="G32" s="175"/>
      <c r="H32" s="175"/>
      <c r="I32" s="175"/>
      <c r="J32" s="175"/>
      <c r="K32" s="175"/>
      <c r="L32" s="175"/>
      <c r="M32" s="175"/>
      <c r="N32" s="175"/>
      <c r="O32" s="219">
        <f>O$26*K12</f>
        <v>218582.52990384231</v>
      </c>
      <c r="P32" s="219">
        <f>P$26*L12</f>
        <v>151256.58107868573</v>
      </c>
      <c r="Q32" s="219">
        <f>+Q34+Q33</f>
        <v>213230.30851373132</v>
      </c>
    </row>
    <row r="33" spans="2:17" x14ac:dyDescent="0.3">
      <c r="B33" s="175" t="s">
        <v>473</v>
      </c>
      <c r="C33" s="175"/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217">
        <f>$G$12</f>
        <v>74.730000000000018</v>
      </c>
      <c r="P33" s="217">
        <f t="shared" ref="P33:Q33" si="12">$G$12</f>
        <v>74.730000000000018</v>
      </c>
      <c r="Q33" s="217">
        <f t="shared" si="12"/>
        <v>74.730000000000018</v>
      </c>
    </row>
    <row r="34" spans="2:17" x14ac:dyDescent="0.3">
      <c r="B34" s="175" t="s">
        <v>504</v>
      </c>
      <c r="C34" s="175"/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219">
        <f>O32-O33</f>
        <v>218507.7999038423</v>
      </c>
      <c r="P34" s="219">
        <f t="shared" ref="P34" si="13">P32-P33</f>
        <v>151181.85107868572</v>
      </c>
      <c r="Q34" s="219">
        <f>Q26*M12</f>
        <v>213155.57851373131</v>
      </c>
    </row>
    <row r="35" spans="2:17" x14ac:dyDescent="0.3">
      <c r="B35" s="175" t="s">
        <v>505</v>
      </c>
      <c r="C35" s="175"/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219">
        <f>$E$12</f>
        <v>65.069999999999993</v>
      </c>
      <c r="P35" s="219">
        <f t="shared" ref="P35:Q35" si="14">$E$12</f>
        <v>65.069999999999993</v>
      </c>
      <c r="Q35" s="219">
        <f t="shared" si="14"/>
        <v>65.069999999999993</v>
      </c>
    </row>
    <row r="36" spans="2:17" ht="3.6" customHeight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222"/>
      <c r="P36" s="222"/>
      <c r="Q36" s="222"/>
    </row>
    <row r="37" spans="2:17" x14ac:dyDescent="0.3">
      <c r="B37" s="254" t="s">
        <v>506</v>
      </c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5">
        <f>O34/O35</f>
        <v>3358.0421070207826</v>
      </c>
      <c r="P37" s="255">
        <f t="shared" ref="P37:Q37" si="15">P34/P35</f>
        <v>2323.3725384768054</v>
      </c>
      <c r="Q37" s="255">
        <f t="shared" si="15"/>
        <v>3275.7888199436197</v>
      </c>
    </row>
    <row r="38" spans="2:17" ht="3.6" customHeight="1" x14ac:dyDescent="0.3"/>
    <row r="39" spans="2:17" x14ac:dyDescent="0.3">
      <c r="B39" s="36" t="s">
        <v>507</v>
      </c>
      <c r="O39" t="str">
        <f>IF(O37&gt;$D$12,"Undervalued","Overvalued")</f>
        <v>Overvalued</v>
      </c>
      <c r="P39" t="str">
        <f t="shared" ref="P39:Q39" si="16">IF(P37&gt;$D$12,"Undervalued","Overvalued")</f>
        <v>Overvalued</v>
      </c>
      <c r="Q39" t="str">
        <f t="shared" si="16"/>
        <v>Overvalued</v>
      </c>
    </row>
  </sheetData>
  <mergeCells count="4">
    <mergeCell ref="D9:H9"/>
    <mergeCell ref="K9:M9"/>
    <mergeCell ref="O9:Q9"/>
    <mergeCell ref="B2:Q2"/>
  </mergeCells>
  <pageMargins left="0.27559055118110237" right="0.27559055118110237" top="0.39370078740157483" bottom="0.74803149606299213" header="0.31496062992125984" footer="0.31496062992125984"/>
  <pageSetup paperSize="9" scale="85" orientation="landscape" r:id="rId1"/>
  <ignoredErrors>
    <ignoredError sqref="O22" evalError="1"/>
  </ignoredError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"/>
  <sheetViews>
    <sheetView showGridLines="0" workbookViewId="0">
      <selection activeCell="J21" sqref="J21"/>
    </sheetView>
  </sheetViews>
  <sheetFormatPr defaultRowHeight="14.4" x14ac:dyDescent="0.3"/>
  <cols>
    <col min="1" max="1" width="1.88671875" customWidth="1"/>
  </cols>
  <sheetData>
    <row r="2" spans="2:17" ht="37.799999999999997" customHeight="1" x14ac:dyDescent="0.35">
      <c r="B2" s="264" t="s">
        <v>1645</v>
      </c>
      <c r="C2" s="264"/>
      <c r="D2" s="264"/>
      <c r="E2" s="264"/>
      <c r="F2" s="264"/>
      <c r="G2" s="264"/>
      <c r="H2" s="264"/>
      <c r="I2" s="264"/>
      <c r="J2" s="264"/>
      <c r="K2" s="264"/>
      <c r="L2" s="264"/>
      <c r="M2" s="264"/>
      <c r="N2" s="264"/>
      <c r="O2" s="264"/>
      <c r="P2" s="264"/>
      <c r="Q2" s="264"/>
    </row>
    <row r="3" spans="2:17" ht="11.4" customHeight="1" x14ac:dyDescent="0.3">
      <c r="B3" s="237" t="s">
        <v>1643</v>
      </c>
      <c r="C3" s="232"/>
      <c r="D3" s="232"/>
      <c r="E3" s="232"/>
      <c r="F3" s="232"/>
      <c r="G3" s="232"/>
      <c r="H3" s="232"/>
      <c r="I3" s="232"/>
      <c r="K3" s="208"/>
      <c r="L3" s="208"/>
      <c r="M3" s="208"/>
      <c r="N3" s="208"/>
      <c r="O3" s="208"/>
      <c r="P3" s="208"/>
      <c r="Q3" s="208"/>
    </row>
    <row r="4" spans="2:17" ht="11.4" customHeight="1" thickBot="1" x14ac:dyDescent="0.35">
      <c r="B4" s="238" t="s">
        <v>1644</v>
      </c>
      <c r="C4" s="239"/>
      <c r="D4" s="239"/>
      <c r="E4" s="239"/>
      <c r="F4" s="239"/>
      <c r="G4" s="239"/>
      <c r="H4" s="239"/>
      <c r="I4" s="239"/>
      <c r="J4" s="245"/>
      <c r="K4" s="245"/>
      <c r="L4" s="245"/>
      <c r="M4" s="245"/>
      <c r="N4" s="245"/>
      <c r="O4" s="245"/>
      <c r="P4" s="245"/>
      <c r="Q4" s="18"/>
    </row>
    <row r="5" spans="2:17" ht="3.6" customHeight="1" x14ac:dyDescent="0.3"/>
    <row r="6" spans="2:17" x14ac:dyDescent="0.3">
      <c r="K6" s="234" t="s">
        <v>512</v>
      </c>
      <c r="L6" s="234"/>
      <c r="M6" s="234"/>
      <c r="N6" s="236"/>
      <c r="O6" s="236"/>
      <c r="P6" s="236"/>
    </row>
    <row r="7" spans="2:17" x14ac:dyDescent="0.3">
      <c r="M7" t="s">
        <v>518</v>
      </c>
      <c r="N7" t="s">
        <v>501</v>
      </c>
      <c r="O7" t="s">
        <v>519</v>
      </c>
      <c r="P7" t="s">
        <v>498</v>
      </c>
    </row>
    <row r="8" spans="2:17" x14ac:dyDescent="0.3">
      <c r="K8" t="s">
        <v>513</v>
      </c>
      <c r="M8" s="48">
        <v>2323</v>
      </c>
      <c r="N8" s="48">
        <v>2323</v>
      </c>
      <c r="O8" s="48">
        <v>3276</v>
      </c>
      <c r="P8" s="48">
        <v>3276</v>
      </c>
    </row>
    <row r="9" spans="2:17" x14ac:dyDescent="0.3">
      <c r="K9" t="s">
        <v>514</v>
      </c>
      <c r="M9" s="48">
        <v>446.85465363705129</v>
      </c>
      <c r="N9" s="48">
        <v>446.85465363705129</v>
      </c>
      <c r="O9" s="48">
        <v>548.23339122009111</v>
      </c>
      <c r="P9" s="48">
        <v>548.23339122009111</v>
      </c>
    </row>
    <row r="10" spans="2:17" x14ac:dyDescent="0.3">
      <c r="K10" t="s">
        <v>515</v>
      </c>
      <c r="M10" s="48">
        <v>532.89120838111478</v>
      </c>
      <c r="N10" s="48">
        <v>532.89120838111478</v>
      </c>
      <c r="O10" s="48">
        <v>708.21502774353814</v>
      </c>
      <c r="P10" s="48">
        <v>708.21502774353814</v>
      </c>
    </row>
    <row r="11" spans="2:17" x14ac:dyDescent="0.3">
      <c r="K11" t="s">
        <v>516</v>
      </c>
      <c r="M11" s="48">
        <v>626.57150662516744</v>
      </c>
      <c r="N11" s="48">
        <v>626.57150662516744</v>
      </c>
      <c r="O11" s="48">
        <v>917.54164955830788</v>
      </c>
      <c r="P11" s="48">
        <v>917.54164955830788</v>
      </c>
    </row>
    <row r="12" spans="2:17" x14ac:dyDescent="0.3">
      <c r="K12" t="s">
        <v>517</v>
      </c>
      <c r="M12" s="48">
        <v>3156</v>
      </c>
      <c r="N12" s="48">
        <v>3156</v>
      </c>
      <c r="O12" s="48">
        <v>4735</v>
      </c>
      <c r="P12" s="48">
        <v>4735</v>
      </c>
    </row>
  </sheetData>
  <mergeCells count="1">
    <mergeCell ref="B2:Q2"/>
  </mergeCells>
  <pageMargins left="0.39370078740157483" right="0.39370078740157483" top="0.39370078740157483" bottom="0.74803149606299213" header="0.31496062992125984" footer="0.31496062992125984"/>
  <pageSetup paperSize="9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1"/>
  <sheetViews>
    <sheetView workbookViewId="0">
      <selection activeCell="F25" sqref="F25"/>
    </sheetView>
  </sheetViews>
  <sheetFormatPr defaultRowHeight="14.4" x14ac:dyDescent="0.3"/>
  <cols>
    <col min="3" max="3" width="20.44140625" bestFit="1" customWidth="1"/>
    <col min="4" max="4" width="7.6640625" bestFit="1" customWidth="1"/>
    <col min="5" max="5" width="15.6640625" bestFit="1" customWidth="1"/>
    <col min="6" max="6" width="15.6640625" customWidth="1"/>
    <col min="7" max="7" width="10.109375" bestFit="1" customWidth="1"/>
    <col min="8" max="8" width="13.6640625" bestFit="1" customWidth="1"/>
    <col min="9" max="10" width="13.6640625" customWidth="1"/>
    <col min="11" max="11" width="11.21875" bestFit="1" customWidth="1"/>
    <col min="12" max="12" width="11.21875" customWidth="1"/>
    <col min="13" max="13" width="10.33203125" bestFit="1" customWidth="1"/>
    <col min="14" max="14" width="12.6640625" bestFit="1" customWidth="1"/>
  </cols>
  <sheetData>
    <row r="1" spans="2:15" x14ac:dyDescent="0.3">
      <c r="B1" t="s">
        <v>474</v>
      </c>
      <c r="C1" t="s">
        <v>369</v>
      </c>
      <c r="D1" t="s">
        <v>370</v>
      </c>
      <c r="E1" t="s">
        <v>475</v>
      </c>
      <c r="G1" t="s">
        <v>372</v>
      </c>
      <c r="H1" t="s">
        <v>476</v>
      </c>
      <c r="J1" t="s">
        <v>496</v>
      </c>
      <c r="K1" t="s">
        <v>477</v>
      </c>
      <c r="M1" t="s">
        <v>492</v>
      </c>
      <c r="N1" t="s">
        <v>478</v>
      </c>
      <c r="O1" t="s">
        <v>371</v>
      </c>
    </row>
    <row r="2" spans="2:15" x14ac:dyDescent="0.3">
      <c r="B2">
        <v>1</v>
      </c>
      <c r="C2" t="s">
        <v>497</v>
      </c>
      <c r="D2">
        <v>3945.85</v>
      </c>
      <c r="E2">
        <v>65.069999999999993</v>
      </c>
      <c r="F2">
        <f>D2*E2</f>
        <v>256756.45949999997</v>
      </c>
      <c r="G2">
        <v>712.91</v>
      </c>
      <c r="H2">
        <v>638.17999999999995</v>
      </c>
      <c r="I2">
        <f>G2-H2</f>
        <v>74.730000000000018</v>
      </c>
      <c r="J2">
        <f>F2+G2-H2</f>
        <v>256831.18949999998</v>
      </c>
      <c r="K2">
        <v>54812.66</v>
      </c>
      <c r="L2">
        <f>J2/M2</f>
        <v>4518.493833567909</v>
      </c>
      <c r="M2">
        <v>56.84</v>
      </c>
      <c r="N2">
        <v>2686.67</v>
      </c>
      <c r="O2">
        <v>256769.51</v>
      </c>
    </row>
    <row r="3" spans="2:15" x14ac:dyDescent="0.3">
      <c r="B3">
        <v>2</v>
      </c>
      <c r="C3" t="s">
        <v>375</v>
      </c>
      <c r="D3">
        <v>7063.75</v>
      </c>
      <c r="E3">
        <v>35.549999999999997</v>
      </c>
      <c r="F3">
        <f t="shared" ref="F3:F11" si="0">D3*E3</f>
        <v>251116.31249999997</v>
      </c>
      <c r="G3">
        <v>1752.99</v>
      </c>
      <c r="H3">
        <v>297.56</v>
      </c>
      <c r="I3">
        <f t="shared" ref="I3:I11" si="1">G3-H3</f>
        <v>1455.43</v>
      </c>
      <c r="J3">
        <f t="shared" ref="J3:J11" si="2">F3+G3-H3</f>
        <v>252571.74249999996</v>
      </c>
      <c r="K3">
        <v>13851.18</v>
      </c>
      <c r="L3">
        <f t="shared" ref="L3:L11" si="3">J3/M3</f>
        <v>2603.2956349206347</v>
      </c>
      <c r="M3">
        <v>97.02</v>
      </c>
      <c r="N3">
        <v>1702</v>
      </c>
      <c r="O3">
        <v>251107.46</v>
      </c>
    </row>
    <row r="4" spans="2:15" x14ac:dyDescent="0.3">
      <c r="B4">
        <v>3</v>
      </c>
      <c r="C4" t="s">
        <v>377</v>
      </c>
      <c r="D4">
        <v>300.14999999999998</v>
      </c>
      <c r="E4">
        <v>107.12</v>
      </c>
      <c r="F4">
        <f t="shared" si="0"/>
        <v>32152.067999999999</v>
      </c>
      <c r="G4">
        <v>9451.4</v>
      </c>
      <c r="H4">
        <v>462.39</v>
      </c>
      <c r="I4">
        <f t="shared" si="1"/>
        <v>8989.01</v>
      </c>
      <c r="J4">
        <f t="shared" si="2"/>
        <v>41141.078000000001</v>
      </c>
      <c r="K4">
        <v>14227.62</v>
      </c>
      <c r="L4">
        <f t="shared" si="3"/>
        <v>1755.9145539906103</v>
      </c>
      <c r="M4">
        <v>23.43</v>
      </c>
      <c r="N4">
        <v>-789.21</v>
      </c>
      <c r="O4">
        <v>32150.9</v>
      </c>
    </row>
    <row r="5" spans="2:15" x14ac:dyDescent="0.3">
      <c r="B5">
        <v>4</v>
      </c>
      <c r="C5" t="s">
        <v>376</v>
      </c>
      <c r="D5">
        <v>617.54999999999995</v>
      </c>
      <c r="E5">
        <v>51.92</v>
      </c>
      <c r="F5">
        <f t="shared" si="0"/>
        <v>32063.196</v>
      </c>
      <c r="G5">
        <v>1429.59</v>
      </c>
      <c r="H5">
        <v>673.79</v>
      </c>
      <c r="I5">
        <f t="shared" si="1"/>
        <v>755.8</v>
      </c>
      <c r="J5">
        <f t="shared" si="2"/>
        <v>32818.995999999999</v>
      </c>
      <c r="K5">
        <v>6480.86</v>
      </c>
      <c r="L5">
        <f t="shared" si="3"/>
        <v>164.71265244667504</v>
      </c>
      <c r="M5">
        <v>199.25</v>
      </c>
      <c r="N5">
        <v>-321.51</v>
      </c>
      <c r="O5">
        <v>32062.22</v>
      </c>
    </row>
    <row r="6" spans="2:15" x14ac:dyDescent="0.3">
      <c r="B6">
        <v>5</v>
      </c>
      <c r="C6" t="s">
        <v>378</v>
      </c>
      <c r="D6">
        <v>922.1</v>
      </c>
      <c r="E6">
        <v>13.82</v>
      </c>
      <c r="F6">
        <f t="shared" si="0"/>
        <v>12743.422</v>
      </c>
      <c r="G6">
        <v>480.06</v>
      </c>
      <c r="H6">
        <v>21.04</v>
      </c>
      <c r="I6">
        <f t="shared" si="1"/>
        <v>459.02</v>
      </c>
      <c r="J6">
        <f t="shared" si="2"/>
        <v>13202.441999999999</v>
      </c>
      <c r="K6">
        <v>1892.94</v>
      </c>
      <c r="L6">
        <f t="shared" si="3"/>
        <v>318.97661270838364</v>
      </c>
      <c r="M6">
        <v>41.39</v>
      </c>
      <c r="N6">
        <v>160.16</v>
      </c>
      <c r="O6">
        <v>12743.6</v>
      </c>
    </row>
    <row r="7" spans="2:15" x14ac:dyDescent="0.3">
      <c r="B7">
        <v>6</v>
      </c>
      <c r="C7" t="s">
        <v>480</v>
      </c>
      <c r="D7">
        <v>4194.25</v>
      </c>
      <c r="E7">
        <v>1.98</v>
      </c>
      <c r="F7">
        <f t="shared" si="0"/>
        <v>8304.6149999999998</v>
      </c>
      <c r="G7">
        <v>1608.09</v>
      </c>
      <c r="H7">
        <v>27.23</v>
      </c>
      <c r="I7">
        <f t="shared" si="1"/>
        <v>1580.86</v>
      </c>
      <c r="J7">
        <f t="shared" si="2"/>
        <v>9885.4750000000004</v>
      </c>
      <c r="K7">
        <v>3004.7</v>
      </c>
      <c r="L7">
        <f t="shared" si="3"/>
        <v>321.06122117570641</v>
      </c>
      <c r="M7">
        <v>30.79</v>
      </c>
      <c r="N7">
        <v>-55.06</v>
      </c>
      <c r="O7">
        <v>8299.1299999999992</v>
      </c>
    </row>
    <row r="8" spans="2:15" x14ac:dyDescent="0.3">
      <c r="B8">
        <v>7</v>
      </c>
      <c r="C8" t="s">
        <v>493</v>
      </c>
      <c r="D8">
        <v>670.35</v>
      </c>
      <c r="E8">
        <v>11.95</v>
      </c>
      <c r="F8">
        <f t="shared" si="0"/>
        <v>8010.6824999999999</v>
      </c>
      <c r="G8">
        <v>1009.57</v>
      </c>
      <c r="H8">
        <v>141.68</v>
      </c>
      <c r="I8">
        <f t="shared" si="1"/>
        <v>867.8900000000001</v>
      </c>
      <c r="J8">
        <f t="shared" si="2"/>
        <v>8878.5725000000002</v>
      </c>
      <c r="K8">
        <v>5829.39</v>
      </c>
      <c r="L8">
        <f t="shared" si="3"/>
        <v>415.66350655430716</v>
      </c>
      <c r="M8">
        <v>21.36</v>
      </c>
      <c r="N8">
        <v>76.16</v>
      </c>
      <c r="O8">
        <v>8013.84</v>
      </c>
    </row>
    <row r="9" spans="2:15" x14ac:dyDescent="0.3">
      <c r="B9">
        <v>8</v>
      </c>
      <c r="C9" t="s">
        <v>494</v>
      </c>
      <c r="D9">
        <v>203.88</v>
      </c>
      <c r="E9">
        <v>38.47</v>
      </c>
      <c r="F9">
        <f t="shared" si="0"/>
        <v>7843.2635999999993</v>
      </c>
      <c r="G9">
        <v>1569.86</v>
      </c>
      <c r="H9">
        <v>83.67</v>
      </c>
      <c r="I9">
        <f t="shared" si="1"/>
        <v>1486.1899999999998</v>
      </c>
      <c r="J9">
        <f t="shared" si="2"/>
        <v>9329.4535999999989</v>
      </c>
      <c r="K9">
        <v>6586.9</v>
      </c>
      <c r="L9">
        <f t="shared" si="3"/>
        <v>483.14104609010872</v>
      </c>
      <c r="M9">
        <v>19.309999999999999</v>
      </c>
      <c r="N9">
        <v>196.23</v>
      </c>
      <c r="O9">
        <v>7844.26</v>
      </c>
    </row>
    <row r="10" spans="2:15" x14ac:dyDescent="0.3">
      <c r="B10">
        <v>9</v>
      </c>
      <c r="C10" t="s">
        <v>495</v>
      </c>
      <c r="D10">
        <v>658.5</v>
      </c>
      <c r="E10">
        <v>11</v>
      </c>
      <c r="F10">
        <f t="shared" si="0"/>
        <v>7243.5</v>
      </c>
      <c r="G10">
        <v>2930.25</v>
      </c>
      <c r="H10">
        <v>16.739999999999998</v>
      </c>
      <c r="I10">
        <f>G10-H10</f>
        <v>2913.51</v>
      </c>
      <c r="J10">
        <f t="shared" si="2"/>
        <v>10157.01</v>
      </c>
      <c r="K10">
        <v>4468.04</v>
      </c>
      <c r="L10">
        <f t="shared" si="3"/>
        <v>728.10107526881723</v>
      </c>
      <c r="M10">
        <v>13.95</v>
      </c>
      <c r="N10">
        <v>16.72</v>
      </c>
      <c r="O10">
        <v>7242.06</v>
      </c>
    </row>
    <row r="11" spans="2:15" x14ac:dyDescent="0.3">
      <c r="B11">
        <v>10</v>
      </c>
      <c r="C11" t="s">
        <v>479</v>
      </c>
      <c r="D11">
        <v>2839.55</v>
      </c>
      <c r="E11">
        <v>2.4500000000000002</v>
      </c>
      <c r="F11">
        <f t="shared" si="0"/>
        <v>6956.8975000000009</v>
      </c>
      <c r="G11">
        <v>145.02000000000001</v>
      </c>
      <c r="H11">
        <v>345.46</v>
      </c>
      <c r="I11">
        <f t="shared" si="1"/>
        <v>-200.43999999999997</v>
      </c>
      <c r="J11">
        <f t="shared" si="2"/>
        <v>6756.4575000000013</v>
      </c>
      <c r="K11">
        <v>1042.21</v>
      </c>
      <c r="L11">
        <f t="shared" si="3"/>
        <v>186.84893528761069</v>
      </c>
      <c r="M11">
        <v>36.159999999999997</v>
      </c>
      <c r="N11">
        <v>87.94</v>
      </c>
      <c r="O11">
        <v>6951.34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26"/>
  <sheetViews>
    <sheetView workbookViewId="0">
      <selection activeCell="M22" sqref="M22"/>
    </sheetView>
  </sheetViews>
  <sheetFormatPr defaultRowHeight="14.4" x14ac:dyDescent="0.3"/>
  <cols>
    <col min="2" max="2" width="12.109375" customWidth="1"/>
    <col min="10" max="10" width="10.5546875" bestFit="1" customWidth="1"/>
  </cols>
  <sheetData>
    <row r="2" spans="2:10" x14ac:dyDescent="0.3">
      <c r="B2" s="228"/>
    </row>
    <row r="3" spans="2:10" x14ac:dyDescent="0.3">
      <c r="B3" s="228"/>
    </row>
    <row r="4" spans="2:10" x14ac:dyDescent="0.3">
      <c r="B4" s="85"/>
    </row>
    <row r="5" spans="2:10" x14ac:dyDescent="0.3">
      <c r="B5" s="85"/>
    </row>
    <row r="6" spans="2:10" x14ac:dyDescent="0.3">
      <c r="B6" s="85"/>
    </row>
    <row r="7" spans="2:10" x14ac:dyDescent="0.3">
      <c r="B7" s="85"/>
    </row>
    <row r="8" spans="2:10" x14ac:dyDescent="0.3">
      <c r="B8" s="86" t="s">
        <v>179</v>
      </c>
      <c r="C8" s="87" t="s">
        <v>520</v>
      </c>
      <c r="D8" s="87" t="s">
        <v>498</v>
      </c>
      <c r="E8" s="87" t="s">
        <v>501</v>
      </c>
      <c r="F8" s="87" t="s">
        <v>521</v>
      </c>
      <c r="G8" s="87" t="s">
        <v>180</v>
      </c>
      <c r="H8" s="87" t="s">
        <v>522</v>
      </c>
    </row>
    <row r="9" spans="2:10" x14ac:dyDescent="0.3">
      <c r="B9" s="229" t="s">
        <v>523</v>
      </c>
      <c r="C9" s="88">
        <v>3946</v>
      </c>
      <c r="D9" s="88">
        <v>3958.35</v>
      </c>
      <c r="E9" s="88">
        <v>3906.75</v>
      </c>
      <c r="F9" s="88">
        <v>3910</v>
      </c>
      <c r="G9" s="88">
        <v>3910</v>
      </c>
      <c r="H9" s="230">
        <v>9289</v>
      </c>
      <c r="J9" s="233"/>
    </row>
    <row r="10" spans="2:10" x14ac:dyDescent="0.3">
      <c r="B10" s="229" t="s">
        <v>524</v>
      </c>
      <c r="C10" s="88">
        <v>4007.85</v>
      </c>
      <c r="D10" s="88">
        <v>4007.85</v>
      </c>
      <c r="E10" s="88">
        <v>3900.15</v>
      </c>
      <c r="F10" s="88">
        <v>3945.65</v>
      </c>
      <c r="G10" s="88">
        <v>3945.65</v>
      </c>
      <c r="H10" s="230">
        <v>23674</v>
      </c>
    </row>
    <row r="11" spans="2:10" x14ac:dyDescent="0.3">
      <c r="B11" s="229" t="s">
        <v>525</v>
      </c>
      <c r="C11" s="88">
        <v>3932.25</v>
      </c>
      <c r="D11" s="88">
        <v>4017.55</v>
      </c>
      <c r="E11" s="88">
        <v>3932.25</v>
      </c>
      <c r="F11" s="88">
        <v>4003.3</v>
      </c>
      <c r="G11" s="88">
        <v>4003.3</v>
      </c>
      <c r="H11" s="230">
        <v>3414</v>
      </c>
    </row>
    <row r="12" spans="2:10" x14ac:dyDescent="0.3">
      <c r="B12" s="229" t="s">
        <v>526</v>
      </c>
      <c r="C12" s="88">
        <v>3920.45</v>
      </c>
      <c r="D12" s="88">
        <v>3940</v>
      </c>
      <c r="E12" s="88">
        <v>3876.8</v>
      </c>
      <c r="F12" s="88">
        <v>3928</v>
      </c>
      <c r="G12" s="88">
        <v>3928</v>
      </c>
      <c r="H12" s="230">
        <v>6186</v>
      </c>
    </row>
    <row r="13" spans="2:10" x14ac:dyDescent="0.3">
      <c r="B13" s="229" t="s">
        <v>527</v>
      </c>
      <c r="C13" s="88">
        <v>4009.1</v>
      </c>
      <c r="D13" s="88">
        <v>4011</v>
      </c>
      <c r="E13" s="88">
        <v>3940.5</v>
      </c>
      <c r="F13" s="88">
        <v>3964.15</v>
      </c>
      <c r="G13" s="88">
        <v>3964.15</v>
      </c>
      <c r="H13" s="230">
        <v>9143</v>
      </c>
    </row>
    <row r="14" spans="2:10" x14ac:dyDescent="0.3">
      <c r="B14" s="229" t="s">
        <v>528</v>
      </c>
      <c r="C14" s="88">
        <v>4094.85</v>
      </c>
      <c r="D14" s="88">
        <v>4094.85</v>
      </c>
      <c r="E14" s="88">
        <v>3975</v>
      </c>
      <c r="F14" s="88">
        <v>3985.65</v>
      </c>
      <c r="G14" s="88">
        <v>3985.65</v>
      </c>
      <c r="H14" s="230">
        <v>7984</v>
      </c>
    </row>
    <row r="15" spans="2:10" x14ac:dyDescent="0.3">
      <c r="B15" s="229" t="s">
        <v>529</v>
      </c>
      <c r="C15" s="88">
        <v>4055.05</v>
      </c>
      <c r="D15" s="88">
        <v>4120.8500000000004</v>
      </c>
      <c r="E15" s="88">
        <v>3988</v>
      </c>
      <c r="F15" s="88">
        <v>4051.2</v>
      </c>
      <c r="G15" s="88">
        <v>4051.2</v>
      </c>
      <c r="H15" s="230">
        <v>17056</v>
      </c>
    </row>
    <row r="16" spans="2:10" x14ac:dyDescent="0.3">
      <c r="B16" s="229" t="s">
        <v>181</v>
      </c>
      <c r="C16" s="88">
        <v>4162</v>
      </c>
      <c r="D16" s="88">
        <v>4188.05</v>
      </c>
      <c r="E16" s="88">
        <v>4050</v>
      </c>
      <c r="F16" s="88">
        <v>4059.3</v>
      </c>
      <c r="G16" s="88">
        <v>4059.3</v>
      </c>
      <c r="H16" s="230">
        <v>28769</v>
      </c>
    </row>
    <row r="17" spans="2:8" x14ac:dyDescent="0.3">
      <c r="B17" s="229" t="s">
        <v>530</v>
      </c>
      <c r="C17" s="88">
        <v>4039.95</v>
      </c>
      <c r="D17" s="88">
        <v>4225.5</v>
      </c>
      <c r="E17" s="88">
        <v>3978.5</v>
      </c>
      <c r="F17" s="88">
        <v>4162.6000000000004</v>
      </c>
      <c r="G17" s="88">
        <v>4162.6000000000004</v>
      </c>
      <c r="H17" s="230">
        <v>20518</v>
      </c>
    </row>
    <row r="18" spans="2:8" x14ac:dyDescent="0.3">
      <c r="B18" s="229" t="s">
        <v>531</v>
      </c>
      <c r="C18" s="88">
        <v>3986.35</v>
      </c>
      <c r="D18" s="88">
        <v>4055.85</v>
      </c>
      <c r="E18" s="88">
        <v>3968</v>
      </c>
      <c r="F18" s="88">
        <v>4004.75</v>
      </c>
      <c r="G18" s="88">
        <v>4004.75</v>
      </c>
      <c r="H18" s="230">
        <v>13566</v>
      </c>
    </row>
    <row r="19" spans="2:8" x14ac:dyDescent="0.3">
      <c r="B19" s="229" t="s">
        <v>182</v>
      </c>
      <c r="C19" s="88">
        <v>3995.15</v>
      </c>
      <c r="D19" s="88">
        <v>4070</v>
      </c>
      <c r="E19" s="88">
        <v>3960.45</v>
      </c>
      <c r="F19" s="88">
        <v>3972.9</v>
      </c>
      <c r="G19" s="88">
        <v>3972.9</v>
      </c>
      <c r="H19" s="230">
        <v>14751</v>
      </c>
    </row>
    <row r="20" spans="2:8" x14ac:dyDescent="0.3">
      <c r="B20" s="229" t="s">
        <v>532</v>
      </c>
      <c r="C20" s="88">
        <v>4105.1000000000004</v>
      </c>
      <c r="D20" s="88">
        <v>4110.3</v>
      </c>
      <c r="E20" s="88">
        <v>3975.05</v>
      </c>
      <c r="F20" s="88">
        <v>3986.4</v>
      </c>
      <c r="G20" s="88">
        <v>3986.4</v>
      </c>
      <c r="H20" s="230">
        <v>26096</v>
      </c>
    </row>
    <row r="21" spans="2:8" x14ac:dyDescent="0.3">
      <c r="B21" s="229" t="s">
        <v>533</v>
      </c>
      <c r="C21" s="88">
        <v>4160.2</v>
      </c>
      <c r="D21" s="88">
        <v>4178.8999999999996</v>
      </c>
      <c r="E21" s="88">
        <v>4052</v>
      </c>
      <c r="F21" s="88">
        <v>4084.5</v>
      </c>
      <c r="G21" s="88">
        <v>4084.5</v>
      </c>
      <c r="H21" s="230">
        <v>48971</v>
      </c>
    </row>
    <row r="22" spans="2:8" x14ac:dyDescent="0.3">
      <c r="B22" s="229" t="s">
        <v>534</v>
      </c>
      <c r="C22" s="88">
        <v>4215</v>
      </c>
      <c r="D22" s="88">
        <v>4215</v>
      </c>
      <c r="E22" s="88">
        <v>4151</v>
      </c>
      <c r="F22" s="88">
        <v>4175.2</v>
      </c>
      <c r="G22" s="88">
        <v>4175.2</v>
      </c>
      <c r="H22" s="230">
        <v>15111</v>
      </c>
    </row>
    <row r="23" spans="2:8" x14ac:dyDescent="0.3">
      <c r="B23" s="229" t="s">
        <v>535</v>
      </c>
      <c r="C23" s="88">
        <v>4239.95</v>
      </c>
      <c r="D23" s="88">
        <v>4239.95</v>
      </c>
      <c r="E23" s="88">
        <v>4179.45</v>
      </c>
      <c r="F23" s="88">
        <v>4192.2</v>
      </c>
      <c r="G23" s="88">
        <v>4192.2</v>
      </c>
      <c r="H23" s="230">
        <v>66689</v>
      </c>
    </row>
    <row r="24" spans="2:8" x14ac:dyDescent="0.3">
      <c r="B24" s="229" t="s">
        <v>183</v>
      </c>
      <c r="C24" s="88">
        <v>4247.95</v>
      </c>
      <c r="D24" s="88">
        <v>4293.3</v>
      </c>
      <c r="E24" s="88">
        <v>4143.6000000000004</v>
      </c>
      <c r="F24" s="88">
        <v>4184.45</v>
      </c>
      <c r="G24" s="88">
        <v>4184.45</v>
      </c>
      <c r="H24" s="230">
        <v>140873</v>
      </c>
    </row>
    <row r="25" spans="2:8" x14ac:dyDescent="0.3">
      <c r="B25" s="229" t="s">
        <v>536</v>
      </c>
      <c r="C25" s="88">
        <v>4668.95</v>
      </c>
      <c r="D25" s="88">
        <v>4668.95</v>
      </c>
      <c r="E25" s="88">
        <v>4530</v>
      </c>
      <c r="F25" s="88">
        <v>4572.3500000000004</v>
      </c>
      <c r="G25" s="88">
        <v>4572.3500000000004</v>
      </c>
      <c r="H25" s="230">
        <v>7270</v>
      </c>
    </row>
    <row r="26" spans="2:8" x14ac:dyDescent="0.3">
      <c r="B26" s="229" t="s">
        <v>537</v>
      </c>
      <c r="C26" s="88">
        <v>4689.8999999999996</v>
      </c>
      <c r="D26" s="88">
        <v>4698</v>
      </c>
      <c r="E26" s="88">
        <v>4572</v>
      </c>
      <c r="F26" s="88">
        <v>4606.45</v>
      </c>
      <c r="G26" s="88">
        <v>4606.45</v>
      </c>
      <c r="H26" s="230">
        <v>21262</v>
      </c>
    </row>
    <row r="27" spans="2:8" x14ac:dyDescent="0.3">
      <c r="B27" s="229" t="s">
        <v>538</v>
      </c>
      <c r="C27" s="88">
        <v>4532.3500000000004</v>
      </c>
      <c r="D27" s="88">
        <v>4687.8500000000004</v>
      </c>
      <c r="E27" s="88">
        <v>4482.1499999999996</v>
      </c>
      <c r="F27" s="88">
        <v>4646.45</v>
      </c>
      <c r="G27" s="88">
        <v>4646.45</v>
      </c>
      <c r="H27" s="230">
        <v>36198</v>
      </c>
    </row>
    <row r="28" spans="2:8" x14ac:dyDescent="0.3">
      <c r="B28" s="229" t="s">
        <v>539</v>
      </c>
      <c r="C28" s="88">
        <v>4545</v>
      </c>
      <c r="D28" s="88">
        <v>4614.3500000000004</v>
      </c>
      <c r="E28" s="88">
        <v>4437.5</v>
      </c>
      <c r="F28" s="88">
        <v>4470.75</v>
      </c>
      <c r="G28" s="88">
        <v>4470.75</v>
      </c>
      <c r="H28" s="230">
        <v>16727</v>
      </c>
    </row>
    <row r="29" spans="2:8" x14ac:dyDescent="0.3">
      <c r="B29" s="229" t="s">
        <v>184</v>
      </c>
      <c r="C29" s="88">
        <v>4799.8999999999996</v>
      </c>
      <c r="D29" s="88">
        <v>4799.8999999999996</v>
      </c>
      <c r="E29" s="88">
        <v>4518.8999999999996</v>
      </c>
      <c r="F29" s="88">
        <v>4540.45</v>
      </c>
      <c r="G29" s="88">
        <v>4540.45</v>
      </c>
      <c r="H29" s="230">
        <v>22262</v>
      </c>
    </row>
    <row r="30" spans="2:8" x14ac:dyDescent="0.3">
      <c r="B30" s="229" t="s">
        <v>540</v>
      </c>
      <c r="C30" s="88">
        <v>4880</v>
      </c>
      <c r="D30" s="88">
        <v>4880</v>
      </c>
      <c r="E30" s="88">
        <v>4695.3999999999996</v>
      </c>
      <c r="F30" s="88">
        <v>4736.75</v>
      </c>
      <c r="G30" s="88">
        <v>4736.75</v>
      </c>
      <c r="H30" s="230">
        <v>37605</v>
      </c>
    </row>
    <row r="31" spans="2:8" x14ac:dyDescent="0.3">
      <c r="B31" s="229" t="s">
        <v>541</v>
      </c>
      <c r="C31" s="88">
        <v>4952.95</v>
      </c>
      <c r="D31" s="88">
        <v>5011</v>
      </c>
      <c r="E31" s="88">
        <v>4867</v>
      </c>
      <c r="F31" s="88">
        <v>4940.2</v>
      </c>
      <c r="G31" s="88">
        <v>4940.2</v>
      </c>
      <c r="H31" s="230">
        <v>28913</v>
      </c>
    </row>
    <row r="32" spans="2:8" x14ac:dyDescent="0.3">
      <c r="B32" s="229" t="s">
        <v>542</v>
      </c>
      <c r="C32" s="88">
        <v>5099</v>
      </c>
      <c r="D32" s="88">
        <v>5134.6499999999996</v>
      </c>
      <c r="E32" s="88">
        <v>4940</v>
      </c>
      <c r="F32" s="88">
        <v>4954.75</v>
      </c>
      <c r="G32" s="88">
        <v>4954.75</v>
      </c>
      <c r="H32" s="230">
        <v>27835</v>
      </c>
    </row>
    <row r="33" spans="2:8" x14ac:dyDescent="0.3">
      <c r="B33" s="229" t="s">
        <v>185</v>
      </c>
      <c r="C33" s="88">
        <v>5139.75</v>
      </c>
      <c r="D33" s="88">
        <v>5217.05</v>
      </c>
      <c r="E33" s="88">
        <v>5078.6000000000004</v>
      </c>
      <c r="F33" s="88">
        <v>5096.6000000000004</v>
      </c>
      <c r="G33" s="88">
        <v>5096.6000000000004</v>
      </c>
      <c r="H33" s="230">
        <v>10883</v>
      </c>
    </row>
    <row r="34" spans="2:8" x14ac:dyDescent="0.3">
      <c r="B34" s="229" t="s">
        <v>543</v>
      </c>
      <c r="C34" s="88">
        <v>5202.05</v>
      </c>
      <c r="D34" s="88">
        <v>5233.1499999999996</v>
      </c>
      <c r="E34" s="88">
        <v>5085</v>
      </c>
      <c r="F34" s="88">
        <v>5102</v>
      </c>
      <c r="G34" s="88">
        <v>5102</v>
      </c>
      <c r="H34" s="230">
        <v>15721</v>
      </c>
    </row>
    <row r="35" spans="2:8" x14ac:dyDescent="0.3">
      <c r="B35" s="229" t="s">
        <v>544</v>
      </c>
      <c r="C35" s="88">
        <v>5276.15</v>
      </c>
      <c r="D35" s="88">
        <v>5307</v>
      </c>
      <c r="E35" s="88">
        <v>5165</v>
      </c>
      <c r="F35" s="88">
        <v>5199.25</v>
      </c>
      <c r="G35" s="88">
        <v>5199.25</v>
      </c>
      <c r="H35" s="230">
        <v>7387</v>
      </c>
    </row>
    <row r="36" spans="2:8" x14ac:dyDescent="0.3">
      <c r="B36" s="229" t="s">
        <v>545</v>
      </c>
      <c r="C36" s="88">
        <v>5344.1</v>
      </c>
      <c r="D36" s="88">
        <v>5400</v>
      </c>
      <c r="E36" s="88">
        <v>5234.6000000000004</v>
      </c>
      <c r="F36" s="88">
        <v>5264.9</v>
      </c>
      <c r="G36" s="88">
        <v>5264.9</v>
      </c>
      <c r="H36" s="230">
        <v>14099</v>
      </c>
    </row>
    <row r="37" spans="2:8" x14ac:dyDescent="0.3">
      <c r="B37" s="229" t="s">
        <v>546</v>
      </c>
      <c r="C37" s="88">
        <v>5305</v>
      </c>
      <c r="D37" s="88">
        <v>5484</v>
      </c>
      <c r="E37" s="88">
        <v>5229</v>
      </c>
      <c r="F37" s="88">
        <v>5393.8</v>
      </c>
      <c r="G37" s="88">
        <v>5393.8</v>
      </c>
      <c r="H37" s="230">
        <v>34526</v>
      </c>
    </row>
    <row r="38" spans="2:8" x14ac:dyDescent="0.3">
      <c r="B38" s="229" t="s">
        <v>186</v>
      </c>
      <c r="C38" s="88">
        <v>5331.05</v>
      </c>
      <c r="D38" s="88">
        <v>5365</v>
      </c>
      <c r="E38" s="88">
        <v>5261</v>
      </c>
      <c r="F38" s="88">
        <v>5301.15</v>
      </c>
      <c r="G38" s="88">
        <v>5301.15</v>
      </c>
      <c r="H38" s="230">
        <v>11792</v>
      </c>
    </row>
    <row r="39" spans="2:8" x14ac:dyDescent="0.3">
      <c r="B39" s="229" t="s">
        <v>547</v>
      </c>
      <c r="C39" s="88">
        <v>5347.85</v>
      </c>
      <c r="D39" s="88">
        <v>5413.35</v>
      </c>
      <c r="E39" s="88">
        <v>5230</v>
      </c>
      <c r="F39" s="88">
        <v>5326.95</v>
      </c>
      <c r="G39" s="88">
        <v>5326.95</v>
      </c>
      <c r="H39" s="230">
        <v>22584</v>
      </c>
    </row>
    <row r="40" spans="2:8" x14ac:dyDescent="0.3">
      <c r="B40" s="229" t="s">
        <v>548</v>
      </c>
      <c r="C40" s="88">
        <v>5280.25</v>
      </c>
      <c r="D40" s="88">
        <v>5436.1</v>
      </c>
      <c r="E40" s="88">
        <v>5177.3500000000004</v>
      </c>
      <c r="F40" s="88">
        <v>5347.35</v>
      </c>
      <c r="G40" s="88">
        <v>5347.35</v>
      </c>
      <c r="H40" s="230">
        <v>21599</v>
      </c>
    </row>
    <row r="41" spans="2:8" x14ac:dyDescent="0.3">
      <c r="B41" s="229" t="s">
        <v>549</v>
      </c>
      <c r="C41" s="88">
        <v>5219.8500000000004</v>
      </c>
      <c r="D41" s="88">
        <v>5288.95</v>
      </c>
      <c r="E41" s="88">
        <v>5219.8500000000004</v>
      </c>
      <c r="F41" s="88">
        <v>5266.1</v>
      </c>
      <c r="G41" s="88">
        <v>5266.1</v>
      </c>
      <c r="H41" s="230">
        <v>5427</v>
      </c>
    </row>
    <row r="42" spans="2:8" x14ac:dyDescent="0.3">
      <c r="B42" s="229" t="s">
        <v>550</v>
      </c>
      <c r="C42" s="88">
        <v>5201.1000000000004</v>
      </c>
      <c r="D42" s="88">
        <v>5252.05</v>
      </c>
      <c r="E42" s="88">
        <v>5199.8500000000004</v>
      </c>
      <c r="F42" s="88">
        <v>5218.5</v>
      </c>
      <c r="G42" s="88">
        <v>5218.5</v>
      </c>
      <c r="H42" s="230">
        <v>2351</v>
      </c>
    </row>
    <row r="43" spans="2:8" x14ac:dyDescent="0.3">
      <c r="B43" s="229" t="s">
        <v>187</v>
      </c>
      <c r="C43" s="88">
        <v>5237.1499999999996</v>
      </c>
      <c r="D43" s="88">
        <v>5263.05</v>
      </c>
      <c r="E43" s="88">
        <v>5180.75</v>
      </c>
      <c r="F43" s="88">
        <v>5199.5</v>
      </c>
      <c r="G43" s="88">
        <v>5199.5</v>
      </c>
      <c r="H43" s="230">
        <v>4708</v>
      </c>
    </row>
    <row r="44" spans="2:8" x14ac:dyDescent="0.3">
      <c r="B44" s="229" t="s">
        <v>551</v>
      </c>
      <c r="C44" s="88">
        <v>5250</v>
      </c>
      <c r="D44" s="88">
        <v>5255.2</v>
      </c>
      <c r="E44" s="88">
        <v>5157.1499999999996</v>
      </c>
      <c r="F44" s="88">
        <v>5186.8500000000004</v>
      </c>
      <c r="G44" s="88">
        <v>5186.8500000000004</v>
      </c>
      <c r="H44" s="230">
        <v>7687</v>
      </c>
    </row>
    <row r="45" spans="2:8" x14ac:dyDescent="0.3">
      <c r="B45" s="229" t="s">
        <v>552</v>
      </c>
      <c r="C45" s="88">
        <v>5316.3</v>
      </c>
      <c r="D45" s="88">
        <v>5368.35</v>
      </c>
      <c r="E45" s="88">
        <v>5216</v>
      </c>
      <c r="F45" s="88">
        <v>5237.05</v>
      </c>
      <c r="G45" s="88">
        <v>5237.05</v>
      </c>
      <c r="H45" s="230">
        <v>10230</v>
      </c>
    </row>
    <row r="46" spans="2:8" x14ac:dyDescent="0.3">
      <c r="B46" s="229" t="s">
        <v>553</v>
      </c>
      <c r="C46" s="88">
        <v>5359.4</v>
      </c>
      <c r="D46" s="88">
        <v>5446.65</v>
      </c>
      <c r="E46" s="88">
        <v>5280.15</v>
      </c>
      <c r="F46" s="88">
        <v>5303.3</v>
      </c>
      <c r="G46" s="88">
        <v>5303.3</v>
      </c>
      <c r="H46" s="230">
        <v>17487</v>
      </c>
    </row>
    <row r="47" spans="2:8" x14ac:dyDescent="0.3">
      <c r="B47" s="229" t="s">
        <v>554</v>
      </c>
      <c r="C47" s="88">
        <v>5356.4</v>
      </c>
      <c r="D47" s="88">
        <v>5417.5</v>
      </c>
      <c r="E47" s="88">
        <v>5314.3</v>
      </c>
      <c r="F47" s="88">
        <v>5359.95</v>
      </c>
      <c r="G47" s="88">
        <v>5359.95</v>
      </c>
      <c r="H47" s="230">
        <v>7809</v>
      </c>
    </row>
    <row r="48" spans="2:8" x14ac:dyDescent="0.3">
      <c r="B48" s="229" t="s">
        <v>188</v>
      </c>
      <c r="C48" s="88">
        <v>5277</v>
      </c>
      <c r="D48" s="88">
        <v>5394.6</v>
      </c>
      <c r="E48" s="88">
        <v>5206.5</v>
      </c>
      <c r="F48" s="88">
        <v>5359.2</v>
      </c>
      <c r="G48" s="88">
        <v>5359.2</v>
      </c>
      <c r="H48" s="230">
        <v>27702</v>
      </c>
    </row>
    <row r="49" spans="2:8" x14ac:dyDescent="0.3">
      <c r="B49" s="229" t="s">
        <v>555</v>
      </c>
      <c r="C49" s="88">
        <v>5304.45</v>
      </c>
      <c r="D49" s="88">
        <v>5353</v>
      </c>
      <c r="E49" s="88">
        <v>5203.25</v>
      </c>
      <c r="F49" s="88">
        <v>5307.65</v>
      </c>
      <c r="G49" s="88">
        <v>5307.65</v>
      </c>
      <c r="H49" s="230">
        <v>29233</v>
      </c>
    </row>
    <row r="50" spans="2:8" x14ac:dyDescent="0.3">
      <c r="B50" s="229" t="s">
        <v>556</v>
      </c>
      <c r="C50" s="88">
        <v>5098.95</v>
      </c>
      <c r="D50" s="88">
        <v>5356.05</v>
      </c>
      <c r="E50" s="88">
        <v>5080</v>
      </c>
      <c r="F50" s="88">
        <v>5308.85</v>
      </c>
      <c r="G50" s="88">
        <v>5308.85</v>
      </c>
      <c r="H50" s="230">
        <v>29710</v>
      </c>
    </row>
    <row r="51" spans="2:8" x14ac:dyDescent="0.3">
      <c r="B51" s="229" t="s">
        <v>557</v>
      </c>
      <c r="C51" s="88">
        <v>4960.6499999999996</v>
      </c>
      <c r="D51" s="88">
        <v>5105.75</v>
      </c>
      <c r="E51" s="88">
        <v>4956.55</v>
      </c>
      <c r="F51" s="88">
        <v>5099.75</v>
      </c>
      <c r="G51" s="88">
        <v>5099.75</v>
      </c>
      <c r="H51" s="230">
        <v>28312</v>
      </c>
    </row>
    <row r="52" spans="2:8" x14ac:dyDescent="0.3">
      <c r="B52" s="229" t="s">
        <v>558</v>
      </c>
      <c r="C52" s="88">
        <v>5011.55</v>
      </c>
      <c r="D52" s="88">
        <v>5039</v>
      </c>
      <c r="E52" s="88">
        <v>4965.55</v>
      </c>
      <c r="F52" s="88">
        <v>4980.6000000000004</v>
      </c>
      <c r="G52" s="88">
        <v>4980.6000000000004</v>
      </c>
      <c r="H52" s="230">
        <v>5295</v>
      </c>
    </row>
    <row r="53" spans="2:8" x14ac:dyDescent="0.3">
      <c r="B53" s="229" t="s">
        <v>189</v>
      </c>
      <c r="C53" s="88">
        <v>4966.05</v>
      </c>
      <c r="D53" s="88">
        <v>5020</v>
      </c>
      <c r="E53" s="88">
        <v>4952.75</v>
      </c>
      <c r="F53" s="88">
        <v>4998.05</v>
      </c>
      <c r="G53" s="88">
        <v>4998.05</v>
      </c>
      <c r="H53" s="230">
        <v>20819</v>
      </c>
    </row>
    <row r="54" spans="2:8" x14ac:dyDescent="0.3">
      <c r="B54" s="229" t="s">
        <v>559</v>
      </c>
      <c r="C54" s="88">
        <v>5028.8999999999996</v>
      </c>
      <c r="D54" s="88">
        <v>5045.3999999999996</v>
      </c>
      <c r="E54" s="88">
        <v>4900</v>
      </c>
      <c r="F54" s="88">
        <v>4927.55</v>
      </c>
      <c r="G54" s="88">
        <v>4927.55</v>
      </c>
      <c r="H54" s="230">
        <v>8178</v>
      </c>
    </row>
    <row r="55" spans="2:8" x14ac:dyDescent="0.3">
      <c r="B55" s="229" t="s">
        <v>560</v>
      </c>
      <c r="C55" s="88">
        <v>5009.8500000000004</v>
      </c>
      <c r="D55" s="88">
        <v>5158.55</v>
      </c>
      <c r="E55" s="88">
        <v>4973</v>
      </c>
      <c r="F55" s="88">
        <v>5007.1499999999996</v>
      </c>
      <c r="G55" s="88">
        <v>5007.1499999999996</v>
      </c>
      <c r="H55" s="230">
        <v>25593</v>
      </c>
    </row>
    <row r="56" spans="2:8" x14ac:dyDescent="0.3">
      <c r="B56" s="229" t="s">
        <v>561</v>
      </c>
      <c r="C56" s="88">
        <v>5000</v>
      </c>
      <c r="D56" s="88">
        <v>5000</v>
      </c>
      <c r="E56" s="88">
        <v>4907.1499999999996</v>
      </c>
      <c r="F56" s="88">
        <v>4962.1000000000004</v>
      </c>
      <c r="G56" s="88">
        <v>4962.1000000000004</v>
      </c>
      <c r="H56" s="230">
        <v>6314</v>
      </c>
    </row>
    <row r="57" spans="2:8" x14ac:dyDescent="0.3">
      <c r="B57" s="229" t="s">
        <v>190</v>
      </c>
      <c r="C57" s="88">
        <v>4899</v>
      </c>
      <c r="D57" s="88">
        <v>4977.75</v>
      </c>
      <c r="E57" s="88">
        <v>4899</v>
      </c>
      <c r="F57" s="88">
        <v>4960</v>
      </c>
      <c r="G57" s="88">
        <v>4960</v>
      </c>
      <c r="H57" s="230">
        <v>9082</v>
      </c>
    </row>
    <row r="58" spans="2:8" x14ac:dyDescent="0.3">
      <c r="B58" s="229" t="s">
        <v>562</v>
      </c>
      <c r="C58" s="88">
        <v>5055.05</v>
      </c>
      <c r="D58" s="88">
        <v>5090</v>
      </c>
      <c r="E58" s="88">
        <v>4720</v>
      </c>
      <c r="F58" s="88">
        <v>4879.55</v>
      </c>
      <c r="G58" s="88">
        <v>4879.55</v>
      </c>
      <c r="H58" s="230">
        <v>52114</v>
      </c>
    </row>
    <row r="59" spans="2:8" x14ac:dyDescent="0.3">
      <c r="B59" s="229" t="s">
        <v>563</v>
      </c>
      <c r="C59" s="88">
        <v>5100</v>
      </c>
      <c r="D59" s="88">
        <v>5133.3999999999996</v>
      </c>
      <c r="E59" s="88">
        <v>5029.5</v>
      </c>
      <c r="F59" s="88">
        <v>5060.3999999999996</v>
      </c>
      <c r="G59" s="88">
        <v>5060.3999999999996</v>
      </c>
      <c r="H59" s="230">
        <v>3790</v>
      </c>
    </row>
    <row r="60" spans="2:8" x14ac:dyDescent="0.3">
      <c r="B60" s="229" t="s">
        <v>564</v>
      </c>
      <c r="C60" s="88">
        <v>5085.5</v>
      </c>
      <c r="D60" s="88">
        <v>5164</v>
      </c>
      <c r="E60" s="88">
        <v>5055.6000000000004</v>
      </c>
      <c r="F60" s="88">
        <v>5097.8999999999996</v>
      </c>
      <c r="G60" s="88">
        <v>5097.8999999999996</v>
      </c>
      <c r="H60" s="230">
        <v>26840</v>
      </c>
    </row>
    <row r="61" spans="2:8" x14ac:dyDescent="0.3">
      <c r="B61" s="229" t="s">
        <v>565</v>
      </c>
      <c r="C61" s="88">
        <v>5037.8999999999996</v>
      </c>
      <c r="D61" s="88">
        <v>5094.25</v>
      </c>
      <c r="E61" s="88">
        <v>4990</v>
      </c>
      <c r="F61" s="88">
        <v>5077</v>
      </c>
      <c r="G61" s="88">
        <v>5077</v>
      </c>
      <c r="H61" s="230">
        <v>28624</v>
      </c>
    </row>
    <row r="62" spans="2:8" x14ac:dyDescent="0.3">
      <c r="B62" s="229" t="s">
        <v>191</v>
      </c>
      <c r="C62" s="88">
        <v>5059.1499999999996</v>
      </c>
      <c r="D62" s="88">
        <v>5059.1499999999996</v>
      </c>
      <c r="E62" s="88">
        <v>4985</v>
      </c>
      <c r="F62" s="88">
        <v>5003</v>
      </c>
      <c r="G62" s="88">
        <v>5003</v>
      </c>
      <c r="H62" s="230">
        <v>4709</v>
      </c>
    </row>
    <row r="63" spans="2:8" x14ac:dyDescent="0.3">
      <c r="B63" s="229" t="s">
        <v>566</v>
      </c>
      <c r="C63" s="88">
        <v>4985.55</v>
      </c>
      <c r="D63" s="88">
        <v>5030.5</v>
      </c>
      <c r="E63" s="88">
        <v>4908</v>
      </c>
      <c r="F63" s="88">
        <v>5019</v>
      </c>
      <c r="G63" s="88">
        <v>5019</v>
      </c>
      <c r="H63" s="230">
        <v>4387</v>
      </c>
    </row>
    <row r="64" spans="2:8" x14ac:dyDescent="0.3">
      <c r="B64" s="229" t="s">
        <v>567</v>
      </c>
      <c r="C64" s="88">
        <v>4960</v>
      </c>
      <c r="D64" s="88">
        <v>5015.3999999999996</v>
      </c>
      <c r="E64" s="88">
        <v>4912.1000000000004</v>
      </c>
      <c r="F64" s="88">
        <v>4960.1499999999996</v>
      </c>
      <c r="G64" s="88">
        <v>4960.1499999999996</v>
      </c>
      <c r="H64" s="230">
        <v>6088</v>
      </c>
    </row>
    <row r="65" spans="2:8" x14ac:dyDescent="0.3">
      <c r="B65" s="229" t="s">
        <v>568</v>
      </c>
      <c r="C65" s="88">
        <v>5020</v>
      </c>
      <c r="D65" s="88">
        <v>5050</v>
      </c>
      <c r="E65" s="88">
        <v>4905.2</v>
      </c>
      <c r="F65" s="88">
        <v>4925.1000000000004</v>
      </c>
      <c r="G65" s="88">
        <v>4925.1000000000004</v>
      </c>
      <c r="H65" s="230">
        <v>3804</v>
      </c>
    </row>
    <row r="66" spans="2:8" x14ac:dyDescent="0.3">
      <c r="B66" s="229" t="s">
        <v>192</v>
      </c>
      <c r="C66" s="88">
        <v>4990</v>
      </c>
      <c r="D66" s="88">
        <v>5021.8999999999996</v>
      </c>
      <c r="E66" s="88">
        <v>4963.3999999999996</v>
      </c>
      <c r="F66" s="88">
        <v>5011.6000000000004</v>
      </c>
      <c r="G66" s="88">
        <v>5011.6000000000004</v>
      </c>
      <c r="H66" s="230">
        <v>6888</v>
      </c>
    </row>
    <row r="67" spans="2:8" x14ac:dyDescent="0.3">
      <c r="B67" s="229" t="s">
        <v>569</v>
      </c>
      <c r="C67" s="88">
        <v>5000.6000000000004</v>
      </c>
      <c r="D67" s="88">
        <v>5044.5</v>
      </c>
      <c r="E67" s="88">
        <v>4967.3500000000004</v>
      </c>
      <c r="F67" s="88">
        <v>4988.1499999999996</v>
      </c>
      <c r="G67" s="88">
        <v>4988.1499999999996</v>
      </c>
      <c r="H67" s="230">
        <v>8667</v>
      </c>
    </row>
    <row r="68" spans="2:8" x14ac:dyDescent="0.3">
      <c r="B68" s="229" t="s">
        <v>570</v>
      </c>
      <c r="C68" s="88">
        <v>5018.1000000000004</v>
      </c>
      <c r="D68" s="88">
        <v>5060.7</v>
      </c>
      <c r="E68" s="88">
        <v>4946.55</v>
      </c>
      <c r="F68" s="88">
        <v>4982.6000000000004</v>
      </c>
      <c r="G68" s="88">
        <v>4982.6000000000004</v>
      </c>
      <c r="H68" s="230">
        <v>11635</v>
      </c>
    </row>
    <row r="69" spans="2:8" x14ac:dyDescent="0.3">
      <c r="B69" s="229" t="s">
        <v>571</v>
      </c>
      <c r="C69" s="88">
        <v>4994.95</v>
      </c>
      <c r="D69" s="88">
        <v>5063.5</v>
      </c>
      <c r="E69" s="88">
        <v>4960</v>
      </c>
      <c r="F69" s="88">
        <v>5017.25</v>
      </c>
      <c r="G69" s="88">
        <v>5017.25</v>
      </c>
      <c r="H69" s="230">
        <v>7842</v>
      </c>
    </row>
    <row r="70" spans="2:8" x14ac:dyDescent="0.3">
      <c r="B70" s="229" t="s">
        <v>572</v>
      </c>
      <c r="C70" s="88">
        <v>4774.25</v>
      </c>
      <c r="D70" s="88">
        <v>5045</v>
      </c>
      <c r="E70" s="88">
        <v>4774.25</v>
      </c>
      <c r="F70" s="88">
        <v>4907.6499999999996</v>
      </c>
      <c r="G70" s="88">
        <v>4907.6499999999996</v>
      </c>
      <c r="H70" s="230">
        <v>68923</v>
      </c>
    </row>
    <row r="71" spans="2:8" x14ac:dyDescent="0.3">
      <c r="B71" s="229" t="s">
        <v>193</v>
      </c>
      <c r="C71" s="88">
        <v>4859.05</v>
      </c>
      <c r="D71" s="88">
        <v>5005.7</v>
      </c>
      <c r="E71" s="88">
        <v>4805</v>
      </c>
      <c r="F71" s="88">
        <v>4820.8500000000004</v>
      </c>
      <c r="G71" s="88">
        <v>4820.8500000000004</v>
      </c>
      <c r="H71" s="230">
        <v>19158</v>
      </c>
    </row>
    <row r="72" spans="2:8" x14ac:dyDescent="0.3">
      <c r="B72" s="229" t="s">
        <v>573</v>
      </c>
      <c r="C72" s="88">
        <v>4955</v>
      </c>
      <c r="D72" s="88">
        <v>5025.8500000000004</v>
      </c>
      <c r="E72" s="88">
        <v>4890</v>
      </c>
      <c r="F72" s="88">
        <v>4907.8</v>
      </c>
      <c r="G72" s="88">
        <v>4907.8</v>
      </c>
      <c r="H72" s="230">
        <v>19578</v>
      </c>
    </row>
    <row r="73" spans="2:8" x14ac:dyDescent="0.3">
      <c r="B73" s="229" t="s">
        <v>574</v>
      </c>
      <c r="C73" s="88">
        <v>4937.6499999999996</v>
      </c>
      <c r="D73" s="88">
        <v>5007</v>
      </c>
      <c r="E73" s="88">
        <v>4881.95</v>
      </c>
      <c r="F73" s="88">
        <v>4995.05</v>
      </c>
      <c r="G73" s="88">
        <v>4995.05</v>
      </c>
      <c r="H73" s="230">
        <v>19275</v>
      </c>
    </row>
    <row r="74" spans="2:8" x14ac:dyDescent="0.3">
      <c r="B74" s="229" t="s">
        <v>575</v>
      </c>
      <c r="C74" s="88">
        <v>5099.8500000000004</v>
      </c>
      <c r="D74" s="88">
        <v>5099.8500000000004</v>
      </c>
      <c r="E74" s="88">
        <v>4910</v>
      </c>
      <c r="F74" s="88">
        <v>4936.7</v>
      </c>
      <c r="G74" s="88">
        <v>4936.7</v>
      </c>
      <c r="H74" s="230">
        <v>13608</v>
      </c>
    </row>
    <row r="75" spans="2:8" x14ac:dyDescent="0.3">
      <c r="B75" s="229" t="s">
        <v>576</v>
      </c>
      <c r="C75" s="88">
        <v>5118</v>
      </c>
      <c r="D75" s="88">
        <v>5174.95</v>
      </c>
      <c r="E75" s="88">
        <v>4998.5</v>
      </c>
      <c r="F75" s="88">
        <v>5017.3</v>
      </c>
      <c r="G75" s="88">
        <v>5017.3</v>
      </c>
      <c r="H75" s="230">
        <v>7384</v>
      </c>
    </row>
    <row r="76" spans="2:8" x14ac:dyDescent="0.3">
      <c r="B76" s="229" t="s">
        <v>194</v>
      </c>
      <c r="C76" s="88">
        <v>5110</v>
      </c>
      <c r="D76" s="88">
        <v>5194.7</v>
      </c>
      <c r="E76" s="88">
        <v>5041.3</v>
      </c>
      <c r="F76" s="88">
        <v>5108.45</v>
      </c>
      <c r="G76" s="88">
        <v>5108.45</v>
      </c>
      <c r="H76" s="230">
        <v>7802</v>
      </c>
    </row>
    <row r="77" spans="2:8" x14ac:dyDescent="0.3">
      <c r="B77" s="229" t="s">
        <v>577</v>
      </c>
      <c r="C77" s="88">
        <v>5200</v>
      </c>
      <c r="D77" s="88">
        <v>5200</v>
      </c>
      <c r="E77" s="88">
        <v>5040.6000000000004</v>
      </c>
      <c r="F77" s="88">
        <v>5069.3</v>
      </c>
      <c r="G77" s="88">
        <v>5069.3</v>
      </c>
      <c r="H77" s="230">
        <v>16582</v>
      </c>
    </row>
    <row r="78" spans="2:8" x14ac:dyDescent="0.3">
      <c r="B78" s="229" t="s">
        <v>578</v>
      </c>
      <c r="C78" s="88">
        <v>5150</v>
      </c>
      <c r="D78" s="88">
        <v>5179.8</v>
      </c>
      <c r="E78" s="88">
        <v>5060</v>
      </c>
      <c r="F78" s="88">
        <v>5169.8</v>
      </c>
      <c r="G78" s="88">
        <v>5169.8</v>
      </c>
      <c r="H78" s="230">
        <v>8798</v>
      </c>
    </row>
    <row r="79" spans="2:8" x14ac:dyDescent="0.3">
      <c r="B79" s="229" t="s">
        <v>579</v>
      </c>
      <c r="C79" s="88">
        <v>5076</v>
      </c>
      <c r="D79" s="88">
        <v>5199.8999999999996</v>
      </c>
      <c r="E79" s="88">
        <v>5076</v>
      </c>
      <c r="F79" s="88">
        <v>5156.3</v>
      </c>
      <c r="G79" s="88">
        <v>5156.3</v>
      </c>
      <c r="H79" s="230">
        <v>35372</v>
      </c>
    </row>
    <row r="80" spans="2:8" x14ac:dyDescent="0.3">
      <c r="B80" s="229" t="s">
        <v>580</v>
      </c>
      <c r="C80" s="88">
        <v>5000.05</v>
      </c>
      <c r="D80" s="88">
        <v>5095</v>
      </c>
      <c r="E80" s="88">
        <v>4925.2</v>
      </c>
      <c r="F80" s="88">
        <v>5066.3500000000004</v>
      </c>
      <c r="G80" s="88">
        <v>5066.3500000000004</v>
      </c>
      <c r="H80" s="230">
        <v>12354</v>
      </c>
    </row>
    <row r="81" spans="2:8" x14ac:dyDescent="0.3">
      <c r="B81" s="229" t="s">
        <v>195</v>
      </c>
      <c r="C81" s="88">
        <v>4913.5</v>
      </c>
      <c r="D81" s="88">
        <v>5029.3999999999996</v>
      </c>
      <c r="E81" s="88">
        <v>4913.5</v>
      </c>
      <c r="F81" s="88">
        <v>5012.3999999999996</v>
      </c>
      <c r="G81" s="88">
        <v>5012.3999999999996</v>
      </c>
      <c r="H81" s="230">
        <v>18992</v>
      </c>
    </row>
    <row r="82" spans="2:8" x14ac:dyDescent="0.3">
      <c r="B82" s="229" t="s">
        <v>581</v>
      </c>
      <c r="C82" s="88">
        <v>5081.95</v>
      </c>
      <c r="D82" s="88">
        <v>5081.95</v>
      </c>
      <c r="E82" s="88">
        <v>4958</v>
      </c>
      <c r="F82" s="88">
        <v>5013.6000000000004</v>
      </c>
      <c r="G82" s="88">
        <v>5013.6000000000004</v>
      </c>
      <c r="H82" s="230">
        <v>9115</v>
      </c>
    </row>
    <row r="83" spans="2:8" x14ac:dyDescent="0.3">
      <c r="B83" s="229" t="s">
        <v>582</v>
      </c>
      <c r="C83" s="88">
        <v>5040</v>
      </c>
      <c r="D83" s="88">
        <v>5094.8500000000004</v>
      </c>
      <c r="E83" s="88">
        <v>5027.3999999999996</v>
      </c>
      <c r="F83" s="88">
        <v>5081.5</v>
      </c>
      <c r="G83" s="88">
        <v>5081.5</v>
      </c>
      <c r="H83" s="230">
        <v>10139</v>
      </c>
    </row>
    <row r="84" spans="2:8" x14ac:dyDescent="0.3">
      <c r="B84" s="229" t="s">
        <v>583</v>
      </c>
      <c r="C84" s="88">
        <v>5000.25</v>
      </c>
      <c r="D84" s="88">
        <v>5105.7</v>
      </c>
      <c r="E84" s="88">
        <v>4979.8500000000004</v>
      </c>
      <c r="F84" s="88">
        <v>5035.3500000000004</v>
      </c>
      <c r="G84" s="88">
        <v>5035.3500000000004</v>
      </c>
      <c r="H84" s="230">
        <v>17405</v>
      </c>
    </row>
    <row r="85" spans="2:8" x14ac:dyDescent="0.3">
      <c r="B85" s="229" t="s">
        <v>196</v>
      </c>
      <c r="C85" s="88">
        <v>5070.05</v>
      </c>
      <c r="D85" s="88">
        <v>5166.1000000000004</v>
      </c>
      <c r="E85" s="88">
        <v>4940.95</v>
      </c>
      <c r="F85" s="88">
        <v>4987.1000000000004</v>
      </c>
      <c r="G85" s="88">
        <v>4987.1000000000004</v>
      </c>
      <c r="H85" s="230">
        <v>59178</v>
      </c>
    </row>
    <row r="86" spans="2:8" x14ac:dyDescent="0.3">
      <c r="B86" s="229" t="s">
        <v>584</v>
      </c>
      <c r="C86" s="88">
        <v>4900.05</v>
      </c>
      <c r="D86" s="88">
        <v>5014.8</v>
      </c>
      <c r="E86" s="88">
        <v>4900.05</v>
      </c>
      <c r="F86" s="88">
        <v>4953.3500000000004</v>
      </c>
      <c r="G86" s="88">
        <v>4953.3500000000004</v>
      </c>
      <c r="H86" s="230">
        <v>12934</v>
      </c>
    </row>
    <row r="87" spans="2:8" x14ac:dyDescent="0.3">
      <c r="B87" s="229" t="s">
        <v>585</v>
      </c>
      <c r="C87" s="88">
        <v>4825.75</v>
      </c>
      <c r="D87" s="88">
        <v>4965</v>
      </c>
      <c r="E87" s="88">
        <v>4825.75</v>
      </c>
      <c r="F87" s="88">
        <v>4897</v>
      </c>
      <c r="G87" s="88">
        <v>4897</v>
      </c>
      <c r="H87" s="230">
        <v>31499</v>
      </c>
    </row>
    <row r="88" spans="2:8" x14ac:dyDescent="0.3">
      <c r="B88" s="229" t="s">
        <v>586</v>
      </c>
      <c r="C88" s="88">
        <v>4820.8999999999996</v>
      </c>
      <c r="D88" s="88">
        <v>4891</v>
      </c>
      <c r="E88" s="88">
        <v>4732.8500000000004</v>
      </c>
      <c r="F88" s="88">
        <v>4839.3999999999996</v>
      </c>
      <c r="G88" s="88">
        <v>4839.3999999999996</v>
      </c>
      <c r="H88" s="230">
        <v>29786</v>
      </c>
    </row>
    <row r="89" spans="2:8" x14ac:dyDescent="0.3">
      <c r="B89" s="229" t="s">
        <v>587</v>
      </c>
      <c r="C89" s="88">
        <v>4849</v>
      </c>
      <c r="D89" s="88">
        <v>4891.2</v>
      </c>
      <c r="E89" s="88">
        <v>4780</v>
      </c>
      <c r="F89" s="88">
        <v>4806.45</v>
      </c>
      <c r="G89" s="88">
        <v>4806.45</v>
      </c>
      <c r="H89" s="230">
        <v>8711</v>
      </c>
    </row>
    <row r="90" spans="2:8" x14ac:dyDescent="0.3">
      <c r="B90" s="229" t="s">
        <v>197</v>
      </c>
      <c r="C90" s="88">
        <v>4855</v>
      </c>
      <c r="D90" s="88">
        <v>4932.55</v>
      </c>
      <c r="E90" s="88">
        <v>4826.6000000000004</v>
      </c>
      <c r="F90" s="88">
        <v>4838.75</v>
      </c>
      <c r="G90" s="88">
        <v>4838.75</v>
      </c>
      <c r="H90" s="230">
        <v>10810</v>
      </c>
    </row>
    <row r="91" spans="2:8" x14ac:dyDescent="0.3">
      <c r="B91" s="229" t="s">
        <v>588</v>
      </c>
      <c r="C91" s="88">
        <v>4755.75</v>
      </c>
      <c r="D91" s="88">
        <v>4867</v>
      </c>
      <c r="E91" s="88">
        <v>4745</v>
      </c>
      <c r="F91" s="88">
        <v>4852.55</v>
      </c>
      <c r="G91" s="88">
        <v>4852.55</v>
      </c>
      <c r="H91" s="230">
        <v>31966</v>
      </c>
    </row>
    <row r="92" spans="2:8" x14ac:dyDescent="0.3">
      <c r="B92" s="229" t="s">
        <v>589</v>
      </c>
      <c r="C92" s="88">
        <v>4797.95</v>
      </c>
      <c r="D92" s="88">
        <v>4825.55</v>
      </c>
      <c r="E92" s="88">
        <v>4731.05</v>
      </c>
      <c r="F92" s="88">
        <v>4778.2</v>
      </c>
      <c r="G92" s="88">
        <v>4778.2</v>
      </c>
      <c r="H92" s="230">
        <v>8383</v>
      </c>
    </row>
    <row r="93" spans="2:8" x14ac:dyDescent="0.3">
      <c r="B93" s="229" t="s">
        <v>590</v>
      </c>
      <c r="C93" s="88">
        <v>4764.95</v>
      </c>
      <c r="D93" s="88">
        <v>4809.95</v>
      </c>
      <c r="E93" s="88">
        <v>4700</v>
      </c>
      <c r="F93" s="88">
        <v>4792.3999999999996</v>
      </c>
      <c r="G93" s="88">
        <v>4792.3999999999996</v>
      </c>
      <c r="H93" s="230">
        <v>44567</v>
      </c>
    </row>
    <row r="94" spans="2:8" x14ac:dyDescent="0.3">
      <c r="B94" s="229" t="s">
        <v>591</v>
      </c>
      <c r="C94" s="88">
        <v>4749</v>
      </c>
      <c r="D94" s="88">
        <v>4825</v>
      </c>
      <c r="E94" s="88">
        <v>4725</v>
      </c>
      <c r="F94" s="88">
        <v>4778</v>
      </c>
      <c r="G94" s="88">
        <v>4778</v>
      </c>
      <c r="H94" s="230">
        <v>8873</v>
      </c>
    </row>
    <row r="95" spans="2:8" x14ac:dyDescent="0.3">
      <c r="B95" s="229" t="s">
        <v>198</v>
      </c>
      <c r="C95" s="88">
        <v>4725</v>
      </c>
      <c r="D95" s="88">
        <v>4751.2</v>
      </c>
      <c r="E95" s="88">
        <v>4613.05</v>
      </c>
      <c r="F95" s="88">
        <v>4734.6499999999996</v>
      </c>
      <c r="G95" s="88">
        <v>4734.6499999999996</v>
      </c>
      <c r="H95" s="230">
        <v>33540</v>
      </c>
    </row>
    <row r="96" spans="2:8" x14ac:dyDescent="0.3">
      <c r="B96" s="229" t="s">
        <v>592</v>
      </c>
      <c r="C96" s="88">
        <v>4882.6499999999996</v>
      </c>
      <c r="D96" s="88">
        <v>4920</v>
      </c>
      <c r="E96" s="88">
        <v>4681.05</v>
      </c>
      <c r="F96" s="88">
        <v>4717</v>
      </c>
      <c r="G96" s="88">
        <v>4717</v>
      </c>
      <c r="H96" s="230">
        <v>16221</v>
      </c>
    </row>
    <row r="97" spans="2:8" x14ac:dyDescent="0.3">
      <c r="B97" s="229" t="s">
        <v>593</v>
      </c>
      <c r="C97" s="88">
        <v>4820</v>
      </c>
      <c r="D97" s="88">
        <v>4958</v>
      </c>
      <c r="E97" s="88">
        <v>4737.3999999999996</v>
      </c>
      <c r="F97" s="88">
        <v>4890.6499999999996</v>
      </c>
      <c r="G97" s="88">
        <v>4890.6499999999996</v>
      </c>
      <c r="H97" s="230">
        <v>11692</v>
      </c>
    </row>
    <row r="98" spans="2:8" x14ac:dyDescent="0.3">
      <c r="B98" s="229" t="s">
        <v>594</v>
      </c>
      <c r="C98" s="88">
        <v>4783</v>
      </c>
      <c r="D98" s="88">
        <v>4821.8</v>
      </c>
      <c r="E98" s="88">
        <v>4690.1000000000004</v>
      </c>
      <c r="F98" s="88">
        <v>4797.2</v>
      </c>
      <c r="G98" s="88">
        <v>4797.2</v>
      </c>
      <c r="H98" s="230">
        <v>13463</v>
      </c>
    </row>
    <row r="99" spans="2:8" x14ac:dyDescent="0.3">
      <c r="B99" s="229" t="s">
        <v>595</v>
      </c>
      <c r="C99" s="88">
        <v>4839</v>
      </c>
      <c r="D99" s="88">
        <v>4902.6000000000004</v>
      </c>
      <c r="E99" s="88">
        <v>4753.5</v>
      </c>
      <c r="F99" s="88">
        <v>4783.3500000000004</v>
      </c>
      <c r="G99" s="88">
        <v>4783.3500000000004</v>
      </c>
      <c r="H99" s="230">
        <v>25165</v>
      </c>
    </row>
    <row r="100" spans="2:8" x14ac:dyDescent="0.3">
      <c r="B100" s="229" t="s">
        <v>199</v>
      </c>
      <c r="C100" s="88">
        <v>4780.05</v>
      </c>
      <c r="D100" s="88">
        <v>4874.6000000000004</v>
      </c>
      <c r="E100" s="88">
        <v>4762.5</v>
      </c>
      <c r="F100" s="88">
        <v>4838.2</v>
      </c>
      <c r="G100" s="88">
        <v>4838.2</v>
      </c>
      <c r="H100" s="230">
        <v>26382</v>
      </c>
    </row>
    <row r="101" spans="2:8" x14ac:dyDescent="0.3">
      <c r="B101" s="229" t="s">
        <v>596</v>
      </c>
      <c r="C101" s="88">
        <v>4900</v>
      </c>
      <c r="D101" s="88">
        <v>5074.3500000000004</v>
      </c>
      <c r="E101" s="88">
        <v>4762.3</v>
      </c>
      <c r="F101" s="88">
        <v>4812.2</v>
      </c>
      <c r="G101" s="88">
        <v>4812.2</v>
      </c>
      <c r="H101" s="230">
        <v>47616</v>
      </c>
    </row>
    <row r="102" spans="2:8" x14ac:dyDescent="0.3">
      <c r="B102" s="229" t="s">
        <v>597</v>
      </c>
      <c r="C102" s="88">
        <v>4940.05</v>
      </c>
      <c r="D102" s="88">
        <v>5019.1000000000004</v>
      </c>
      <c r="E102" s="88">
        <v>4833</v>
      </c>
      <c r="F102" s="88">
        <v>4861.7</v>
      </c>
      <c r="G102" s="88">
        <v>4861.7</v>
      </c>
      <c r="H102" s="230">
        <v>33851</v>
      </c>
    </row>
    <row r="103" spans="2:8" x14ac:dyDescent="0.3">
      <c r="B103" s="229" t="s">
        <v>598</v>
      </c>
      <c r="C103" s="88">
        <v>5056.3</v>
      </c>
      <c r="D103" s="88">
        <v>5220</v>
      </c>
      <c r="E103" s="88">
        <v>4901.5</v>
      </c>
      <c r="F103" s="88">
        <v>4935.05</v>
      </c>
      <c r="G103" s="88">
        <v>4935.05</v>
      </c>
      <c r="H103" s="230">
        <v>96015</v>
      </c>
    </row>
    <row r="104" spans="2:8" x14ac:dyDescent="0.3">
      <c r="B104" s="229" t="s">
        <v>599</v>
      </c>
      <c r="C104" s="88">
        <v>4730</v>
      </c>
      <c r="D104" s="88">
        <v>5079.95</v>
      </c>
      <c r="E104" s="88">
        <v>4730</v>
      </c>
      <c r="F104" s="88">
        <v>5040.7</v>
      </c>
      <c r="G104" s="88">
        <v>5040.7</v>
      </c>
      <c r="H104" s="230">
        <v>56903</v>
      </c>
    </row>
    <row r="105" spans="2:8" x14ac:dyDescent="0.3">
      <c r="B105" s="229" t="s">
        <v>600</v>
      </c>
      <c r="C105" s="88">
        <v>4668.25</v>
      </c>
      <c r="D105" s="88">
        <v>4756.6499999999996</v>
      </c>
      <c r="E105" s="88">
        <v>4668.25</v>
      </c>
      <c r="F105" s="88">
        <v>4736.5</v>
      </c>
      <c r="G105" s="88">
        <v>4736.5</v>
      </c>
      <c r="H105" s="230">
        <v>9447</v>
      </c>
    </row>
    <row r="106" spans="2:8" x14ac:dyDescent="0.3">
      <c r="B106" s="229" t="s">
        <v>601</v>
      </c>
      <c r="C106" s="88">
        <v>4671.55</v>
      </c>
      <c r="D106" s="88">
        <v>4738.7</v>
      </c>
      <c r="E106" s="88">
        <v>4640.3999999999996</v>
      </c>
      <c r="F106" s="88">
        <v>4656.3500000000004</v>
      </c>
      <c r="G106" s="88">
        <v>4656.3500000000004</v>
      </c>
      <c r="H106" s="230">
        <v>18853</v>
      </c>
    </row>
    <row r="107" spans="2:8" x14ac:dyDescent="0.3">
      <c r="B107" s="229" t="s">
        <v>602</v>
      </c>
      <c r="C107" s="88">
        <v>4724.8500000000004</v>
      </c>
      <c r="D107" s="88">
        <v>4738.3999999999996</v>
      </c>
      <c r="E107" s="88">
        <v>4650</v>
      </c>
      <c r="F107" s="88">
        <v>4668.7</v>
      </c>
      <c r="G107" s="88">
        <v>4668.7</v>
      </c>
      <c r="H107" s="230">
        <v>8059</v>
      </c>
    </row>
    <row r="108" spans="2:8" x14ac:dyDescent="0.3">
      <c r="B108" s="229" t="s">
        <v>603</v>
      </c>
      <c r="C108" s="88">
        <v>4790.3500000000004</v>
      </c>
      <c r="D108" s="88">
        <v>4825</v>
      </c>
      <c r="E108" s="88">
        <v>4677.05</v>
      </c>
      <c r="F108" s="88">
        <v>4695.6000000000004</v>
      </c>
      <c r="G108" s="88">
        <v>4695.6000000000004</v>
      </c>
      <c r="H108" s="230">
        <v>8984</v>
      </c>
    </row>
    <row r="109" spans="2:8" x14ac:dyDescent="0.3">
      <c r="B109" s="229" t="s">
        <v>201</v>
      </c>
      <c r="C109" s="88">
        <v>4760.25</v>
      </c>
      <c r="D109" s="88">
        <v>4810</v>
      </c>
      <c r="E109" s="88">
        <v>4686.1000000000004</v>
      </c>
      <c r="F109" s="88">
        <v>4776.1499999999996</v>
      </c>
      <c r="G109" s="88">
        <v>4776.1499999999996</v>
      </c>
      <c r="H109" s="230">
        <v>13134</v>
      </c>
    </row>
    <row r="110" spans="2:8" x14ac:dyDescent="0.3">
      <c r="B110" s="229" t="s">
        <v>604</v>
      </c>
      <c r="C110" s="88">
        <v>4739.1499999999996</v>
      </c>
      <c r="D110" s="88">
        <v>4802.3500000000004</v>
      </c>
      <c r="E110" s="88">
        <v>4688.05</v>
      </c>
      <c r="F110" s="88">
        <v>4745.45</v>
      </c>
      <c r="G110" s="88">
        <v>4745.45</v>
      </c>
      <c r="H110" s="230">
        <v>10702</v>
      </c>
    </row>
    <row r="111" spans="2:8" x14ac:dyDescent="0.3">
      <c r="B111" s="229" t="s">
        <v>605</v>
      </c>
      <c r="C111" s="88">
        <v>4862</v>
      </c>
      <c r="D111" s="88">
        <v>4862</v>
      </c>
      <c r="E111" s="88">
        <v>4672.7</v>
      </c>
      <c r="F111" s="88">
        <v>4683.8</v>
      </c>
      <c r="G111" s="88">
        <v>4683.8</v>
      </c>
      <c r="H111" s="230">
        <v>48799</v>
      </c>
    </row>
    <row r="112" spans="2:8" x14ac:dyDescent="0.3">
      <c r="B112" s="229" t="s">
        <v>606</v>
      </c>
      <c r="C112" s="88">
        <v>4557.05</v>
      </c>
      <c r="D112" s="88">
        <v>4898.8</v>
      </c>
      <c r="E112" s="88">
        <v>4557.05</v>
      </c>
      <c r="F112" s="88">
        <v>4862.8500000000004</v>
      </c>
      <c r="G112" s="88">
        <v>4862.8500000000004</v>
      </c>
      <c r="H112" s="230">
        <v>123698</v>
      </c>
    </row>
    <row r="113" spans="2:8" x14ac:dyDescent="0.3">
      <c r="B113" s="229" t="s">
        <v>607</v>
      </c>
      <c r="C113" s="88">
        <v>4360.05</v>
      </c>
      <c r="D113" s="88">
        <v>4590</v>
      </c>
      <c r="E113" s="88">
        <v>4353.6499999999996</v>
      </c>
      <c r="F113" s="88">
        <v>4553.6499999999996</v>
      </c>
      <c r="G113" s="88">
        <v>4553.6499999999996</v>
      </c>
      <c r="H113" s="230">
        <v>117977</v>
      </c>
    </row>
    <row r="114" spans="2:8" x14ac:dyDescent="0.3">
      <c r="B114" s="229" t="s">
        <v>202</v>
      </c>
      <c r="C114" s="88">
        <v>4399.8999999999996</v>
      </c>
      <c r="D114" s="88">
        <v>4399.8999999999996</v>
      </c>
      <c r="E114" s="88">
        <v>4302</v>
      </c>
      <c r="F114" s="88">
        <v>4349.6000000000004</v>
      </c>
      <c r="G114" s="88">
        <v>4349.6000000000004</v>
      </c>
      <c r="H114" s="230">
        <v>36991</v>
      </c>
    </row>
    <row r="115" spans="2:8" x14ac:dyDescent="0.3">
      <c r="B115" s="229" t="s">
        <v>608</v>
      </c>
      <c r="C115" s="88">
        <v>4442.1000000000004</v>
      </c>
      <c r="D115" s="88">
        <v>4445</v>
      </c>
      <c r="E115" s="88">
        <v>4254.55</v>
      </c>
      <c r="F115" s="88">
        <v>4305.7</v>
      </c>
      <c r="G115" s="88">
        <v>4305.7</v>
      </c>
      <c r="H115" s="230">
        <v>19081</v>
      </c>
    </row>
    <row r="116" spans="2:8" x14ac:dyDescent="0.3">
      <c r="B116" s="229" t="s">
        <v>609</v>
      </c>
      <c r="C116" s="88">
        <v>4481.3500000000004</v>
      </c>
      <c r="D116" s="88">
        <v>4499.7</v>
      </c>
      <c r="E116" s="88">
        <v>4410.1499999999996</v>
      </c>
      <c r="F116" s="88">
        <v>4442.1000000000004</v>
      </c>
      <c r="G116" s="88">
        <v>4442.1000000000004</v>
      </c>
      <c r="H116" s="230">
        <v>19093</v>
      </c>
    </row>
    <row r="117" spans="2:8" x14ac:dyDescent="0.3">
      <c r="B117" s="229" t="s">
        <v>610</v>
      </c>
      <c r="C117" s="88">
        <v>4475</v>
      </c>
      <c r="D117" s="88">
        <v>4556.3500000000004</v>
      </c>
      <c r="E117" s="88">
        <v>4437.25</v>
      </c>
      <c r="F117" s="88">
        <v>4481.3500000000004</v>
      </c>
      <c r="G117" s="88">
        <v>4481.3500000000004</v>
      </c>
      <c r="H117" s="230">
        <v>7611</v>
      </c>
    </row>
    <row r="118" spans="2:8" x14ac:dyDescent="0.3">
      <c r="B118" s="229" t="s">
        <v>611</v>
      </c>
      <c r="C118" s="88">
        <v>4540.05</v>
      </c>
      <c r="D118" s="88">
        <v>4585.75</v>
      </c>
      <c r="E118" s="88">
        <v>4444</v>
      </c>
      <c r="F118" s="88">
        <v>4469.3999999999996</v>
      </c>
      <c r="G118" s="88">
        <v>4469.3999999999996</v>
      </c>
      <c r="H118" s="230">
        <v>23267</v>
      </c>
    </row>
    <row r="119" spans="2:8" x14ac:dyDescent="0.3">
      <c r="B119" s="229" t="s">
        <v>203</v>
      </c>
      <c r="C119" s="88">
        <v>4664.6499999999996</v>
      </c>
      <c r="D119" s="88">
        <v>4664.6499999999996</v>
      </c>
      <c r="E119" s="88">
        <v>4507</v>
      </c>
      <c r="F119" s="88">
        <v>4537.95</v>
      </c>
      <c r="G119" s="88">
        <v>4537.95</v>
      </c>
      <c r="H119" s="230">
        <v>28262</v>
      </c>
    </row>
    <row r="120" spans="2:8" x14ac:dyDescent="0.3">
      <c r="B120" s="229" t="s">
        <v>612</v>
      </c>
      <c r="C120" s="88">
        <v>4787.1000000000004</v>
      </c>
      <c r="D120" s="88">
        <v>4840</v>
      </c>
      <c r="E120" s="88">
        <v>4675</v>
      </c>
      <c r="F120" s="88">
        <v>4684.6499999999996</v>
      </c>
      <c r="G120" s="88">
        <v>4684.6499999999996</v>
      </c>
      <c r="H120" s="230">
        <v>21027</v>
      </c>
    </row>
    <row r="121" spans="2:8" x14ac:dyDescent="0.3">
      <c r="B121" s="229" t="s">
        <v>613</v>
      </c>
      <c r="C121" s="88">
        <v>4789.05</v>
      </c>
      <c r="D121" s="88">
        <v>4810.8</v>
      </c>
      <c r="E121" s="88">
        <v>4755.6499999999996</v>
      </c>
      <c r="F121" s="88">
        <v>4797.3500000000004</v>
      </c>
      <c r="G121" s="88">
        <v>4797.3500000000004</v>
      </c>
      <c r="H121" s="230">
        <v>4080</v>
      </c>
    </row>
    <row r="122" spans="2:8" x14ac:dyDescent="0.3">
      <c r="B122" s="229" t="s">
        <v>614</v>
      </c>
      <c r="C122" s="88">
        <v>4762.3999999999996</v>
      </c>
      <c r="D122" s="88">
        <v>4916.1499999999996</v>
      </c>
      <c r="E122" s="88">
        <v>4752.8</v>
      </c>
      <c r="F122" s="88">
        <v>4797.6499999999996</v>
      </c>
      <c r="G122" s="88">
        <v>4797.6499999999996</v>
      </c>
      <c r="H122" s="230">
        <v>17351</v>
      </c>
    </row>
    <row r="123" spans="2:8" x14ac:dyDescent="0.3">
      <c r="B123" s="229" t="s">
        <v>615</v>
      </c>
      <c r="C123" s="88">
        <v>4655.05</v>
      </c>
      <c r="D123" s="88">
        <v>4732.8999999999996</v>
      </c>
      <c r="E123" s="88">
        <v>4613.1499999999996</v>
      </c>
      <c r="F123" s="88">
        <v>4703.3999999999996</v>
      </c>
      <c r="G123" s="88">
        <v>4703.3999999999996</v>
      </c>
      <c r="H123" s="230">
        <v>4695</v>
      </c>
    </row>
    <row r="124" spans="2:8" x14ac:dyDescent="0.3">
      <c r="B124" s="229" t="s">
        <v>616</v>
      </c>
      <c r="C124" s="88">
        <v>4670.1000000000004</v>
      </c>
      <c r="D124" s="88">
        <v>4709.5</v>
      </c>
      <c r="E124" s="88">
        <v>4670.05</v>
      </c>
      <c r="F124" s="88">
        <v>4687</v>
      </c>
      <c r="G124" s="88">
        <v>4687</v>
      </c>
      <c r="H124" s="230">
        <v>11747</v>
      </c>
    </row>
    <row r="125" spans="2:8" x14ac:dyDescent="0.3">
      <c r="B125" s="229" t="s">
        <v>617</v>
      </c>
      <c r="C125" s="88">
        <v>4660</v>
      </c>
      <c r="D125" s="88">
        <v>4693.8999999999996</v>
      </c>
      <c r="E125" s="88">
        <v>4660</v>
      </c>
      <c r="F125" s="88">
        <v>4672.6000000000004</v>
      </c>
      <c r="G125" s="88">
        <v>4672.6000000000004</v>
      </c>
      <c r="H125" s="230">
        <v>17692</v>
      </c>
    </row>
    <row r="126" spans="2:8" x14ac:dyDescent="0.3">
      <c r="B126" s="229" t="s">
        <v>618</v>
      </c>
      <c r="C126" s="88">
        <v>4600.1499999999996</v>
      </c>
      <c r="D126" s="88">
        <v>4678.3500000000004</v>
      </c>
      <c r="E126" s="88">
        <v>4600.1499999999996</v>
      </c>
      <c r="F126" s="88">
        <v>4650.05</v>
      </c>
      <c r="G126" s="88">
        <v>4650.05</v>
      </c>
      <c r="H126" s="230">
        <v>9544</v>
      </c>
    </row>
    <row r="127" spans="2:8" x14ac:dyDescent="0.3">
      <c r="B127" s="229" t="s">
        <v>619</v>
      </c>
      <c r="C127" s="88">
        <v>4725.6000000000004</v>
      </c>
      <c r="D127" s="88">
        <v>4752</v>
      </c>
      <c r="E127" s="88">
        <v>4555</v>
      </c>
      <c r="F127" s="88">
        <v>4597</v>
      </c>
      <c r="G127" s="88">
        <v>4597</v>
      </c>
      <c r="H127" s="230">
        <v>21345</v>
      </c>
    </row>
    <row r="128" spans="2:8" x14ac:dyDescent="0.3">
      <c r="B128" s="229" t="s">
        <v>205</v>
      </c>
      <c r="C128" s="88">
        <v>4786.1499999999996</v>
      </c>
      <c r="D128" s="88">
        <v>4800.6000000000004</v>
      </c>
      <c r="E128" s="88">
        <v>4665.2</v>
      </c>
      <c r="F128" s="88">
        <v>4694.05</v>
      </c>
      <c r="G128" s="88">
        <v>4694.05</v>
      </c>
      <c r="H128" s="230">
        <v>9365</v>
      </c>
    </row>
    <row r="129" spans="2:8" x14ac:dyDescent="0.3">
      <c r="B129" s="229" t="s">
        <v>620</v>
      </c>
      <c r="C129" s="88">
        <v>4794.75</v>
      </c>
      <c r="D129" s="88">
        <v>4850</v>
      </c>
      <c r="E129" s="88">
        <v>4739.1000000000004</v>
      </c>
      <c r="F129" s="88">
        <v>4794.7</v>
      </c>
      <c r="G129" s="88">
        <v>4794.7</v>
      </c>
      <c r="H129" s="230">
        <v>6624</v>
      </c>
    </row>
    <row r="130" spans="2:8" x14ac:dyDescent="0.3">
      <c r="B130" s="229" t="s">
        <v>621</v>
      </c>
      <c r="C130" s="88">
        <v>4801.3500000000004</v>
      </c>
      <c r="D130" s="88">
        <v>4892.2</v>
      </c>
      <c r="E130" s="88">
        <v>4732</v>
      </c>
      <c r="F130" s="88">
        <v>4794.6000000000004</v>
      </c>
      <c r="G130" s="88">
        <v>4794.6000000000004</v>
      </c>
      <c r="H130" s="230">
        <v>34673</v>
      </c>
    </row>
    <row r="131" spans="2:8" x14ac:dyDescent="0.3">
      <c r="B131" s="229" t="s">
        <v>622</v>
      </c>
      <c r="C131" s="88">
        <v>4661.3999999999996</v>
      </c>
      <c r="D131" s="88">
        <v>4860</v>
      </c>
      <c r="E131" s="88">
        <v>4661.3999999999996</v>
      </c>
      <c r="F131" s="88">
        <v>4814.7</v>
      </c>
      <c r="G131" s="88">
        <v>4814.7</v>
      </c>
      <c r="H131" s="230">
        <v>14627</v>
      </c>
    </row>
    <row r="132" spans="2:8" x14ac:dyDescent="0.3">
      <c r="B132" s="229" t="s">
        <v>623</v>
      </c>
      <c r="C132" s="88">
        <v>4619.25</v>
      </c>
      <c r="D132" s="88">
        <v>4692</v>
      </c>
      <c r="E132" s="88">
        <v>4577.25</v>
      </c>
      <c r="F132" s="88">
        <v>4658.8</v>
      </c>
      <c r="G132" s="88">
        <v>4658.8</v>
      </c>
      <c r="H132" s="230">
        <v>11748</v>
      </c>
    </row>
    <row r="133" spans="2:8" x14ac:dyDescent="0.3">
      <c r="B133" s="229" t="s">
        <v>206</v>
      </c>
      <c r="C133" s="88">
        <v>4650</v>
      </c>
      <c r="D133" s="88">
        <v>4734.6499999999996</v>
      </c>
      <c r="E133" s="88">
        <v>4580</v>
      </c>
      <c r="F133" s="88">
        <v>4598.3999999999996</v>
      </c>
      <c r="G133" s="88">
        <v>4598.3999999999996</v>
      </c>
      <c r="H133" s="230">
        <v>22808</v>
      </c>
    </row>
    <row r="134" spans="2:8" x14ac:dyDescent="0.3">
      <c r="B134" s="229" t="s">
        <v>624</v>
      </c>
      <c r="C134" s="88">
        <v>4613.45</v>
      </c>
      <c r="D134" s="88">
        <v>4620</v>
      </c>
      <c r="E134" s="88">
        <v>4549.5</v>
      </c>
      <c r="F134" s="88">
        <v>4610.3500000000004</v>
      </c>
      <c r="G134" s="88">
        <v>4610.3500000000004</v>
      </c>
      <c r="H134" s="230">
        <v>15694</v>
      </c>
    </row>
    <row r="135" spans="2:8" x14ac:dyDescent="0.3">
      <c r="B135" s="229" t="s">
        <v>625</v>
      </c>
      <c r="C135" s="88">
        <v>4605.25</v>
      </c>
      <c r="D135" s="88">
        <v>4636</v>
      </c>
      <c r="E135" s="88">
        <v>4578.6499999999996</v>
      </c>
      <c r="F135" s="88">
        <v>4605.6499999999996</v>
      </c>
      <c r="G135" s="88">
        <v>4605.6499999999996</v>
      </c>
      <c r="H135" s="230">
        <v>5101</v>
      </c>
    </row>
    <row r="136" spans="2:8" x14ac:dyDescent="0.3">
      <c r="B136" s="229" t="s">
        <v>626</v>
      </c>
      <c r="C136" s="88">
        <v>4468.8</v>
      </c>
      <c r="D136" s="88">
        <v>4649.1000000000004</v>
      </c>
      <c r="E136" s="88">
        <v>4465.1000000000004</v>
      </c>
      <c r="F136" s="88">
        <v>4601.95</v>
      </c>
      <c r="G136" s="88">
        <v>4601.95</v>
      </c>
      <c r="H136" s="230">
        <v>11084</v>
      </c>
    </row>
    <row r="137" spans="2:8" x14ac:dyDescent="0.3">
      <c r="B137" s="229" t="s">
        <v>207</v>
      </c>
      <c r="C137" s="88">
        <v>4556.75</v>
      </c>
      <c r="D137" s="88">
        <v>4560</v>
      </c>
      <c r="E137" s="88">
        <v>4450</v>
      </c>
      <c r="F137" s="88">
        <v>4483.3</v>
      </c>
      <c r="G137" s="88">
        <v>4483.3</v>
      </c>
      <c r="H137" s="230">
        <v>29881</v>
      </c>
    </row>
    <row r="138" spans="2:8" x14ac:dyDescent="0.3">
      <c r="B138" s="229" t="s">
        <v>627</v>
      </c>
      <c r="C138" s="88">
        <v>4652.3500000000004</v>
      </c>
      <c r="D138" s="88">
        <v>4716.8</v>
      </c>
      <c r="E138" s="88">
        <v>4532.3999999999996</v>
      </c>
      <c r="F138" s="88">
        <v>4555.1000000000004</v>
      </c>
      <c r="G138" s="88">
        <v>4555.1000000000004</v>
      </c>
      <c r="H138" s="230">
        <v>15110</v>
      </c>
    </row>
    <row r="139" spans="2:8" x14ac:dyDescent="0.3">
      <c r="B139" s="229" t="s">
        <v>628</v>
      </c>
      <c r="C139" s="88">
        <v>4824.8500000000004</v>
      </c>
      <c r="D139" s="88">
        <v>4824.8500000000004</v>
      </c>
      <c r="E139" s="88">
        <v>4619.3500000000004</v>
      </c>
      <c r="F139" s="88">
        <v>4651.6499999999996</v>
      </c>
      <c r="G139" s="88">
        <v>4651.6499999999996</v>
      </c>
      <c r="H139" s="230">
        <v>11616</v>
      </c>
    </row>
    <row r="140" spans="2:8" x14ac:dyDescent="0.3">
      <c r="B140" s="229" t="s">
        <v>629</v>
      </c>
      <c r="C140" s="88">
        <v>4805</v>
      </c>
      <c r="D140" s="88">
        <v>4834</v>
      </c>
      <c r="E140" s="88">
        <v>4780</v>
      </c>
      <c r="F140" s="88">
        <v>4795.75</v>
      </c>
      <c r="G140" s="88">
        <v>4795.75</v>
      </c>
      <c r="H140" s="230">
        <v>6715</v>
      </c>
    </row>
    <row r="141" spans="2:8" x14ac:dyDescent="0.3">
      <c r="B141" s="229" t="s">
        <v>630</v>
      </c>
      <c r="C141" s="88">
        <v>4804.75</v>
      </c>
      <c r="D141" s="88">
        <v>4888</v>
      </c>
      <c r="E141" s="88">
        <v>4771.3500000000004</v>
      </c>
      <c r="F141" s="88">
        <v>4795.75</v>
      </c>
      <c r="G141" s="88">
        <v>4795.75</v>
      </c>
      <c r="H141" s="230">
        <v>8781</v>
      </c>
    </row>
    <row r="142" spans="2:8" x14ac:dyDescent="0.3">
      <c r="B142" s="229" t="s">
        <v>208</v>
      </c>
      <c r="C142" s="88">
        <v>4720.5</v>
      </c>
      <c r="D142" s="88">
        <v>4810.25</v>
      </c>
      <c r="E142" s="88">
        <v>4690.6000000000004</v>
      </c>
      <c r="F142" s="88">
        <v>4756.75</v>
      </c>
      <c r="G142" s="88">
        <v>4756.75</v>
      </c>
      <c r="H142" s="230">
        <v>23118</v>
      </c>
    </row>
    <row r="143" spans="2:8" x14ac:dyDescent="0.3">
      <c r="B143" s="229" t="s">
        <v>631</v>
      </c>
      <c r="C143" s="88">
        <v>4765.55</v>
      </c>
      <c r="D143" s="88">
        <v>4834.3999999999996</v>
      </c>
      <c r="E143" s="88">
        <v>4659.25</v>
      </c>
      <c r="F143" s="88">
        <v>4701.8999999999996</v>
      </c>
      <c r="G143" s="88">
        <v>4701.8999999999996</v>
      </c>
      <c r="H143" s="230">
        <v>24867</v>
      </c>
    </row>
    <row r="144" spans="2:8" x14ac:dyDescent="0.3">
      <c r="B144" s="229" t="s">
        <v>632</v>
      </c>
      <c r="C144" s="88">
        <v>4639.6000000000004</v>
      </c>
      <c r="D144" s="88">
        <v>4689.7</v>
      </c>
      <c r="E144" s="88">
        <v>4605.2</v>
      </c>
      <c r="F144" s="88">
        <v>4626.5</v>
      </c>
      <c r="G144" s="88">
        <v>4626.5</v>
      </c>
      <c r="H144" s="230">
        <v>5376</v>
      </c>
    </row>
    <row r="145" spans="2:8" x14ac:dyDescent="0.3">
      <c r="B145" s="229" t="s">
        <v>633</v>
      </c>
      <c r="C145" s="88">
        <v>4638.25</v>
      </c>
      <c r="D145" s="88">
        <v>4690</v>
      </c>
      <c r="E145" s="88">
        <v>4616.3500000000004</v>
      </c>
      <c r="F145" s="88">
        <v>4637.95</v>
      </c>
      <c r="G145" s="88">
        <v>4637.95</v>
      </c>
      <c r="H145" s="230">
        <v>6975</v>
      </c>
    </row>
    <row r="146" spans="2:8" x14ac:dyDescent="0.3">
      <c r="B146" s="229" t="s">
        <v>209</v>
      </c>
      <c r="C146" s="88">
        <v>4560.05</v>
      </c>
      <c r="D146" s="88">
        <v>4730.8</v>
      </c>
      <c r="E146" s="88">
        <v>4560.05</v>
      </c>
      <c r="F146" s="88">
        <v>4685.6499999999996</v>
      </c>
      <c r="G146" s="88">
        <v>4685.6499999999996</v>
      </c>
      <c r="H146" s="230">
        <v>43286</v>
      </c>
    </row>
    <row r="147" spans="2:8" x14ac:dyDescent="0.3">
      <c r="B147" s="229" t="s">
        <v>634</v>
      </c>
      <c r="C147" s="88">
        <v>4750</v>
      </c>
      <c r="D147" s="88">
        <v>4802.7</v>
      </c>
      <c r="E147" s="88">
        <v>4725.55</v>
      </c>
      <c r="F147" s="88">
        <v>4771.6499999999996</v>
      </c>
      <c r="G147" s="88">
        <v>4771.6499999999996</v>
      </c>
      <c r="H147" s="230">
        <v>7797</v>
      </c>
    </row>
    <row r="148" spans="2:8" x14ac:dyDescent="0.3">
      <c r="B148" s="229" t="s">
        <v>635</v>
      </c>
      <c r="C148" s="88">
        <v>4741.3500000000004</v>
      </c>
      <c r="D148" s="88">
        <v>4831</v>
      </c>
      <c r="E148" s="88">
        <v>4717.5</v>
      </c>
      <c r="F148" s="88">
        <v>4752.55</v>
      </c>
      <c r="G148" s="88">
        <v>4752.55</v>
      </c>
      <c r="H148" s="230">
        <v>14687</v>
      </c>
    </row>
    <row r="149" spans="2:8" x14ac:dyDescent="0.3">
      <c r="B149" s="229" t="s">
        <v>636</v>
      </c>
      <c r="C149" s="88">
        <v>4699.8500000000004</v>
      </c>
      <c r="D149" s="88">
        <v>4749.5</v>
      </c>
      <c r="E149" s="88">
        <v>4622.3</v>
      </c>
      <c r="F149" s="88">
        <v>4713.55</v>
      </c>
      <c r="G149" s="88">
        <v>4713.55</v>
      </c>
      <c r="H149" s="230">
        <v>10813</v>
      </c>
    </row>
    <row r="150" spans="2:8" x14ac:dyDescent="0.3">
      <c r="B150" s="229" t="s">
        <v>210</v>
      </c>
      <c r="C150" s="88">
        <v>4635.05</v>
      </c>
      <c r="D150" s="88">
        <v>4746</v>
      </c>
      <c r="E150" s="88">
        <v>4635.05</v>
      </c>
      <c r="F150" s="88">
        <v>4670.3999999999996</v>
      </c>
      <c r="G150" s="88">
        <v>4670.3999999999996</v>
      </c>
      <c r="H150" s="230">
        <v>42856</v>
      </c>
    </row>
    <row r="151" spans="2:8" x14ac:dyDescent="0.3">
      <c r="B151" s="229" t="s">
        <v>637</v>
      </c>
      <c r="C151" s="88">
        <v>4649.8</v>
      </c>
      <c r="D151" s="88">
        <v>4681.95</v>
      </c>
      <c r="E151" s="88">
        <v>4558.3500000000004</v>
      </c>
      <c r="F151" s="88">
        <v>4622.55</v>
      </c>
      <c r="G151" s="88">
        <v>4622.55</v>
      </c>
      <c r="H151" s="230">
        <v>30160</v>
      </c>
    </row>
    <row r="152" spans="2:8" x14ac:dyDescent="0.3">
      <c r="B152" s="229" t="s">
        <v>638</v>
      </c>
      <c r="C152" s="88">
        <v>4567.75</v>
      </c>
      <c r="D152" s="88">
        <v>4710.1499999999996</v>
      </c>
      <c r="E152" s="88">
        <v>4546.2</v>
      </c>
      <c r="F152" s="88">
        <v>4647.1499999999996</v>
      </c>
      <c r="G152" s="88">
        <v>4647.1499999999996</v>
      </c>
      <c r="H152" s="230">
        <v>44545</v>
      </c>
    </row>
    <row r="153" spans="2:8" x14ac:dyDescent="0.3">
      <c r="B153" s="229" t="s">
        <v>639</v>
      </c>
      <c r="C153" s="88">
        <v>4431.25</v>
      </c>
      <c r="D153" s="88">
        <v>4491</v>
      </c>
      <c r="E153" s="88">
        <v>4419.25</v>
      </c>
      <c r="F153" s="88">
        <v>4459.6499999999996</v>
      </c>
      <c r="G153" s="88">
        <v>4459.6499999999996</v>
      </c>
      <c r="H153" s="230">
        <v>9188</v>
      </c>
    </row>
    <row r="154" spans="2:8" x14ac:dyDescent="0.3">
      <c r="B154" s="229" t="s">
        <v>640</v>
      </c>
      <c r="C154" s="88">
        <v>4487.75</v>
      </c>
      <c r="D154" s="88">
        <v>4560.75</v>
      </c>
      <c r="E154" s="88">
        <v>4400.05</v>
      </c>
      <c r="F154" s="88">
        <v>4411.05</v>
      </c>
      <c r="G154" s="88">
        <v>4411.05</v>
      </c>
      <c r="H154" s="230">
        <v>12807</v>
      </c>
    </row>
    <row r="155" spans="2:8" x14ac:dyDescent="0.3">
      <c r="B155" s="229" t="s">
        <v>211</v>
      </c>
      <c r="C155" s="88">
        <v>4557.3</v>
      </c>
      <c r="D155" s="88">
        <v>4590</v>
      </c>
      <c r="E155" s="88">
        <v>4456</v>
      </c>
      <c r="F155" s="88">
        <v>4480.6000000000004</v>
      </c>
      <c r="G155" s="88">
        <v>4480.6000000000004</v>
      </c>
      <c r="H155" s="230">
        <v>45027</v>
      </c>
    </row>
    <row r="156" spans="2:8" x14ac:dyDescent="0.3">
      <c r="B156" s="229" t="s">
        <v>641</v>
      </c>
      <c r="C156" s="88">
        <v>4420.45</v>
      </c>
      <c r="D156" s="88">
        <v>4562.6000000000004</v>
      </c>
      <c r="E156" s="88">
        <v>4396.45</v>
      </c>
      <c r="F156" s="88">
        <v>4529.3500000000004</v>
      </c>
      <c r="G156" s="88">
        <v>4529.3500000000004</v>
      </c>
      <c r="H156" s="230">
        <v>26428</v>
      </c>
    </row>
    <row r="157" spans="2:8" x14ac:dyDescent="0.3">
      <c r="B157" s="229" t="s">
        <v>642</v>
      </c>
      <c r="C157" s="88">
        <v>4486.2</v>
      </c>
      <c r="D157" s="88">
        <v>4531.5</v>
      </c>
      <c r="E157" s="88">
        <v>4385</v>
      </c>
      <c r="F157" s="88">
        <v>4419</v>
      </c>
      <c r="G157" s="88">
        <v>4419</v>
      </c>
      <c r="H157" s="230">
        <v>61630</v>
      </c>
    </row>
    <row r="158" spans="2:8" x14ac:dyDescent="0.3">
      <c r="B158" s="229" t="s">
        <v>643</v>
      </c>
      <c r="C158" s="88">
        <v>4298.2</v>
      </c>
      <c r="D158" s="88">
        <v>4522.8500000000004</v>
      </c>
      <c r="E158" s="88">
        <v>4293.8999999999996</v>
      </c>
      <c r="F158" s="88">
        <v>4493.8500000000004</v>
      </c>
      <c r="G158" s="88">
        <v>4493.8500000000004</v>
      </c>
      <c r="H158" s="230">
        <v>81498</v>
      </c>
    </row>
    <row r="159" spans="2:8" x14ac:dyDescent="0.3">
      <c r="B159" s="229" t="s">
        <v>644</v>
      </c>
      <c r="C159" s="88">
        <v>4161.25</v>
      </c>
      <c r="D159" s="88">
        <v>4328.75</v>
      </c>
      <c r="E159" s="88">
        <v>4149</v>
      </c>
      <c r="F159" s="88">
        <v>4294.75</v>
      </c>
      <c r="G159" s="88">
        <v>4294.75</v>
      </c>
      <c r="H159" s="230">
        <v>21177</v>
      </c>
    </row>
    <row r="160" spans="2:8" x14ac:dyDescent="0.3">
      <c r="B160" s="229" t="s">
        <v>645</v>
      </c>
      <c r="C160" s="88">
        <v>4105</v>
      </c>
      <c r="D160" s="88">
        <v>4237</v>
      </c>
      <c r="E160" s="88">
        <v>4080</v>
      </c>
      <c r="F160" s="88">
        <v>4161.25</v>
      </c>
      <c r="G160" s="88">
        <v>4161.25</v>
      </c>
      <c r="H160" s="230">
        <v>30563</v>
      </c>
    </row>
    <row r="161" spans="2:8" x14ac:dyDescent="0.3">
      <c r="B161" s="229" t="s">
        <v>646</v>
      </c>
      <c r="C161" s="88">
        <v>4015</v>
      </c>
      <c r="D161" s="88">
        <v>4068</v>
      </c>
      <c r="E161" s="88">
        <v>4010</v>
      </c>
      <c r="F161" s="88">
        <v>4054.5</v>
      </c>
      <c r="G161" s="88">
        <v>4054.5</v>
      </c>
      <c r="H161" s="230">
        <v>16664</v>
      </c>
    </row>
    <row r="162" spans="2:8" x14ac:dyDescent="0.3">
      <c r="B162" s="229" t="s">
        <v>647</v>
      </c>
      <c r="C162" s="88">
        <v>4006.45</v>
      </c>
      <c r="D162" s="88">
        <v>4045</v>
      </c>
      <c r="E162" s="88">
        <v>3981.65</v>
      </c>
      <c r="F162" s="88">
        <v>4009.7</v>
      </c>
      <c r="G162" s="88">
        <v>4009.7</v>
      </c>
      <c r="H162" s="230">
        <v>4786</v>
      </c>
    </row>
    <row r="163" spans="2:8" x14ac:dyDescent="0.3">
      <c r="B163" s="229" t="s">
        <v>213</v>
      </c>
      <c r="C163" s="88">
        <v>3921.8</v>
      </c>
      <c r="D163" s="88">
        <v>4017.5</v>
      </c>
      <c r="E163" s="88">
        <v>3919</v>
      </c>
      <c r="F163" s="88">
        <v>4008.8</v>
      </c>
      <c r="G163" s="88">
        <v>4008.8</v>
      </c>
      <c r="H163" s="230">
        <v>25861</v>
      </c>
    </row>
    <row r="164" spans="2:8" x14ac:dyDescent="0.3">
      <c r="B164" s="229" t="s">
        <v>648</v>
      </c>
      <c r="C164" s="88">
        <v>4008.05</v>
      </c>
      <c r="D164" s="88">
        <v>4020</v>
      </c>
      <c r="E164" s="88">
        <v>3904.95</v>
      </c>
      <c r="F164" s="88">
        <v>3934.4</v>
      </c>
      <c r="G164" s="88">
        <v>3934.4</v>
      </c>
      <c r="H164" s="230">
        <v>7141</v>
      </c>
    </row>
    <row r="165" spans="2:8" x14ac:dyDescent="0.3">
      <c r="B165" s="229" t="s">
        <v>649</v>
      </c>
      <c r="C165" s="88">
        <v>3950.05</v>
      </c>
      <c r="D165" s="88">
        <v>4040</v>
      </c>
      <c r="E165" s="88">
        <v>3892.55</v>
      </c>
      <c r="F165" s="88">
        <v>3995.8</v>
      </c>
      <c r="G165" s="88">
        <v>3995.8</v>
      </c>
      <c r="H165" s="230">
        <v>19960</v>
      </c>
    </row>
    <row r="166" spans="2:8" x14ac:dyDescent="0.3">
      <c r="B166" s="229" t="s">
        <v>650</v>
      </c>
      <c r="C166" s="88">
        <v>4050.05</v>
      </c>
      <c r="D166" s="88">
        <v>4055</v>
      </c>
      <c r="E166" s="88">
        <v>3932.3</v>
      </c>
      <c r="F166" s="88">
        <v>3964.5</v>
      </c>
      <c r="G166" s="88">
        <v>3964.5</v>
      </c>
      <c r="H166" s="230">
        <v>12113</v>
      </c>
    </row>
    <row r="167" spans="2:8" x14ac:dyDescent="0.3">
      <c r="B167" s="229" t="s">
        <v>651</v>
      </c>
      <c r="C167" s="88">
        <v>4000</v>
      </c>
      <c r="D167" s="88">
        <v>4041</v>
      </c>
      <c r="E167" s="88">
        <v>3981.15</v>
      </c>
      <c r="F167" s="88">
        <v>4030.1</v>
      </c>
      <c r="G167" s="88">
        <v>4030.1</v>
      </c>
      <c r="H167" s="230">
        <v>12263</v>
      </c>
    </row>
    <row r="168" spans="2:8" x14ac:dyDescent="0.3">
      <c r="B168" s="229" t="s">
        <v>214</v>
      </c>
      <c r="C168" s="88">
        <v>3926.95</v>
      </c>
      <c r="D168" s="88">
        <v>4024.3</v>
      </c>
      <c r="E168" s="88">
        <v>3926.95</v>
      </c>
      <c r="F168" s="88">
        <v>3979.4</v>
      </c>
      <c r="G168" s="88">
        <v>3979.4</v>
      </c>
      <c r="H168" s="230">
        <v>17829</v>
      </c>
    </row>
    <row r="169" spans="2:8" x14ac:dyDescent="0.3">
      <c r="B169" s="229" t="s">
        <v>652</v>
      </c>
      <c r="C169" s="88">
        <v>3830.05</v>
      </c>
      <c r="D169" s="88">
        <v>3940</v>
      </c>
      <c r="E169" s="88">
        <v>3830.05</v>
      </c>
      <c r="F169" s="88">
        <v>3924.3</v>
      </c>
      <c r="G169" s="88">
        <v>3924.3</v>
      </c>
      <c r="H169" s="230">
        <v>39039</v>
      </c>
    </row>
    <row r="170" spans="2:8" x14ac:dyDescent="0.3">
      <c r="B170" s="229" t="s">
        <v>653</v>
      </c>
      <c r="C170" s="88">
        <v>3817.05</v>
      </c>
      <c r="D170" s="88">
        <v>3895.5</v>
      </c>
      <c r="E170" s="88">
        <v>3817.05</v>
      </c>
      <c r="F170" s="88">
        <v>3888.9</v>
      </c>
      <c r="G170" s="88">
        <v>3888.9</v>
      </c>
      <c r="H170" s="230">
        <v>25578</v>
      </c>
    </row>
    <row r="171" spans="2:8" x14ac:dyDescent="0.3">
      <c r="B171" s="229" t="s">
        <v>654</v>
      </c>
      <c r="C171" s="88">
        <v>3809.25</v>
      </c>
      <c r="D171" s="88">
        <v>3881.1</v>
      </c>
      <c r="E171" s="88">
        <v>3809.25</v>
      </c>
      <c r="F171" s="88">
        <v>3834.8</v>
      </c>
      <c r="G171" s="88">
        <v>3834.8</v>
      </c>
      <c r="H171" s="230">
        <v>5639</v>
      </c>
    </row>
    <row r="172" spans="2:8" x14ac:dyDescent="0.3">
      <c r="B172" s="229" t="s">
        <v>215</v>
      </c>
      <c r="C172" s="88">
        <v>3850.15</v>
      </c>
      <c r="D172" s="88">
        <v>3872</v>
      </c>
      <c r="E172" s="88">
        <v>3828.65</v>
      </c>
      <c r="F172" s="88">
        <v>3845.2</v>
      </c>
      <c r="G172" s="88">
        <v>3845.2</v>
      </c>
      <c r="H172" s="230">
        <v>14254</v>
      </c>
    </row>
    <row r="173" spans="2:8" x14ac:dyDescent="0.3">
      <c r="B173" s="229" t="s">
        <v>655</v>
      </c>
      <c r="C173" s="88">
        <v>3917.05</v>
      </c>
      <c r="D173" s="88">
        <v>3935.65</v>
      </c>
      <c r="E173" s="88">
        <v>3865.2</v>
      </c>
      <c r="F173" s="88">
        <v>3884.95</v>
      </c>
      <c r="G173" s="88">
        <v>3884.95</v>
      </c>
      <c r="H173" s="230">
        <v>27752</v>
      </c>
    </row>
    <row r="174" spans="2:8" x14ac:dyDescent="0.3">
      <c r="B174" s="229" t="s">
        <v>656</v>
      </c>
      <c r="C174" s="88">
        <v>3802.05</v>
      </c>
      <c r="D174" s="88">
        <v>3939.9</v>
      </c>
      <c r="E174" s="88">
        <v>3797.85</v>
      </c>
      <c r="F174" s="88">
        <v>3919.8</v>
      </c>
      <c r="G174" s="88">
        <v>3919.8</v>
      </c>
      <c r="H174" s="230">
        <v>42702</v>
      </c>
    </row>
    <row r="175" spans="2:8" x14ac:dyDescent="0.3">
      <c r="B175" s="229" t="s">
        <v>657</v>
      </c>
      <c r="C175" s="88">
        <v>3864.95</v>
      </c>
      <c r="D175" s="88">
        <v>3947.5</v>
      </c>
      <c r="E175" s="88">
        <v>3838</v>
      </c>
      <c r="F175" s="88">
        <v>3850.25</v>
      </c>
      <c r="G175" s="88">
        <v>3850.25</v>
      </c>
      <c r="H175" s="230">
        <v>12439</v>
      </c>
    </row>
    <row r="176" spans="2:8" x14ac:dyDescent="0.3">
      <c r="B176" s="229" t="s">
        <v>658</v>
      </c>
      <c r="C176" s="88">
        <v>3850.5</v>
      </c>
      <c r="D176" s="88">
        <v>3885</v>
      </c>
      <c r="E176" s="88">
        <v>3822.3</v>
      </c>
      <c r="F176" s="88">
        <v>3847.45</v>
      </c>
      <c r="G176" s="88">
        <v>3847.45</v>
      </c>
      <c r="H176" s="230">
        <v>5451</v>
      </c>
    </row>
    <row r="177" spans="2:8" x14ac:dyDescent="0.3">
      <c r="B177" s="229" t="s">
        <v>216</v>
      </c>
      <c r="C177" s="88">
        <v>3763.45</v>
      </c>
      <c r="D177" s="88">
        <v>3857.7</v>
      </c>
      <c r="E177" s="88">
        <v>3763.45</v>
      </c>
      <c r="F177" s="88">
        <v>3847.15</v>
      </c>
      <c r="G177" s="88">
        <v>3847.15</v>
      </c>
      <c r="H177" s="230">
        <v>8331</v>
      </c>
    </row>
    <row r="178" spans="2:8" x14ac:dyDescent="0.3">
      <c r="B178" s="229" t="s">
        <v>659</v>
      </c>
      <c r="C178" s="88">
        <v>3883.85</v>
      </c>
      <c r="D178" s="88">
        <v>3883.85</v>
      </c>
      <c r="E178" s="88">
        <v>3828.95</v>
      </c>
      <c r="F178" s="88">
        <v>3837.95</v>
      </c>
      <c r="G178" s="88">
        <v>3837.95</v>
      </c>
      <c r="H178" s="230">
        <v>5208</v>
      </c>
    </row>
    <row r="179" spans="2:8" x14ac:dyDescent="0.3">
      <c r="B179" s="229" t="s">
        <v>660</v>
      </c>
      <c r="C179" s="88">
        <v>3852.1</v>
      </c>
      <c r="D179" s="88">
        <v>3866</v>
      </c>
      <c r="E179" s="88">
        <v>3805.5</v>
      </c>
      <c r="F179" s="88">
        <v>3850</v>
      </c>
      <c r="G179" s="88">
        <v>3850</v>
      </c>
      <c r="H179" s="230">
        <v>6001</v>
      </c>
    </row>
    <row r="180" spans="2:8" x14ac:dyDescent="0.3">
      <c r="B180" s="229" t="s">
        <v>661</v>
      </c>
      <c r="C180" s="88">
        <v>3733.35</v>
      </c>
      <c r="D180" s="88">
        <v>3889.95</v>
      </c>
      <c r="E180" s="88">
        <v>3733.35</v>
      </c>
      <c r="F180" s="88">
        <v>3834.95</v>
      </c>
      <c r="G180" s="88">
        <v>3834.95</v>
      </c>
      <c r="H180" s="230">
        <v>14937</v>
      </c>
    </row>
    <row r="181" spans="2:8" x14ac:dyDescent="0.3">
      <c r="B181" s="229" t="s">
        <v>662</v>
      </c>
      <c r="C181" s="88">
        <v>3707.2</v>
      </c>
      <c r="D181" s="88">
        <v>3782.35</v>
      </c>
      <c r="E181" s="88">
        <v>3687.65</v>
      </c>
      <c r="F181" s="88">
        <v>3754.8</v>
      </c>
      <c r="G181" s="88">
        <v>3754.8</v>
      </c>
      <c r="H181" s="230">
        <v>5790</v>
      </c>
    </row>
    <row r="182" spans="2:8" x14ac:dyDescent="0.3">
      <c r="B182" s="229" t="s">
        <v>217</v>
      </c>
      <c r="C182" s="88">
        <v>3679.9</v>
      </c>
      <c r="D182" s="88">
        <v>3721</v>
      </c>
      <c r="E182" s="88">
        <v>3679.9</v>
      </c>
      <c r="F182" s="88">
        <v>3705.35</v>
      </c>
      <c r="G182" s="88">
        <v>3705.35</v>
      </c>
      <c r="H182" s="230">
        <v>6464</v>
      </c>
    </row>
    <row r="183" spans="2:8" x14ac:dyDescent="0.3">
      <c r="B183" s="229" t="s">
        <v>663</v>
      </c>
      <c r="C183" s="88">
        <v>3680.15</v>
      </c>
      <c r="D183" s="88">
        <v>3724</v>
      </c>
      <c r="E183" s="88">
        <v>3674</v>
      </c>
      <c r="F183" s="88">
        <v>3687.2</v>
      </c>
      <c r="G183" s="88">
        <v>3687.2</v>
      </c>
      <c r="H183" s="230">
        <v>4651</v>
      </c>
    </row>
    <row r="184" spans="2:8" x14ac:dyDescent="0.3">
      <c r="B184" s="229" t="s">
        <v>664</v>
      </c>
      <c r="C184" s="88">
        <v>3701.75</v>
      </c>
      <c r="D184" s="88">
        <v>3725</v>
      </c>
      <c r="E184" s="88">
        <v>3673</v>
      </c>
      <c r="F184" s="88">
        <v>3677.95</v>
      </c>
      <c r="G184" s="88">
        <v>3677.95</v>
      </c>
      <c r="H184" s="230">
        <v>4383</v>
      </c>
    </row>
    <row r="185" spans="2:8" x14ac:dyDescent="0.3">
      <c r="B185" s="229" t="s">
        <v>665</v>
      </c>
      <c r="C185" s="88">
        <v>3696.05</v>
      </c>
      <c r="D185" s="88">
        <v>3740</v>
      </c>
      <c r="E185" s="88">
        <v>3695.4</v>
      </c>
      <c r="F185" s="88">
        <v>3716.2</v>
      </c>
      <c r="G185" s="88">
        <v>3716.2</v>
      </c>
      <c r="H185" s="230">
        <v>6031</v>
      </c>
    </row>
    <row r="186" spans="2:8" x14ac:dyDescent="0.3">
      <c r="B186" s="229" t="s">
        <v>666</v>
      </c>
      <c r="C186" s="88">
        <v>3689.5</v>
      </c>
      <c r="D186" s="88">
        <v>3728</v>
      </c>
      <c r="E186" s="88">
        <v>3661.05</v>
      </c>
      <c r="F186" s="88">
        <v>3701.25</v>
      </c>
      <c r="G186" s="88">
        <v>3701.25</v>
      </c>
      <c r="H186" s="230">
        <v>4408</v>
      </c>
    </row>
    <row r="187" spans="2:8" x14ac:dyDescent="0.3">
      <c r="B187" s="229" t="s">
        <v>218</v>
      </c>
      <c r="C187" s="88">
        <v>3719</v>
      </c>
      <c r="D187" s="88">
        <v>3720</v>
      </c>
      <c r="E187" s="88">
        <v>3649.65</v>
      </c>
      <c r="F187" s="88">
        <v>3673.65</v>
      </c>
      <c r="G187" s="88">
        <v>3673.65</v>
      </c>
      <c r="H187" s="230">
        <v>5417</v>
      </c>
    </row>
    <row r="188" spans="2:8" x14ac:dyDescent="0.3">
      <c r="B188" s="229" t="s">
        <v>667</v>
      </c>
      <c r="C188" s="88">
        <v>3726.9</v>
      </c>
      <c r="D188" s="88">
        <v>3750</v>
      </c>
      <c r="E188" s="88">
        <v>3699</v>
      </c>
      <c r="F188" s="88">
        <v>3714.4</v>
      </c>
      <c r="G188" s="88">
        <v>3714.4</v>
      </c>
      <c r="H188" s="230">
        <v>3914</v>
      </c>
    </row>
    <row r="189" spans="2:8" x14ac:dyDescent="0.3">
      <c r="B189" s="229" t="s">
        <v>668</v>
      </c>
      <c r="C189" s="88">
        <v>3704.05</v>
      </c>
      <c r="D189" s="88">
        <v>3784.5</v>
      </c>
      <c r="E189" s="88">
        <v>3704.05</v>
      </c>
      <c r="F189" s="88">
        <v>3730.9</v>
      </c>
      <c r="G189" s="88">
        <v>3730.9</v>
      </c>
      <c r="H189" s="230">
        <v>6248</v>
      </c>
    </row>
    <row r="190" spans="2:8" x14ac:dyDescent="0.3">
      <c r="B190" s="229" t="s">
        <v>669</v>
      </c>
      <c r="C190" s="88">
        <v>3744.05</v>
      </c>
      <c r="D190" s="88">
        <v>3784.9</v>
      </c>
      <c r="E190" s="88">
        <v>3703.5</v>
      </c>
      <c r="F190" s="88">
        <v>3717.2</v>
      </c>
      <c r="G190" s="88">
        <v>3717.2</v>
      </c>
      <c r="H190" s="230">
        <v>16744</v>
      </c>
    </row>
    <row r="191" spans="2:8" x14ac:dyDescent="0.3">
      <c r="B191" s="229" t="s">
        <v>670</v>
      </c>
      <c r="C191" s="88">
        <v>3749.85</v>
      </c>
      <c r="D191" s="88">
        <v>3749.85</v>
      </c>
      <c r="E191" s="88">
        <v>3700</v>
      </c>
      <c r="F191" s="88">
        <v>3728.1</v>
      </c>
      <c r="G191" s="88">
        <v>3728.1</v>
      </c>
      <c r="H191" s="230">
        <v>4746</v>
      </c>
    </row>
    <row r="192" spans="2:8" x14ac:dyDescent="0.3">
      <c r="B192" s="229" t="s">
        <v>219</v>
      </c>
      <c r="C192" s="88">
        <v>3781.8</v>
      </c>
      <c r="D192" s="88">
        <v>3790</v>
      </c>
      <c r="E192" s="88">
        <v>3718.8</v>
      </c>
      <c r="F192" s="88">
        <v>3728.45</v>
      </c>
      <c r="G192" s="88">
        <v>3728.45</v>
      </c>
      <c r="H192" s="230">
        <v>7203</v>
      </c>
    </row>
    <row r="193" spans="2:8" x14ac:dyDescent="0.3">
      <c r="B193" s="229" t="s">
        <v>671</v>
      </c>
      <c r="C193" s="88">
        <v>3781.2</v>
      </c>
      <c r="D193" s="88">
        <v>3814.95</v>
      </c>
      <c r="E193" s="88">
        <v>3770</v>
      </c>
      <c r="F193" s="88">
        <v>3781.5</v>
      </c>
      <c r="G193" s="88">
        <v>3781.5</v>
      </c>
      <c r="H193" s="230">
        <v>19624</v>
      </c>
    </row>
    <row r="194" spans="2:8" x14ac:dyDescent="0.3">
      <c r="B194" s="229" t="s">
        <v>672</v>
      </c>
      <c r="C194" s="88">
        <v>3800.1</v>
      </c>
      <c r="D194" s="88">
        <v>3827.5</v>
      </c>
      <c r="E194" s="88">
        <v>3771.05</v>
      </c>
      <c r="F194" s="88">
        <v>3809.35</v>
      </c>
      <c r="G194" s="88">
        <v>3809.35</v>
      </c>
      <c r="H194" s="230">
        <v>23057</v>
      </c>
    </row>
    <row r="195" spans="2:8" x14ac:dyDescent="0.3">
      <c r="B195" s="229" t="s">
        <v>673</v>
      </c>
      <c r="C195" s="88">
        <v>3680</v>
      </c>
      <c r="D195" s="88">
        <v>3821.65</v>
      </c>
      <c r="E195" s="88">
        <v>3652.5</v>
      </c>
      <c r="F195" s="88">
        <v>3794.8</v>
      </c>
      <c r="G195" s="88">
        <v>3794.8</v>
      </c>
      <c r="H195" s="230">
        <v>35358</v>
      </c>
    </row>
    <row r="196" spans="2:8" x14ac:dyDescent="0.3">
      <c r="B196" s="229" t="s">
        <v>674</v>
      </c>
      <c r="C196" s="88">
        <v>3715.15</v>
      </c>
      <c r="D196" s="88">
        <v>3770.15</v>
      </c>
      <c r="E196" s="88">
        <v>3681.4</v>
      </c>
      <c r="F196" s="88">
        <v>3688.7</v>
      </c>
      <c r="G196" s="88">
        <v>3688.7</v>
      </c>
      <c r="H196" s="230">
        <v>5502</v>
      </c>
    </row>
    <row r="197" spans="2:8" x14ac:dyDescent="0.3">
      <c r="B197" s="229" t="s">
        <v>220</v>
      </c>
      <c r="C197" s="88">
        <v>3685.8</v>
      </c>
      <c r="D197" s="88">
        <v>3760.7</v>
      </c>
      <c r="E197" s="88">
        <v>3685.8</v>
      </c>
      <c r="F197" s="88">
        <v>3747.25</v>
      </c>
      <c r="G197" s="88">
        <v>3747.25</v>
      </c>
      <c r="H197" s="230">
        <v>8580</v>
      </c>
    </row>
    <row r="198" spans="2:8" x14ac:dyDescent="0.3">
      <c r="B198" s="229" t="s">
        <v>675</v>
      </c>
      <c r="C198" s="88">
        <v>3748.05</v>
      </c>
      <c r="D198" s="88">
        <v>3748.05</v>
      </c>
      <c r="E198" s="88">
        <v>3698</v>
      </c>
      <c r="F198" s="88">
        <v>3732.3</v>
      </c>
      <c r="G198" s="88">
        <v>3732.3</v>
      </c>
      <c r="H198" s="230">
        <v>4849</v>
      </c>
    </row>
    <row r="199" spans="2:8" x14ac:dyDescent="0.3">
      <c r="B199" s="229" t="s">
        <v>676</v>
      </c>
      <c r="C199" s="88">
        <v>3671.45</v>
      </c>
      <c r="D199" s="88">
        <v>3745</v>
      </c>
      <c r="E199" s="88">
        <v>3645.65</v>
      </c>
      <c r="F199" s="88">
        <v>3727.45</v>
      </c>
      <c r="G199" s="88">
        <v>3727.45</v>
      </c>
      <c r="H199" s="230">
        <v>28466</v>
      </c>
    </row>
    <row r="200" spans="2:8" x14ac:dyDescent="0.3">
      <c r="B200" s="229" t="s">
        <v>677</v>
      </c>
      <c r="C200" s="88">
        <v>3674.05</v>
      </c>
      <c r="D200" s="88">
        <v>3711.35</v>
      </c>
      <c r="E200" s="88">
        <v>3655</v>
      </c>
      <c r="F200" s="88">
        <v>3677.1</v>
      </c>
      <c r="G200" s="88">
        <v>3677.1</v>
      </c>
      <c r="H200" s="230">
        <v>12467</v>
      </c>
    </row>
    <row r="201" spans="2:8" x14ac:dyDescent="0.3">
      <c r="B201" s="229" t="s">
        <v>678</v>
      </c>
      <c r="C201" s="88">
        <v>3766.15</v>
      </c>
      <c r="D201" s="88">
        <v>3770.4</v>
      </c>
      <c r="E201" s="88">
        <v>3705</v>
      </c>
      <c r="F201" s="88">
        <v>3730.6</v>
      </c>
      <c r="G201" s="88">
        <v>3730.6</v>
      </c>
      <c r="H201" s="230">
        <v>28901</v>
      </c>
    </row>
    <row r="202" spans="2:8" x14ac:dyDescent="0.3">
      <c r="B202" s="229" t="s">
        <v>679</v>
      </c>
      <c r="C202" s="88">
        <v>3799.9</v>
      </c>
      <c r="D202" s="88">
        <v>3809.9</v>
      </c>
      <c r="E202" s="88">
        <v>3753.05</v>
      </c>
      <c r="F202" s="88">
        <v>3783.6</v>
      </c>
      <c r="G202" s="88">
        <v>3783.6</v>
      </c>
      <c r="H202" s="230">
        <v>6042</v>
      </c>
    </row>
    <row r="203" spans="2:8" x14ac:dyDescent="0.3">
      <c r="B203" s="229" t="s">
        <v>680</v>
      </c>
      <c r="C203" s="88">
        <v>3851.15</v>
      </c>
      <c r="D203" s="88">
        <v>3866.05</v>
      </c>
      <c r="E203" s="88">
        <v>3807.25</v>
      </c>
      <c r="F203" s="88">
        <v>3826.65</v>
      </c>
      <c r="G203" s="88">
        <v>3826.65</v>
      </c>
      <c r="H203" s="230">
        <v>91069</v>
      </c>
    </row>
    <row r="204" spans="2:8" x14ac:dyDescent="0.3">
      <c r="B204" s="229" t="s">
        <v>222</v>
      </c>
      <c r="C204" s="88">
        <v>3920.9</v>
      </c>
      <c r="D204" s="88">
        <v>3940</v>
      </c>
      <c r="E204" s="88">
        <v>3842</v>
      </c>
      <c r="F204" s="88">
        <v>3855.05</v>
      </c>
      <c r="G204" s="88">
        <v>3855.05</v>
      </c>
      <c r="H204" s="230">
        <v>17087</v>
      </c>
    </row>
    <row r="205" spans="2:8" x14ac:dyDescent="0.3">
      <c r="B205" s="229" t="s">
        <v>681</v>
      </c>
      <c r="C205" s="88">
        <v>3821.55</v>
      </c>
      <c r="D205" s="88">
        <v>3848.65</v>
      </c>
      <c r="E205" s="88">
        <v>3795</v>
      </c>
      <c r="F205" s="88">
        <v>3840.1</v>
      </c>
      <c r="G205" s="88">
        <v>3840.1</v>
      </c>
      <c r="H205" s="230">
        <v>7139</v>
      </c>
    </row>
    <row r="206" spans="2:8" x14ac:dyDescent="0.3">
      <c r="B206" s="229" t="s">
        <v>682</v>
      </c>
      <c r="C206" s="88">
        <v>3840.6</v>
      </c>
      <c r="D206" s="88">
        <v>3841.4</v>
      </c>
      <c r="E206" s="88">
        <v>3804.6</v>
      </c>
      <c r="F206" s="88">
        <v>3818.8</v>
      </c>
      <c r="G206" s="88">
        <v>3818.8</v>
      </c>
      <c r="H206" s="230">
        <v>5484</v>
      </c>
    </row>
    <row r="207" spans="2:8" x14ac:dyDescent="0.3">
      <c r="B207" s="229" t="s">
        <v>683</v>
      </c>
      <c r="C207" s="88">
        <v>3815.05</v>
      </c>
      <c r="D207" s="88">
        <v>3835</v>
      </c>
      <c r="E207" s="88">
        <v>3794.05</v>
      </c>
      <c r="F207" s="88">
        <v>3819.9</v>
      </c>
      <c r="G207" s="88">
        <v>3819.9</v>
      </c>
      <c r="H207" s="230">
        <v>3905</v>
      </c>
    </row>
    <row r="208" spans="2:8" x14ac:dyDescent="0.3">
      <c r="B208" s="229" t="s">
        <v>684</v>
      </c>
      <c r="C208" s="88">
        <v>3813.9</v>
      </c>
      <c r="D208" s="88">
        <v>3849</v>
      </c>
      <c r="E208" s="88">
        <v>3787.15</v>
      </c>
      <c r="F208" s="88">
        <v>3809.05</v>
      </c>
      <c r="G208" s="88">
        <v>3809.05</v>
      </c>
      <c r="H208" s="230">
        <v>50539</v>
      </c>
    </row>
    <row r="209" spans="2:8" x14ac:dyDescent="0.3">
      <c r="B209" s="229" t="s">
        <v>223</v>
      </c>
      <c r="C209" s="88">
        <v>3885.15</v>
      </c>
      <c r="D209" s="88">
        <v>3919.8</v>
      </c>
      <c r="E209" s="88">
        <v>3790.1</v>
      </c>
      <c r="F209" s="88">
        <v>3800.5</v>
      </c>
      <c r="G209" s="88">
        <v>3800.5</v>
      </c>
      <c r="H209" s="230">
        <v>413927</v>
      </c>
    </row>
    <row r="210" spans="2:8" x14ac:dyDescent="0.3">
      <c r="B210" s="229" t="s">
        <v>685</v>
      </c>
      <c r="C210" s="88">
        <v>3898.1</v>
      </c>
      <c r="D210" s="88">
        <v>3938.95</v>
      </c>
      <c r="E210" s="88">
        <v>3810.05</v>
      </c>
      <c r="F210" s="88">
        <v>3863.95</v>
      </c>
      <c r="G210" s="88">
        <v>3863.95</v>
      </c>
      <c r="H210" s="230">
        <v>12299</v>
      </c>
    </row>
    <row r="211" spans="2:8" x14ac:dyDescent="0.3">
      <c r="B211" s="229" t="s">
        <v>686</v>
      </c>
      <c r="C211" s="88">
        <v>3965</v>
      </c>
      <c r="D211" s="88">
        <v>3965</v>
      </c>
      <c r="E211" s="88">
        <v>3888</v>
      </c>
      <c r="F211" s="88">
        <v>3896.5</v>
      </c>
      <c r="G211" s="88">
        <v>3896.5</v>
      </c>
      <c r="H211" s="230">
        <v>44935</v>
      </c>
    </row>
    <row r="212" spans="2:8" x14ac:dyDescent="0.3">
      <c r="B212" s="229" t="s">
        <v>687</v>
      </c>
      <c r="C212" s="88">
        <v>4104.75</v>
      </c>
      <c r="D212" s="88">
        <v>4104.75</v>
      </c>
      <c r="E212" s="88">
        <v>3920</v>
      </c>
      <c r="F212" s="88">
        <v>3933.85</v>
      </c>
      <c r="G212" s="88">
        <v>3933.85</v>
      </c>
      <c r="H212" s="230">
        <v>64624</v>
      </c>
    </row>
    <row r="213" spans="2:8" x14ac:dyDescent="0.3">
      <c r="B213" s="229" t="s">
        <v>688</v>
      </c>
      <c r="C213" s="88">
        <v>4066.3</v>
      </c>
      <c r="D213" s="88">
        <v>4155</v>
      </c>
      <c r="E213" s="88">
        <v>4007</v>
      </c>
      <c r="F213" s="88">
        <v>4105.3500000000004</v>
      </c>
      <c r="G213" s="88">
        <v>4105.3500000000004</v>
      </c>
      <c r="H213" s="230">
        <v>35816</v>
      </c>
    </row>
    <row r="214" spans="2:8" x14ac:dyDescent="0.3">
      <c r="B214" s="229" t="s">
        <v>224</v>
      </c>
      <c r="C214" s="88">
        <v>4050.05</v>
      </c>
      <c r="D214" s="88">
        <v>4080.95</v>
      </c>
      <c r="E214" s="88">
        <v>4045</v>
      </c>
      <c r="F214" s="88">
        <v>4066.3</v>
      </c>
      <c r="G214" s="88">
        <v>4066.3</v>
      </c>
      <c r="H214" s="230">
        <v>5650</v>
      </c>
    </row>
    <row r="215" spans="2:8" x14ac:dyDescent="0.3">
      <c r="B215" s="229" t="s">
        <v>689</v>
      </c>
      <c r="C215" s="88">
        <v>4049</v>
      </c>
      <c r="D215" s="88">
        <v>4098</v>
      </c>
      <c r="E215" s="88">
        <v>3986.65</v>
      </c>
      <c r="F215" s="88">
        <v>4078.75</v>
      </c>
      <c r="G215" s="88">
        <v>4078.75</v>
      </c>
      <c r="H215" s="230">
        <v>25514</v>
      </c>
    </row>
    <row r="216" spans="2:8" x14ac:dyDescent="0.3">
      <c r="B216" s="229" t="s">
        <v>690</v>
      </c>
      <c r="C216" s="88">
        <v>4050.1</v>
      </c>
      <c r="D216" s="88">
        <v>4056.35</v>
      </c>
      <c r="E216" s="88">
        <v>4015.25</v>
      </c>
      <c r="F216" s="88">
        <v>4045.15</v>
      </c>
      <c r="G216" s="88">
        <v>4045.15</v>
      </c>
      <c r="H216" s="230">
        <v>6761</v>
      </c>
    </row>
    <row r="217" spans="2:8" x14ac:dyDescent="0.3">
      <c r="B217" s="229" t="s">
        <v>691</v>
      </c>
      <c r="C217" s="88">
        <v>4027.05</v>
      </c>
      <c r="D217" s="88">
        <v>4061.5</v>
      </c>
      <c r="E217" s="88">
        <v>4000</v>
      </c>
      <c r="F217" s="88">
        <v>4018.95</v>
      </c>
      <c r="G217" s="88">
        <v>4018.95</v>
      </c>
      <c r="H217" s="230">
        <v>7199</v>
      </c>
    </row>
    <row r="218" spans="2:8" x14ac:dyDescent="0.3">
      <c r="B218" s="229" t="s">
        <v>692</v>
      </c>
      <c r="C218" s="88">
        <v>3985.25</v>
      </c>
      <c r="D218" s="88">
        <v>4038.7</v>
      </c>
      <c r="E218" s="88">
        <v>3985.25</v>
      </c>
      <c r="F218" s="88">
        <v>4022</v>
      </c>
      <c r="G218" s="88">
        <v>4022</v>
      </c>
      <c r="H218" s="230">
        <v>24988</v>
      </c>
    </row>
    <row r="219" spans="2:8" x14ac:dyDescent="0.3">
      <c r="B219" s="229" t="s">
        <v>693</v>
      </c>
      <c r="C219" s="88">
        <v>3973.9</v>
      </c>
      <c r="D219" s="88">
        <v>4016.85</v>
      </c>
      <c r="E219" s="88">
        <v>3965.25</v>
      </c>
      <c r="F219" s="88">
        <v>4013.2</v>
      </c>
      <c r="G219" s="88">
        <v>4013.2</v>
      </c>
      <c r="H219" s="230">
        <v>8742</v>
      </c>
    </row>
    <row r="220" spans="2:8" x14ac:dyDescent="0.3">
      <c r="B220" s="229" t="s">
        <v>694</v>
      </c>
      <c r="C220" s="88">
        <v>3923.95</v>
      </c>
      <c r="D220" s="88">
        <v>4010.75</v>
      </c>
      <c r="E220" s="88">
        <v>3922</v>
      </c>
      <c r="F220" s="88">
        <v>3953.85</v>
      </c>
      <c r="G220" s="88">
        <v>3953.85</v>
      </c>
      <c r="H220" s="230">
        <v>7550</v>
      </c>
    </row>
    <row r="221" spans="2:8" x14ac:dyDescent="0.3">
      <c r="B221" s="229" t="s">
        <v>695</v>
      </c>
      <c r="C221" s="88">
        <v>4020.9</v>
      </c>
      <c r="D221" s="88">
        <v>4045</v>
      </c>
      <c r="E221" s="88">
        <v>3903.35</v>
      </c>
      <c r="F221" s="88">
        <v>3963.55</v>
      </c>
      <c r="G221" s="88">
        <v>3963.55</v>
      </c>
      <c r="H221" s="230">
        <v>8983</v>
      </c>
    </row>
    <row r="222" spans="2:8" x14ac:dyDescent="0.3">
      <c r="B222" s="229" t="s">
        <v>696</v>
      </c>
      <c r="C222" s="88">
        <v>4007.7</v>
      </c>
      <c r="D222" s="88">
        <v>4045.95</v>
      </c>
      <c r="E222" s="88">
        <v>3996.45</v>
      </c>
      <c r="F222" s="88">
        <v>4021.1</v>
      </c>
      <c r="G222" s="88">
        <v>4021.1</v>
      </c>
      <c r="H222" s="230">
        <v>4636</v>
      </c>
    </row>
    <row r="223" spans="2:8" x14ac:dyDescent="0.3">
      <c r="B223" s="229" t="s">
        <v>226</v>
      </c>
      <c r="C223" s="88">
        <v>4045</v>
      </c>
      <c r="D223" s="88">
        <v>4080</v>
      </c>
      <c r="E223" s="88">
        <v>4000</v>
      </c>
      <c r="F223" s="88">
        <v>4007.7</v>
      </c>
      <c r="G223" s="88">
        <v>4007.7</v>
      </c>
      <c r="H223" s="230">
        <v>5917</v>
      </c>
    </row>
    <row r="224" spans="2:8" x14ac:dyDescent="0.3">
      <c r="B224" s="229" t="s">
        <v>697</v>
      </c>
      <c r="C224" s="88">
        <v>4070.15</v>
      </c>
      <c r="D224" s="88">
        <v>4096.6000000000004</v>
      </c>
      <c r="E224" s="88">
        <v>4015.35</v>
      </c>
      <c r="F224" s="88">
        <v>4042.35</v>
      </c>
      <c r="G224" s="88">
        <v>4042.35</v>
      </c>
      <c r="H224" s="230">
        <v>8145</v>
      </c>
    </row>
    <row r="225" spans="2:8" x14ac:dyDescent="0.3">
      <c r="B225" s="229" t="s">
        <v>698</v>
      </c>
      <c r="C225" s="88">
        <v>4040.05</v>
      </c>
      <c r="D225" s="88">
        <v>4081</v>
      </c>
      <c r="E225" s="88">
        <v>3996.15</v>
      </c>
      <c r="F225" s="88">
        <v>4068.6</v>
      </c>
      <c r="G225" s="88">
        <v>4068.6</v>
      </c>
      <c r="H225" s="230">
        <v>9214</v>
      </c>
    </row>
    <row r="226" spans="2:8" x14ac:dyDescent="0.3">
      <c r="B226" s="229" t="s">
        <v>699</v>
      </c>
      <c r="C226" s="88">
        <v>4087.6</v>
      </c>
      <c r="D226" s="88">
        <v>4087.6</v>
      </c>
      <c r="E226" s="88">
        <v>3970</v>
      </c>
      <c r="F226" s="88">
        <v>4030.65</v>
      </c>
      <c r="G226" s="88">
        <v>4030.65</v>
      </c>
      <c r="H226" s="230">
        <v>12272</v>
      </c>
    </row>
    <row r="227" spans="2:8" x14ac:dyDescent="0.3">
      <c r="B227" s="229" t="s">
        <v>700</v>
      </c>
      <c r="C227" s="88">
        <v>4076.75</v>
      </c>
      <c r="D227" s="88">
        <v>4095</v>
      </c>
      <c r="E227" s="88">
        <v>4038.4</v>
      </c>
      <c r="F227" s="88">
        <v>4073.65</v>
      </c>
      <c r="G227" s="88">
        <v>4073.65</v>
      </c>
      <c r="H227" s="230">
        <v>9196</v>
      </c>
    </row>
    <row r="228" spans="2:8" x14ac:dyDescent="0.3">
      <c r="B228" s="229" t="s">
        <v>227</v>
      </c>
      <c r="C228" s="88">
        <v>4066.55</v>
      </c>
      <c r="D228" s="88">
        <v>4075</v>
      </c>
      <c r="E228" s="88">
        <v>4025.25</v>
      </c>
      <c r="F228" s="88">
        <v>4067.15</v>
      </c>
      <c r="G228" s="88">
        <v>4067.15</v>
      </c>
      <c r="H228" s="230">
        <v>6772</v>
      </c>
    </row>
    <row r="229" spans="2:8" x14ac:dyDescent="0.3">
      <c r="B229" s="229" t="s">
        <v>701</v>
      </c>
      <c r="C229" s="88">
        <v>4150</v>
      </c>
      <c r="D229" s="88">
        <v>4169</v>
      </c>
      <c r="E229" s="88">
        <v>4030</v>
      </c>
      <c r="F229" s="88">
        <v>4061.75</v>
      </c>
      <c r="G229" s="88">
        <v>4061.75</v>
      </c>
      <c r="H229" s="230">
        <v>14297</v>
      </c>
    </row>
    <row r="230" spans="2:8" x14ac:dyDescent="0.3">
      <c r="B230" s="229" t="s">
        <v>702</v>
      </c>
      <c r="C230" s="88">
        <v>4102.05</v>
      </c>
      <c r="D230" s="88">
        <v>4203</v>
      </c>
      <c r="E230" s="88">
        <v>4093.35</v>
      </c>
      <c r="F230" s="88">
        <v>4113.8999999999996</v>
      </c>
      <c r="G230" s="88">
        <v>4113.8999999999996</v>
      </c>
      <c r="H230" s="230">
        <v>38258</v>
      </c>
    </row>
    <row r="231" spans="2:8" x14ac:dyDescent="0.3">
      <c r="B231" s="229" t="s">
        <v>703</v>
      </c>
      <c r="C231" s="88">
        <v>4025.05</v>
      </c>
      <c r="D231" s="88">
        <v>4174.8500000000004</v>
      </c>
      <c r="E231" s="88">
        <v>4025.05</v>
      </c>
      <c r="F231" s="88">
        <v>4139.3500000000004</v>
      </c>
      <c r="G231" s="88">
        <v>4139.3500000000004</v>
      </c>
      <c r="H231" s="230">
        <v>18850</v>
      </c>
    </row>
    <row r="232" spans="2:8" x14ac:dyDescent="0.3">
      <c r="B232" s="229" t="s">
        <v>704</v>
      </c>
      <c r="C232" s="88">
        <v>3963.95</v>
      </c>
      <c r="D232" s="88">
        <v>4043.35</v>
      </c>
      <c r="E232" s="88">
        <v>3929</v>
      </c>
      <c r="F232" s="88">
        <v>4038.45</v>
      </c>
      <c r="G232" s="88">
        <v>4038.45</v>
      </c>
      <c r="H232" s="230">
        <v>12983</v>
      </c>
    </row>
    <row r="233" spans="2:8" x14ac:dyDescent="0.3">
      <c r="B233" s="229" t="s">
        <v>228</v>
      </c>
      <c r="C233" s="88">
        <v>3996.4</v>
      </c>
      <c r="D233" s="88">
        <v>4048.55</v>
      </c>
      <c r="E233" s="88">
        <v>3950</v>
      </c>
      <c r="F233" s="88">
        <v>3964.2</v>
      </c>
      <c r="G233" s="88">
        <v>3964.2</v>
      </c>
      <c r="H233" s="230">
        <v>15260</v>
      </c>
    </row>
    <row r="234" spans="2:8" x14ac:dyDescent="0.3">
      <c r="B234" s="229" t="s">
        <v>705</v>
      </c>
      <c r="C234" s="88">
        <v>3955.05</v>
      </c>
      <c r="D234" s="88">
        <v>3994</v>
      </c>
      <c r="E234" s="88">
        <v>3931.55</v>
      </c>
      <c r="F234" s="88">
        <v>3986.25</v>
      </c>
      <c r="G234" s="88">
        <v>3986.25</v>
      </c>
      <c r="H234" s="230">
        <v>12170</v>
      </c>
    </row>
    <row r="235" spans="2:8" x14ac:dyDescent="0.3">
      <c r="B235" s="229" t="s">
        <v>706</v>
      </c>
      <c r="C235" s="88">
        <v>3865.05</v>
      </c>
      <c r="D235" s="88">
        <v>3961</v>
      </c>
      <c r="E235" s="88">
        <v>3834.05</v>
      </c>
      <c r="F235" s="88">
        <v>3948</v>
      </c>
      <c r="G235" s="88">
        <v>3948</v>
      </c>
      <c r="H235" s="230">
        <v>44949</v>
      </c>
    </row>
    <row r="236" spans="2:8" x14ac:dyDescent="0.3">
      <c r="B236" s="229" t="s">
        <v>707</v>
      </c>
      <c r="C236" s="88">
        <v>3895.05</v>
      </c>
      <c r="D236" s="88">
        <v>3935</v>
      </c>
      <c r="E236" s="88">
        <v>3846.9</v>
      </c>
      <c r="F236" s="88">
        <v>3864.55</v>
      </c>
      <c r="G236" s="88">
        <v>3864.55</v>
      </c>
      <c r="H236" s="230">
        <v>9221</v>
      </c>
    </row>
    <row r="237" spans="2:8" x14ac:dyDescent="0.3">
      <c r="B237" s="229" t="s">
        <v>708</v>
      </c>
      <c r="C237" s="88">
        <v>3801.05</v>
      </c>
      <c r="D237" s="88">
        <v>3933</v>
      </c>
      <c r="E237" s="88">
        <v>3801.05</v>
      </c>
      <c r="F237" s="88">
        <v>3906.9</v>
      </c>
      <c r="G237" s="88">
        <v>3906.9</v>
      </c>
      <c r="H237" s="230">
        <v>20207</v>
      </c>
    </row>
    <row r="238" spans="2:8" x14ac:dyDescent="0.3">
      <c r="B238" s="229" t="s">
        <v>709</v>
      </c>
      <c r="C238" s="88">
        <v>3826</v>
      </c>
      <c r="D238" s="88">
        <v>3859.5</v>
      </c>
      <c r="E238" s="88">
        <v>3820.25</v>
      </c>
      <c r="F238" s="88">
        <v>3836.65</v>
      </c>
      <c r="G238" s="88">
        <v>3836.65</v>
      </c>
      <c r="H238" s="230">
        <v>3386</v>
      </c>
    </row>
    <row r="239" spans="2:8" x14ac:dyDescent="0.3">
      <c r="B239" s="229" t="s">
        <v>710</v>
      </c>
      <c r="C239" s="88">
        <v>3841.05</v>
      </c>
      <c r="D239" s="88">
        <v>3864.3</v>
      </c>
      <c r="E239" s="88">
        <v>3797.55</v>
      </c>
      <c r="F239" s="88">
        <v>3844.2</v>
      </c>
      <c r="G239" s="88">
        <v>3844.2</v>
      </c>
      <c r="H239" s="230">
        <v>8007</v>
      </c>
    </row>
    <row r="240" spans="2:8" x14ac:dyDescent="0.3">
      <c r="B240" s="229" t="s">
        <v>711</v>
      </c>
      <c r="C240" s="88">
        <v>3818.5</v>
      </c>
      <c r="D240" s="88">
        <v>3871.7</v>
      </c>
      <c r="E240" s="88">
        <v>3810.85</v>
      </c>
      <c r="F240" s="88">
        <v>3836.5</v>
      </c>
      <c r="G240" s="88">
        <v>3836.5</v>
      </c>
      <c r="H240" s="230">
        <v>19310</v>
      </c>
    </row>
    <row r="241" spans="2:8" x14ac:dyDescent="0.3">
      <c r="B241" s="229" t="s">
        <v>712</v>
      </c>
      <c r="C241" s="88">
        <v>3781.05</v>
      </c>
      <c r="D241" s="88">
        <v>3841</v>
      </c>
      <c r="E241" s="88">
        <v>3781.05</v>
      </c>
      <c r="F241" s="88">
        <v>3818.5</v>
      </c>
      <c r="G241" s="88">
        <v>3818.5</v>
      </c>
      <c r="H241" s="230">
        <v>5483</v>
      </c>
    </row>
    <row r="242" spans="2:8" x14ac:dyDescent="0.3">
      <c r="B242" s="229" t="s">
        <v>230</v>
      </c>
      <c r="C242" s="88">
        <v>3810.9</v>
      </c>
      <c r="D242" s="88">
        <v>3832.4</v>
      </c>
      <c r="E242" s="88">
        <v>3775</v>
      </c>
      <c r="F242" s="88">
        <v>3788.6</v>
      </c>
      <c r="G242" s="88">
        <v>3788.6</v>
      </c>
      <c r="H242" s="230">
        <v>5358</v>
      </c>
    </row>
    <row r="243" spans="2:8" x14ac:dyDescent="0.3">
      <c r="B243" s="229" t="s">
        <v>713</v>
      </c>
      <c r="C243" s="88">
        <v>3768.8</v>
      </c>
      <c r="D243" s="88">
        <v>3838.3</v>
      </c>
      <c r="E243" s="88">
        <v>3768.8</v>
      </c>
      <c r="F243" s="88">
        <v>3808.55</v>
      </c>
      <c r="G243" s="88">
        <v>3808.55</v>
      </c>
      <c r="H243" s="230">
        <v>22216</v>
      </c>
    </row>
    <row r="244" spans="2:8" x14ac:dyDescent="0.3">
      <c r="B244" s="229" t="s">
        <v>714</v>
      </c>
      <c r="C244" s="88">
        <v>3788</v>
      </c>
      <c r="D244" s="88">
        <v>3798.35</v>
      </c>
      <c r="E244" s="88">
        <v>3762.8</v>
      </c>
      <c r="F244" s="88">
        <v>3790.3</v>
      </c>
      <c r="G244" s="88">
        <v>3790.3</v>
      </c>
      <c r="H244" s="230">
        <v>5346</v>
      </c>
    </row>
    <row r="245" spans="2:8" x14ac:dyDescent="0.3">
      <c r="B245" s="229" t="s">
        <v>715</v>
      </c>
      <c r="C245" s="88">
        <v>3795.05</v>
      </c>
      <c r="D245" s="88">
        <v>3823.8</v>
      </c>
      <c r="E245" s="88">
        <v>3751</v>
      </c>
      <c r="F245" s="88">
        <v>3788.1</v>
      </c>
      <c r="G245" s="88">
        <v>3788.1</v>
      </c>
      <c r="H245" s="230">
        <v>8018</v>
      </c>
    </row>
    <row r="246" spans="2:8" x14ac:dyDescent="0.3">
      <c r="B246" s="229" t="s">
        <v>231</v>
      </c>
      <c r="C246" s="88">
        <v>3800.1</v>
      </c>
      <c r="D246" s="88">
        <v>3816.3</v>
      </c>
      <c r="E246" s="88">
        <v>3740.65</v>
      </c>
      <c r="F246" s="88">
        <v>3796.05</v>
      </c>
      <c r="G246" s="88">
        <v>3796.05</v>
      </c>
      <c r="H246" s="230">
        <v>13593</v>
      </c>
    </row>
    <row r="247" spans="2:8" x14ac:dyDescent="0.3">
      <c r="B247" s="229" t="s">
        <v>716</v>
      </c>
      <c r="C247" s="88">
        <v>3779.95</v>
      </c>
      <c r="D247" s="88">
        <v>3800</v>
      </c>
      <c r="E247" s="88">
        <v>3737.65</v>
      </c>
      <c r="F247" s="88">
        <v>3796.95</v>
      </c>
      <c r="G247" s="88">
        <v>3796.95</v>
      </c>
      <c r="H247" s="230">
        <v>5735</v>
      </c>
    </row>
    <row r="248" spans="2:8" x14ac:dyDescent="0.3">
      <c r="B248" s="229" t="s">
        <v>717</v>
      </c>
      <c r="C248" s="88">
        <v>3720.05</v>
      </c>
      <c r="D248" s="88">
        <v>3764.95</v>
      </c>
      <c r="E248" s="88">
        <v>3720.05</v>
      </c>
      <c r="F248" s="88">
        <v>3745.05</v>
      </c>
      <c r="G248" s="88">
        <v>3745.05</v>
      </c>
      <c r="H248" s="230">
        <v>6236</v>
      </c>
    </row>
    <row r="249" spans="2:8" x14ac:dyDescent="0.3">
      <c r="B249" s="229" t="s">
        <v>718</v>
      </c>
      <c r="C249" s="88">
        <v>3679.95</v>
      </c>
      <c r="D249" s="88">
        <v>3727.8</v>
      </c>
      <c r="E249" s="88">
        <v>3655.1</v>
      </c>
      <c r="F249" s="88">
        <v>3711.45</v>
      </c>
      <c r="G249" s="88">
        <v>3711.45</v>
      </c>
      <c r="H249" s="230">
        <v>17588</v>
      </c>
    </row>
    <row r="250" spans="2:8" x14ac:dyDescent="0.3">
      <c r="B250" s="229" t="s">
        <v>719</v>
      </c>
      <c r="C250" s="88">
        <v>3641.05</v>
      </c>
      <c r="D250" s="88">
        <v>3661.85</v>
      </c>
      <c r="E250" s="88">
        <v>3637</v>
      </c>
      <c r="F250" s="88">
        <v>3653.8</v>
      </c>
      <c r="G250" s="88">
        <v>3653.8</v>
      </c>
      <c r="H250" s="230">
        <v>3922</v>
      </c>
    </row>
    <row r="251" spans="2:8" x14ac:dyDescent="0.3">
      <c r="B251" s="229" t="s">
        <v>232</v>
      </c>
      <c r="C251" s="88">
        <v>3647.05</v>
      </c>
      <c r="D251" s="88">
        <v>3693.15</v>
      </c>
      <c r="E251" s="88">
        <v>3636.15</v>
      </c>
      <c r="F251" s="88">
        <v>3648.2</v>
      </c>
      <c r="G251" s="88">
        <v>3648.2</v>
      </c>
      <c r="H251" s="230">
        <v>5304</v>
      </c>
    </row>
    <row r="252" spans="2:8" x14ac:dyDescent="0.3">
      <c r="B252" s="229" t="s">
        <v>720</v>
      </c>
      <c r="C252" s="88">
        <v>3665</v>
      </c>
      <c r="D252" s="88">
        <v>3667</v>
      </c>
      <c r="E252" s="88">
        <v>3624.05</v>
      </c>
      <c r="F252" s="88">
        <v>3645.5</v>
      </c>
      <c r="G252" s="88">
        <v>3645.5</v>
      </c>
      <c r="H252" s="230">
        <v>12041</v>
      </c>
    </row>
    <row r="253" spans="2:8" x14ac:dyDescent="0.3">
      <c r="B253" s="229" t="s">
        <v>721</v>
      </c>
      <c r="C253" s="88">
        <v>3640</v>
      </c>
      <c r="D253" s="88">
        <v>3679.95</v>
      </c>
      <c r="E253" s="88">
        <v>3623.8</v>
      </c>
      <c r="F253" s="88">
        <v>3648.75</v>
      </c>
      <c r="G253" s="88">
        <v>3648.75</v>
      </c>
      <c r="H253" s="230">
        <v>4469</v>
      </c>
    </row>
    <row r="254" spans="2:8" x14ac:dyDescent="0.3">
      <c r="B254" s="229" t="s">
        <v>722</v>
      </c>
      <c r="C254" s="88">
        <v>3638.65</v>
      </c>
      <c r="D254" s="88">
        <v>3658</v>
      </c>
      <c r="E254" s="88">
        <v>3621.85</v>
      </c>
      <c r="F254" s="88">
        <v>3635.85</v>
      </c>
      <c r="G254" s="88">
        <v>3635.85</v>
      </c>
      <c r="H254" s="230">
        <v>2480</v>
      </c>
    </row>
    <row r="255" spans="2:8" x14ac:dyDescent="0.3">
      <c r="B255" s="229" t="s">
        <v>723</v>
      </c>
      <c r="C255" s="88">
        <v>3665</v>
      </c>
      <c r="D255" s="88">
        <v>3666.55</v>
      </c>
      <c r="E255" s="88">
        <v>3621.4</v>
      </c>
      <c r="F255" s="88">
        <v>3632.8</v>
      </c>
      <c r="G255" s="88">
        <v>3632.8</v>
      </c>
      <c r="H255" s="230">
        <v>4097</v>
      </c>
    </row>
    <row r="256" spans="2:8" x14ac:dyDescent="0.3">
      <c r="B256" s="229" t="s">
        <v>233</v>
      </c>
      <c r="C256" s="88">
        <v>3690.8</v>
      </c>
      <c r="D256" s="88">
        <v>3690.8</v>
      </c>
      <c r="E256" s="88">
        <v>3621.6</v>
      </c>
      <c r="F256" s="88">
        <v>3644.9</v>
      </c>
      <c r="G256" s="88">
        <v>3644.9</v>
      </c>
      <c r="H256" s="230">
        <v>16352</v>
      </c>
    </row>
    <row r="257" spans="2:8" x14ac:dyDescent="0.3">
      <c r="B257" s="229" t="s">
        <v>724</v>
      </c>
      <c r="C257" s="88">
        <v>3709.95</v>
      </c>
      <c r="D257" s="88">
        <v>3758.5</v>
      </c>
      <c r="E257" s="88">
        <v>3655</v>
      </c>
      <c r="F257" s="88">
        <v>3665.7</v>
      </c>
      <c r="G257" s="88">
        <v>3665.7</v>
      </c>
      <c r="H257" s="230">
        <v>13576</v>
      </c>
    </row>
    <row r="258" spans="2:8" x14ac:dyDescent="0.3">
      <c r="B258" s="229" t="s">
        <v>725</v>
      </c>
      <c r="C258" s="88">
        <v>3735.75</v>
      </c>
      <c r="D258" s="88">
        <v>3735.75</v>
      </c>
      <c r="E258" s="88">
        <v>3660.15</v>
      </c>
      <c r="F258" s="88">
        <v>3685.7</v>
      </c>
      <c r="G258" s="88">
        <v>3685.7</v>
      </c>
      <c r="H258" s="230">
        <v>27380</v>
      </c>
    </row>
    <row r="259" spans="2:8" x14ac:dyDescent="0.3">
      <c r="B259" s="229" t="s">
        <v>726</v>
      </c>
      <c r="C259" s="88">
        <v>3690.6</v>
      </c>
      <c r="D259" s="88">
        <v>3755.95</v>
      </c>
      <c r="E259" s="88">
        <v>3618.85</v>
      </c>
      <c r="F259" s="88">
        <v>3740.75</v>
      </c>
      <c r="G259" s="88">
        <v>3740.75</v>
      </c>
      <c r="H259" s="230">
        <v>8228</v>
      </c>
    </row>
    <row r="260" spans="2:8" x14ac:dyDescent="0.3">
      <c r="B260" s="229" t="s">
        <v>234</v>
      </c>
      <c r="C260" s="88">
        <v>3746.5</v>
      </c>
      <c r="D260" s="88">
        <v>3771.85</v>
      </c>
      <c r="E260" s="88">
        <v>3639.55</v>
      </c>
      <c r="F260" s="88">
        <v>3661.8</v>
      </c>
      <c r="G260" s="88">
        <v>3661.8</v>
      </c>
      <c r="H260" s="230">
        <v>8743</v>
      </c>
    </row>
    <row r="261" spans="2:8" x14ac:dyDescent="0.3">
      <c r="B261" s="229" t="s">
        <v>727</v>
      </c>
      <c r="C261" s="88">
        <v>3765.9</v>
      </c>
      <c r="D261" s="88">
        <v>3778.95</v>
      </c>
      <c r="E261" s="88">
        <v>3745</v>
      </c>
      <c r="F261" s="88">
        <v>3746.4</v>
      </c>
      <c r="G261" s="88">
        <v>3746.4</v>
      </c>
      <c r="H261" s="230">
        <v>212365</v>
      </c>
    </row>
    <row r="262" spans="2:8" x14ac:dyDescent="0.3">
      <c r="B262" s="229" t="s">
        <v>728</v>
      </c>
      <c r="C262" s="88">
        <v>3794.7</v>
      </c>
      <c r="D262" s="88">
        <v>3794.7</v>
      </c>
      <c r="E262" s="88">
        <v>3745.4</v>
      </c>
      <c r="F262" s="88">
        <v>3765.45</v>
      </c>
      <c r="G262" s="88">
        <v>3765.45</v>
      </c>
      <c r="H262" s="230">
        <v>6241</v>
      </c>
    </row>
    <row r="263" spans="2:8" x14ac:dyDescent="0.3">
      <c r="B263" s="229" t="s">
        <v>729</v>
      </c>
      <c r="C263" s="88">
        <v>3842.1</v>
      </c>
      <c r="D263" s="88">
        <v>3850.35</v>
      </c>
      <c r="E263" s="88">
        <v>3775.85</v>
      </c>
      <c r="F263" s="88">
        <v>3794.75</v>
      </c>
      <c r="G263" s="88">
        <v>3794.75</v>
      </c>
      <c r="H263" s="230">
        <v>11675</v>
      </c>
    </row>
    <row r="264" spans="2:8" x14ac:dyDescent="0.3">
      <c r="B264" s="229" t="s">
        <v>730</v>
      </c>
      <c r="C264" s="88">
        <v>3864.05</v>
      </c>
      <c r="D264" s="88">
        <v>3885.95</v>
      </c>
      <c r="E264" s="88">
        <v>3835</v>
      </c>
      <c r="F264" s="88">
        <v>3842.15</v>
      </c>
      <c r="G264" s="88">
        <v>3842.15</v>
      </c>
      <c r="H264" s="230">
        <v>7217</v>
      </c>
    </row>
    <row r="265" spans="2:8" x14ac:dyDescent="0.3">
      <c r="B265" s="229" t="s">
        <v>235</v>
      </c>
      <c r="C265" s="88">
        <v>3800</v>
      </c>
      <c r="D265" s="88">
        <v>3871</v>
      </c>
      <c r="E265" s="88">
        <v>3771.7</v>
      </c>
      <c r="F265" s="88">
        <v>3856</v>
      </c>
      <c r="G265" s="88">
        <v>3856</v>
      </c>
      <c r="H265" s="230">
        <v>36146</v>
      </c>
    </row>
    <row r="266" spans="2:8" x14ac:dyDescent="0.3">
      <c r="B266" s="229" t="s">
        <v>731</v>
      </c>
      <c r="C266" s="88">
        <v>3825.65</v>
      </c>
      <c r="D266" s="88">
        <v>3940</v>
      </c>
      <c r="E266" s="88">
        <v>3825.65</v>
      </c>
      <c r="F266" s="88">
        <v>3932.75</v>
      </c>
      <c r="G266" s="88">
        <v>3932.75</v>
      </c>
      <c r="H266" s="230">
        <v>52128</v>
      </c>
    </row>
    <row r="267" spans="2:8" x14ac:dyDescent="0.3">
      <c r="B267" s="229" t="s">
        <v>732</v>
      </c>
      <c r="C267" s="88">
        <v>3856.2</v>
      </c>
      <c r="D267" s="88">
        <v>3891.8</v>
      </c>
      <c r="E267" s="88">
        <v>3820</v>
      </c>
      <c r="F267" s="88">
        <v>3863.85</v>
      </c>
      <c r="G267" s="88">
        <v>3863.85</v>
      </c>
      <c r="H267" s="230">
        <v>5276</v>
      </c>
    </row>
    <row r="268" spans="2:8" x14ac:dyDescent="0.3">
      <c r="B268" s="229" t="s">
        <v>733</v>
      </c>
      <c r="C268" s="88">
        <v>3800.1</v>
      </c>
      <c r="D268" s="88">
        <v>3890</v>
      </c>
      <c r="E268" s="88">
        <v>3800.1</v>
      </c>
      <c r="F268" s="88">
        <v>3851.8</v>
      </c>
      <c r="G268" s="88">
        <v>3851.8</v>
      </c>
      <c r="H268" s="230">
        <v>22751</v>
      </c>
    </row>
    <row r="269" spans="2:8" x14ac:dyDescent="0.3">
      <c r="B269" s="229" t="s">
        <v>734</v>
      </c>
      <c r="C269" s="88">
        <v>3800.05</v>
      </c>
      <c r="D269" s="88">
        <v>3825</v>
      </c>
      <c r="E269" s="88">
        <v>3776.7</v>
      </c>
      <c r="F269" s="88">
        <v>3794.15</v>
      </c>
      <c r="G269" s="88">
        <v>3794.15</v>
      </c>
      <c r="H269" s="230">
        <v>4471</v>
      </c>
    </row>
    <row r="270" spans="2:8" x14ac:dyDescent="0.3">
      <c r="B270" s="229" t="s">
        <v>236</v>
      </c>
      <c r="C270" s="88">
        <v>3775.05</v>
      </c>
      <c r="D270" s="88">
        <v>3816</v>
      </c>
      <c r="E270" s="88">
        <v>3772</v>
      </c>
      <c r="F270" s="88">
        <v>3798.2</v>
      </c>
      <c r="G270" s="88">
        <v>3798.2</v>
      </c>
      <c r="H270" s="230">
        <v>6687</v>
      </c>
    </row>
    <row r="271" spans="2:8" x14ac:dyDescent="0.3">
      <c r="B271" s="229" t="s">
        <v>735</v>
      </c>
      <c r="C271" s="88">
        <v>3850.05</v>
      </c>
      <c r="D271" s="88">
        <v>3890</v>
      </c>
      <c r="E271" s="88">
        <v>3785.4</v>
      </c>
      <c r="F271" s="88">
        <v>3833.7</v>
      </c>
      <c r="G271" s="88">
        <v>3833.7</v>
      </c>
      <c r="H271" s="230">
        <v>23504</v>
      </c>
    </row>
    <row r="272" spans="2:8" x14ac:dyDescent="0.3">
      <c r="B272" s="229" t="s">
        <v>736</v>
      </c>
      <c r="C272" s="88">
        <v>3875</v>
      </c>
      <c r="D272" s="88">
        <v>3938.8</v>
      </c>
      <c r="E272" s="88">
        <v>3840.45</v>
      </c>
      <c r="F272" s="88">
        <v>3863.25</v>
      </c>
      <c r="G272" s="88">
        <v>3863.25</v>
      </c>
      <c r="H272" s="230">
        <v>17062</v>
      </c>
    </row>
    <row r="273" spans="2:8" x14ac:dyDescent="0.3">
      <c r="B273" s="229" t="s">
        <v>737</v>
      </c>
      <c r="C273" s="88">
        <v>3751.3</v>
      </c>
      <c r="D273" s="88">
        <v>3909.9</v>
      </c>
      <c r="E273" s="88">
        <v>3751.3</v>
      </c>
      <c r="F273" s="88">
        <v>3871</v>
      </c>
      <c r="G273" s="88">
        <v>3871</v>
      </c>
      <c r="H273" s="230">
        <v>41346</v>
      </c>
    </row>
    <row r="274" spans="2:8" x14ac:dyDescent="0.3">
      <c r="B274" s="229" t="s">
        <v>738</v>
      </c>
      <c r="C274" s="88">
        <v>3675</v>
      </c>
      <c r="D274" s="88">
        <v>3737.45</v>
      </c>
      <c r="E274" s="88">
        <v>3617.3</v>
      </c>
      <c r="F274" s="88">
        <v>3722.5</v>
      </c>
      <c r="G274" s="88">
        <v>3722.5</v>
      </c>
      <c r="H274" s="230">
        <v>7473</v>
      </c>
    </row>
    <row r="275" spans="2:8" x14ac:dyDescent="0.3">
      <c r="B275" s="229" t="s">
        <v>739</v>
      </c>
      <c r="C275" s="88">
        <v>3670</v>
      </c>
      <c r="D275" s="88">
        <v>3698.45</v>
      </c>
      <c r="E275" s="88">
        <v>3651.25</v>
      </c>
      <c r="F275" s="88">
        <v>3674.25</v>
      </c>
      <c r="G275" s="88">
        <v>3674.25</v>
      </c>
      <c r="H275" s="230">
        <v>6072</v>
      </c>
    </row>
    <row r="276" spans="2:8" x14ac:dyDescent="0.3">
      <c r="B276" s="229" t="s">
        <v>740</v>
      </c>
      <c r="C276" s="88">
        <v>3682.05</v>
      </c>
      <c r="D276" s="88">
        <v>3690.35</v>
      </c>
      <c r="E276" s="88">
        <v>3654</v>
      </c>
      <c r="F276" s="88">
        <v>3668.9</v>
      </c>
      <c r="G276" s="88">
        <v>3668.9</v>
      </c>
      <c r="H276" s="230">
        <v>15919</v>
      </c>
    </row>
    <row r="277" spans="2:8" x14ac:dyDescent="0.3">
      <c r="B277" s="229" t="s">
        <v>741</v>
      </c>
      <c r="C277" s="88">
        <v>3660.5</v>
      </c>
      <c r="D277" s="88">
        <v>3669</v>
      </c>
      <c r="E277" s="88">
        <v>3624.65</v>
      </c>
      <c r="F277" s="88">
        <v>3641.4</v>
      </c>
      <c r="G277" s="88">
        <v>3641.4</v>
      </c>
      <c r="H277" s="230">
        <v>6290</v>
      </c>
    </row>
    <row r="278" spans="2:8" x14ac:dyDescent="0.3">
      <c r="B278" s="229" t="s">
        <v>742</v>
      </c>
      <c r="C278" s="88">
        <v>3661</v>
      </c>
      <c r="D278" s="88">
        <v>3683.75</v>
      </c>
      <c r="E278" s="88">
        <v>3624</v>
      </c>
      <c r="F278" s="88">
        <v>3632.4</v>
      </c>
      <c r="G278" s="88">
        <v>3632.4</v>
      </c>
      <c r="H278" s="230">
        <v>5160</v>
      </c>
    </row>
    <row r="279" spans="2:8" x14ac:dyDescent="0.3">
      <c r="B279" s="229" t="s">
        <v>238</v>
      </c>
      <c r="C279" s="88">
        <v>3688.5</v>
      </c>
      <c r="D279" s="88">
        <v>3701.55</v>
      </c>
      <c r="E279" s="88">
        <v>3657</v>
      </c>
      <c r="F279" s="88">
        <v>3661.3</v>
      </c>
      <c r="G279" s="88">
        <v>3661.3</v>
      </c>
      <c r="H279" s="230">
        <v>5307</v>
      </c>
    </row>
    <row r="280" spans="2:8" x14ac:dyDescent="0.3">
      <c r="B280" s="229" t="s">
        <v>743</v>
      </c>
      <c r="C280" s="88">
        <v>3686</v>
      </c>
      <c r="D280" s="88">
        <v>3716.95</v>
      </c>
      <c r="E280" s="88">
        <v>3655.15</v>
      </c>
      <c r="F280" s="88">
        <v>3688.45</v>
      </c>
      <c r="G280" s="88">
        <v>3688.45</v>
      </c>
      <c r="H280" s="230">
        <v>17121</v>
      </c>
    </row>
    <row r="281" spans="2:8" x14ac:dyDescent="0.3">
      <c r="B281" s="229" t="s">
        <v>744</v>
      </c>
      <c r="C281" s="88">
        <v>3727.8</v>
      </c>
      <c r="D281" s="88">
        <v>3775.7</v>
      </c>
      <c r="E281" s="88">
        <v>3682</v>
      </c>
      <c r="F281" s="88">
        <v>3687.55</v>
      </c>
      <c r="G281" s="88">
        <v>3687.55</v>
      </c>
      <c r="H281" s="230">
        <v>6676</v>
      </c>
    </row>
    <row r="282" spans="2:8" x14ac:dyDescent="0.3">
      <c r="B282" s="229" t="s">
        <v>745</v>
      </c>
      <c r="C282" s="88">
        <v>3760.3</v>
      </c>
      <c r="D282" s="88">
        <v>3788.1</v>
      </c>
      <c r="E282" s="88">
        <v>3715.4</v>
      </c>
      <c r="F282" s="88">
        <v>3727.75</v>
      </c>
      <c r="G282" s="88">
        <v>3727.75</v>
      </c>
      <c r="H282" s="230">
        <v>23514</v>
      </c>
    </row>
    <row r="283" spans="2:8" x14ac:dyDescent="0.3">
      <c r="B283" s="229" t="s">
        <v>239</v>
      </c>
      <c r="C283" s="88">
        <v>3762.05</v>
      </c>
      <c r="D283" s="88">
        <v>3810</v>
      </c>
      <c r="E283" s="88">
        <v>3762.05</v>
      </c>
      <c r="F283" s="88">
        <v>3798.1</v>
      </c>
      <c r="G283" s="88">
        <v>3798.1</v>
      </c>
      <c r="H283" s="230">
        <v>5187</v>
      </c>
    </row>
    <row r="284" spans="2:8" x14ac:dyDescent="0.3">
      <c r="B284" s="229" t="s">
        <v>746</v>
      </c>
      <c r="C284" s="88">
        <v>3795.05</v>
      </c>
      <c r="D284" s="88">
        <v>3819.95</v>
      </c>
      <c r="E284" s="88">
        <v>3768.5</v>
      </c>
      <c r="F284" s="88">
        <v>3795.7</v>
      </c>
      <c r="G284" s="88">
        <v>3795.7</v>
      </c>
      <c r="H284" s="230">
        <v>20257</v>
      </c>
    </row>
    <row r="285" spans="2:8" x14ac:dyDescent="0.3">
      <c r="B285" s="229" t="s">
        <v>747</v>
      </c>
      <c r="C285" s="88">
        <v>3848.95</v>
      </c>
      <c r="D285" s="88">
        <v>3848.95</v>
      </c>
      <c r="E285" s="88">
        <v>3776.95</v>
      </c>
      <c r="F285" s="88">
        <v>3808.6</v>
      </c>
      <c r="G285" s="88">
        <v>3808.6</v>
      </c>
      <c r="H285" s="230">
        <v>10022</v>
      </c>
    </row>
    <row r="286" spans="2:8" x14ac:dyDescent="0.3">
      <c r="B286" s="229" t="s">
        <v>748</v>
      </c>
      <c r="C286" s="88">
        <v>3756.85</v>
      </c>
      <c r="D286" s="88">
        <v>3820</v>
      </c>
      <c r="E286" s="88">
        <v>3730</v>
      </c>
      <c r="F286" s="88">
        <v>3810</v>
      </c>
      <c r="G286" s="88">
        <v>3810</v>
      </c>
      <c r="H286" s="230">
        <v>34476</v>
      </c>
    </row>
    <row r="287" spans="2:8" x14ac:dyDescent="0.3">
      <c r="B287" s="229" t="s">
        <v>749</v>
      </c>
      <c r="C287" s="88">
        <v>3824.5</v>
      </c>
      <c r="D287" s="88">
        <v>3845</v>
      </c>
      <c r="E287" s="88">
        <v>3744.1</v>
      </c>
      <c r="F287" s="88">
        <v>3753.55</v>
      </c>
      <c r="G287" s="88">
        <v>3753.55</v>
      </c>
      <c r="H287" s="230">
        <v>7978</v>
      </c>
    </row>
    <row r="288" spans="2:8" x14ac:dyDescent="0.3">
      <c r="B288" s="229" t="s">
        <v>240</v>
      </c>
      <c r="C288" s="88">
        <v>3786.05</v>
      </c>
      <c r="D288" s="88">
        <v>3814</v>
      </c>
      <c r="E288" s="88">
        <v>3770.3</v>
      </c>
      <c r="F288" s="88">
        <v>3808.85</v>
      </c>
      <c r="G288" s="88">
        <v>3808.85</v>
      </c>
      <c r="H288" s="230">
        <v>29535</v>
      </c>
    </row>
    <row r="289" spans="2:8" x14ac:dyDescent="0.3">
      <c r="B289" s="229" t="s">
        <v>750</v>
      </c>
      <c r="C289" s="88">
        <v>3807.7</v>
      </c>
      <c r="D289" s="88">
        <v>3825</v>
      </c>
      <c r="E289" s="88">
        <v>3775</v>
      </c>
      <c r="F289" s="88">
        <v>3783.75</v>
      </c>
      <c r="G289" s="88">
        <v>3783.75</v>
      </c>
      <c r="H289" s="230">
        <v>5284</v>
      </c>
    </row>
    <row r="290" spans="2:8" x14ac:dyDescent="0.3">
      <c r="B290" s="229" t="s">
        <v>751</v>
      </c>
      <c r="C290" s="88">
        <v>3805.05</v>
      </c>
      <c r="D290" s="88">
        <v>3855.9</v>
      </c>
      <c r="E290" s="88">
        <v>3770.85</v>
      </c>
      <c r="F290" s="88">
        <v>3779.95</v>
      </c>
      <c r="G290" s="88">
        <v>3779.95</v>
      </c>
      <c r="H290" s="230">
        <v>10711</v>
      </c>
    </row>
    <row r="291" spans="2:8" x14ac:dyDescent="0.3">
      <c r="B291" s="229" t="s">
        <v>752</v>
      </c>
      <c r="C291" s="88">
        <v>3775.05</v>
      </c>
      <c r="D291" s="88">
        <v>3810</v>
      </c>
      <c r="E291" s="88">
        <v>3758.5</v>
      </c>
      <c r="F291" s="88">
        <v>3795.25</v>
      </c>
      <c r="G291" s="88">
        <v>3795.25</v>
      </c>
      <c r="H291" s="230">
        <v>7814</v>
      </c>
    </row>
    <row r="292" spans="2:8" x14ac:dyDescent="0.3">
      <c r="B292" s="229" t="s">
        <v>753</v>
      </c>
      <c r="C292" s="88">
        <v>3756.3</v>
      </c>
      <c r="D292" s="88">
        <v>3792.15</v>
      </c>
      <c r="E292" s="88">
        <v>3727.75</v>
      </c>
      <c r="F292" s="88">
        <v>3774.9</v>
      </c>
      <c r="G292" s="88">
        <v>3774.9</v>
      </c>
      <c r="H292" s="230">
        <v>27612</v>
      </c>
    </row>
    <row r="293" spans="2:8" x14ac:dyDescent="0.3">
      <c r="B293" s="229" t="s">
        <v>241</v>
      </c>
      <c r="C293" s="88">
        <v>3761.1</v>
      </c>
      <c r="D293" s="88">
        <v>3780.2</v>
      </c>
      <c r="E293" s="88">
        <v>3740.15</v>
      </c>
      <c r="F293" s="88">
        <v>3756.25</v>
      </c>
      <c r="G293" s="88">
        <v>3756.25</v>
      </c>
      <c r="H293" s="230">
        <v>7882</v>
      </c>
    </row>
    <row r="294" spans="2:8" x14ac:dyDescent="0.3">
      <c r="B294" s="229" t="s">
        <v>754</v>
      </c>
      <c r="C294" s="88">
        <v>3720.05</v>
      </c>
      <c r="D294" s="88">
        <v>3765</v>
      </c>
      <c r="E294" s="88">
        <v>3717</v>
      </c>
      <c r="F294" s="88">
        <v>3760</v>
      </c>
      <c r="G294" s="88">
        <v>3760</v>
      </c>
      <c r="H294" s="230">
        <v>9687</v>
      </c>
    </row>
    <row r="295" spans="2:8" x14ac:dyDescent="0.3">
      <c r="B295" s="229" t="s">
        <v>755</v>
      </c>
      <c r="C295" s="88">
        <v>3730</v>
      </c>
      <c r="D295" s="88">
        <v>3750</v>
      </c>
      <c r="E295" s="88">
        <v>3680.35</v>
      </c>
      <c r="F295" s="88">
        <v>3716.1</v>
      </c>
      <c r="G295" s="88">
        <v>3716.1</v>
      </c>
      <c r="H295" s="230">
        <v>13444</v>
      </c>
    </row>
    <row r="296" spans="2:8" x14ac:dyDescent="0.3">
      <c r="B296" s="229" t="s">
        <v>756</v>
      </c>
      <c r="C296" s="88">
        <v>3686</v>
      </c>
      <c r="D296" s="88">
        <v>3743.55</v>
      </c>
      <c r="E296" s="88">
        <v>3684.45</v>
      </c>
      <c r="F296" s="88">
        <v>3736</v>
      </c>
      <c r="G296" s="88">
        <v>3736</v>
      </c>
      <c r="H296" s="230">
        <v>11532</v>
      </c>
    </row>
    <row r="297" spans="2:8" x14ac:dyDescent="0.3">
      <c r="B297" s="229" t="s">
        <v>757</v>
      </c>
      <c r="C297" s="88">
        <v>3625.05</v>
      </c>
      <c r="D297" s="88">
        <v>3675</v>
      </c>
      <c r="E297" s="88">
        <v>3615</v>
      </c>
      <c r="F297" s="88">
        <v>3664.15</v>
      </c>
      <c r="G297" s="88">
        <v>3664.15</v>
      </c>
      <c r="H297" s="230">
        <v>15799</v>
      </c>
    </row>
    <row r="298" spans="2:8" x14ac:dyDescent="0.3">
      <c r="B298" s="229" t="s">
        <v>242</v>
      </c>
      <c r="C298" s="88">
        <v>3532</v>
      </c>
      <c r="D298" s="88">
        <v>3629.25</v>
      </c>
      <c r="E298" s="88">
        <v>3531</v>
      </c>
      <c r="F298" s="88">
        <v>3590.45</v>
      </c>
      <c r="G298" s="88">
        <v>3590.45</v>
      </c>
      <c r="H298" s="230">
        <v>11928</v>
      </c>
    </row>
    <row r="299" spans="2:8" x14ac:dyDescent="0.3">
      <c r="B299" s="229" t="s">
        <v>758</v>
      </c>
      <c r="C299" s="88">
        <v>3559.95</v>
      </c>
      <c r="D299" s="88">
        <v>3572.1</v>
      </c>
      <c r="E299" s="88">
        <v>3530</v>
      </c>
      <c r="F299" s="88">
        <v>3532.95</v>
      </c>
      <c r="G299" s="88">
        <v>3532.95</v>
      </c>
      <c r="H299" s="230">
        <v>4522</v>
      </c>
    </row>
    <row r="300" spans="2:8" x14ac:dyDescent="0.3">
      <c r="B300" s="229" t="s">
        <v>759</v>
      </c>
      <c r="C300" s="88">
        <v>3540.05</v>
      </c>
      <c r="D300" s="88">
        <v>3570</v>
      </c>
      <c r="E300" s="88">
        <v>3540.05</v>
      </c>
      <c r="F300" s="88">
        <v>3560.9</v>
      </c>
      <c r="G300" s="88">
        <v>3560.9</v>
      </c>
      <c r="H300" s="230">
        <v>4176</v>
      </c>
    </row>
    <row r="301" spans="2:8" x14ac:dyDescent="0.3">
      <c r="B301" s="229" t="s">
        <v>760</v>
      </c>
      <c r="C301" s="88">
        <v>3588.95</v>
      </c>
      <c r="D301" s="88">
        <v>3588.95</v>
      </c>
      <c r="E301" s="88">
        <v>3531</v>
      </c>
      <c r="F301" s="88">
        <v>3538.95</v>
      </c>
      <c r="G301" s="88">
        <v>3538.95</v>
      </c>
      <c r="H301" s="230">
        <v>21323</v>
      </c>
    </row>
    <row r="302" spans="2:8" x14ac:dyDescent="0.3">
      <c r="B302" s="229" t="s">
        <v>761</v>
      </c>
      <c r="C302" s="88">
        <v>3552.7</v>
      </c>
      <c r="D302" s="88">
        <v>3583</v>
      </c>
      <c r="E302" s="88">
        <v>3531</v>
      </c>
      <c r="F302" s="88">
        <v>3569</v>
      </c>
      <c r="G302" s="88">
        <v>3569</v>
      </c>
      <c r="H302" s="230">
        <v>20021</v>
      </c>
    </row>
    <row r="303" spans="2:8" x14ac:dyDescent="0.3">
      <c r="B303" s="229" t="s">
        <v>243</v>
      </c>
      <c r="C303" s="88">
        <v>3540.05</v>
      </c>
      <c r="D303" s="88">
        <v>3567.85</v>
      </c>
      <c r="E303" s="88">
        <v>3524</v>
      </c>
      <c r="F303" s="88">
        <v>3548.95</v>
      </c>
      <c r="G303" s="88">
        <v>3548.95</v>
      </c>
      <c r="H303" s="230">
        <v>5474</v>
      </c>
    </row>
    <row r="304" spans="2:8" x14ac:dyDescent="0.3">
      <c r="B304" s="229" t="s">
        <v>762</v>
      </c>
      <c r="C304" s="88">
        <v>3544.95</v>
      </c>
      <c r="D304" s="88">
        <v>3594</v>
      </c>
      <c r="E304" s="88">
        <v>3500</v>
      </c>
      <c r="F304" s="88">
        <v>3540.05</v>
      </c>
      <c r="G304" s="88">
        <v>3540.05</v>
      </c>
      <c r="H304" s="230">
        <v>9953</v>
      </c>
    </row>
    <row r="305" spans="2:8" x14ac:dyDescent="0.3">
      <c r="B305" s="229" t="s">
        <v>763</v>
      </c>
      <c r="C305" s="88">
        <v>3500.05</v>
      </c>
      <c r="D305" s="88">
        <v>3553.1</v>
      </c>
      <c r="E305" s="88">
        <v>3500.05</v>
      </c>
      <c r="F305" s="88">
        <v>3507.55</v>
      </c>
      <c r="G305" s="88">
        <v>3507.55</v>
      </c>
      <c r="H305" s="230">
        <v>23506</v>
      </c>
    </row>
    <row r="306" spans="2:8" x14ac:dyDescent="0.3">
      <c r="B306" s="229" t="s">
        <v>764</v>
      </c>
      <c r="C306" s="88">
        <v>3512</v>
      </c>
      <c r="D306" s="88">
        <v>3530.2</v>
      </c>
      <c r="E306" s="88">
        <v>3493.05</v>
      </c>
      <c r="F306" s="88">
        <v>3499.7</v>
      </c>
      <c r="G306" s="88">
        <v>3499.7</v>
      </c>
      <c r="H306" s="230">
        <v>26058</v>
      </c>
    </row>
    <row r="307" spans="2:8" x14ac:dyDescent="0.3">
      <c r="B307" s="229" t="s">
        <v>244</v>
      </c>
      <c r="C307" s="88">
        <v>3551.4</v>
      </c>
      <c r="D307" s="88">
        <v>3567.95</v>
      </c>
      <c r="E307" s="88">
        <v>3503</v>
      </c>
      <c r="F307" s="88">
        <v>3511.4</v>
      </c>
      <c r="G307" s="88">
        <v>3511.4</v>
      </c>
      <c r="H307" s="230">
        <v>33113</v>
      </c>
    </row>
    <row r="308" spans="2:8" x14ac:dyDescent="0.3">
      <c r="B308" s="229" t="s">
        <v>765</v>
      </c>
      <c r="C308" s="88">
        <v>3600</v>
      </c>
      <c r="D308" s="88">
        <v>3605</v>
      </c>
      <c r="E308" s="88">
        <v>3547</v>
      </c>
      <c r="F308" s="88">
        <v>3551.35</v>
      </c>
      <c r="G308" s="88">
        <v>3551.35</v>
      </c>
      <c r="H308" s="230">
        <v>7789</v>
      </c>
    </row>
    <row r="309" spans="2:8" x14ac:dyDescent="0.3">
      <c r="B309" s="229" t="s">
        <v>766</v>
      </c>
      <c r="C309" s="88">
        <v>3626.9</v>
      </c>
      <c r="D309" s="88">
        <v>3645</v>
      </c>
      <c r="E309" s="88">
        <v>3585.65</v>
      </c>
      <c r="F309" s="88">
        <v>3595.7</v>
      </c>
      <c r="G309" s="88">
        <v>3595.7</v>
      </c>
      <c r="H309" s="230">
        <v>6232</v>
      </c>
    </row>
    <row r="310" spans="2:8" x14ac:dyDescent="0.3">
      <c r="B310" s="229" t="s">
        <v>767</v>
      </c>
      <c r="C310" s="88">
        <v>3647.75</v>
      </c>
      <c r="D310" s="88">
        <v>3656</v>
      </c>
      <c r="E310" s="88">
        <v>3616.25</v>
      </c>
      <c r="F310" s="88">
        <v>3626.9</v>
      </c>
      <c r="G310" s="88">
        <v>3626.9</v>
      </c>
      <c r="H310" s="230">
        <v>3845</v>
      </c>
    </row>
    <row r="311" spans="2:8" x14ac:dyDescent="0.3">
      <c r="B311" s="229" t="s">
        <v>768</v>
      </c>
      <c r="C311" s="88">
        <v>3653.2</v>
      </c>
      <c r="D311" s="88">
        <v>3687.45</v>
      </c>
      <c r="E311" s="88">
        <v>3632.05</v>
      </c>
      <c r="F311" s="88">
        <v>3647.75</v>
      </c>
      <c r="G311" s="88">
        <v>3647.75</v>
      </c>
      <c r="H311" s="230">
        <v>8724</v>
      </c>
    </row>
    <row r="312" spans="2:8" x14ac:dyDescent="0.3">
      <c r="B312" s="229" t="s">
        <v>245</v>
      </c>
      <c r="C312" s="88">
        <v>3652.45</v>
      </c>
      <c r="D312" s="88">
        <v>3671</v>
      </c>
      <c r="E312" s="88">
        <v>3631</v>
      </c>
      <c r="F312" s="88">
        <v>3639.65</v>
      </c>
      <c r="G312" s="88">
        <v>3639.65</v>
      </c>
      <c r="H312" s="230">
        <v>24847</v>
      </c>
    </row>
    <row r="313" spans="2:8" x14ac:dyDescent="0.3">
      <c r="B313" s="229" t="s">
        <v>769</v>
      </c>
      <c r="C313" s="88">
        <v>3700</v>
      </c>
      <c r="D313" s="88">
        <v>3700</v>
      </c>
      <c r="E313" s="88">
        <v>3640.9</v>
      </c>
      <c r="F313" s="88">
        <v>3652.4</v>
      </c>
      <c r="G313" s="88">
        <v>3652.4</v>
      </c>
      <c r="H313" s="230">
        <v>35757</v>
      </c>
    </row>
    <row r="314" spans="2:8" x14ac:dyDescent="0.3">
      <c r="B314" s="229" t="s">
        <v>770</v>
      </c>
      <c r="C314" s="88">
        <v>3705.05</v>
      </c>
      <c r="D314" s="88">
        <v>3711.8</v>
      </c>
      <c r="E314" s="88">
        <v>3675.05</v>
      </c>
      <c r="F314" s="88">
        <v>3700.3</v>
      </c>
      <c r="G314" s="88">
        <v>3700.3</v>
      </c>
      <c r="H314" s="230">
        <v>4663</v>
      </c>
    </row>
    <row r="315" spans="2:8" x14ac:dyDescent="0.3">
      <c r="B315" s="229" t="s">
        <v>771</v>
      </c>
      <c r="C315" s="88">
        <v>3695.05</v>
      </c>
      <c r="D315" s="88">
        <v>3725.8</v>
      </c>
      <c r="E315" s="88">
        <v>3678</v>
      </c>
      <c r="F315" s="88">
        <v>3716.65</v>
      </c>
      <c r="G315" s="88">
        <v>3716.65</v>
      </c>
      <c r="H315" s="230">
        <v>4585</v>
      </c>
    </row>
    <row r="316" spans="2:8" x14ac:dyDescent="0.3">
      <c r="B316" s="229" t="s">
        <v>772</v>
      </c>
      <c r="C316" s="88">
        <v>3677.65</v>
      </c>
      <c r="D316" s="88">
        <v>3718.4</v>
      </c>
      <c r="E316" s="88">
        <v>3674.15</v>
      </c>
      <c r="F316" s="88">
        <v>3710.05</v>
      </c>
      <c r="G316" s="88">
        <v>3710.05</v>
      </c>
      <c r="H316" s="230">
        <v>6590</v>
      </c>
    </row>
    <row r="317" spans="2:8" x14ac:dyDescent="0.3">
      <c r="B317" s="229" t="s">
        <v>247</v>
      </c>
      <c r="C317" s="88">
        <v>3665</v>
      </c>
      <c r="D317" s="88">
        <v>3675.65</v>
      </c>
      <c r="E317" s="88">
        <v>3642.2</v>
      </c>
      <c r="F317" s="88">
        <v>3668.05</v>
      </c>
      <c r="G317" s="88">
        <v>3668.05</v>
      </c>
      <c r="H317" s="230">
        <v>7019</v>
      </c>
    </row>
    <row r="318" spans="2:8" x14ac:dyDescent="0.3">
      <c r="B318" s="229" t="s">
        <v>773</v>
      </c>
      <c r="C318" s="88">
        <v>3651.55</v>
      </c>
      <c r="D318" s="88">
        <v>3691</v>
      </c>
      <c r="E318" s="88">
        <v>3645</v>
      </c>
      <c r="F318" s="88">
        <v>3675.65</v>
      </c>
      <c r="G318" s="88">
        <v>3675.65</v>
      </c>
      <c r="H318" s="230">
        <v>23717</v>
      </c>
    </row>
    <row r="319" spans="2:8" x14ac:dyDescent="0.3">
      <c r="B319" s="229" t="s">
        <v>774</v>
      </c>
      <c r="C319" s="88">
        <v>3690.05</v>
      </c>
      <c r="D319" s="88">
        <v>3711.1</v>
      </c>
      <c r="E319" s="88">
        <v>3667.2</v>
      </c>
      <c r="F319" s="88">
        <v>3678.8</v>
      </c>
      <c r="G319" s="88">
        <v>3678.8</v>
      </c>
      <c r="H319" s="230">
        <v>9058</v>
      </c>
    </row>
    <row r="320" spans="2:8" x14ac:dyDescent="0.3">
      <c r="B320" s="229" t="s">
        <v>775</v>
      </c>
      <c r="C320" s="88">
        <v>3680.2</v>
      </c>
      <c r="D320" s="88">
        <v>3719.9</v>
      </c>
      <c r="E320" s="88">
        <v>3676.1</v>
      </c>
      <c r="F320" s="88">
        <v>3705.55</v>
      </c>
      <c r="G320" s="88">
        <v>3705.55</v>
      </c>
      <c r="H320" s="230">
        <v>28578</v>
      </c>
    </row>
    <row r="321" spans="2:8" x14ac:dyDescent="0.3">
      <c r="B321" s="229" t="s">
        <v>248</v>
      </c>
      <c r="C321" s="88">
        <v>3802</v>
      </c>
      <c r="D321" s="88">
        <v>3820</v>
      </c>
      <c r="E321" s="88">
        <v>3694</v>
      </c>
      <c r="F321" s="88">
        <v>3713.85</v>
      </c>
      <c r="G321" s="88">
        <v>3713.85</v>
      </c>
      <c r="H321" s="230">
        <v>90305</v>
      </c>
    </row>
    <row r="322" spans="2:8" x14ac:dyDescent="0.3">
      <c r="B322" s="229" t="s">
        <v>776</v>
      </c>
      <c r="C322" s="88">
        <v>3828</v>
      </c>
      <c r="D322" s="88">
        <v>3880</v>
      </c>
      <c r="E322" s="88">
        <v>3781.7</v>
      </c>
      <c r="F322" s="88">
        <v>3845.5</v>
      </c>
      <c r="G322" s="88">
        <v>3845.5</v>
      </c>
      <c r="H322" s="230">
        <v>27948</v>
      </c>
    </row>
    <row r="323" spans="2:8" x14ac:dyDescent="0.3">
      <c r="B323" s="229" t="s">
        <v>249</v>
      </c>
      <c r="C323" s="88">
        <v>3795.05</v>
      </c>
      <c r="D323" s="88">
        <v>3831.75</v>
      </c>
      <c r="E323" s="88">
        <v>3729.35</v>
      </c>
      <c r="F323" s="88">
        <v>3760.5</v>
      </c>
      <c r="G323" s="88">
        <v>3760.5</v>
      </c>
      <c r="H323" s="230">
        <v>30897</v>
      </c>
    </row>
    <row r="324" spans="2:8" x14ac:dyDescent="0.3">
      <c r="B324" s="229" t="s">
        <v>777</v>
      </c>
      <c r="C324" s="88">
        <v>3818.65</v>
      </c>
      <c r="D324" s="88">
        <v>3843</v>
      </c>
      <c r="E324" s="88">
        <v>3800</v>
      </c>
      <c r="F324" s="88">
        <v>3810.05</v>
      </c>
      <c r="G324" s="88">
        <v>3810.05</v>
      </c>
      <c r="H324" s="230">
        <v>23030</v>
      </c>
    </row>
    <row r="325" spans="2:8" x14ac:dyDescent="0.3">
      <c r="B325" s="229" t="s">
        <v>778</v>
      </c>
      <c r="C325" s="88">
        <v>3920.05</v>
      </c>
      <c r="D325" s="88">
        <v>3965</v>
      </c>
      <c r="E325" s="88">
        <v>3877.25</v>
      </c>
      <c r="F325" s="88">
        <v>3889.8</v>
      </c>
      <c r="G325" s="88">
        <v>3889.8</v>
      </c>
      <c r="H325" s="230">
        <v>36806</v>
      </c>
    </row>
    <row r="326" spans="2:8" x14ac:dyDescent="0.3">
      <c r="B326" s="229" t="s">
        <v>779</v>
      </c>
      <c r="C326" s="88">
        <v>3852.05</v>
      </c>
      <c r="D326" s="88">
        <v>3987</v>
      </c>
      <c r="E326" s="88">
        <v>3852.05</v>
      </c>
      <c r="F326" s="88">
        <v>3965.4</v>
      </c>
      <c r="G326" s="88">
        <v>3965.4</v>
      </c>
      <c r="H326" s="230">
        <v>12068</v>
      </c>
    </row>
    <row r="327" spans="2:8" x14ac:dyDescent="0.3">
      <c r="B327" s="229" t="s">
        <v>780</v>
      </c>
      <c r="C327" s="88">
        <v>3855</v>
      </c>
      <c r="D327" s="88">
        <v>3920</v>
      </c>
      <c r="E327" s="88">
        <v>3841.1</v>
      </c>
      <c r="F327" s="88">
        <v>3869.65</v>
      </c>
      <c r="G327" s="88">
        <v>3869.65</v>
      </c>
      <c r="H327" s="230">
        <v>28057</v>
      </c>
    </row>
    <row r="328" spans="2:8" x14ac:dyDescent="0.3">
      <c r="B328" s="229" t="s">
        <v>251</v>
      </c>
      <c r="C328" s="88">
        <v>3743</v>
      </c>
      <c r="D328" s="88">
        <v>3875</v>
      </c>
      <c r="E328" s="88">
        <v>3743</v>
      </c>
      <c r="F328" s="88">
        <v>3850.8</v>
      </c>
      <c r="G328" s="88">
        <v>3850.8</v>
      </c>
      <c r="H328" s="230">
        <v>29321</v>
      </c>
    </row>
    <row r="329" spans="2:8" x14ac:dyDescent="0.3">
      <c r="B329" s="229" t="s">
        <v>781</v>
      </c>
      <c r="C329" s="88">
        <v>3816.05</v>
      </c>
      <c r="D329" s="88">
        <v>3841.65</v>
      </c>
      <c r="E329" s="88">
        <v>3734.3</v>
      </c>
      <c r="F329" s="88">
        <v>3744.45</v>
      </c>
      <c r="G329" s="88">
        <v>3744.45</v>
      </c>
      <c r="H329" s="230">
        <v>38438</v>
      </c>
    </row>
    <row r="330" spans="2:8" x14ac:dyDescent="0.3">
      <c r="B330" s="229" t="s">
        <v>782</v>
      </c>
      <c r="C330" s="88">
        <v>3949.95</v>
      </c>
      <c r="D330" s="88">
        <v>3949.95</v>
      </c>
      <c r="E330" s="88">
        <v>3801</v>
      </c>
      <c r="F330" s="88">
        <v>3812.5</v>
      </c>
      <c r="G330" s="88">
        <v>3812.5</v>
      </c>
      <c r="H330" s="230">
        <v>38372</v>
      </c>
    </row>
    <row r="331" spans="2:8" x14ac:dyDescent="0.3">
      <c r="B331" s="229" t="s">
        <v>783</v>
      </c>
      <c r="C331" s="88">
        <v>3989.95</v>
      </c>
      <c r="D331" s="88">
        <v>4026.6</v>
      </c>
      <c r="E331" s="88">
        <v>3898.7</v>
      </c>
      <c r="F331" s="88">
        <v>3920.75</v>
      </c>
      <c r="G331" s="88">
        <v>3920.75</v>
      </c>
      <c r="H331" s="230">
        <v>9110</v>
      </c>
    </row>
    <row r="332" spans="2:8" x14ac:dyDescent="0.3">
      <c r="B332" s="229" t="s">
        <v>784</v>
      </c>
      <c r="C332" s="88">
        <v>3979</v>
      </c>
      <c r="D332" s="88">
        <v>4046.3</v>
      </c>
      <c r="E332" s="88">
        <v>3911.75</v>
      </c>
      <c r="F332" s="88">
        <v>3985.55</v>
      </c>
      <c r="G332" s="88">
        <v>3985.55</v>
      </c>
      <c r="H332" s="230">
        <v>16326</v>
      </c>
    </row>
    <row r="333" spans="2:8" x14ac:dyDescent="0.3">
      <c r="B333" s="229" t="s">
        <v>252</v>
      </c>
      <c r="C333" s="88">
        <v>4085</v>
      </c>
      <c r="D333" s="88">
        <v>4152.05</v>
      </c>
      <c r="E333" s="88">
        <v>3958.6</v>
      </c>
      <c r="F333" s="88">
        <v>3973.9</v>
      </c>
      <c r="G333" s="88">
        <v>3973.9</v>
      </c>
      <c r="H333" s="230">
        <v>27105</v>
      </c>
    </row>
    <row r="334" spans="2:8" x14ac:dyDescent="0.3">
      <c r="B334" s="229" t="s">
        <v>785</v>
      </c>
      <c r="C334" s="88">
        <v>3959.95</v>
      </c>
      <c r="D334" s="88">
        <v>4140.8999999999996</v>
      </c>
      <c r="E334" s="88">
        <v>3948.85</v>
      </c>
      <c r="F334" s="88">
        <v>4083.75</v>
      </c>
      <c r="G334" s="88">
        <v>4083.75</v>
      </c>
      <c r="H334" s="230">
        <v>170955</v>
      </c>
    </row>
    <row r="335" spans="2:8" x14ac:dyDescent="0.3">
      <c r="B335" s="229" t="s">
        <v>786</v>
      </c>
      <c r="C335" s="88">
        <v>3725.25</v>
      </c>
      <c r="D335" s="88">
        <v>3957.15</v>
      </c>
      <c r="E335" s="88">
        <v>3720.6</v>
      </c>
      <c r="F335" s="88">
        <v>3919.45</v>
      </c>
      <c r="G335" s="88">
        <v>3919.45</v>
      </c>
      <c r="H335" s="230">
        <v>113963</v>
      </c>
    </row>
    <row r="336" spans="2:8" x14ac:dyDescent="0.3">
      <c r="B336" s="229" t="s">
        <v>787</v>
      </c>
      <c r="C336" s="88">
        <v>3709.95</v>
      </c>
      <c r="D336" s="88">
        <v>3740.75</v>
      </c>
      <c r="E336" s="88">
        <v>3661.35</v>
      </c>
      <c r="F336" s="88">
        <v>3705.75</v>
      </c>
      <c r="G336" s="88">
        <v>3705.75</v>
      </c>
      <c r="H336" s="230">
        <v>9521</v>
      </c>
    </row>
    <row r="337" spans="2:8" x14ac:dyDescent="0.3">
      <c r="B337" s="229" t="s">
        <v>788</v>
      </c>
      <c r="C337" s="88">
        <v>3635.05</v>
      </c>
      <c r="D337" s="88">
        <v>3700</v>
      </c>
      <c r="E337" s="88">
        <v>3630.25</v>
      </c>
      <c r="F337" s="88">
        <v>3675.7</v>
      </c>
      <c r="G337" s="88">
        <v>3675.7</v>
      </c>
      <c r="H337" s="230">
        <v>34552</v>
      </c>
    </row>
    <row r="338" spans="2:8" x14ac:dyDescent="0.3">
      <c r="B338" s="229" t="s">
        <v>253</v>
      </c>
      <c r="C338" s="88">
        <v>3641.05</v>
      </c>
      <c r="D338" s="88">
        <v>3647.9</v>
      </c>
      <c r="E338" s="88">
        <v>3584.6</v>
      </c>
      <c r="F338" s="88">
        <v>3630.25</v>
      </c>
      <c r="G338" s="88">
        <v>3630.25</v>
      </c>
      <c r="H338" s="230">
        <v>7822</v>
      </c>
    </row>
    <row r="339" spans="2:8" x14ac:dyDescent="0.3">
      <c r="B339" s="229" t="s">
        <v>789</v>
      </c>
      <c r="C339" s="88">
        <v>3576.05</v>
      </c>
      <c r="D339" s="88">
        <v>3647</v>
      </c>
      <c r="E339" s="88">
        <v>3570</v>
      </c>
      <c r="F339" s="88">
        <v>3631.7</v>
      </c>
      <c r="G339" s="88">
        <v>3631.7</v>
      </c>
      <c r="H339" s="230">
        <v>19109</v>
      </c>
    </row>
    <row r="340" spans="2:8" x14ac:dyDescent="0.3">
      <c r="B340" s="229" t="s">
        <v>790</v>
      </c>
      <c r="C340" s="88">
        <v>3540.05</v>
      </c>
      <c r="D340" s="88">
        <v>3573.2</v>
      </c>
      <c r="E340" s="88">
        <v>3530</v>
      </c>
      <c r="F340" s="88">
        <v>3543.95</v>
      </c>
      <c r="G340" s="88">
        <v>3543.95</v>
      </c>
      <c r="H340" s="230">
        <v>22344</v>
      </c>
    </row>
    <row r="341" spans="2:8" x14ac:dyDescent="0.3">
      <c r="B341" s="229" t="s">
        <v>791</v>
      </c>
      <c r="C341" s="88">
        <v>3520.05</v>
      </c>
      <c r="D341" s="88">
        <v>3548</v>
      </c>
      <c r="E341" s="88">
        <v>3518</v>
      </c>
      <c r="F341" s="88">
        <v>3544.9</v>
      </c>
      <c r="G341" s="88">
        <v>3544.9</v>
      </c>
      <c r="H341" s="230">
        <v>5284</v>
      </c>
    </row>
    <row r="342" spans="2:8" x14ac:dyDescent="0.3">
      <c r="B342" s="229" t="s">
        <v>792</v>
      </c>
      <c r="C342" s="88">
        <v>3535.2</v>
      </c>
      <c r="D342" s="88">
        <v>3565.15</v>
      </c>
      <c r="E342" s="88">
        <v>3495.3</v>
      </c>
      <c r="F342" s="88">
        <v>3526.9</v>
      </c>
      <c r="G342" s="88">
        <v>3526.9</v>
      </c>
      <c r="H342" s="230">
        <v>7255</v>
      </c>
    </row>
    <row r="343" spans="2:8" x14ac:dyDescent="0.3">
      <c r="B343" s="229" t="s">
        <v>254</v>
      </c>
      <c r="C343" s="88">
        <v>3549</v>
      </c>
      <c r="D343" s="88">
        <v>3555.85</v>
      </c>
      <c r="E343" s="88">
        <v>3519.05</v>
      </c>
      <c r="F343" s="88">
        <v>3535.2</v>
      </c>
      <c r="G343" s="88">
        <v>3535.2</v>
      </c>
      <c r="H343" s="230">
        <v>20191</v>
      </c>
    </row>
    <row r="344" spans="2:8" x14ac:dyDescent="0.3">
      <c r="B344" s="229" t="s">
        <v>793</v>
      </c>
      <c r="C344" s="88">
        <v>3505</v>
      </c>
      <c r="D344" s="88">
        <v>3556.85</v>
      </c>
      <c r="E344" s="88">
        <v>3505</v>
      </c>
      <c r="F344" s="88">
        <v>3533.95</v>
      </c>
      <c r="G344" s="88">
        <v>3533.95</v>
      </c>
      <c r="H344" s="230">
        <v>10946</v>
      </c>
    </row>
    <row r="345" spans="2:8" x14ac:dyDescent="0.3">
      <c r="B345" s="229" t="s">
        <v>794</v>
      </c>
      <c r="C345" s="88">
        <v>3473.05</v>
      </c>
      <c r="D345" s="88">
        <v>3527.4</v>
      </c>
      <c r="E345" s="88">
        <v>3473.05</v>
      </c>
      <c r="F345" s="88">
        <v>3499.95</v>
      </c>
      <c r="G345" s="88">
        <v>3499.95</v>
      </c>
      <c r="H345" s="230">
        <v>25494</v>
      </c>
    </row>
    <row r="346" spans="2:8" x14ac:dyDescent="0.3">
      <c r="B346" s="229" t="s">
        <v>795</v>
      </c>
      <c r="C346" s="88">
        <v>3512.05</v>
      </c>
      <c r="D346" s="88">
        <v>3521.75</v>
      </c>
      <c r="E346" s="88">
        <v>3441.6</v>
      </c>
      <c r="F346" s="88">
        <v>3472.55</v>
      </c>
      <c r="G346" s="88">
        <v>3472.55</v>
      </c>
      <c r="H346" s="230">
        <v>29252</v>
      </c>
    </row>
    <row r="347" spans="2:8" x14ac:dyDescent="0.3">
      <c r="B347" s="229" t="s">
        <v>796</v>
      </c>
      <c r="C347" s="88">
        <v>3505.6</v>
      </c>
      <c r="D347" s="88">
        <v>3529.7</v>
      </c>
      <c r="E347" s="88">
        <v>3497.2</v>
      </c>
      <c r="F347" s="88">
        <v>3507.85</v>
      </c>
      <c r="G347" s="88">
        <v>3507.85</v>
      </c>
      <c r="H347" s="230">
        <v>6141</v>
      </c>
    </row>
    <row r="348" spans="2:8" x14ac:dyDescent="0.3">
      <c r="B348" s="229" t="s">
        <v>797</v>
      </c>
      <c r="C348" s="88">
        <v>3440.05</v>
      </c>
      <c r="D348" s="88">
        <v>3512</v>
      </c>
      <c r="E348" s="88">
        <v>3440.05</v>
      </c>
      <c r="F348" s="88">
        <v>3502.25</v>
      </c>
      <c r="G348" s="88">
        <v>3502.25</v>
      </c>
      <c r="H348" s="230">
        <v>36108</v>
      </c>
    </row>
    <row r="349" spans="2:8" x14ac:dyDescent="0.3">
      <c r="B349" s="229" t="s">
        <v>798</v>
      </c>
      <c r="C349" s="88">
        <v>3430</v>
      </c>
      <c r="D349" s="88">
        <v>3451.45</v>
      </c>
      <c r="E349" s="88">
        <v>3428.2</v>
      </c>
      <c r="F349" s="88">
        <v>3435.9</v>
      </c>
      <c r="G349" s="88">
        <v>3435.9</v>
      </c>
      <c r="H349" s="230">
        <v>11184</v>
      </c>
    </row>
    <row r="350" spans="2:8" x14ac:dyDescent="0.3">
      <c r="B350" s="229" t="s">
        <v>799</v>
      </c>
      <c r="C350" s="88">
        <v>3449.9</v>
      </c>
      <c r="D350" s="88">
        <v>3449.9</v>
      </c>
      <c r="E350" s="88">
        <v>3404.45</v>
      </c>
      <c r="F350" s="88">
        <v>3430.7</v>
      </c>
      <c r="G350" s="88">
        <v>3430.7</v>
      </c>
      <c r="H350" s="230">
        <v>3627</v>
      </c>
    </row>
    <row r="351" spans="2:8" x14ac:dyDescent="0.3">
      <c r="B351" s="229" t="s">
        <v>800</v>
      </c>
      <c r="C351" s="88">
        <v>3420.05</v>
      </c>
      <c r="D351" s="88">
        <v>3444</v>
      </c>
      <c r="E351" s="88">
        <v>3420.05</v>
      </c>
      <c r="F351" s="88">
        <v>3432.65</v>
      </c>
      <c r="G351" s="88">
        <v>3432.65</v>
      </c>
      <c r="H351" s="230">
        <v>19103</v>
      </c>
    </row>
    <row r="352" spans="2:8" x14ac:dyDescent="0.3">
      <c r="B352" s="229" t="s">
        <v>256</v>
      </c>
      <c r="C352" s="88">
        <v>3394</v>
      </c>
      <c r="D352" s="88">
        <v>3436.7</v>
      </c>
      <c r="E352" s="88">
        <v>3385</v>
      </c>
      <c r="F352" s="88">
        <v>3425.4</v>
      </c>
      <c r="G352" s="88">
        <v>3425.4</v>
      </c>
      <c r="H352" s="230">
        <v>8505</v>
      </c>
    </row>
    <row r="353" spans="2:8" x14ac:dyDescent="0.3">
      <c r="B353" s="229" t="s">
        <v>801</v>
      </c>
      <c r="C353" s="88">
        <v>3395</v>
      </c>
      <c r="D353" s="88">
        <v>3434.2</v>
      </c>
      <c r="E353" s="88">
        <v>3375.25</v>
      </c>
      <c r="F353" s="88">
        <v>3394.55</v>
      </c>
      <c r="G353" s="88">
        <v>3394.55</v>
      </c>
      <c r="H353" s="230">
        <v>26530</v>
      </c>
    </row>
    <row r="354" spans="2:8" x14ac:dyDescent="0.3">
      <c r="B354" s="229" t="s">
        <v>802</v>
      </c>
      <c r="C354" s="88">
        <v>3485.15</v>
      </c>
      <c r="D354" s="88">
        <v>3498.7</v>
      </c>
      <c r="E354" s="88">
        <v>3395</v>
      </c>
      <c r="F354" s="88">
        <v>3399.55</v>
      </c>
      <c r="G354" s="88">
        <v>3399.55</v>
      </c>
      <c r="H354" s="230">
        <v>24007</v>
      </c>
    </row>
    <row r="355" spans="2:8" x14ac:dyDescent="0.3">
      <c r="B355" s="229" t="s">
        <v>803</v>
      </c>
      <c r="C355" s="88">
        <v>3532</v>
      </c>
      <c r="D355" s="88">
        <v>3559</v>
      </c>
      <c r="E355" s="88">
        <v>3475.1</v>
      </c>
      <c r="F355" s="88">
        <v>3479.15</v>
      </c>
      <c r="G355" s="88">
        <v>3479.15</v>
      </c>
      <c r="H355" s="230">
        <v>39554</v>
      </c>
    </row>
    <row r="356" spans="2:8" x14ac:dyDescent="0.3">
      <c r="B356" s="229" t="s">
        <v>257</v>
      </c>
      <c r="C356" s="88">
        <v>3532.65</v>
      </c>
      <c r="D356" s="88">
        <v>3582.65</v>
      </c>
      <c r="E356" s="88">
        <v>3501.1</v>
      </c>
      <c r="F356" s="88">
        <v>3524.8</v>
      </c>
      <c r="G356" s="88">
        <v>3524.8</v>
      </c>
      <c r="H356" s="230">
        <v>64144</v>
      </c>
    </row>
    <row r="357" spans="2:8" x14ac:dyDescent="0.3">
      <c r="B357" s="229" t="s">
        <v>804</v>
      </c>
      <c r="C357" s="88">
        <v>3715</v>
      </c>
      <c r="D357" s="88">
        <v>3722.55</v>
      </c>
      <c r="E357" s="88">
        <v>3641.75</v>
      </c>
      <c r="F357" s="88">
        <v>3680.25</v>
      </c>
      <c r="G357" s="88">
        <v>3680.25</v>
      </c>
      <c r="H357" s="230">
        <v>4671</v>
      </c>
    </row>
    <row r="358" spans="2:8" x14ac:dyDescent="0.3">
      <c r="B358" s="229" t="s">
        <v>805</v>
      </c>
      <c r="C358" s="88">
        <v>3670.9</v>
      </c>
      <c r="D358" s="88">
        <v>3730.2</v>
      </c>
      <c r="E358" s="88">
        <v>3665</v>
      </c>
      <c r="F358" s="88">
        <v>3703.05</v>
      </c>
      <c r="G358" s="88">
        <v>3703.05</v>
      </c>
      <c r="H358" s="230">
        <v>7183</v>
      </c>
    </row>
    <row r="359" spans="2:8" x14ac:dyDescent="0.3">
      <c r="B359" s="229" t="s">
        <v>806</v>
      </c>
      <c r="C359" s="88">
        <v>3663</v>
      </c>
      <c r="D359" s="88">
        <v>3691.8</v>
      </c>
      <c r="E359" s="88">
        <v>3625</v>
      </c>
      <c r="F359" s="88">
        <v>3670.9</v>
      </c>
      <c r="G359" s="88">
        <v>3670.9</v>
      </c>
      <c r="H359" s="230">
        <v>4766</v>
      </c>
    </row>
    <row r="360" spans="2:8" x14ac:dyDescent="0.3">
      <c r="B360" s="229" t="s">
        <v>807</v>
      </c>
      <c r="C360" s="88">
        <v>3710</v>
      </c>
      <c r="D360" s="88">
        <v>3750</v>
      </c>
      <c r="E360" s="88">
        <v>3645</v>
      </c>
      <c r="F360" s="88">
        <v>3657.3</v>
      </c>
      <c r="G360" s="88">
        <v>3657.3</v>
      </c>
      <c r="H360" s="230">
        <v>11492</v>
      </c>
    </row>
    <row r="361" spans="2:8" x14ac:dyDescent="0.3">
      <c r="B361" s="229" t="s">
        <v>258</v>
      </c>
      <c r="C361" s="88">
        <v>3606.05</v>
      </c>
      <c r="D361" s="88">
        <v>3689</v>
      </c>
      <c r="E361" s="88">
        <v>3606.05</v>
      </c>
      <c r="F361" s="88">
        <v>3676</v>
      </c>
      <c r="G361" s="88">
        <v>3676</v>
      </c>
      <c r="H361" s="230">
        <v>13803</v>
      </c>
    </row>
    <row r="362" spans="2:8" x14ac:dyDescent="0.3">
      <c r="B362" s="229" t="s">
        <v>808</v>
      </c>
      <c r="C362" s="88">
        <v>3569.95</v>
      </c>
      <c r="D362" s="88">
        <v>3607.15</v>
      </c>
      <c r="E362" s="88">
        <v>3556.75</v>
      </c>
      <c r="F362" s="88">
        <v>3597.95</v>
      </c>
      <c r="G362" s="88">
        <v>3597.95</v>
      </c>
      <c r="H362" s="230">
        <v>6562</v>
      </c>
    </row>
    <row r="363" spans="2:8" x14ac:dyDescent="0.3">
      <c r="B363" s="229" t="s">
        <v>809</v>
      </c>
      <c r="C363" s="88">
        <v>3563.95</v>
      </c>
      <c r="D363" s="88">
        <v>3589</v>
      </c>
      <c r="E363" s="88">
        <v>3535</v>
      </c>
      <c r="F363" s="88">
        <v>3583.45</v>
      </c>
      <c r="G363" s="88">
        <v>3583.45</v>
      </c>
      <c r="H363" s="230">
        <v>5049</v>
      </c>
    </row>
    <row r="364" spans="2:8" x14ac:dyDescent="0.3">
      <c r="B364" s="229" t="s">
        <v>810</v>
      </c>
      <c r="C364" s="88">
        <v>3532.05</v>
      </c>
      <c r="D364" s="88">
        <v>3583</v>
      </c>
      <c r="E364" s="88">
        <v>3519.05</v>
      </c>
      <c r="F364" s="88">
        <v>3551.95</v>
      </c>
      <c r="G364" s="88">
        <v>3551.95</v>
      </c>
      <c r="H364" s="230">
        <v>6885</v>
      </c>
    </row>
    <row r="365" spans="2:8" x14ac:dyDescent="0.3">
      <c r="B365" s="229" t="s">
        <v>811</v>
      </c>
      <c r="C365" s="88">
        <v>3505.05</v>
      </c>
      <c r="D365" s="88">
        <v>3550</v>
      </c>
      <c r="E365" s="88">
        <v>3504.45</v>
      </c>
      <c r="F365" s="88">
        <v>3543.65</v>
      </c>
      <c r="G365" s="88">
        <v>3543.65</v>
      </c>
      <c r="H365" s="230">
        <v>21866</v>
      </c>
    </row>
    <row r="366" spans="2:8" x14ac:dyDescent="0.3">
      <c r="B366" s="229" t="s">
        <v>812</v>
      </c>
      <c r="C366" s="88">
        <v>3491.15</v>
      </c>
      <c r="D366" s="88">
        <v>3521.55</v>
      </c>
      <c r="E366" s="88">
        <v>3480</v>
      </c>
      <c r="F366" s="88">
        <v>3512.65</v>
      </c>
      <c r="G366" s="88">
        <v>3512.65</v>
      </c>
      <c r="H366" s="230">
        <v>16521</v>
      </c>
    </row>
    <row r="367" spans="2:8" x14ac:dyDescent="0.3">
      <c r="B367" s="229" t="s">
        <v>813</v>
      </c>
      <c r="C367" s="88">
        <v>3474.95</v>
      </c>
      <c r="D367" s="88">
        <v>3510</v>
      </c>
      <c r="E367" s="88">
        <v>3448.6</v>
      </c>
      <c r="F367" s="88">
        <v>3501.1</v>
      </c>
      <c r="G367" s="88">
        <v>3501.1</v>
      </c>
      <c r="H367" s="230">
        <v>18188</v>
      </c>
    </row>
    <row r="368" spans="2:8" x14ac:dyDescent="0.3">
      <c r="B368" s="229" t="s">
        <v>814</v>
      </c>
      <c r="C368" s="88">
        <v>3460</v>
      </c>
      <c r="D368" s="88">
        <v>3475</v>
      </c>
      <c r="E368" s="88">
        <v>3450</v>
      </c>
      <c r="F368" s="88">
        <v>3463.5</v>
      </c>
      <c r="G368" s="88">
        <v>3463.5</v>
      </c>
      <c r="H368" s="230">
        <v>4684</v>
      </c>
    </row>
    <row r="369" spans="2:8" x14ac:dyDescent="0.3">
      <c r="B369" s="229" t="s">
        <v>815</v>
      </c>
      <c r="C369" s="88">
        <v>3450.15</v>
      </c>
      <c r="D369" s="88">
        <v>3476</v>
      </c>
      <c r="E369" s="88">
        <v>3443</v>
      </c>
      <c r="F369" s="88">
        <v>3464</v>
      </c>
      <c r="G369" s="88">
        <v>3464</v>
      </c>
      <c r="H369" s="230">
        <v>4451</v>
      </c>
    </row>
    <row r="370" spans="2:8" x14ac:dyDescent="0.3">
      <c r="B370" s="229" t="s">
        <v>260</v>
      </c>
      <c r="C370" s="88">
        <v>3460.5</v>
      </c>
      <c r="D370" s="88">
        <v>3472.35</v>
      </c>
      <c r="E370" s="88">
        <v>3443.2</v>
      </c>
      <c r="F370" s="88">
        <v>3466.85</v>
      </c>
      <c r="G370" s="88">
        <v>3466.85</v>
      </c>
      <c r="H370" s="230">
        <v>12895</v>
      </c>
    </row>
    <row r="371" spans="2:8" x14ac:dyDescent="0.3">
      <c r="B371" s="229" t="s">
        <v>816</v>
      </c>
      <c r="C371" s="88">
        <v>3473.05</v>
      </c>
      <c r="D371" s="88">
        <v>3480</v>
      </c>
      <c r="E371" s="88">
        <v>3440.1</v>
      </c>
      <c r="F371" s="88">
        <v>3456.5</v>
      </c>
      <c r="G371" s="88">
        <v>3456.5</v>
      </c>
      <c r="H371" s="230">
        <v>10833</v>
      </c>
    </row>
    <row r="372" spans="2:8" x14ac:dyDescent="0.3">
      <c r="B372" s="229" t="s">
        <v>817</v>
      </c>
      <c r="C372" s="88">
        <v>3476.05</v>
      </c>
      <c r="D372" s="88">
        <v>3491.75</v>
      </c>
      <c r="E372" s="88">
        <v>3458.3</v>
      </c>
      <c r="F372" s="88">
        <v>3483</v>
      </c>
      <c r="G372" s="88">
        <v>3483</v>
      </c>
      <c r="H372" s="230">
        <v>12659</v>
      </c>
    </row>
    <row r="373" spans="2:8" x14ac:dyDescent="0.3">
      <c r="B373" s="229" t="s">
        <v>818</v>
      </c>
      <c r="C373" s="88">
        <v>3501.1</v>
      </c>
      <c r="D373" s="88">
        <v>3525</v>
      </c>
      <c r="E373" s="88">
        <v>3470</v>
      </c>
      <c r="F373" s="88">
        <v>3475.4</v>
      </c>
      <c r="G373" s="88">
        <v>3475.4</v>
      </c>
      <c r="H373" s="230">
        <v>6341</v>
      </c>
    </row>
    <row r="374" spans="2:8" x14ac:dyDescent="0.3">
      <c r="B374" s="229" t="s">
        <v>819</v>
      </c>
      <c r="C374" s="88">
        <v>3490</v>
      </c>
      <c r="D374" s="88">
        <v>3564.4</v>
      </c>
      <c r="E374" s="88">
        <v>3458.75</v>
      </c>
      <c r="F374" s="88">
        <v>3505.3</v>
      </c>
      <c r="G374" s="88">
        <v>3505.3</v>
      </c>
      <c r="H374" s="230">
        <v>13858</v>
      </c>
    </row>
    <row r="375" spans="2:8" x14ac:dyDescent="0.3">
      <c r="B375" s="229" t="s">
        <v>261</v>
      </c>
      <c r="C375" s="88">
        <v>3485.05</v>
      </c>
      <c r="D375" s="88">
        <v>3527.4</v>
      </c>
      <c r="E375" s="88">
        <v>3446.8</v>
      </c>
      <c r="F375" s="88">
        <v>3492.05</v>
      </c>
      <c r="G375" s="88">
        <v>3492.05</v>
      </c>
      <c r="H375" s="230">
        <v>8766</v>
      </c>
    </row>
    <row r="376" spans="2:8" x14ac:dyDescent="0.3">
      <c r="B376" s="229" t="s">
        <v>820</v>
      </c>
      <c r="C376" s="88">
        <v>3475</v>
      </c>
      <c r="D376" s="88">
        <v>3517.3</v>
      </c>
      <c r="E376" s="88">
        <v>3470.25</v>
      </c>
      <c r="F376" s="88">
        <v>3500.85</v>
      </c>
      <c r="G376" s="88">
        <v>3500.85</v>
      </c>
      <c r="H376" s="230">
        <v>20156</v>
      </c>
    </row>
    <row r="377" spans="2:8" x14ac:dyDescent="0.3">
      <c r="B377" s="229" t="s">
        <v>821</v>
      </c>
      <c r="C377" s="88">
        <v>3473.95</v>
      </c>
      <c r="D377" s="88">
        <v>3496.95</v>
      </c>
      <c r="E377" s="88">
        <v>3460</v>
      </c>
      <c r="F377" s="88">
        <v>3476</v>
      </c>
      <c r="G377" s="88">
        <v>3476</v>
      </c>
      <c r="H377" s="230">
        <v>7765</v>
      </c>
    </row>
    <row r="378" spans="2:8" x14ac:dyDescent="0.3">
      <c r="B378" s="229" t="s">
        <v>822</v>
      </c>
      <c r="C378" s="88">
        <v>3470</v>
      </c>
      <c r="D378" s="88">
        <v>3498</v>
      </c>
      <c r="E378" s="88">
        <v>3447.45</v>
      </c>
      <c r="F378" s="88">
        <v>3453.45</v>
      </c>
      <c r="G378" s="88">
        <v>3453.45</v>
      </c>
      <c r="H378" s="230">
        <v>21470</v>
      </c>
    </row>
    <row r="379" spans="2:8" x14ac:dyDescent="0.3">
      <c r="B379" s="229" t="s">
        <v>262</v>
      </c>
      <c r="C379" s="88">
        <v>3518</v>
      </c>
      <c r="D379" s="88">
        <v>3531.35</v>
      </c>
      <c r="E379" s="88">
        <v>3437</v>
      </c>
      <c r="F379" s="88">
        <v>3450.75</v>
      </c>
      <c r="G379" s="88">
        <v>3450.75</v>
      </c>
      <c r="H379" s="230">
        <v>8743</v>
      </c>
    </row>
    <row r="380" spans="2:8" x14ac:dyDescent="0.3">
      <c r="B380" s="229" t="s">
        <v>823</v>
      </c>
      <c r="C380" s="88">
        <v>3667.45</v>
      </c>
      <c r="D380" s="88">
        <v>3667.45</v>
      </c>
      <c r="E380" s="88">
        <v>3484.95</v>
      </c>
      <c r="F380" s="88">
        <v>3495.25</v>
      </c>
      <c r="G380" s="88">
        <v>3495.25</v>
      </c>
      <c r="H380" s="230">
        <v>25691</v>
      </c>
    </row>
    <row r="381" spans="2:8" x14ac:dyDescent="0.3">
      <c r="B381" s="229" t="s">
        <v>824</v>
      </c>
      <c r="C381" s="88">
        <v>3560.05</v>
      </c>
      <c r="D381" s="88">
        <v>3669</v>
      </c>
      <c r="E381" s="88">
        <v>3560.05</v>
      </c>
      <c r="F381" s="88">
        <v>3654.15</v>
      </c>
      <c r="G381" s="88">
        <v>3654.15</v>
      </c>
      <c r="H381" s="230">
        <v>55623</v>
      </c>
    </row>
    <row r="382" spans="2:8" x14ac:dyDescent="0.3">
      <c r="B382" s="229" t="s">
        <v>263</v>
      </c>
      <c r="C382" s="88">
        <v>3428</v>
      </c>
      <c r="D382" s="88">
        <v>3573.55</v>
      </c>
      <c r="E382" s="88">
        <v>3422.75</v>
      </c>
      <c r="F382" s="88">
        <v>3555.5</v>
      </c>
      <c r="G382" s="88">
        <v>3555.5</v>
      </c>
      <c r="H382" s="230">
        <v>48359</v>
      </c>
    </row>
    <row r="383" spans="2:8" x14ac:dyDescent="0.3">
      <c r="B383" s="229" t="s">
        <v>825</v>
      </c>
      <c r="C383" s="88">
        <v>3325</v>
      </c>
      <c r="D383" s="88">
        <v>3415.1</v>
      </c>
      <c r="E383" s="88">
        <v>3325</v>
      </c>
      <c r="F383" s="88">
        <v>3403.3</v>
      </c>
      <c r="G383" s="88">
        <v>3403.3</v>
      </c>
      <c r="H383" s="230">
        <v>34292</v>
      </c>
    </row>
    <row r="384" spans="2:8" x14ac:dyDescent="0.3">
      <c r="B384" s="229" t="s">
        <v>826</v>
      </c>
      <c r="C384" s="88">
        <v>3339.95</v>
      </c>
      <c r="D384" s="88">
        <v>3385.55</v>
      </c>
      <c r="E384" s="88">
        <v>3317.8</v>
      </c>
      <c r="F384" s="88">
        <v>3326.85</v>
      </c>
      <c r="G384" s="88">
        <v>3326.85</v>
      </c>
      <c r="H384" s="230">
        <v>8160</v>
      </c>
    </row>
    <row r="385" spans="2:8" x14ac:dyDescent="0.3">
      <c r="B385" s="229" t="s">
        <v>827</v>
      </c>
      <c r="C385" s="88">
        <v>3309.95</v>
      </c>
      <c r="D385" s="88">
        <v>3357.1</v>
      </c>
      <c r="E385" s="88">
        <v>3300.3</v>
      </c>
      <c r="F385" s="88">
        <v>3315.35</v>
      </c>
      <c r="G385" s="88">
        <v>3315.35</v>
      </c>
      <c r="H385" s="230">
        <v>12523</v>
      </c>
    </row>
    <row r="386" spans="2:8" x14ac:dyDescent="0.3">
      <c r="B386" s="229" t="s">
        <v>264</v>
      </c>
      <c r="C386" s="88">
        <v>3359.05</v>
      </c>
      <c r="D386" s="88">
        <v>3368.25</v>
      </c>
      <c r="E386" s="88">
        <v>3301.25</v>
      </c>
      <c r="F386" s="88">
        <v>3306.3</v>
      </c>
      <c r="G386" s="88">
        <v>3306.3</v>
      </c>
      <c r="H386" s="230">
        <v>20987</v>
      </c>
    </row>
    <row r="387" spans="2:8" x14ac:dyDescent="0.3">
      <c r="B387" s="229" t="s">
        <v>828</v>
      </c>
      <c r="C387" s="88">
        <v>3377.95</v>
      </c>
      <c r="D387" s="88">
        <v>3385</v>
      </c>
      <c r="E387" s="88">
        <v>3350</v>
      </c>
      <c r="F387" s="88">
        <v>3358.6</v>
      </c>
      <c r="G387" s="88">
        <v>3358.6</v>
      </c>
      <c r="H387" s="230">
        <v>5123</v>
      </c>
    </row>
    <row r="388" spans="2:8" x14ac:dyDescent="0.3">
      <c r="B388" s="229" t="s">
        <v>829</v>
      </c>
      <c r="C388" s="88">
        <v>3365</v>
      </c>
      <c r="D388" s="88">
        <v>3392.95</v>
      </c>
      <c r="E388" s="88">
        <v>3340.05</v>
      </c>
      <c r="F388" s="88">
        <v>3369.9</v>
      </c>
      <c r="G388" s="88">
        <v>3369.9</v>
      </c>
      <c r="H388" s="230">
        <v>20966</v>
      </c>
    </row>
    <row r="389" spans="2:8" x14ac:dyDescent="0.3">
      <c r="B389" s="229" t="s">
        <v>830</v>
      </c>
      <c r="C389" s="88">
        <v>3352.05</v>
      </c>
      <c r="D389" s="88">
        <v>3414.8</v>
      </c>
      <c r="E389" s="88">
        <v>3352.05</v>
      </c>
      <c r="F389" s="88">
        <v>3362.3</v>
      </c>
      <c r="G389" s="88">
        <v>3362.3</v>
      </c>
      <c r="H389" s="230">
        <v>5030</v>
      </c>
    </row>
    <row r="390" spans="2:8" x14ac:dyDescent="0.3">
      <c r="B390" s="229" t="s">
        <v>831</v>
      </c>
      <c r="C390" s="88">
        <v>3360.25</v>
      </c>
      <c r="D390" s="88">
        <v>3376.9</v>
      </c>
      <c r="E390" s="88">
        <v>3327.2</v>
      </c>
      <c r="F390" s="88">
        <v>3351.45</v>
      </c>
      <c r="G390" s="88">
        <v>3351.45</v>
      </c>
      <c r="H390" s="230">
        <v>9191</v>
      </c>
    </row>
    <row r="391" spans="2:8" x14ac:dyDescent="0.3">
      <c r="B391" s="229" t="s">
        <v>265</v>
      </c>
      <c r="C391" s="88">
        <v>3303.95</v>
      </c>
      <c r="D391" s="88">
        <v>3375.8</v>
      </c>
      <c r="E391" s="88">
        <v>3297.95</v>
      </c>
      <c r="F391" s="88">
        <v>3360</v>
      </c>
      <c r="G391" s="88">
        <v>3360</v>
      </c>
      <c r="H391" s="230">
        <v>11843</v>
      </c>
    </row>
    <row r="392" spans="2:8" x14ac:dyDescent="0.3">
      <c r="B392" s="229" t="s">
        <v>832</v>
      </c>
      <c r="C392" s="88">
        <v>3419.95</v>
      </c>
      <c r="D392" s="88">
        <v>3419.95</v>
      </c>
      <c r="E392" s="88">
        <v>3300</v>
      </c>
      <c r="F392" s="88">
        <v>3310.85</v>
      </c>
      <c r="G392" s="88">
        <v>3310.85</v>
      </c>
      <c r="H392" s="230">
        <v>28527</v>
      </c>
    </row>
    <row r="393" spans="2:8" x14ac:dyDescent="0.3">
      <c r="B393" s="229" t="s">
        <v>833</v>
      </c>
      <c r="C393" s="88">
        <v>3328.05</v>
      </c>
      <c r="D393" s="88">
        <v>3454.05</v>
      </c>
      <c r="E393" s="88">
        <v>3292.65</v>
      </c>
      <c r="F393" s="88">
        <v>3384.55</v>
      </c>
      <c r="G393" s="88">
        <v>3384.55</v>
      </c>
      <c r="H393" s="230">
        <v>38412</v>
      </c>
    </row>
    <row r="394" spans="2:8" x14ac:dyDescent="0.3">
      <c r="B394" s="229" t="s">
        <v>834</v>
      </c>
      <c r="C394" s="88">
        <v>3363.95</v>
      </c>
      <c r="D394" s="88">
        <v>3366.75</v>
      </c>
      <c r="E394" s="88">
        <v>3330</v>
      </c>
      <c r="F394" s="88">
        <v>3337.95</v>
      </c>
      <c r="G394" s="88">
        <v>3337.95</v>
      </c>
      <c r="H394" s="230">
        <v>5599</v>
      </c>
    </row>
    <row r="395" spans="2:8" x14ac:dyDescent="0.3">
      <c r="B395" s="229" t="s">
        <v>835</v>
      </c>
      <c r="C395" s="88">
        <v>3338.05</v>
      </c>
      <c r="D395" s="88">
        <v>3369.75</v>
      </c>
      <c r="E395" s="88">
        <v>3311.15</v>
      </c>
      <c r="F395" s="88">
        <v>3350.85</v>
      </c>
      <c r="G395" s="88">
        <v>3350.85</v>
      </c>
      <c r="H395" s="230">
        <v>26754</v>
      </c>
    </row>
    <row r="396" spans="2:8" x14ac:dyDescent="0.3">
      <c r="B396" s="229" t="s">
        <v>266</v>
      </c>
      <c r="C396" s="88">
        <v>3386</v>
      </c>
      <c r="D396" s="88">
        <v>3415</v>
      </c>
      <c r="E396" s="88">
        <v>3348</v>
      </c>
      <c r="F396" s="88">
        <v>3351.75</v>
      </c>
      <c r="G396" s="88">
        <v>3351.75</v>
      </c>
      <c r="H396" s="230">
        <v>24803</v>
      </c>
    </row>
    <row r="397" spans="2:8" x14ac:dyDescent="0.3">
      <c r="B397" s="229" t="s">
        <v>836</v>
      </c>
      <c r="C397" s="88">
        <v>3385</v>
      </c>
      <c r="D397" s="88">
        <v>3416.35</v>
      </c>
      <c r="E397" s="88">
        <v>3378.7</v>
      </c>
      <c r="F397" s="88">
        <v>3392.2</v>
      </c>
      <c r="G397" s="88">
        <v>3392.2</v>
      </c>
      <c r="H397" s="230">
        <v>10573</v>
      </c>
    </row>
    <row r="398" spans="2:8" x14ac:dyDescent="0.3">
      <c r="B398" s="229" t="s">
        <v>837</v>
      </c>
      <c r="C398" s="88">
        <v>3390.05</v>
      </c>
      <c r="D398" s="88">
        <v>3412</v>
      </c>
      <c r="E398" s="88">
        <v>3384.35</v>
      </c>
      <c r="F398" s="88">
        <v>3396.9</v>
      </c>
      <c r="G398" s="88">
        <v>3396.9</v>
      </c>
      <c r="H398" s="230">
        <v>21003</v>
      </c>
    </row>
    <row r="399" spans="2:8" x14ac:dyDescent="0.3">
      <c r="B399" s="229" t="s">
        <v>838</v>
      </c>
      <c r="C399" s="88">
        <v>3425</v>
      </c>
      <c r="D399" s="88">
        <v>3453</v>
      </c>
      <c r="E399" s="88">
        <v>3381</v>
      </c>
      <c r="F399" s="88">
        <v>3390.05</v>
      </c>
      <c r="G399" s="88">
        <v>3390.05</v>
      </c>
      <c r="H399" s="230">
        <v>31638</v>
      </c>
    </row>
    <row r="400" spans="2:8" x14ac:dyDescent="0.3">
      <c r="B400" s="229" t="s">
        <v>267</v>
      </c>
      <c r="C400" s="88">
        <v>3493.95</v>
      </c>
      <c r="D400" s="88">
        <v>3493.95</v>
      </c>
      <c r="E400" s="88">
        <v>3425</v>
      </c>
      <c r="F400" s="88">
        <v>3443.6</v>
      </c>
      <c r="G400" s="88">
        <v>3443.6</v>
      </c>
      <c r="H400" s="230">
        <v>13537</v>
      </c>
    </row>
    <row r="401" spans="2:8" x14ac:dyDescent="0.3">
      <c r="B401" s="229" t="s">
        <v>839</v>
      </c>
      <c r="C401" s="88">
        <v>3445.05</v>
      </c>
      <c r="D401" s="88">
        <v>3473.55</v>
      </c>
      <c r="E401" s="88">
        <v>3422.05</v>
      </c>
      <c r="F401" s="88">
        <v>3462.75</v>
      </c>
      <c r="G401" s="88">
        <v>3462.75</v>
      </c>
      <c r="H401" s="230">
        <v>9801</v>
      </c>
    </row>
    <row r="402" spans="2:8" x14ac:dyDescent="0.3">
      <c r="B402" s="229" t="s">
        <v>840</v>
      </c>
      <c r="C402" s="88">
        <v>3458.95</v>
      </c>
      <c r="D402" s="88">
        <v>3459</v>
      </c>
      <c r="E402" s="88">
        <v>3423.15</v>
      </c>
      <c r="F402" s="88">
        <v>3441.6</v>
      </c>
      <c r="G402" s="88">
        <v>3441.6</v>
      </c>
      <c r="H402" s="230">
        <v>6037</v>
      </c>
    </row>
    <row r="403" spans="2:8" x14ac:dyDescent="0.3">
      <c r="B403" s="229" t="s">
        <v>841</v>
      </c>
      <c r="C403" s="88">
        <v>3422</v>
      </c>
      <c r="D403" s="88">
        <v>3474.45</v>
      </c>
      <c r="E403" s="88">
        <v>3422</v>
      </c>
      <c r="F403" s="88">
        <v>3438.9</v>
      </c>
      <c r="G403" s="88">
        <v>3438.9</v>
      </c>
      <c r="H403" s="230">
        <v>5683</v>
      </c>
    </row>
    <row r="404" spans="2:8" x14ac:dyDescent="0.3">
      <c r="B404" s="229" t="s">
        <v>842</v>
      </c>
      <c r="C404" s="88">
        <v>3499.95</v>
      </c>
      <c r="D404" s="88">
        <v>3508.65</v>
      </c>
      <c r="E404" s="88">
        <v>3375</v>
      </c>
      <c r="F404" s="88">
        <v>3411.75</v>
      </c>
      <c r="G404" s="88">
        <v>3411.75</v>
      </c>
      <c r="H404" s="230">
        <v>8323</v>
      </c>
    </row>
    <row r="405" spans="2:8" x14ac:dyDescent="0.3">
      <c r="B405" s="229" t="s">
        <v>268</v>
      </c>
      <c r="C405" s="88">
        <v>3494.9</v>
      </c>
      <c r="D405" s="88">
        <v>3498.1</v>
      </c>
      <c r="E405" s="88">
        <v>3445</v>
      </c>
      <c r="F405" s="88">
        <v>3490.3</v>
      </c>
      <c r="G405" s="88">
        <v>3490.3</v>
      </c>
      <c r="H405" s="230">
        <v>3786</v>
      </c>
    </row>
    <row r="406" spans="2:8" x14ac:dyDescent="0.3">
      <c r="B406" s="229" t="s">
        <v>843</v>
      </c>
      <c r="C406" s="88">
        <v>3479.15</v>
      </c>
      <c r="D406" s="88">
        <v>3515</v>
      </c>
      <c r="E406" s="88">
        <v>3467.05</v>
      </c>
      <c r="F406" s="88">
        <v>3497.5</v>
      </c>
      <c r="G406" s="88">
        <v>3497.5</v>
      </c>
      <c r="H406" s="230">
        <v>10912</v>
      </c>
    </row>
    <row r="407" spans="2:8" x14ac:dyDescent="0.3">
      <c r="B407" s="229" t="s">
        <v>844</v>
      </c>
      <c r="C407" s="88">
        <v>3524.95</v>
      </c>
      <c r="D407" s="88">
        <v>3524.95</v>
      </c>
      <c r="E407" s="88">
        <v>3436.15</v>
      </c>
      <c r="F407" s="88">
        <v>3479.15</v>
      </c>
      <c r="G407" s="88">
        <v>3479.15</v>
      </c>
      <c r="H407" s="230">
        <v>5826</v>
      </c>
    </row>
    <row r="408" spans="2:8" x14ac:dyDescent="0.3">
      <c r="B408" s="229" t="s">
        <v>845</v>
      </c>
      <c r="C408" s="88">
        <v>3515</v>
      </c>
      <c r="D408" s="88">
        <v>3519.4</v>
      </c>
      <c r="E408" s="88">
        <v>3487.25</v>
      </c>
      <c r="F408" s="88">
        <v>3499.05</v>
      </c>
      <c r="G408" s="88">
        <v>3499.05</v>
      </c>
      <c r="H408" s="230">
        <v>15732</v>
      </c>
    </row>
    <row r="409" spans="2:8" x14ac:dyDescent="0.3">
      <c r="B409" s="229" t="s">
        <v>846</v>
      </c>
      <c r="C409" s="88">
        <v>3572.7</v>
      </c>
      <c r="D409" s="88">
        <v>3572.7</v>
      </c>
      <c r="E409" s="88">
        <v>3519</v>
      </c>
      <c r="F409" s="88">
        <v>3527.1</v>
      </c>
      <c r="G409" s="88">
        <v>3527.1</v>
      </c>
      <c r="H409" s="230">
        <v>4099</v>
      </c>
    </row>
    <row r="410" spans="2:8" x14ac:dyDescent="0.3">
      <c r="B410" s="229" t="s">
        <v>269</v>
      </c>
      <c r="C410" s="88">
        <v>3535.05</v>
      </c>
      <c r="D410" s="88">
        <v>3572</v>
      </c>
      <c r="E410" s="88">
        <v>3535.05</v>
      </c>
      <c r="F410" s="88">
        <v>3552.7</v>
      </c>
      <c r="G410" s="88">
        <v>3552.7</v>
      </c>
      <c r="H410" s="230">
        <v>15451</v>
      </c>
    </row>
    <row r="411" spans="2:8" x14ac:dyDescent="0.3">
      <c r="B411" s="229" t="s">
        <v>847</v>
      </c>
      <c r="C411" s="88">
        <v>3539.9</v>
      </c>
      <c r="D411" s="88">
        <v>3567.45</v>
      </c>
      <c r="E411" s="88">
        <v>3514.65</v>
      </c>
      <c r="F411" s="88">
        <v>3545.2</v>
      </c>
      <c r="G411" s="88">
        <v>3545.2</v>
      </c>
      <c r="H411" s="230">
        <v>10439</v>
      </c>
    </row>
    <row r="412" spans="2:8" x14ac:dyDescent="0.3">
      <c r="B412" s="229" t="s">
        <v>848</v>
      </c>
      <c r="C412" s="88">
        <v>3540.6</v>
      </c>
      <c r="D412" s="88">
        <v>3566.35</v>
      </c>
      <c r="E412" s="88">
        <v>3536.45</v>
      </c>
      <c r="F412" s="88">
        <v>3541.75</v>
      </c>
      <c r="G412" s="88">
        <v>3541.75</v>
      </c>
      <c r="H412" s="230">
        <v>5301</v>
      </c>
    </row>
    <row r="413" spans="2:8" x14ac:dyDescent="0.3">
      <c r="B413" s="229" t="s">
        <v>849</v>
      </c>
      <c r="C413" s="88">
        <v>3470.1</v>
      </c>
      <c r="D413" s="88">
        <v>3566.65</v>
      </c>
      <c r="E413" s="88">
        <v>3465</v>
      </c>
      <c r="F413" s="88">
        <v>3540.05</v>
      </c>
      <c r="G413" s="88">
        <v>3540.05</v>
      </c>
      <c r="H413" s="230">
        <v>11727</v>
      </c>
    </row>
    <row r="414" spans="2:8" x14ac:dyDescent="0.3">
      <c r="B414" s="229" t="s">
        <v>850</v>
      </c>
      <c r="C414" s="88">
        <v>3500</v>
      </c>
      <c r="D414" s="88">
        <v>3512.55</v>
      </c>
      <c r="E414" s="88">
        <v>3471.5</v>
      </c>
      <c r="F414" s="88">
        <v>3479.9</v>
      </c>
      <c r="G414" s="88">
        <v>3479.9</v>
      </c>
      <c r="H414" s="230">
        <v>13847</v>
      </c>
    </row>
    <row r="415" spans="2:8" x14ac:dyDescent="0.3">
      <c r="B415" s="229" t="s">
        <v>270</v>
      </c>
      <c r="C415" s="88">
        <v>3507.95</v>
      </c>
      <c r="D415" s="88">
        <v>3510.85</v>
      </c>
      <c r="E415" s="88">
        <v>3483</v>
      </c>
      <c r="F415" s="88">
        <v>3498.8</v>
      </c>
      <c r="G415" s="88">
        <v>3498.8</v>
      </c>
      <c r="H415" s="230">
        <v>22134</v>
      </c>
    </row>
    <row r="416" spans="2:8" x14ac:dyDescent="0.3">
      <c r="B416" s="229" t="s">
        <v>851</v>
      </c>
      <c r="C416" s="88">
        <v>3514.95</v>
      </c>
      <c r="D416" s="88">
        <v>3543.9</v>
      </c>
      <c r="E416" s="88">
        <v>3494.3</v>
      </c>
      <c r="F416" s="88">
        <v>3499.25</v>
      </c>
      <c r="G416" s="88">
        <v>3499.25</v>
      </c>
      <c r="H416" s="230">
        <v>7036</v>
      </c>
    </row>
    <row r="417" spans="2:8" x14ac:dyDescent="0.3">
      <c r="B417" s="229" t="s">
        <v>852</v>
      </c>
      <c r="C417" s="88">
        <v>3470</v>
      </c>
      <c r="D417" s="88">
        <v>3543.75</v>
      </c>
      <c r="E417" s="88">
        <v>3463.25</v>
      </c>
      <c r="F417" s="88">
        <v>3480.9</v>
      </c>
      <c r="G417" s="88">
        <v>3480.9</v>
      </c>
      <c r="H417" s="230">
        <v>33456</v>
      </c>
    </row>
    <row r="418" spans="2:8" x14ac:dyDescent="0.3">
      <c r="B418" s="229" t="s">
        <v>853</v>
      </c>
      <c r="C418" s="88">
        <v>3454.7</v>
      </c>
      <c r="D418" s="88">
        <v>3509</v>
      </c>
      <c r="E418" s="88">
        <v>3450</v>
      </c>
      <c r="F418" s="88">
        <v>3459.85</v>
      </c>
      <c r="G418" s="88">
        <v>3459.85</v>
      </c>
      <c r="H418" s="230">
        <v>25589</v>
      </c>
    </row>
    <row r="419" spans="2:8" x14ac:dyDescent="0.3">
      <c r="B419" s="229" t="s">
        <v>854</v>
      </c>
      <c r="C419" s="88">
        <v>3455</v>
      </c>
      <c r="D419" s="88">
        <v>3475.15</v>
      </c>
      <c r="E419" s="88">
        <v>3439</v>
      </c>
      <c r="F419" s="88">
        <v>3442.3</v>
      </c>
      <c r="G419" s="88">
        <v>3442.3</v>
      </c>
      <c r="H419" s="230">
        <v>22946</v>
      </c>
    </row>
    <row r="420" spans="2:8" x14ac:dyDescent="0.3">
      <c r="B420" s="229" t="s">
        <v>271</v>
      </c>
      <c r="C420" s="88">
        <v>3475</v>
      </c>
      <c r="D420" s="88">
        <v>3489.95</v>
      </c>
      <c r="E420" s="88">
        <v>3433</v>
      </c>
      <c r="F420" s="88">
        <v>3442.4</v>
      </c>
      <c r="G420" s="88">
        <v>3442.4</v>
      </c>
      <c r="H420" s="230">
        <v>26622</v>
      </c>
    </row>
    <row r="421" spans="2:8" x14ac:dyDescent="0.3">
      <c r="B421" s="229" t="s">
        <v>855</v>
      </c>
      <c r="C421" s="88">
        <v>3519.95</v>
      </c>
      <c r="D421" s="88">
        <v>3523</v>
      </c>
      <c r="E421" s="88">
        <v>3466.65</v>
      </c>
      <c r="F421" s="88">
        <v>3470.45</v>
      </c>
      <c r="G421" s="88">
        <v>3470.45</v>
      </c>
      <c r="H421" s="230">
        <v>9666</v>
      </c>
    </row>
    <row r="422" spans="2:8" x14ac:dyDescent="0.3">
      <c r="B422" s="229" t="s">
        <v>856</v>
      </c>
      <c r="C422" s="88">
        <v>3550</v>
      </c>
      <c r="D422" s="88">
        <v>3578.05</v>
      </c>
      <c r="E422" s="88">
        <v>3485</v>
      </c>
      <c r="F422" s="88">
        <v>3498.9</v>
      </c>
      <c r="G422" s="88">
        <v>3498.9</v>
      </c>
      <c r="H422" s="230">
        <v>26647</v>
      </c>
    </row>
    <row r="423" spans="2:8" x14ac:dyDescent="0.3">
      <c r="B423" s="229" t="s">
        <v>857</v>
      </c>
      <c r="C423" s="88">
        <v>3567.95</v>
      </c>
      <c r="D423" s="88">
        <v>3578</v>
      </c>
      <c r="E423" s="88">
        <v>3468.05</v>
      </c>
      <c r="F423" s="88">
        <v>3554.05</v>
      </c>
      <c r="G423" s="88">
        <v>3554.05</v>
      </c>
      <c r="H423" s="230">
        <v>28392</v>
      </c>
    </row>
    <row r="424" spans="2:8" x14ac:dyDescent="0.3">
      <c r="B424" s="229" t="s">
        <v>858</v>
      </c>
      <c r="C424" s="88">
        <v>3564.95</v>
      </c>
      <c r="D424" s="88">
        <v>3582.4</v>
      </c>
      <c r="E424" s="88">
        <v>3493.8</v>
      </c>
      <c r="F424" s="88">
        <v>3504.3</v>
      </c>
      <c r="G424" s="88">
        <v>3504.3</v>
      </c>
      <c r="H424" s="230">
        <v>12344</v>
      </c>
    </row>
    <row r="425" spans="2:8" x14ac:dyDescent="0.3">
      <c r="B425" s="229" t="s">
        <v>272</v>
      </c>
      <c r="C425" s="88">
        <v>3560.05</v>
      </c>
      <c r="D425" s="88">
        <v>3575</v>
      </c>
      <c r="E425" s="88">
        <v>3487</v>
      </c>
      <c r="F425" s="88">
        <v>3544.2</v>
      </c>
      <c r="G425" s="88">
        <v>3544.2</v>
      </c>
      <c r="H425" s="230">
        <v>28845</v>
      </c>
    </row>
    <row r="426" spans="2:8" x14ac:dyDescent="0.3">
      <c r="B426" s="229" t="s">
        <v>859</v>
      </c>
      <c r="C426" s="88">
        <v>3535</v>
      </c>
      <c r="D426" s="88">
        <v>3583.9</v>
      </c>
      <c r="E426" s="88">
        <v>3516.9</v>
      </c>
      <c r="F426" s="88">
        <v>3563.5</v>
      </c>
      <c r="G426" s="88">
        <v>3563.5</v>
      </c>
      <c r="H426" s="230">
        <v>31615</v>
      </c>
    </row>
    <row r="427" spans="2:8" x14ac:dyDescent="0.3">
      <c r="B427" s="229" t="s">
        <v>860</v>
      </c>
      <c r="C427" s="88">
        <v>3541.05</v>
      </c>
      <c r="D427" s="88">
        <v>3554.5</v>
      </c>
      <c r="E427" s="88">
        <v>3510.55</v>
      </c>
      <c r="F427" s="88">
        <v>3535.85</v>
      </c>
      <c r="G427" s="88">
        <v>3535.85</v>
      </c>
      <c r="H427" s="230">
        <v>27520</v>
      </c>
    </row>
    <row r="428" spans="2:8" x14ac:dyDescent="0.3">
      <c r="B428" s="229" t="s">
        <v>861</v>
      </c>
      <c r="C428" s="88">
        <v>3440</v>
      </c>
      <c r="D428" s="88">
        <v>3577</v>
      </c>
      <c r="E428" s="88">
        <v>3440</v>
      </c>
      <c r="F428" s="88">
        <v>3541.05</v>
      </c>
      <c r="G428" s="88">
        <v>3541.05</v>
      </c>
      <c r="H428" s="230">
        <v>58304</v>
      </c>
    </row>
    <row r="429" spans="2:8" x14ac:dyDescent="0.3">
      <c r="B429" s="229" t="s">
        <v>273</v>
      </c>
      <c r="C429" s="88">
        <v>3525</v>
      </c>
      <c r="D429" s="88">
        <v>3528.7</v>
      </c>
      <c r="E429" s="88">
        <v>3426</v>
      </c>
      <c r="F429" s="88">
        <v>3434.2</v>
      </c>
      <c r="G429" s="88">
        <v>3434.2</v>
      </c>
      <c r="H429" s="230">
        <v>69533</v>
      </c>
    </row>
    <row r="430" spans="2:8" x14ac:dyDescent="0.3">
      <c r="B430" s="229" t="s">
        <v>862</v>
      </c>
      <c r="C430" s="88">
        <v>3566.1</v>
      </c>
      <c r="D430" s="88">
        <v>3581.35</v>
      </c>
      <c r="E430" s="88">
        <v>3510.05</v>
      </c>
      <c r="F430" s="88">
        <v>3514.55</v>
      </c>
      <c r="G430" s="88">
        <v>3514.55</v>
      </c>
      <c r="H430" s="230">
        <v>40431</v>
      </c>
    </row>
    <row r="431" spans="2:8" x14ac:dyDescent="0.3">
      <c r="B431" s="229" t="s">
        <v>863</v>
      </c>
      <c r="C431" s="88">
        <v>3642.05</v>
      </c>
      <c r="D431" s="88">
        <v>3648.7</v>
      </c>
      <c r="E431" s="88">
        <v>3560</v>
      </c>
      <c r="F431" s="88">
        <v>3565.6</v>
      </c>
      <c r="G431" s="88">
        <v>3565.6</v>
      </c>
      <c r="H431" s="230">
        <v>47943</v>
      </c>
    </row>
    <row r="432" spans="2:8" x14ac:dyDescent="0.3">
      <c r="B432" s="229" t="s">
        <v>864</v>
      </c>
      <c r="C432" s="88">
        <v>3715.95</v>
      </c>
      <c r="D432" s="88">
        <v>3715.95</v>
      </c>
      <c r="E432" s="88">
        <v>3640.15</v>
      </c>
      <c r="F432" s="88">
        <v>3650.35</v>
      </c>
      <c r="G432" s="88">
        <v>3650.35</v>
      </c>
      <c r="H432" s="230">
        <v>16511</v>
      </c>
    </row>
    <row r="433" spans="2:8" x14ac:dyDescent="0.3">
      <c r="B433" s="229" t="s">
        <v>865</v>
      </c>
      <c r="C433" s="88">
        <v>3687.95</v>
      </c>
      <c r="D433" s="88">
        <v>3730</v>
      </c>
      <c r="E433" s="88">
        <v>3675</v>
      </c>
      <c r="F433" s="88">
        <v>3688.05</v>
      </c>
      <c r="G433" s="88">
        <v>3688.05</v>
      </c>
      <c r="H433" s="230">
        <v>36204</v>
      </c>
    </row>
    <row r="434" spans="2:8" x14ac:dyDescent="0.3">
      <c r="B434" s="229" t="s">
        <v>274</v>
      </c>
      <c r="C434" s="88">
        <v>3699</v>
      </c>
      <c r="D434" s="88">
        <v>3751.45</v>
      </c>
      <c r="E434" s="88">
        <v>3627</v>
      </c>
      <c r="F434" s="88">
        <v>3678.65</v>
      </c>
      <c r="G434" s="88">
        <v>3678.65</v>
      </c>
      <c r="H434" s="230">
        <v>78247</v>
      </c>
    </row>
    <row r="435" spans="2:8" x14ac:dyDescent="0.3">
      <c r="B435" s="229" t="s">
        <v>866</v>
      </c>
      <c r="C435" s="88">
        <v>3919.2</v>
      </c>
      <c r="D435" s="88">
        <v>3928.7</v>
      </c>
      <c r="E435" s="88">
        <v>3853</v>
      </c>
      <c r="F435" s="88">
        <v>3862.2</v>
      </c>
      <c r="G435" s="88">
        <v>3862.2</v>
      </c>
      <c r="H435" s="230">
        <v>20233</v>
      </c>
    </row>
    <row r="436" spans="2:8" x14ac:dyDescent="0.3">
      <c r="B436" s="229" t="s">
        <v>867</v>
      </c>
      <c r="C436" s="88">
        <v>3890</v>
      </c>
      <c r="D436" s="88">
        <v>3925</v>
      </c>
      <c r="E436" s="88">
        <v>3864.7</v>
      </c>
      <c r="F436" s="88">
        <v>3912.2</v>
      </c>
      <c r="G436" s="88">
        <v>3912.2</v>
      </c>
      <c r="H436" s="230">
        <v>16352</v>
      </c>
    </row>
    <row r="437" spans="2:8" x14ac:dyDescent="0.3">
      <c r="B437" s="229" t="s">
        <v>868</v>
      </c>
      <c r="C437" s="88">
        <v>3896.9</v>
      </c>
      <c r="D437" s="88">
        <v>3909.95</v>
      </c>
      <c r="E437" s="88">
        <v>3860</v>
      </c>
      <c r="F437" s="88">
        <v>3873.35</v>
      </c>
      <c r="G437" s="88">
        <v>3873.35</v>
      </c>
      <c r="H437" s="230">
        <v>7212</v>
      </c>
    </row>
    <row r="438" spans="2:8" x14ac:dyDescent="0.3">
      <c r="B438" s="229" t="s">
        <v>869</v>
      </c>
      <c r="C438" s="88">
        <v>3898</v>
      </c>
      <c r="D438" s="88">
        <v>3922.75</v>
      </c>
      <c r="E438" s="88">
        <v>3863</v>
      </c>
      <c r="F438" s="88">
        <v>3875.45</v>
      </c>
      <c r="G438" s="88">
        <v>3875.45</v>
      </c>
      <c r="H438" s="230">
        <v>19796</v>
      </c>
    </row>
    <row r="439" spans="2:8" x14ac:dyDescent="0.3">
      <c r="B439" s="229" t="s">
        <v>275</v>
      </c>
      <c r="C439" s="88">
        <v>3909</v>
      </c>
      <c r="D439" s="88">
        <v>3916.4</v>
      </c>
      <c r="E439" s="88">
        <v>3855.6</v>
      </c>
      <c r="F439" s="88">
        <v>3881.6</v>
      </c>
      <c r="G439" s="88">
        <v>3881.6</v>
      </c>
      <c r="H439" s="230">
        <v>8682</v>
      </c>
    </row>
    <row r="440" spans="2:8" x14ac:dyDescent="0.3">
      <c r="B440" s="229" t="s">
        <v>870</v>
      </c>
      <c r="C440" s="88">
        <v>3874.95</v>
      </c>
      <c r="D440" s="88">
        <v>3930</v>
      </c>
      <c r="E440" s="88">
        <v>3836</v>
      </c>
      <c r="F440" s="88">
        <v>3842.2</v>
      </c>
      <c r="G440" s="88">
        <v>3842.2</v>
      </c>
      <c r="H440" s="230">
        <v>28283</v>
      </c>
    </row>
    <row r="441" spans="2:8" x14ac:dyDescent="0.3">
      <c r="B441" s="229" t="s">
        <v>871</v>
      </c>
      <c r="C441" s="88">
        <v>3965.95</v>
      </c>
      <c r="D441" s="88">
        <v>3965.95</v>
      </c>
      <c r="E441" s="88">
        <v>3846.9</v>
      </c>
      <c r="F441" s="88">
        <v>3858.6</v>
      </c>
      <c r="G441" s="88">
        <v>3858.6</v>
      </c>
      <c r="H441" s="230">
        <v>39990</v>
      </c>
    </row>
    <row r="442" spans="2:8" x14ac:dyDescent="0.3">
      <c r="B442" s="229" t="s">
        <v>872</v>
      </c>
      <c r="C442" s="88">
        <v>4055</v>
      </c>
      <c r="D442" s="88">
        <v>4055</v>
      </c>
      <c r="E442" s="88">
        <v>3916.45</v>
      </c>
      <c r="F442" s="88">
        <v>3926.85</v>
      </c>
      <c r="G442" s="88">
        <v>3926.85</v>
      </c>
      <c r="H442" s="230">
        <v>23654</v>
      </c>
    </row>
    <row r="443" spans="2:8" x14ac:dyDescent="0.3">
      <c r="B443" s="229" t="s">
        <v>873</v>
      </c>
      <c r="C443" s="88">
        <v>4060</v>
      </c>
      <c r="D443" s="88">
        <v>4098.8999999999996</v>
      </c>
      <c r="E443" s="88">
        <v>4045.05</v>
      </c>
      <c r="F443" s="88">
        <v>4058.45</v>
      </c>
      <c r="G443" s="88">
        <v>4058.45</v>
      </c>
      <c r="H443" s="230">
        <v>10012</v>
      </c>
    </row>
    <row r="444" spans="2:8" x14ac:dyDescent="0.3">
      <c r="B444" s="229" t="s">
        <v>276</v>
      </c>
      <c r="C444" s="88">
        <v>4079</v>
      </c>
      <c r="D444" s="88">
        <v>4114.75</v>
      </c>
      <c r="E444" s="88">
        <v>4054.8</v>
      </c>
      <c r="F444" s="88">
        <v>4074</v>
      </c>
      <c r="G444" s="88">
        <v>4074</v>
      </c>
      <c r="H444" s="230">
        <v>13391</v>
      </c>
    </row>
    <row r="445" spans="2:8" x14ac:dyDescent="0.3">
      <c r="B445" s="229" t="s">
        <v>874</v>
      </c>
      <c r="C445" s="88">
        <v>4160</v>
      </c>
      <c r="D445" s="88">
        <v>4194.1499999999996</v>
      </c>
      <c r="E445" s="88">
        <v>4026.55</v>
      </c>
      <c r="F445" s="88">
        <v>4070.75</v>
      </c>
      <c r="G445" s="88">
        <v>4070.75</v>
      </c>
      <c r="H445" s="230">
        <v>36895</v>
      </c>
    </row>
    <row r="446" spans="2:8" x14ac:dyDescent="0.3">
      <c r="B446" s="229" t="s">
        <v>875</v>
      </c>
      <c r="C446" s="88">
        <v>4012.05</v>
      </c>
      <c r="D446" s="88">
        <v>4205</v>
      </c>
      <c r="E446" s="88">
        <v>3974.5</v>
      </c>
      <c r="F446" s="88">
        <v>4178.3500000000004</v>
      </c>
      <c r="G446" s="88">
        <v>4178.3500000000004</v>
      </c>
      <c r="H446" s="230">
        <v>11584</v>
      </c>
    </row>
    <row r="447" spans="2:8" x14ac:dyDescent="0.3">
      <c r="B447" s="229" t="s">
        <v>876</v>
      </c>
      <c r="C447" s="88">
        <v>4057.6</v>
      </c>
      <c r="D447" s="88">
        <v>4070</v>
      </c>
      <c r="E447" s="88">
        <v>4008.05</v>
      </c>
      <c r="F447" s="88">
        <v>4016.85</v>
      </c>
      <c r="G447" s="88">
        <v>4016.85</v>
      </c>
      <c r="H447" s="230">
        <v>5141</v>
      </c>
    </row>
    <row r="448" spans="2:8" x14ac:dyDescent="0.3">
      <c r="B448" s="229" t="s">
        <v>877</v>
      </c>
      <c r="C448" s="88">
        <v>4079.95</v>
      </c>
      <c r="D448" s="88">
        <v>4091.5</v>
      </c>
      <c r="E448" s="88">
        <v>4003.8</v>
      </c>
      <c r="F448" s="88">
        <v>4072.3</v>
      </c>
      <c r="G448" s="88">
        <v>4072.3</v>
      </c>
      <c r="H448" s="230">
        <v>4730</v>
      </c>
    </row>
    <row r="449" spans="2:8" x14ac:dyDescent="0.3">
      <c r="B449" s="229" t="s">
        <v>277</v>
      </c>
      <c r="C449" s="88">
        <v>3875.15</v>
      </c>
      <c r="D449" s="88">
        <v>4048.95</v>
      </c>
      <c r="E449" s="88">
        <v>3867.05</v>
      </c>
      <c r="F449" s="88">
        <v>4035.15</v>
      </c>
      <c r="G449" s="88">
        <v>4035.15</v>
      </c>
      <c r="H449" s="230">
        <v>26143</v>
      </c>
    </row>
    <row r="450" spans="2:8" x14ac:dyDescent="0.3">
      <c r="B450" s="229" t="s">
        <v>878</v>
      </c>
      <c r="C450" s="88">
        <v>3900</v>
      </c>
      <c r="D450" s="88">
        <v>3911.95</v>
      </c>
      <c r="E450" s="88">
        <v>3836.3</v>
      </c>
      <c r="F450" s="88">
        <v>3876.9</v>
      </c>
      <c r="G450" s="88">
        <v>3876.9</v>
      </c>
      <c r="H450" s="230">
        <v>10169</v>
      </c>
    </row>
    <row r="451" spans="2:8" x14ac:dyDescent="0.3">
      <c r="B451" s="229" t="s">
        <v>879</v>
      </c>
      <c r="C451" s="88">
        <v>3996</v>
      </c>
      <c r="D451" s="88">
        <v>4026.6</v>
      </c>
      <c r="E451" s="88">
        <v>3904</v>
      </c>
      <c r="F451" s="88">
        <v>3919.75</v>
      </c>
      <c r="G451" s="88">
        <v>3919.75</v>
      </c>
      <c r="H451" s="230">
        <v>10336</v>
      </c>
    </row>
    <row r="452" spans="2:8" x14ac:dyDescent="0.3">
      <c r="B452" s="229" t="s">
        <v>880</v>
      </c>
      <c r="C452" s="88">
        <v>4096</v>
      </c>
      <c r="D452" s="88">
        <v>4107.7</v>
      </c>
      <c r="E452" s="88">
        <v>3975</v>
      </c>
      <c r="F452" s="88">
        <v>3992.65</v>
      </c>
      <c r="G452" s="88">
        <v>3992.65</v>
      </c>
      <c r="H452" s="230">
        <v>7904</v>
      </c>
    </row>
    <row r="453" spans="2:8" x14ac:dyDescent="0.3">
      <c r="B453" s="229" t="s">
        <v>881</v>
      </c>
      <c r="C453" s="88">
        <v>4090</v>
      </c>
      <c r="D453" s="88">
        <v>4136.5</v>
      </c>
      <c r="E453" s="88">
        <v>4051.05</v>
      </c>
      <c r="F453" s="88">
        <v>4087.25</v>
      </c>
      <c r="G453" s="88">
        <v>4087.25</v>
      </c>
      <c r="H453" s="230">
        <v>6363</v>
      </c>
    </row>
    <row r="454" spans="2:8" x14ac:dyDescent="0.3">
      <c r="B454" s="229" t="s">
        <v>278</v>
      </c>
      <c r="C454" s="88">
        <v>4005</v>
      </c>
      <c r="D454" s="88">
        <v>4100</v>
      </c>
      <c r="E454" s="88">
        <v>4005</v>
      </c>
      <c r="F454" s="88">
        <v>4089.7</v>
      </c>
      <c r="G454" s="88">
        <v>4089.7</v>
      </c>
      <c r="H454" s="230">
        <v>22677</v>
      </c>
    </row>
    <row r="455" spans="2:8" x14ac:dyDescent="0.3">
      <c r="B455" s="229" t="s">
        <v>882</v>
      </c>
      <c r="C455" s="88">
        <v>4125.05</v>
      </c>
      <c r="D455" s="88">
        <v>4148.2</v>
      </c>
      <c r="E455" s="88">
        <v>3955.4</v>
      </c>
      <c r="F455" s="88">
        <v>3992.35</v>
      </c>
      <c r="G455" s="88">
        <v>3992.35</v>
      </c>
      <c r="H455" s="230">
        <v>31527</v>
      </c>
    </row>
    <row r="456" spans="2:8" x14ac:dyDescent="0.3">
      <c r="B456" s="229" t="s">
        <v>883</v>
      </c>
      <c r="C456" s="88">
        <v>4200.1000000000004</v>
      </c>
      <c r="D456" s="88">
        <v>4225</v>
      </c>
      <c r="E456" s="88">
        <v>4150</v>
      </c>
      <c r="F456" s="88">
        <v>4183</v>
      </c>
      <c r="G456" s="88">
        <v>4183</v>
      </c>
      <c r="H456" s="230">
        <v>25263</v>
      </c>
    </row>
    <row r="457" spans="2:8" x14ac:dyDescent="0.3">
      <c r="B457" s="229" t="s">
        <v>884</v>
      </c>
      <c r="C457" s="88">
        <v>4104.95</v>
      </c>
      <c r="D457" s="88">
        <v>4209</v>
      </c>
      <c r="E457" s="88">
        <v>4095</v>
      </c>
      <c r="F457" s="88">
        <v>4201.1000000000004</v>
      </c>
      <c r="G457" s="88">
        <v>4201.1000000000004</v>
      </c>
      <c r="H457" s="230">
        <v>11189</v>
      </c>
    </row>
    <row r="458" spans="2:8" x14ac:dyDescent="0.3">
      <c r="B458" s="229" t="s">
        <v>885</v>
      </c>
      <c r="C458" s="88">
        <v>4056.65</v>
      </c>
      <c r="D458" s="88">
        <v>4119.8500000000004</v>
      </c>
      <c r="E458" s="88">
        <v>4056.65</v>
      </c>
      <c r="F458" s="88">
        <v>4107.8</v>
      </c>
      <c r="G458" s="88">
        <v>4107.8</v>
      </c>
      <c r="H458" s="230">
        <v>8519</v>
      </c>
    </row>
    <row r="459" spans="2:8" x14ac:dyDescent="0.3">
      <c r="B459" s="229" t="s">
        <v>279</v>
      </c>
      <c r="C459" s="88">
        <v>3960</v>
      </c>
      <c r="D459" s="88">
        <v>4073.5</v>
      </c>
      <c r="E459" s="88">
        <v>3948.75</v>
      </c>
      <c r="F459" s="88">
        <v>4056.65</v>
      </c>
      <c r="G459" s="88">
        <v>4056.65</v>
      </c>
      <c r="H459" s="230">
        <v>24040</v>
      </c>
    </row>
    <row r="460" spans="2:8" x14ac:dyDescent="0.3">
      <c r="B460" s="229" t="s">
        <v>886</v>
      </c>
      <c r="C460" s="88">
        <v>4050</v>
      </c>
      <c r="D460" s="88">
        <v>4056.45</v>
      </c>
      <c r="E460" s="88">
        <v>3986.45</v>
      </c>
      <c r="F460" s="88">
        <v>4002.65</v>
      </c>
      <c r="G460" s="88">
        <v>4002.65</v>
      </c>
      <c r="H460" s="230">
        <v>5328</v>
      </c>
    </row>
    <row r="461" spans="2:8" x14ac:dyDescent="0.3">
      <c r="B461" s="229" t="s">
        <v>887</v>
      </c>
      <c r="C461" s="88">
        <v>4083.15</v>
      </c>
      <c r="D461" s="88">
        <v>4087.15</v>
      </c>
      <c r="E461" s="88">
        <v>4015</v>
      </c>
      <c r="F461" s="88">
        <v>4036.1</v>
      </c>
      <c r="G461" s="88">
        <v>4036.1</v>
      </c>
      <c r="H461" s="230">
        <v>17233</v>
      </c>
    </row>
    <row r="462" spans="2:8" x14ac:dyDescent="0.3">
      <c r="B462" s="229" t="s">
        <v>888</v>
      </c>
      <c r="C462" s="88">
        <v>4070</v>
      </c>
      <c r="D462" s="88">
        <v>4098</v>
      </c>
      <c r="E462" s="88">
        <v>4044.05</v>
      </c>
      <c r="F462" s="88">
        <v>4087.45</v>
      </c>
      <c r="G462" s="88">
        <v>4087.45</v>
      </c>
      <c r="H462" s="230">
        <v>22262</v>
      </c>
    </row>
    <row r="463" spans="2:8" x14ac:dyDescent="0.3">
      <c r="B463" s="229" t="s">
        <v>889</v>
      </c>
      <c r="C463" s="88">
        <v>4011</v>
      </c>
      <c r="D463" s="88">
        <v>4090.05</v>
      </c>
      <c r="E463" s="88">
        <v>3996.95</v>
      </c>
      <c r="F463" s="88">
        <v>4064.25</v>
      </c>
      <c r="G463" s="88">
        <v>4064.25</v>
      </c>
      <c r="H463" s="230">
        <v>6686</v>
      </c>
    </row>
    <row r="464" spans="2:8" x14ac:dyDescent="0.3">
      <c r="B464" s="229" t="s">
        <v>280</v>
      </c>
      <c r="C464" s="88">
        <v>4001</v>
      </c>
      <c r="D464" s="88">
        <v>4047.5</v>
      </c>
      <c r="E464" s="88">
        <v>3975</v>
      </c>
      <c r="F464" s="88">
        <v>4027.55</v>
      </c>
      <c r="G464" s="88">
        <v>4027.55</v>
      </c>
      <c r="H464" s="230">
        <v>5573</v>
      </c>
    </row>
    <row r="465" spans="2:8" x14ac:dyDescent="0.3">
      <c r="B465" s="229" t="s">
        <v>890</v>
      </c>
      <c r="C465" s="88">
        <v>4041</v>
      </c>
      <c r="D465" s="88">
        <v>4052.25</v>
      </c>
      <c r="E465" s="88">
        <v>3994.1</v>
      </c>
      <c r="F465" s="88">
        <v>4003.5</v>
      </c>
      <c r="G465" s="88">
        <v>4003.5</v>
      </c>
      <c r="H465" s="230">
        <v>8121</v>
      </c>
    </row>
    <row r="466" spans="2:8" x14ac:dyDescent="0.3">
      <c r="B466" s="229" t="s">
        <v>891</v>
      </c>
      <c r="C466" s="88">
        <v>4035.55</v>
      </c>
      <c r="D466" s="88">
        <v>4064</v>
      </c>
      <c r="E466" s="88">
        <v>4030.1</v>
      </c>
      <c r="F466" s="88">
        <v>4041.15</v>
      </c>
      <c r="G466" s="88">
        <v>4041.15</v>
      </c>
      <c r="H466" s="230">
        <v>6430</v>
      </c>
    </row>
    <row r="467" spans="2:8" x14ac:dyDescent="0.3">
      <c r="B467" s="229" t="s">
        <v>892</v>
      </c>
      <c r="C467" s="88">
        <v>3965</v>
      </c>
      <c r="D467" s="88">
        <v>4041.1</v>
      </c>
      <c r="E467" s="88">
        <v>3958.35</v>
      </c>
      <c r="F467" s="88">
        <v>4024.85</v>
      </c>
      <c r="G467" s="88">
        <v>4024.85</v>
      </c>
      <c r="H467" s="230">
        <v>10663</v>
      </c>
    </row>
    <row r="468" spans="2:8" x14ac:dyDescent="0.3">
      <c r="B468" s="229" t="s">
        <v>893</v>
      </c>
      <c r="C468" s="88">
        <v>3900</v>
      </c>
      <c r="D468" s="88">
        <v>3975.95</v>
      </c>
      <c r="E468" s="88">
        <v>3900</v>
      </c>
      <c r="F468" s="88">
        <v>3961.3</v>
      </c>
      <c r="G468" s="88">
        <v>3961.3</v>
      </c>
      <c r="H468" s="230">
        <v>9940</v>
      </c>
    </row>
    <row r="469" spans="2:8" x14ac:dyDescent="0.3">
      <c r="B469" s="229" t="s">
        <v>281</v>
      </c>
      <c r="C469" s="88">
        <v>3905.05</v>
      </c>
      <c r="D469" s="88">
        <v>3935</v>
      </c>
      <c r="E469" s="88">
        <v>3891</v>
      </c>
      <c r="F469" s="88">
        <v>3905.95</v>
      </c>
      <c r="G469" s="88">
        <v>3905.95</v>
      </c>
      <c r="H469" s="230">
        <v>25542</v>
      </c>
    </row>
    <row r="470" spans="2:8" x14ac:dyDescent="0.3">
      <c r="B470" s="229" t="s">
        <v>894</v>
      </c>
      <c r="C470" s="88">
        <v>3979.95</v>
      </c>
      <c r="D470" s="88">
        <v>3979.95</v>
      </c>
      <c r="E470" s="88">
        <v>3901.5</v>
      </c>
      <c r="F470" s="88">
        <v>3905.05</v>
      </c>
      <c r="G470" s="88">
        <v>3905.05</v>
      </c>
      <c r="H470" s="230">
        <v>29574</v>
      </c>
    </row>
    <row r="471" spans="2:8" x14ac:dyDescent="0.3">
      <c r="B471" s="229" t="s">
        <v>895</v>
      </c>
      <c r="C471" s="88">
        <v>3950.05</v>
      </c>
      <c r="D471" s="88">
        <v>3995</v>
      </c>
      <c r="E471" s="88">
        <v>3950.05</v>
      </c>
      <c r="F471" s="88">
        <v>3971.8</v>
      </c>
      <c r="G471" s="88">
        <v>3971.8</v>
      </c>
      <c r="H471" s="230">
        <v>6659</v>
      </c>
    </row>
    <row r="472" spans="2:8" x14ac:dyDescent="0.3">
      <c r="B472" s="229" t="s">
        <v>896</v>
      </c>
      <c r="C472" s="88">
        <v>3980</v>
      </c>
      <c r="D472" s="88">
        <v>3998.95</v>
      </c>
      <c r="E472" s="88">
        <v>3935</v>
      </c>
      <c r="F472" s="88">
        <v>3954.6</v>
      </c>
      <c r="G472" s="88">
        <v>3954.6</v>
      </c>
      <c r="H472" s="230">
        <v>16897</v>
      </c>
    </row>
    <row r="473" spans="2:8" x14ac:dyDescent="0.3">
      <c r="B473" s="229" t="s">
        <v>897</v>
      </c>
      <c r="C473" s="88">
        <v>3874.05</v>
      </c>
      <c r="D473" s="88">
        <v>4022.65</v>
      </c>
      <c r="E473" s="88">
        <v>3874.05</v>
      </c>
      <c r="F473" s="88">
        <v>3955.65</v>
      </c>
      <c r="G473" s="88">
        <v>3955.65</v>
      </c>
      <c r="H473" s="230">
        <v>20729</v>
      </c>
    </row>
    <row r="474" spans="2:8" x14ac:dyDescent="0.3">
      <c r="B474" s="229" t="s">
        <v>282</v>
      </c>
      <c r="C474" s="88">
        <v>3916</v>
      </c>
      <c r="D474" s="88">
        <v>3936.65</v>
      </c>
      <c r="E474" s="88">
        <v>3872</v>
      </c>
      <c r="F474" s="88">
        <v>3882</v>
      </c>
      <c r="G474" s="88">
        <v>3882</v>
      </c>
      <c r="H474" s="230">
        <v>22630</v>
      </c>
    </row>
    <row r="475" spans="2:8" x14ac:dyDescent="0.3">
      <c r="B475" s="229" t="s">
        <v>898</v>
      </c>
      <c r="C475" s="88">
        <v>3951.15</v>
      </c>
      <c r="D475" s="88">
        <v>4018.95</v>
      </c>
      <c r="E475" s="88">
        <v>3895</v>
      </c>
      <c r="F475" s="88">
        <v>3912.05</v>
      </c>
      <c r="G475" s="88">
        <v>3912.05</v>
      </c>
      <c r="H475" s="230">
        <v>35119</v>
      </c>
    </row>
    <row r="476" spans="2:8" x14ac:dyDescent="0.3">
      <c r="B476" s="229" t="s">
        <v>899</v>
      </c>
      <c r="C476" s="88">
        <v>4010.6</v>
      </c>
      <c r="D476" s="88">
        <v>4010.6</v>
      </c>
      <c r="E476" s="88">
        <v>3942</v>
      </c>
      <c r="F476" s="88">
        <v>3949.6</v>
      </c>
      <c r="G476" s="88">
        <v>3949.6</v>
      </c>
      <c r="H476" s="230">
        <v>7420</v>
      </c>
    </row>
    <row r="477" spans="2:8" x14ac:dyDescent="0.3">
      <c r="B477" s="229" t="s">
        <v>900</v>
      </c>
      <c r="C477" s="88">
        <v>4055</v>
      </c>
      <c r="D477" s="88">
        <v>4056.8</v>
      </c>
      <c r="E477" s="88">
        <v>4003.5</v>
      </c>
      <c r="F477" s="88">
        <v>4010.65</v>
      </c>
      <c r="G477" s="88">
        <v>4010.65</v>
      </c>
      <c r="H477" s="230">
        <v>23910</v>
      </c>
    </row>
    <row r="478" spans="2:8" x14ac:dyDescent="0.3">
      <c r="B478" s="229" t="s">
        <v>901</v>
      </c>
      <c r="C478" s="88">
        <v>4090</v>
      </c>
      <c r="D478" s="88">
        <v>4108.25</v>
      </c>
      <c r="E478" s="88">
        <v>4045</v>
      </c>
      <c r="F478" s="88">
        <v>4054.5</v>
      </c>
      <c r="G478" s="88">
        <v>4054.5</v>
      </c>
      <c r="H478" s="230">
        <v>23200</v>
      </c>
    </row>
    <row r="479" spans="2:8" x14ac:dyDescent="0.3">
      <c r="B479" s="229" t="s">
        <v>283</v>
      </c>
      <c r="C479" s="88">
        <v>4131.1000000000004</v>
      </c>
      <c r="D479" s="88">
        <v>4141.3500000000004</v>
      </c>
      <c r="E479" s="88">
        <v>4083.1</v>
      </c>
      <c r="F479" s="88">
        <v>4097.05</v>
      </c>
      <c r="G479" s="88">
        <v>4097.05</v>
      </c>
      <c r="H479" s="230">
        <v>7497</v>
      </c>
    </row>
    <row r="480" spans="2:8" x14ac:dyDescent="0.3">
      <c r="B480" s="229" t="s">
        <v>902</v>
      </c>
      <c r="C480" s="88">
        <v>4170</v>
      </c>
      <c r="D480" s="88">
        <v>4170</v>
      </c>
      <c r="E480" s="88">
        <v>4120</v>
      </c>
      <c r="F480" s="88">
        <v>4125.3999999999996</v>
      </c>
      <c r="G480" s="88">
        <v>4125.3999999999996</v>
      </c>
      <c r="H480" s="230">
        <v>17824</v>
      </c>
    </row>
    <row r="481" spans="2:8" x14ac:dyDescent="0.3">
      <c r="B481" s="229" t="s">
        <v>903</v>
      </c>
      <c r="C481" s="88">
        <v>4165</v>
      </c>
      <c r="D481" s="88">
        <v>4172.3999999999996</v>
      </c>
      <c r="E481" s="88">
        <v>4104.8999999999996</v>
      </c>
      <c r="F481" s="88">
        <v>4139.8500000000004</v>
      </c>
      <c r="G481" s="88">
        <v>4139.8500000000004</v>
      </c>
      <c r="H481" s="230">
        <v>10038</v>
      </c>
    </row>
    <row r="482" spans="2:8" x14ac:dyDescent="0.3">
      <c r="B482" s="229" t="s">
        <v>904</v>
      </c>
      <c r="C482" s="88">
        <v>4185.05</v>
      </c>
      <c r="D482" s="88">
        <v>4190</v>
      </c>
      <c r="E482" s="88">
        <v>4116.8500000000004</v>
      </c>
      <c r="F482" s="88">
        <v>4156.55</v>
      </c>
      <c r="G482" s="88">
        <v>4156.55</v>
      </c>
      <c r="H482" s="230">
        <v>21142</v>
      </c>
    </row>
    <row r="483" spans="2:8" x14ac:dyDescent="0.3">
      <c r="B483" s="229" t="s">
        <v>284</v>
      </c>
      <c r="C483" s="88">
        <v>4175.6499999999996</v>
      </c>
      <c r="D483" s="88">
        <v>4215</v>
      </c>
      <c r="E483" s="88">
        <v>4140</v>
      </c>
      <c r="F483" s="88">
        <v>4173.7</v>
      </c>
      <c r="G483" s="88">
        <v>4173.7</v>
      </c>
      <c r="H483" s="230">
        <v>20126</v>
      </c>
    </row>
    <row r="484" spans="2:8" x14ac:dyDescent="0.3">
      <c r="B484" s="229" t="s">
        <v>905</v>
      </c>
      <c r="C484" s="88">
        <v>4199</v>
      </c>
      <c r="D484" s="88">
        <v>4212.8999999999996</v>
      </c>
      <c r="E484" s="88">
        <v>4150</v>
      </c>
      <c r="F484" s="88">
        <v>4168.95</v>
      </c>
      <c r="G484" s="88">
        <v>4168.95</v>
      </c>
      <c r="H484" s="230">
        <v>16988</v>
      </c>
    </row>
    <row r="485" spans="2:8" x14ac:dyDescent="0.3">
      <c r="B485" s="229" t="s">
        <v>906</v>
      </c>
      <c r="C485" s="88">
        <v>4190.8999999999996</v>
      </c>
      <c r="D485" s="88">
        <v>4227.55</v>
      </c>
      <c r="E485" s="88">
        <v>4166.45</v>
      </c>
      <c r="F485" s="88">
        <v>4194.3500000000004</v>
      </c>
      <c r="G485" s="88">
        <v>4194.3500000000004</v>
      </c>
      <c r="H485" s="230">
        <v>4674</v>
      </c>
    </row>
    <row r="486" spans="2:8" x14ac:dyDescent="0.3">
      <c r="B486" s="229" t="s">
        <v>907</v>
      </c>
      <c r="C486" s="88">
        <v>4256.05</v>
      </c>
      <c r="D486" s="88">
        <v>4270.3500000000004</v>
      </c>
      <c r="E486" s="88">
        <v>4177.55</v>
      </c>
      <c r="F486" s="88">
        <v>4190.8999999999996</v>
      </c>
      <c r="G486" s="88">
        <v>4190.8999999999996</v>
      </c>
      <c r="H486" s="230">
        <v>7942</v>
      </c>
    </row>
    <row r="487" spans="2:8" x14ac:dyDescent="0.3">
      <c r="B487" s="229" t="s">
        <v>908</v>
      </c>
      <c r="C487" s="88">
        <v>4317.55</v>
      </c>
      <c r="D487" s="88">
        <v>4348</v>
      </c>
      <c r="E487" s="88">
        <v>4238.6499999999996</v>
      </c>
      <c r="F487" s="88">
        <v>4247.3500000000004</v>
      </c>
      <c r="G487" s="88">
        <v>4247.3500000000004</v>
      </c>
      <c r="H487" s="230">
        <v>17331</v>
      </c>
    </row>
    <row r="488" spans="2:8" x14ac:dyDescent="0.3">
      <c r="B488" s="229" t="s">
        <v>285</v>
      </c>
      <c r="C488" s="88">
        <v>4304.25</v>
      </c>
      <c r="D488" s="88">
        <v>4345.5</v>
      </c>
      <c r="E488" s="88">
        <v>4292.2</v>
      </c>
      <c r="F488" s="88">
        <v>4322.2</v>
      </c>
      <c r="G488" s="88">
        <v>4322.2</v>
      </c>
      <c r="H488" s="230">
        <v>5771</v>
      </c>
    </row>
    <row r="489" spans="2:8" x14ac:dyDescent="0.3">
      <c r="B489" s="229" t="s">
        <v>909</v>
      </c>
      <c r="C489" s="88">
        <v>4270.05</v>
      </c>
      <c r="D489" s="88">
        <v>4319.95</v>
      </c>
      <c r="E489" s="88">
        <v>4252.05</v>
      </c>
      <c r="F489" s="88">
        <v>4302.2</v>
      </c>
      <c r="G489" s="88">
        <v>4302.2</v>
      </c>
      <c r="H489" s="230">
        <v>13259</v>
      </c>
    </row>
    <row r="490" spans="2:8" x14ac:dyDescent="0.3">
      <c r="B490" s="229" t="s">
        <v>910</v>
      </c>
      <c r="C490" s="88">
        <v>4236.45</v>
      </c>
      <c r="D490" s="88">
        <v>4297</v>
      </c>
      <c r="E490" s="88">
        <v>4220</v>
      </c>
      <c r="F490" s="88">
        <v>4274.3</v>
      </c>
      <c r="G490" s="88">
        <v>4274.3</v>
      </c>
      <c r="H490" s="230">
        <v>5078</v>
      </c>
    </row>
    <row r="491" spans="2:8" x14ac:dyDescent="0.3">
      <c r="B491" s="229" t="s">
        <v>911</v>
      </c>
      <c r="C491" s="88">
        <v>4230</v>
      </c>
      <c r="D491" s="88">
        <v>4249.25</v>
      </c>
      <c r="E491" s="88">
        <v>4166.8500000000004</v>
      </c>
      <c r="F491" s="88">
        <v>4227.1499999999996</v>
      </c>
      <c r="G491" s="88">
        <v>4227.1499999999996</v>
      </c>
      <c r="H491" s="230">
        <v>7199</v>
      </c>
    </row>
    <row r="492" spans="2:8" x14ac:dyDescent="0.3">
      <c r="B492" s="229" t="s">
        <v>286</v>
      </c>
      <c r="C492" s="88">
        <v>4258</v>
      </c>
      <c r="D492" s="88">
        <v>4275.55</v>
      </c>
      <c r="E492" s="88">
        <v>4209</v>
      </c>
      <c r="F492" s="88">
        <v>4229.55</v>
      </c>
      <c r="G492" s="88">
        <v>4229.55</v>
      </c>
      <c r="H492" s="230">
        <v>10278</v>
      </c>
    </row>
    <row r="493" spans="2:8" x14ac:dyDescent="0.3">
      <c r="B493" s="229" t="s">
        <v>912</v>
      </c>
      <c r="C493" s="88">
        <v>4240</v>
      </c>
      <c r="D493" s="88">
        <v>4250.05</v>
      </c>
      <c r="E493" s="88">
        <v>4189.7</v>
      </c>
      <c r="F493" s="88">
        <v>4219.55</v>
      </c>
      <c r="G493" s="88">
        <v>4219.55</v>
      </c>
      <c r="H493" s="230">
        <v>5071</v>
      </c>
    </row>
    <row r="494" spans="2:8" x14ac:dyDescent="0.3">
      <c r="B494" s="229" t="s">
        <v>913</v>
      </c>
      <c r="C494" s="88">
        <v>4166.3</v>
      </c>
      <c r="D494" s="88">
        <v>4234.8</v>
      </c>
      <c r="E494" s="88">
        <v>4144.7</v>
      </c>
      <c r="F494" s="88">
        <v>4225.8</v>
      </c>
      <c r="G494" s="88">
        <v>4225.8</v>
      </c>
      <c r="H494" s="230">
        <v>8136</v>
      </c>
    </row>
    <row r="495" spans="2:8" x14ac:dyDescent="0.3">
      <c r="B495" s="229" t="s">
        <v>914</v>
      </c>
      <c r="C495" s="88">
        <v>4161</v>
      </c>
      <c r="D495" s="88">
        <v>4194</v>
      </c>
      <c r="E495" s="88">
        <v>4141.05</v>
      </c>
      <c r="F495" s="88">
        <v>4166.8</v>
      </c>
      <c r="G495" s="88">
        <v>4166.8</v>
      </c>
      <c r="H495" s="230">
        <v>16854</v>
      </c>
    </row>
    <row r="496" spans="2:8" x14ac:dyDescent="0.3">
      <c r="B496" s="229" t="s">
        <v>915</v>
      </c>
      <c r="C496" s="88">
        <v>4197</v>
      </c>
      <c r="D496" s="88">
        <v>4197</v>
      </c>
      <c r="E496" s="88">
        <v>4111.1000000000004</v>
      </c>
      <c r="F496" s="88">
        <v>4138.3</v>
      </c>
      <c r="G496" s="88">
        <v>4138.3</v>
      </c>
      <c r="H496" s="230">
        <v>13746</v>
      </c>
    </row>
    <row r="497" spans="2:8" x14ac:dyDescent="0.3">
      <c r="B497" s="229" t="s">
        <v>289</v>
      </c>
      <c r="C497" s="88">
        <v>4295</v>
      </c>
      <c r="D497" s="88">
        <v>4300.25</v>
      </c>
      <c r="E497" s="88">
        <v>4141</v>
      </c>
      <c r="F497" s="88">
        <v>4153.1499999999996</v>
      </c>
      <c r="G497" s="88">
        <v>4153.1499999999996</v>
      </c>
      <c r="H497" s="230">
        <v>534844</v>
      </c>
    </row>
    <row r="498" spans="2:8" x14ac:dyDescent="0.3">
      <c r="B498" s="229" t="s">
        <v>916</v>
      </c>
      <c r="C498" s="88">
        <v>4375.05</v>
      </c>
      <c r="D498" s="88">
        <v>4399</v>
      </c>
      <c r="E498" s="88">
        <v>4290.1000000000004</v>
      </c>
      <c r="F498" s="88">
        <v>4303.25</v>
      </c>
      <c r="G498" s="88">
        <v>4303.25</v>
      </c>
      <c r="H498" s="230">
        <v>8415</v>
      </c>
    </row>
    <row r="499" spans="2:8" x14ac:dyDescent="0.3">
      <c r="B499" s="229" t="s">
        <v>917</v>
      </c>
      <c r="C499" s="88">
        <v>4360.5</v>
      </c>
      <c r="D499" s="88">
        <v>4364.3</v>
      </c>
      <c r="E499" s="88">
        <v>4300</v>
      </c>
      <c r="F499" s="88">
        <v>4307.3999999999996</v>
      </c>
      <c r="G499" s="88">
        <v>4307.3999999999996</v>
      </c>
      <c r="H499" s="230">
        <v>7050</v>
      </c>
    </row>
    <row r="500" spans="2:8" x14ac:dyDescent="0.3">
      <c r="B500" s="229" t="s">
        <v>918</v>
      </c>
      <c r="C500" s="88">
        <v>4375.05</v>
      </c>
      <c r="D500" s="88">
        <v>4430.1499999999996</v>
      </c>
      <c r="E500" s="88">
        <v>4329</v>
      </c>
      <c r="F500" s="88">
        <v>4351.7</v>
      </c>
      <c r="G500" s="88">
        <v>4351.7</v>
      </c>
      <c r="H500" s="230">
        <v>10740</v>
      </c>
    </row>
    <row r="501" spans="2:8" x14ac:dyDescent="0.3">
      <c r="B501" s="229" t="s">
        <v>919</v>
      </c>
      <c r="C501" s="88">
        <v>4485.3</v>
      </c>
      <c r="D501" s="88">
        <v>4485.3</v>
      </c>
      <c r="E501" s="88">
        <v>4357</v>
      </c>
      <c r="F501" s="88">
        <v>4380.75</v>
      </c>
      <c r="G501" s="88">
        <v>4380.75</v>
      </c>
      <c r="H501" s="230">
        <v>226840</v>
      </c>
    </row>
    <row r="502" spans="2:8" x14ac:dyDescent="0.3">
      <c r="B502" s="229" t="s">
        <v>290</v>
      </c>
      <c r="C502" s="88">
        <v>4431</v>
      </c>
      <c r="D502" s="88">
        <v>4510.3500000000004</v>
      </c>
      <c r="E502" s="88">
        <v>4406.1499999999996</v>
      </c>
      <c r="F502" s="88">
        <v>4472.7</v>
      </c>
      <c r="G502" s="88">
        <v>4472.7</v>
      </c>
      <c r="H502" s="230">
        <v>11475</v>
      </c>
    </row>
    <row r="503" spans="2:8" x14ac:dyDescent="0.3">
      <c r="B503" s="229" t="s">
        <v>920</v>
      </c>
      <c r="C503" s="88">
        <v>4422.05</v>
      </c>
      <c r="D503" s="88">
        <v>4479.8</v>
      </c>
      <c r="E503" s="88">
        <v>4412.8999999999996</v>
      </c>
      <c r="F503" s="88">
        <v>4469.05</v>
      </c>
      <c r="G503" s="88">
        <v>4469.05</v>
      </c>
      <c r="H503" s="230">
        <v>23127</v>
      </c>
    </row>
    <row r="504" spans="2:8" x14ac:dyDescent="0.3">
      <c r="B504" s="229" t="s">
        <v>921</v>
      </c>
      <c r="C504" s="88">
        <v>4512</v>
      </c>
      <c r="D504" s="88">
        <v>4544.1499999999996</v>
      </c>
      <c r="E504" s="88">
        <v>4400.55</v>
      </c>
      <c r="F504" s="88">
        <v>4416</v>
      </c>
      <c r="G504" s="88">
        <v>4416</v>
      </c>
      <c r="H504" s="230">
        <v>14341</v>
      </c>
    </row>
    <row r="505" spans="2:8" x14ac:dyDescent="0.3">
      <c r="B505" s="229" t="s">
        <v>922</v>
      </c>
      <c r="C505" s="88">
        <v>4601.8999999999996</v>
      </c>
      <c r="D505" s="88">
        <v>4601.8999999999996</v>
      </c>
      <c r="E505" s="88">
        <v>4460.75</v>
      </c>
      <c r="F505" s="88">
        <v>4476.5</v>
      </c>
      <c r="G505" s="88">
        <v>4476.5</v>
      </c>
      <c r="H505" s="230">
        <v>33428</v>
      </c>
    </row>
    <row r="506" spans="2:8" x14ac:dyDescent="0.3">
      <c r="B506" s="229" t="s">
        <v>291</v>
      </c>
      <c r="C506" s="88">
        <v>4335.1000000000004</v>
      </c>
      <c r="D506" s="88">
        <v>4465</v>
      </c>
      <c r="E506" s="88">
        <v>4335.1000000000004</v>
      </c>
      <c r="F506" s="88">
        <v>4425.6499999999996</v>
      </c>
      <c r="G506" s="88">
        <v>4425.6499999999996</v>
      </c>
      <c r="H506" s="230">
        <v>36553</v>
      </c>
    </row>
    <row r="507" spans="2:8" x14ac:dyDescent="0.3">
      <c r="B507" s="229" t="s">
        <v>923</v>
      </c>
      <c r="C507" s="88">
        <v>4275</v>
      </c>
      <c r="D507" s="88">
        <v>4402.1499999999996</v>
      </c>
      <c r="E507" s="88">
        <v>4252</v>
      </c>
      <c r="F507" s="88">
        <v>4391.75</v>
      </c>
      <c r="G507" s="88">
        <v>4391.75</v>
      </c>
      <c r="H507" s="230">
        <v>32043</v>
      </c>
    </row>
    <row r="508" spans="2:8" x14ac:dyDescent="0.3">
      <c r="B508" s="229" t="s">
        <v>924</v>
      </c>
      <c r="C508" s="88">
        <v>4350</v>
      </c>
      <c r="D508" s="88">
        <v>4414.8999999999996</v>
      </c>
      <c r="E508" s="88">
        <v>4222</v>
      </c>
      <c r="F508" s="88">
        <v>4250.95</v>
      </c>
      <c r="G508" s="88">
        <v>4250.95</v>
      </c>
      <c r="H508" s="230">
        <v>13478</v>
      </c>
    </row>
    <row r="509" spans="2:8" x14ac:dyDescent="0.3">
      <c r="B509" s="229" t="s">
        <v>925</v>
      </c>
      <c r="C509" s="88">
        <v>4250</v>
      </c>
      <c r="D509" s="88">
        <v>4366.3500000000004</v>
      </c>
      <c r="E509" s="88">
        <v>4226.3999999999996</v>
      </c>
      <c r="F509" s="88">
        <v>4315.8500000000004</v>
      </c>
      <c r="G509" s="88">
        <v>4315.8500000000004</v>
      </c>
      <c r="H509" s="230">
        <v>22105</v>
      </c>
    </row>
    <row r="510" spans="2:8" x14ac:dyDescent="0.3">
      <c r="B510" s="229" t="s">
        <v>926</v>
      </c>
      <c r="C510" s="88">
        <v>4334.6499999999996</v>
      </c>
      <c r="D510" s="88">
        <v>4412.75</v>
      </c>
      <c r="E510" s="88">
        <v>4275</v>
      </c>
      <c r="F510" s="88">
        <v>4283.2</v>
      </c>
      <c r="G510" s="88">
        <v>4283.2</v>
      </c>
      <c r="H510" s="230">
        <v>11571</v>
      </c>
    </row>
    <row r="511" spans="2:8" x14ac:dyDescent="0.3">
      <c r="B511" s="229" t="s">
        <v>927</v>
      </c>
      <c r="C511" s="88">
        <v>4321</v>
      </c>
      <c r="D511" s="88">
        <v>4447</v>
      </c>
      <c r="E511" s="88">
        <v>4220.8999999999996</v>
      </c>
      <c r="F511" s="88">
        <v>4373.2</v>
      </c>
      <c r="G511" s="88">
        <v>4373.2</v>
      </c>
      <c r="H511" s="230">
        <v>45592</v>
      </c>
    </row>
    <row r="512" spans="2:8" x14ac:dyDescent="0.3">
      <c r="B512" s="229" t="s">
        <v>928</v>
      </c>
      <c r="C512" s="88">
        <v>4421</v>
      </c>
      <c r="D512" s="88">
        <v>4474.3500000000004</v>
      </c>
      <c r="E512" s="88">
        <v>4350</v>
      </c>
      <c r="F512" s="88">
        <v>4368.6000000000004</v>
      </c>
      <c r="G512" s="88">
        <v>4368.6000000000004</v>
      </c>
      <c r="H512" s="230">
        <v>10201</v>
      </c>
    </row>
    <row r="513" spans="2:8" x14ac:dyDescent="0.3">
      <c r="B513" s="229" t="s">
        <v>929</v>
      </c>
      <c r="C513" s="88">
        <v>4276</v>
      </c>
      <c r="D513" s="88">
        <v>4448.05</v>
      </c>
      <c r="E513" s="88">
        <v>4262</v>
      </c>
      <c r="F513" s="88">
        <v>4430</v>
      </c>
      <c r="G513" s="88">
        <v>4430</v>
      </c>
      <c r="H513" s="230">
        <v>26417</v>
      </c>
    </row>
    <row r="514" spans="2:8" x14ac:dyDescent="0.3">
      <c r="B514" s="229" t="s">
        <v>930</v>
      </c>
      <c r="C514" s="88">
        <v>4350</v>
      </c>
      <c r="D514" s="88">
        <v>4391</v>
      </c>
      <c r="E514" s="88">
        <v>4291</v>
      </c>
      <c r="F514" s="88">
        <v>4307.2</v>
      </c>
      <c r="G514" s="88">
        <v>4307.2</v>
      </c>
      <c r="H514" s="230">
        <v>17109</v>
      </c>
    </row>
    <row r="515" spans="2:8" x14ac:dyDescent="0.3">
      <c r="B515" s="229" t="s">
        <v>931</v>
      </c>
      <c r="C515" s="88">
        <v>4390</v>
      </c>
      <c r="D515" s="88">
        <v>4412.7</v>
      </c>
      <c r="E515" s="88">
        <v>4328.8999999999996</v>
      </c>
      <c r="F515" s="88">
        <v>4350.1000000000004</v>
      </c>
      <c r="G515" s="88">
        <v>4350.1000000000004</v>
      </c>
      <c r="H515" s="230">
        <v>40147</v>
      </c>
    </row>
    <row r="516" spans="2:8" x14ac:dyDescent="0.3">
      <c r="B516" s="229" t="s">
        <v>932</v>
      </c>
      <c r="C516" s="88">
        <v>4325</v>
      </c>
      <c r="D516" s="88">
        <v>4414.3500000000004</v>
      </c>
      <c r="E516" s="88">
        <v>4276.55</v>
      </c>
      <c r="F516" s="88">
        <v>4349.5</v>
      </c>
      <c r="G516" s="88">
        <v>4349.5</v>
      </c>
      <c r="H516" s="230">
        <v>180679</v>
      </c>
    </row>
    <row r="517" spans="2:8" x14ac:dyDescent="0.3">
      <c r="B517" s="229" t="s">
        <v>933</v>
      </c>
      <c r="C517" s="88">
        <v>4496.3</v>
      </c>
      <c r="D517" s="88">
        <v>4550</v>
      </c>
      <c r="E517" s="88">
        <v>4287</v>
      </c>
      <c r="F517" s="88">
        <v>4320.5</v>
      </c>
      <c r="G517" s="88">
        <v>4320.5</v>
      </c>
      <c r="H517" s="230">
        <v>48203</v>
      </c>
    </row>
    <row r="518" spans="2:8" x14ac:dyDescent="0.3">
      <c r="B518" s="229" t="s">
        <v>934</v>
      </c>
      <c r="C518" s="88">
        <v>4486</v>
      </c>
      <c r="D518" s="88">
        <v>4540</v>
      </c>
      <c r="E518" s="88">
        <v>4475</v>
      </c>
      <c r="F518" s="88">
        <v>4526.6000000000004</v>
      </c>
      <c r="G518" s="88">
        <v>4526.6000000000004</v>
      </c>
      <c r="H518" s="230">
        <v>29140</v>
      </c>
    </row>
    <row r="519" spans="2:8" x14ac:dyDescent="0.3">
      <c r="B519" s="229" t="s">
        <v>935</v>
      </c>
      <c r="C519" s="88">
        <v>4440</v>
      </c>
      <c r="D519" s="88">
        <v>4520</v>
      </c>
      <c r="E519" s="88">
        <v>4426.1499999999996</v>
      </c>
      <c r="F519" s="88">
        <v>4480.8</v>
      </c>
      <c r="G519" s="88">
        <v>4480.8</v>
      </c>
      <c r="H519" s="230">
        <v>8360</v>
      </c>
    </row>
    <row r="520" spans="2:8" x14ac:dyDescent="0.3">
      <c r="B520" s="229" t="s">
        <v>936</v>
      </c>
      <c r="C520" s="88">
        <v>4450</v>
      </c>
      <c r="D520" s="88">
        <v>4509.8999999999996</v>
      </c>
      <c r="E520" s="88">
        <v>4450</v>
      </c>
      <c r="F520" s="88">
        <v>4489.6499999999996</v>
      </c>
      <c r="G520" s="88">
        <v>4489.6499999999996</v>
      </c>
      <c r="H520" s="230">
        <v>26908</v>
      </c>
    </row>
    <row r="521" spans="2:8" x14ac:dyDescent="0.3">
      <c r="B521" s="229" t="s">
        <v>937</v>
      </c>
      <c r="C521" s="88">
        <v>4425</v>
      </c>
      <c r="D521" s="88">
        <v>4475.1499999999996</v>
      </c>
      <c r="E521" s="88">
        <v>4405.95</v>
      </c>
      <c r="F521" s="88">
        <v>4445.3</v>
      </c>
      <c r="G521" s="88">
        <v>4445.3</v>
      </c>
      <c r="H521" s="230">
        <v>12997</v>
      </c>
    </row>
    <row r="522" spans="2:8" x14ac:dyDescent="0.3">
      <c r="B522" s="229" t="s">
        <v>938</v>
      </c>
      <c r="C522" s="88">
        <v>4430</v>
      </c>
      <c r="D522" s="88">
        <v>4449.8</v>
      </c>
      <c r="E522" s="88">
        <v>4369.8999999999996</v>
      </c>
      <c r="F522" s="88">
        <v>4382.95</v>
      </c>
      <c r="G522" s="88">
        <v>4382.95</v>
      </c>
      <c r="H522" s="230">
        <v>18291</v>
      </c>
    </row>
    <row r="523" spans="2:8" x14ac:dyDescent="0.3">
      <c r="B523" s="229" t="s">
        <v>939</v>
      </c>
      <c r="C523" s="88">
        <v>4484</v>
      </c>
      <c r="D523" s="88">
        <v>4491.7</v>
      </c>
      <c r="E523" s="88">
        <v>4391</v>
      </c>
      <c r="F523" s="88">
        <v>4405.95</v>
      </c>
      <c r="G523" s="88">
        <v>4405.95</v>
      </c>
      <c r="H523" s="230">
        <v>17488</v>
      </c>
    </row>
    <row r="524" spans="2:8" x14ac:dyDescent="0.3">
      <c r="B524" s="229" t="s">
        <v>940</v>
      </c>
      <c r="C524" s="88">
        <v>4540</v>
      </c>
      <c r="D524" s="88">
        <v>4546.8</v>
      </c>
      <c r="E524" s="88">
        <v>4405</v>
      </c>
      <c r="F524" s="88">
        <v>4432.8999999999996</v>
      </c>
      <c r="G524" s="88">
        <v>4432.8999999999996</v>
      </c>
      <c r="H524" s="230">
        <v>11258</v>
      </c>
    </row>
    <row r="525" spans="2:8" x14ac:dyDescent="0.3">
      <c r="B525" s="229" t="s">
        <v>941</v>
      </c>
      <c r="C525" s="88">
        <v>4585</v>
      </c>
      <c r="D525" s="88">
        <v>4605.05</v>
      </c>
      <c r="E525" s="88">
        <v>4532.55</v>
      </c>
      <c r="F525" s="88">
        <v>4555.45</v>
      </c>
      <c r="G525" s="88">
        <v>4555.45</v>
      </c>
      <c r="H525" s="230">
        <v>6158</v>
      </c>
    </row>
    <row r="526" spans="2:8" x14ac:dyDescent="0.3">
      <c r="B526" s="229" t="s">
        <v>942</v>
      </c>
      <c r="C526" s="88">
        <v>4575.1000000000004</v>
      </c>
      <c r="D526" s="88">
        <v>4605.25</v>
      </c>
      <c r="E526" s="88">
        <v>4550</v>
      </c>
      <c r="F526" s="88">
        <v>4575</v>
      </c>
      <c r="G526" s="88">
        <v>4575</v>
      </c>
      <c r="H526" s="230">
        <v>8944</v>
      </c>
    </row>
    <row r="527" spans="2:8" x14ac:dyDescent="0.3">
      <c r="B527" s="229" t="s">
        <v>943</v>
      </c>
      <c r="C527" s="88">
        <v>4560.05</v>
      </c>
      <c r="D527" s="88">
        <v>4606</v>
      </c>
      <c r="E527" s="88">
        <v>4512.6000000000004</v>
      </c>
      <c r="F527" s="88">
        <v>4576.1499999999996</v>
      </c>
      <c r="G527" s="88">
        <v>4576.1499999999996</v>
      </c>
      <c r="H527" s="230">
        <v>27611</v>
      </c>
    </row>
    <row r="528" spans="2:8" x14ac:dyDescent="0.3">
      <c r="B528" s="229" t="s">
        <v>944</v>
      </c>
      <c r="C528" s="88">
        <v>4475.05</v>
      </c>
      <c r="D528" s="88">
        <v>4599</v>
      </c>
      <c r="E528" s="88">
        <v>4462.3500000000004</v>
      </c>
      <c r="F528" s="88">
        <v>4569.2</v>
      </c>
      <c r="G528" s="88">
        <v>4569.2</v>
      </c>
      <c r="H528" s="230">
        <v>20781</v>
      </c>
    </row>
    <row r="529" spans="2:8" x14ac:dyDescent="0.3">
      <c r="B529" s="229" t="s">
        <v>945</v>
      </c>
      <c r="C529" s="88">
        <v>4466</v>
      </c>
      <c r="D529" s="88">
        <v>4550</v>
      </c>
      <c r="E529" s="88">
        <v>4466</v>
      </c>
      <c r="F529" s="88">
        <v>4531.25</v>
      </c>
      <c r="G529" s="88">
        <v>4531.25</v>
      </c>
      <c r="H529" s="230">
        <v>14824</v>
      </c>
    </row>
    <row r="530" spans="2:8" x14ac:dyDescent="0.3">
      <c r="B530" s="229" t="s">
        <v>946</v>
      </c>
      <c r="C530" s="88">
        <v>4270</v>
      </c>
      <c r="D530" s="88">
        <v>4446</v>
      </c>
      <c r="E530" s="88">
        <v>4270</v>
      </c>
      <c r="F530" s="88">
        <v>4431.1499999999996</v>
      </c>
      <c r="G530" s="88">
        <v>4431.1499999999996</v>
      </c>
      <c r="H530" s="230">
        <v>17514</v>
      </c>
    </row>
    <row r="531" spans="2:8" x14ac:dyDescent="0.3">
      <c r="B531" s="229" t="s">
        <v>947</v>
      </c>
      <c r="C531" s="88">
        <v>4384</v>
      </c>
      <c r="D531" s="88">
        <v>4415</v>
      </c>
      <c r="E531" s="88">
        <v>4377.25</v>
      </c>
      <c r="F531" s="88">
        <v>4409.6000000000004</v>
      </c>
      <c r="G531" s="88">
        <v>4409.6000000000004</v>
      </c>
      <c r="H531" s="230">
        <v>7538</v>
      </c>
    </row>
    <row r="532" spans="2:8" x14ac:dyDescent="0.3">
      <c r="B532" s="229" t="s">
        <v>948</v>
      </c>
      <c r="C532" s="88">
        <v>4319</v>
      </c>
      <c r="D532" s="88">
        <v>4395.6499999999996</v>
      </c>
      <c r="E532" s="88">
        <v>4314.55</v>
      </c>
      <c r="F532" s="88">
        <v>4339.5</v>
      </c>
      <c r="G532" s="88">
        <v>4339.5</v>
      </c>
      <c r="H532" s="230">
        <v>7597</v>
      </c>
    </row>
    <row r="533" spans="2:8" x14ac:dyDescent="0.3">
      <c r="B533" s="229" t="s">
        <v>949</v>
      </c>
      <c r="C533" s="88">
        <v>4261</v>
      </c>
      <c r="D533" s="88">
        <v>4356.6499999999996</v>
      </c>
      <c r="E533" s="88">
        <v>4261</v>
      </c>
      <c r="F533" s="88">
        <v>4303.7</v>
      </c>
      <c r="G533" s="88">
        <v>4303.7</v>
      </c>
      <c r="H533" s="230">
        <v>21548</v>
      </c>
    </row>
    <row r="534" spans="2:8" x14ac:dyDescent="0.3">
      <c r="B534" s="229" t="s">
        <v>950</v>
      </c>
      <c r="C534" s="88">
        <v>4176</v>
      </c>
      <c r="D534" s="88">
        <v>4299.1000000000004</v>
      </c>
      <c r="E534" s="88">
        <v>4168.05</v>
      </c>
      <c r="F534" s="88">
        <v>4259.7</v>
      </c>
      <c r="G534" s="88">
        <v>4259.7</v>
      </c>
      <c r="H534" s="230">
        <v>27058</v>
      </c>
    </row>
    <row r="535" spans="2:8" x14ac:dyDescent="0.3">
      <c r="B535" s="229" t="s">
        <v>951</v>
      </c>
      <c r="C535" s="88">
        <v>4379</v>
      </c>
      <c r="D535" s="88">
        <v>4379</v>
      </c>
      <c r="E535" s="88">
        <v>4233.75</v>
      </c>
      <c r="F535" s="88">
        <v>4251.05</v>
      </c>
      <c r="G535" s="88">
        <v>4251.05</v>
      </c>
      <c r="H535" s="230">
        <v>11983</v>
      </c>
    </row>
    <row r="536" spans="2:8" x14ac:dyDescent="0.3">
      <c r="B536" s="229" t="s">
        <v>952</v>
      </c>
      <c r="C536" s="88">
        <v>4490</v>
      </c>
      <c r="D536" s="88">
        <v>4524</v>
      </c>
      <c r="E536" s="88">
        <v>4351.1499999999996</v>
      </c>
      <c r="F536" s="88">
        <v>4379.7</v>
      </c>
      <c r="G536" s="88">
        <v>4379.7</v>
      </c>
      <c r="H536" s="230">
        <v>51376</v>
      </c>
    </row>
    <row r="537" spans="2:8" x14ac:dyDescent="0.3">
      <c r="B537" s="229" t="s">
        <v>953</v>
      </c>
      <c r="C537" s="88">
        <v>4411</v>
      </c>
      <c r="D537" s="88">
        <v>4494.3500000000004</v>
      </c>
      <c r="E537" s="88">
        <v>4402</v>
      </c>
      <c r="F537" s="88">
        <v>4461.6499999999996</v>
      </c>
      <c r="G537" s="88">
        <v>4461.6499999999996</v>
      </c>
      <c r="H537" s="230">
        <v>17527</v>
      </c>
    </row>
    <row r="538" spans="2:8" x14ac:dyDescent="0.3">
      <c r="B538" s="229" t="s">
        <v>954</v>
      </c>
      <c r="C538" s="88">
        <v>4425</v>
      </c>
      <c r="D538" s="88">
        <v>4437.6000000000004</v>
      </c>
      <c r="E538" s="88">
        <v>4369.1000000000004</v>
      </c>
      <c r="F538" s="88">
        <v>4397.2</v>
      </c>
      <c r="G538" s="88">
        <v>4397.2</v>
      </c>
      <c r="H538" s="230">
        <v>36735</v>
      </c>
    </row>
    <row r="539" spans="2:8" x14ac:dyDescent="0.3">
      <c r="B539" s="229" t="s">
        <v>955</v>
      </c>
      <c r="C539" s="88">
        <v>4350</v>
      </c>
      <c r="D539" s="88">
        <v>4410.95</v>
      </c>
      <c r="E539" s="88">
        <v>4350</v>
      </c>
      <c r="F539" s="88">
        <v>4402.45</v>
      </c>
      <c r="G539" s="88">
        <v>4402.45</v>
      </c>
      <c r="H539" s="230">
        <v>12570</v>
      </c>
    </row>
    <row r="540" spans="2:8" x14ac:dyDescent="0.3">
      <c r="B540" s="229" t="s">
        <v>956</v>
      </c>
      <c r="C540" s="88">
        <v>4274.8500000000004</v>
      </c>
      <c r="D540" s="88">
        <v>4385.3</v>
      </c>
      <c r="E540" s="88">
        <v>4252.6499999999996</v>
      </c>
      <c r="F540" s="88">
        <v>4335.55</v>
      </c>
      <c r="G540" s="88">
        <v>4335.55</v>
      </c>
      <c r="H540" s="230">
        <v>43947</v>
      </c>
    </row>
    <row r="541" spans="2:8" x14ac:dyDescent="0.3">
      <c r="B541" s="229" t="s">
        <v>957</v>
      </c>
      <c r="C541" s="88">
        <v>4290</v>
      </c>
      <c r="D541" s="88">
        <v>4295</v>
      </c>
      <c r="E541" s="88">
        <v>4255.2</v>
      </c>
      <c r="F541" s="88">
        <v>4275.3</v>
      </c>
      <c r="G541" s="88">
        <v>4275.3</v>
      </c>
      <c r="H541" s="230">
        <v>14930</v>
      </c>
    </row>
    <row r="542" spans="2:8" x14ac:dyDescent="0.3">
      <c r="B542" s="229" t="s">
        <v>958</v>
      </c>
      <c r="C542" s="88">
        <v>4265</v>
      </c>
      <c r="D542" s="88">
        <v>4279.45</v>
      </c>
      <c r="E542" s="88">
        <v>4218.8500000000004</v>
      </c>
      <c r="F542" s="88">
        <v>4249.7</v>
      </c>
      <c r="G542" s="88">
        <v>4249.7</v>
      </c>
      <c r="H542" s="230">
        <v>7218</v>
      </c>
    </row>
    <row r="543" spans="2:8" x14ac:dyDescent="0.3">
      <c r="B543" s="229" t="s">
        <v>959</v>
      </c>
      <c r="C543" s="88">
        <v>4226</v>
      </c>
      <c r="D543" s="88">
        <v>4265.05</v>
      </c>
      <c r="E543" s="88">
        <v>4226</v>
      </c>
      <c r="F543" s="88">
        <v>4249.55</v>
      </c>
      <c r="G543" s="88">
        <v>4249.55</v>
      </c>
      <c r="H543" s="230">
        <v>14653</v>
      </c>
    </row>
    <row r="544" spans="2:8" x14ac:dyDescent="0.3">
      <c r="B544" s="229" t="s">
        <v>960</v>
      </c>
      <c r="C544" s="88">
        <v>4245</v>
      </c>
      <c r="D544" s="88">
        <v>4295</v>
      </c>
      <c r="E544" s="88">
        <v>4189.7</v>
      </c>
      <c r="F544" s="88">
        <v>4235.3500000000004</v>
      </c>
      <c r="G544" s="88">
        <v>4235.3500000000004</v>
      </c>
      <c r="H544" s="230">
        <v>15841</v>
      </c>
    </row>
    <row r="545" spans="2:8" x14ac:dyDescent="0.3">
      <c r="B545" s="229" t="s">
        <v>961</v>
      </c>
      <c r="C545" s="88">
        <v>4271.3</v>
      </c>
      <c r="D545" s="88">
        <v>4320</v>
      </c>
      <c r="E545" s="88">
        <v>4177</v>
      </c>
      <c r="F545" s="88">
        <v>4237.05</v>
      </c>
      <c r="G545" s="88">
        <v>4237.05</v>
      </c>
      <c r="H545" s="230">
        <v>15338</v>
      </c>
    </row>
    <row r="546" spans="2:8" x14ac:dyDescent="0.3">
      <c r="B546" s="229" t="s">
        <v>962</v>
      </c>
      <c r="C546" s="88">
        <v>4257</v>
      </c>
      <c r="D546" s="88">
        <v>4296.55</v>
      </c>
      <c r="E546" s="88">
        <v>4180.55</v>
      </c>
      <c r="F546" s="88">
        <v>4249.3999999999996</v>
      </c>
      <c r="G546" s="88">
        <v>4249.3999999999996</v>
      </c>
      <c r="H546" s="230">
        <v>10949</v>
      </c>
    </row>
    <row r="547" spans="2:8" x14ac:dyDescent="0.3">
      <c r="B547" s="229" t="s">
        <v>963</v>
      </c>
      <c r="C547" s="88">
        <v>4306.6499999999996</v>
      </c>
      <c r="D547" s="88">
        <v>4306.6499999999996</v>
      </c>
      <c r="E547" s="88">
        <v>4219.3</v>
      </c>
      <c r="F547" s="88">
        <v>4257.7</v>
      </c>
      <c r="G547" s="88">
        <v>4257.7</v>
      </c>
      <c r="H547" s="230">
        <v>8920</v>
      </c>
    </row>
    <row r="548" spans="2:8" x14ac:dyDescent="0.3">
      <c r="B548" s="229" t="s">
        <v>964</v>
      </c>
      <c r="C548" s="88">
        <v>4245.5</v>
      </c>
      <c r="D548" s="88">
        <v>4316.7</v>
      </c>
      <c r="E548" s="88">
        <v>4245.5</v>
      </c>
      <c r="F548" s="88">
        <v>4306.6499999999996</v>
      </c>
      <c r="G548" s="88">
        <v>4306.6499999999996</v>
      </c>
      <c r="H548" s="230">
        <v>203538</v>
      </c>
    </row>
    <row r="549" spans="2:8" x14ac:dyDescent="0.3">
      <c r="B549" s="229" t="s">
        <v>965</v>
      </c>
      <c r="C549" s="88">
        <v>4224.75</v>
      </c>
      <c r="D549" s="88">
        <v>4250</v>
      </c>
      <c r="E549" s="88">
        <v>4185</v>
      </c>
      <c r="F549" s="88">
        <v>4242.95</v>
      </c>
      <c r="G549" s="88">
        <v>4242.95</v>
      </c>
      <c r="H549" s="230">
        <v>22169</v>
      </c>
    </row>
    <row r="550" spans="2:8" x14ac:dyDescent="0.3">
      <c r="B550" s="229" t="s">
        <v>966</v>
      </c>
      <c r="C550" s="88">
        <v>4029</v>
      </c>
      <c r="D550" s="88">
        <v>4167.2</v>
      </c>
      <c r="E550" s="88">
        <v>3998.85</v>
      </c>
      <c r="F550" s="88">
        <v>4147.25</v>
      </c>
      <c r="G550" s="88">
        <v>4147.25</v>
      </c>
      <c r="H550" s="230">
        <v>26983</v>
      </c>
    </row>
    <row r="551" spans="2:8" x14ac:dyDescent="0.3">
      <c r="B551" s="229" t="s">
        <v>967</v>
      </c>
      <c r="C551" s="88">
        <v>3931</v>
      </c>
      <c r="D551" s="88">
        <v>4009.95</v>
      </c>
      <c r="E551" s="88">
        <v>3920</v>
      </c>
      <c r="F551" s="88">
        <v>3998.15</v>
      </c>
      <c r="G551" s="88">
        <v>3998.15</v>
      </c>
      <c r="H551" s="230">
        <v>23200</v>
      </c>
    </row>
    <row r="552" spans="2:8" x14ac:dyDescent="0.3">
      <c r="B552" s="229" t="s">
        <v>968</v>
      </c>
      <c r="C552" s="88">
        <v>4040</v>
      </c>
      <c r="D552" s="88">
        <v>4040</v>
      </c>
      <c r="E552" s="88">
        <v>3906.8</v>
      </c>
      <c r="F552" s="88">
        <v>3932.55</v>
      </c>
      <c r="G552" s="88">
        <v>3932.55</v>
      </c>
      <c r="H552" s="230">
        <v>23672</v>
      </c>
    </row>
    <row r="553" spans="2:8" x14ac:dyDescent="0.3">
      <c r="B553" s="229" t="s">
        <v>969</v>
      </c>
      <c r="C553" s="88">
        <v>3979</v>
      </c>
      <c r="D553" s="88">
        <v>4050</v>
      </c>
      <c r="E553" s="88">
        <v>3936.55</v>
      </c>
      <c r="F553" s="88">
        <v>4040.95</v>
      </c>
      <c r="G553" s="88">
        <v>4040.95</v>
      </c>
      <c r="H553" s="230">
        <v>21215</v>
      </c>
    </row>
    <row r="554" spans="2:8" x14ac:dyDescent="0.3">
      <c r="B554" s="229" t="s">
        <v>970</v>
      </c>
      <c r="C554" s="88">
        <v>4064</v>
      </c>
      <c r="D554" s="88">
        <v>4070.35</v>
      </c>
      <c r="E554" s="88">
        <v>3953.05</v>
      </c>
      <c r="F554" s="88">
        <v>3961.75</v>
      </c>
      <c r="G554" s="88">
        <v>3961.75</v>
      </c>
      <c r="H554" s="230">
        <v>21250</v>
      </c>
    </row>
    <row r="555" spans="2:8" x14ac:dyDescent="0.3">
      <c r="B555" s="229" t="s">
        <v>971</v>
      </c>
      <c r="C555" s="88">
        <v>3940</v>
      </c>
      <c r="D555" s="88">
        <v>4055</v>
      </c>
      <c r="E555" s="88">
        <v>3923.5</v>
      </c>
      <c r="F555" s="88">
        <v>4034.25</v>
      </c>
      <c r="G555" s="88">
        <v>4034.25</v>
      </c>
      <c r="H555" s="230">
        <v>21344</v>
      </c>
    </row>
    <row r="556" spans="2:8" x14ac:dyDescent="0.3">
      <c r="B556" s="229" t="s">
        <v>972</v>
      </c>
      <c r="C556" s="88">
        <v>3974.95</v>
      </c>
      <c r="D556" s="88">
        <v>3974.95</v>
      </c>
      <c r="E556" s="88">
        <v>3901.05</v>
      </c>
      <c r="F556" s="88">
        <v>3912.55</v>
      </c>
      <c r="G556" s="88">
        <v>3912.55</v>
      </c>
      <c r="H556" s="230">
        <v>9985</v>
      </c>
    </row>
    <row r="557" spans="2:8" x14ac:dyDescent="0.3">
      <c r="B557" s="229" t="s">
        <v>973</v>
      </c>
      <c r="C557" s="88">
        <v>3929</v>
      </c>
      <c r="D557" s="88">
        <v>3941</v>
      </c>
      <c r="E557" s="88">
        <v>3912.15</v>
      </c>
      <c r="F557" s="88">
        <v>3930.05</v>
      </c>
      <c r="G557" s="88">
        <v>3930.05</v>
      </c>
      <c r="H557" s="230">
        <v>6414</v>
      </c>
    </row>
    <row r="558" spans="2:8" x14ac:dyDescent="0.3">
      <c r="B558" s="229" t="s">
        <v>974</v>
      </c>
      <c r="C558" s="88">
        <v>3950</v>
      </c>
      <c r="D558" s="88">
        <v>3967</v>
      </c>
      <c r="E558" s="88">
        <v>3922.8</v>
      </c>
      <c r="F558" s="88">
        <v>3943.5</v>
      </c>
      <c r="G558" s="88">
        <v>3943.5</v>
      </c>
      <c r="H558" s="230">
        <v>202516</v>
      </c>
    </row>
    <row r="559" spans="2:8" x14ac:dyDescent="0.3">
      <c r="B559" s="229" t="s">
        <v>975</v>
      </c>
      <c r="C559" s="88">
        <v>3925</v>
      </c>
      <c r="D559" s="88">
        <v>3939.95</v>
      </c>
      <c r="E559" s="88">
        <v>3890</v>
      </c>
      <c r="F559" s="88">
        <v>3926.45</v>
      </c>
      <c r="G559" s="88">
        <v>3926.45</v>
      </c>
      <c r="H559" s="230">
        <v>6891</v>
      </c>
    </row>
    <row r="560" spans="2:8" x14ac:dyDescent="0.3">
      <c r="B560" s="229" t="s">
        <v>976</v>
      </c>
      <c r="C560" s="88">
        <v>3905</v>
      </c>
      <c r="D560" s="88">
        <v>3942.95</v>
      </c>
      <c r="E560" s="88">
        <v>3883.15</v>
      </c>
      <c r="F560" s="88">
        <v>3923.4</v>
      </c>
      <c r="G560" s="88">
        <v>3923.4</v>
      </c>
      <c r="H560" s="230">
        <v>12096</v>
      </c>
    </row>
    <row r="561" spans="2:8" x14ac:dyDescent="0.3">
      <c r="B561" s="229" t="s">
        <v>977</v>
      </c>
      <c r="C561" s="88">
        <v>3895</v>
      </c>
      <c r="D561" s="88">
        <v>3942</v>
      </c>
      <c r="E561" s="88">
        <v>3870</v>
      </c>
      <c r="F561" s="88">
        <v>3881.1</v>
      </c>
      <c r="G561" s="88">
        <v>3881.1</v>
      </c>
      <c r="H561" s="230">
        <v>32185</v>
      </c>
    </row>
    <row r="562" spans="2:8" x14ac:dyDescent="0.3">
      <c r="B562" s="229" t="s">
        <v>978</v>
      </c>
      <c r="C562" s="88">
        <v>3986.15</v>
      </c>
      <c r="D562" s="88">
        <v>3986.15</v>
      </c>
      <c r="E562" s="88">
        <v>3854.85</v>
      </c>
      <c r="F562" s="88">
        <v>3882.1</v>
      </c>
      <c r="G562" s="88">
        <v>3882.1</v>
      </c>
      <c r="H562" s="230">
        <v>23742</v>
      </c>
    </row>
    <row r="563" spans="2:8" x14ac:dyDescent="0.3">
      <c r="B563" s="229" t="s">
        <v>979</v>
      </c>
      <c r="C563" s="88">
        <v>4023</v>
      </c>
      <c r="D563" s="88">
        <v>4091.9</v>
      </c>
      <c r="E563" s="88">
        <v>3890</v>
      </c>
      <c r="F563" s="88">
        <v>3986.15</v>
      </c>
      <c r="G563" s="88">
        <v>3986.15</v>
      </c>
      <c r="H563" s="230">
        <v>157042</v>
      </c>
    </row>
    <row r="564" spans="2:8" x14ac:dyDescent="0.3">
      <c r="B564" s="229" t="s">
        <v>980</v>
      </c>
      <c r="C564" s="88">
        <v>3890.4</v>
      </c>
      <c r="D564" s="88">
        <v>3974</v>
      </c>
      <c r="E564" s="88">
        <v>3852</v>
      </c>
      <c r="F564" s="88">
        <v>3942.05</v>
      </c>
      <c r="G564" s="88">
        <v>3942.05</v>
      </c>
      <c r="H564" s="230">
        <v>22821</v>
      </c>
    </row>
    <row r="565" spans="2:8" x14ac:dyDescent="0.3">
      <c r="B565" s="229" t="s">
        <v>981</v>
      </c>
      <c r="C565" s="88">
        <v>3868.15</v>
      </c>
      <c r="D565" s="88">
        <v>3930</v>
      </c>
      <c r="E565" s="88">
        <v>3830.05</v>
      </c>
      <c r="F565" s="88">
        <v>3849.65</v>
      </c>
      <c r="G565" s="88">
        <v>3849.65</v>
      </c>
      <c r="H565" s="230">
        <v>45074</v>
      </c>
    </row>
    <row r="566" spans="2:8" x14ac:dyDescent="0.3">
      <c r="B566" s="229" t="s">
        <v>982</v>
      </c>
      <c r="C566" s="88">
        <v>3645</v>
      </c>
      <c r="D566" s="88">
        <v>3830.1</v>
      </c>
      <c r="E566" s="88">
        <v>3645</v>
      </c>
      <c r="F566" s="88">
        <v>3801.45</v>
      </c>
      <c r="G566" s="88">
        <v>3801.45</v>
      </c>
      <c r="H566" s="230">
        <v>28153</v>
      </c>
    </row>
    <row r="567" spans="2:8" x14ac:dyDescent="0.3">
      <c r="B567" s="229" t="s">
        <v>983</v>
      </c>
      <c r="C567" s="88">
        <v>3520</v>
      </c>
      <c r="D567" s="88">
        <v>3650</v>
      </c>
      <c r="E567" s="88">
        <v>3518</v>
      </c>
      <c r="F567" s="88">
        <v>3638.95</v>
      </c>
      <c r="G567" s="88">
        <v>3638.95</v>
      </c>
      <c r="H567" s="230">
        <v>63440</v>
      </c>
    </row>
    <row r="568" spans="2:8" x14ac:dyDescent="0.3">
      <c r="B568" s="229" t="s">
        <v>984</v>
      </c>
      <c r="C568" s="88">
        <v>3538</v>
      </c>
      <c r="D568" s="88">
        <v>3554.7</v>
      </c>
      <c r="E568" s="88">
        <v>3460.65</v>
      </c>
      <c r="F568" s="88">
        <v>3495.6</v>
      </c>
      <c r="G568" s="88">
        <v>3495.6</v>
      </c>
      <c r="H568" s="230">
        <v>26640</v>
      </c>
    </row>
    <row r="569" spans="2:8" x14ac:dyDescent="0.3">
      <c r="B569" s="229" t="s">
        <v>985</v>
      </c>
      <c r="C569" s="88">
        <v>3396.3</v>
      </c>
      <c r="D569" s="88">
        <v>3403.75</v>
      </c>
      <c r="E569" s="88">
        <v>3332.7</v>
      </c>
      <c r="F569" s="88">
        <v>3386.85</v>
      </c>
      <c r="G569" s="88">
        <v>3386.85</v>
      </c>
      <c r="H569" s="230">
        <v>10837</v>
      </c>
    </row>
    <row r="570" spans="2:8" x14ac:dyDescent="0.3">
      <c r="B570" s="229" t="s">
        <v>986</v>
      </c>
      <c r="C570" s="88">
        <v>3470</v>
      </c>
      <c r="D570" s="88">
        <v>3473.8</v>
      </c>
      <c r="E570" s="88">
        <v>3370</v>
      </c>
      <c r="F570" s="88">
        <v>3396.3</v>
      </c>
      <c r="G570" s="88">
        <v>3396.3</v>
      </c>
      <c r="H570" s="230">
        <v>7967</v>
      </c>
    </row>
    <row r="571" spans="2:8" x14ac:dyDescent="0.3">
      <c r="B571" s="229" t="s">
        <v>987</v>
      </c>
      <c r="C571" s="88">
        <v>3459</v>
      </c>
      <c r="D571" s="88">
        <v>3525.4</v>
      </c>
      <c r="E571" s="88">
        <v>3427</v>
      </c>
      <c r="F571" s="88">
        <v>3443.95</v>
      </c>
      <c r="G571" s="88">
        <v>3443.95</v>
      </c>
      <c r="H571" s="230">
        <v>11026</v>
      </c>
    </row>
    <row r="572" spans="2:8" x14ac:dyDescent="0.3">
      <c r="B572" s="229" t="s">
        <v>988</v>
      </c>
      <c r="C572" s="88">
        <v>3413.9</v>
      </c>
      <c r="D572" s="88">
        <v>3495</v>
      </c>
      <c r="E572" s="88">
        <v>3374.85</v>
      </c>
      <c r="F572" s="88">
        <v>3479.1</v>
      </c>
      <c r="G572" s="88">
        <v>3479.1</v>
      </c>
      <c r="H572" s="230">
        <v>13975</v>
      </c>
    </row>
    <row r="573" spans="2:8" x14ac:dyDescent="0.3">
      <c r="B573" s="229" t="s">
        <v>989</v>
      </c>
      <c r="C573" s="88">
        <v>3460</v>
      </c>
      <c r="D573" s="88">
        <v>3460</v>
      </c>
      <c r="E573" s="88">
        <v>3399</v>
      </c>
      <c r="F573" s="88">
        <v>3406.65</v>
      </c>
      <c r="G573" s="88">
        <v>3406.65</v>
      </c>
      <c r="H573" s="230">
        <v>8699</v>
      </c>
    </row>
    <row r="574" spans="2:8" x14ac:dyDescent="0.3">
      <c r="B574" s="229" t="s">
        <v>990</v>
      </c>
      <c r="C574" s="88">
        <v>3489.9</v>
      </c>
      <c r="D574" s="88">
        <v>3489.9</v>
      </c>
      <c r="E574" s="88">
        <v>3392</v>
      </c>
      <c r="F574" s="88">
        <v>3411.15</v>
      </c>
      <c r="G574" s="88">
        <v>3411.15</v>
      </c>
      <c r="H574" s="230">
        <v>15181</v>
      </c>
    </row>
    <row r="575" spans="2:8" x14ac:dyDescent="0.3">
      <c r="B575" s="229" t="s">
        <v>991</v>
      </c>
      <c r="C575" s="88">
        <v>3470</v>
      </c>
      <c r="D575" s="88">
        <v>3503.05</v>
      </c>
      <c r="E575" s="88">
        <v>3390.35</v>
      </c>
      <c r="F575" s="88">
        <v>3438.9</v>
      </c>
      <c r="G575" s="88">
        <v>3438.9</v>
      </c>
      <c r="H575" s="230">
        <v>33395</v>
      </c>
    </row>
    <row r="576" spans="2:8" x14ac:dyDescent="0.3">
      <c r="B576" s="229" t="s">
        <v>992</v>
      </c>
      <c r="C576" s="88">
        <v>3520</v>
      </c>
      <c r="D576" s="88">
        <v>3520.1</v>
      </c>
      <c r="E576" s="88">
        <v>3468</v>
      </c>
      <c r="F576" s="88">
        <v>3489.95</v>
      </c>
      <c r="G576" s="88">
        <v>3489.95</v>
      </c>
      <c r="H576" s="230">
        <v>6421</v>
      </c>
    </row>
    <row r="577" spans="2:8" x14ac:dyDescent="0.3">
      <c r="B577" s="229" t="s">
        <v>993</v>
      </c>
      <c r="C577" s="88">
        <v>3513.9</v>
      </c>
      <c r="D577" s="88">
        <v>3545.1</v>
      </c>
      <c r="E577" s="88">
        <v>3451</v>
      </c>
      <c r="F577" s="88">
        <v>3516.35</v>
      </c>
      <c r="G577" s="88">
        <v>3516.35</v>
      </c>
      <c r="H577" s="230">
        <v>14872</v>
      </c>
    </row>
    <row r="578" spans="2:8" x14ac:dyDescent="0.3">
      <c r="B578" s="229" t="s">
        <v>994</v>
      </c>
      <c r="C578" s="88">
        <v>3499</v>
      </c>
      <c r="D578" s="88">
        <v>3544.65</v>
      </c>
      <c r="E578" s="88">
        <v>3458.25</v>
      </c>
      <c r="F578" s="88">
        <v>3477.5</v>
      </c>
      <c r="G578" s="88">
        <v>3477.5</v>
      </c>
      <c r="H578" s="230">
        <v>12181</v>
      </c>
    </row>
    <row r="579" spans="2:8" x14ac:dyDescent="0.3">
      <c r="B579" s="229" t="s">
        <v>995</v>
      </c>
      <c r="C579" s="88">
        <v>3684</v>
      </c>
      <c r="D579" s="88">
        <v>3684</v>
      </c>
      <c r="E579" s="88">
        <v>3414.75</v>
      </c>
      <c r="F579" s="88">
        <v>3460.35</v>
      </c>
      <c r="G579" s="88">
        <v>3460.35</v>
      </c>
      <c r="H579" s="230">
        <v>30838</v>
      </c>
    </row>
    <row r="580" spans="2:8" x14ac:dyDescent="0.3">
      <c r="B580" s="229" t="s">
        <v>996</v>
      </c>
      <c r="C580" s="88">
        <v>3735.9</v>
      </c>
      <c r="D580" s="88">
        <v>3735.9</v>
      </c>
      <c r="E580" s="88">
        <v>3562.6</v>
      </c>
      <c r="F580" s="88">
        <v>3678.75</v>
      </c>
      <c r="G580" s="88">
        <v>3678.75</v>
      </c>
      <c r="H580" s="230">
        <v>12783</v>
      </c>
    </row>
    <row r="581" spans="2:8" x14ac:dyDescent="0.3">
      <c r="B581" s="229" t="s">
        <v>997</v>
      </c>
      <c r="C581" s="88">
        <v>3669</v>
      </c>
      <c r="D581" s="88">
        <v>3744</v>
      </c>
      <c r="E581" s="88">
        <v>3645</v>
      </c>
      <c r="F581" s="88">
        <v>3662.6</v>
      </c>
      <c r="G581" s="88">
        <v>3662.6</v>
      </c>
      <c r="H581" s="230">
        <v>9916</v>
      </c>
    </row>
    <row r="582" spans="2:8" x14ac:dyDescent="0.3">
      <c r="B582" s="229" t="s">
        <v>998</v>
      </c>
      <c r="C582" s="88">
        <v>3645</v>
      </c>
      <c r="D582" s="88">
        <v>3712.55</v>
      </c>
      <c r="E582" s="88">
        <v>3553</v>
      </c>
      <c r="F582" s="88">
        <v>3642.25</v>
      </c>
      <c r="G582" s="88">
        <v>3642.25</v>
      </c>
      <c r="H582" s="230">
        <v>27237</v>
      </c>
    </row>
    <row r="583" spans="2:8" x14ac:dyDescent="0.3">
      <c r="B583" s="229" t="s">
        <v>999</v>
      </c>
      <c r="C583" s="88">
        <v>3730</v>
      </c>
      <c r="D583" s="88">
        <v>3742.85</v>
      </c>
      <c r="E583" s="88">
        <v>3643.5</v>
      </c>
      <c r="F583" s="88">
        <v>3660.55</v>
      </c>
      <c r="G583" s="88">
        <v>3660.55</v>
      </c>
      <c r="H583" s="230">
        <v>11396</v>
      </c>
    </row>
    <row r="584" spans="2:8" x14ac:dyDescent="0.3">
      <c r="B584" s="229" t="s">
        <v>1000</v>
      </c>
      <c r="C584" s="88">
        <v>3780</v>
      </c>
      <c r="D584" s="88">
        <v>3838.7</v>
      </c>
      <c r="E584" s="88">
        <v>3735.95</v>
      </c>
      <c r="F584" s="88">
        <v>3755.55</v>
      </c>
      <c r="G584" s="88">
        <v>3755.55</v>
      </c>
      <c r="H584" s="230">
        <v>19059</v>
      </c>
    </row>
    <row r="585" spans="2:8" x14ac:dyDescent="0.3">
      <c r="B585" s="229" t="s">
        <v>1001</v>
      </c>
      <c r="C585" s="88">
        <v>3725</v>
      </c>
      <c r="D585" s="88">
        <v>3850</v>
      </c>
      <c r="E585" s="88">
        <v>3693</v>
      </c>
      <c r="F585" s="88">
        <v>3832.95</v>
      </c>
      <c r="G585" s="88">
        <v>3832.95</v>
      </c>
      <c r="H585" s="230">
        <v>18418</v>
      </c>
    </row>
    <row r="586" spans="2:8" x14ac:dyDescent="0.3">
      <c r="B586" s="229" t="s">
        <v>1002</v>
      </c>
      <c r="C586" s="88">
        <v>3751</v>
      </c>
      <c r="D586" s="88">
        <v>3766</v>
      </c>
      <c r="E586" s="88">
        <v>3700.05</v>
      </c>
      <c r="F586" s="88">
        <v>3738.3</v>
      </c>
      <c r="G586" s="88">
        <v>3738.3</v>
      </c>
      <c r="H586" s="230">
        <v>10263</v>
      </c>
    </row>
    <row r="587" spans="2:8" x14ac:dyDescent="0.3">
      <c r="B587" s="229" t="s">
        <v>1003</v>
      </c>
      <c r="C587" s="88">
        <v>3728</v>
      </c>
      <c r="D587" s="88">
        <v>3778.6</v>
      </c>
      <c r="E587" s="88">
        <v>3653</v>
      </c>
      <c r="F587" s="88">
        <v>3725.95</v>
      </c>
      <c r="G587" s="88">
        <v>3725.95</v>
      </c>
      <c r="H587" s="230">
        <v>21792</v>
      </c>
    </row>
    <row r="588" spans="2:8" x14ac:dyDescent="0.3">
      <c r="B588" s="229" t="s">
        <v>1004</v>
      </c>
      <c r="C588" s="88">
        <v>3805</v>
      </c>
      <c r="D588" s="88">
        <v>3805</v>
      </c>
      <c r="E588" s="88">
        <v>3675</v>
      </c>
      <c r="F588" s="88">
        <v>3736.05</v>
      </c>
      <c r="G588" s="88">
        <v>3736.05</v>
      </c>
      <c r="H588" s="230">
        <v>30143</v>
      </c>
    </row>
    <row r="589" spans="2:8" x14ac:dyDescent="0.3">
      <c r="B589" s="229" t="s">
        <v>1005</v>
      </c>
      <c r="C589" s="88">
        <v>3905</v>
      </c>
      <c r="D589" s="88">
        <v>3905</v>
      </c>
      <c r="E589" s="88">
        <v>3767.8</v>
      </c>
      <c r="F589" s="88">
        <v>3823.6</v>
      </c>
      <c r="G589" s="88">
        <v>3823.6</v>
      </c>
      <c r="H589" s="230">
        <v>25857</v>
      </c>
    </row>
    <row r="590" spans="2:8" x14ac:dyDescent="0.3">
      <c r="B590" s="229" t="s">
        <v>1006</v>
      </c>
      <c r="C590" s="88">
        <v>3899.95</v>
      </c>
      <c r="D590" s="88">
        <v>3926.05</v>
      </c>
      <c r="E590" s="88">
        <v>3833</v>
      </c>
      <c r="F590" s="88">
        <v>3857.5</v>
      </c>
      <c r="G590" s="88">
        <v>3857.5</v>
      </c>
      <c r="H590" s="230">
        <v>20342</v>
      </c>
    </row>
    <row r="591" spans="2:8" x14ac:dyDescent="0.3">
      <c r="B591" s="229" t="s">
        <v>1007</v>
      </c>
      <c r="C591" s="88">
        <v>3970</v>
      </c>
      <c r="D591" s="88">
        <v>4037.9</v>
      </c>
      <c r="E591" s="88">
        <v>3815.2</v>
      </c>
      <c r="F591" s="88">
        <v>3871.9</v>
      </c>
      <c r="G591" s="88">
        <v>3871.9</v>
      </c>
      <c r="H591" s="230">
        <v>52799</v>
      </c>
    </row>
    <row r="592" spans="2:8" x14ac:dyDescent="0.3">
      <c r="B592" s="229" t="s">
        <v>1008</v>
      </c>
      <c r="C592" s="88">
        <v>3810</v>
      </c>
      <c r="D592" s="88">
        <v>4048</v>
      </c>
      <c r="E592" s="88">
        <v>3768.25</v>
      </c>
      <c r="F592" s="88">
        <v>3973.2</v>
      </c>
      <c r="G592" s="88">
        <v>3973.2</v>
      </c>
      <c r="H592" s="230">
        <v>90656</v>
      </c>
    </row>
    <row r="593" spans="2:8" x14ac:dyDescent="0.3">
      <c r="B593" s="229" t="s">
        <v>1009</v>
      </c>
      <c r="C593" s="88">
        <v>3675</v>
      </c>
      <c r="D593" s="88">
        <v>3821.1</v>
      </c>
      <c r="E593" s="88">
        <v>3648</v>
      </c>
      <c r="F593" s="88">
        <v>3798</v>
      </c>
      <c r="G593" s="88">
        <v>3798</v>
      </c>
      <c r="H593" s="230">
        <v>19383</v>
      </c>
    </row>
    <row r="594" spans="2:8" x14ac:dyDescent="0.3">
      <c r="B594" s="229" t="s">
        <v>1010</v>
      </c>
      <c r="C594" s="88">
        <v>3620</v>
      </c>
      <c r="D594" s="88">
        <v>3647.75</v>
      </c>
      <c r="E594" s="88">
        <v>3588.4</v>
      </c>
      <c r="F594" s="88">
        <v>3611.7</v>
      </c>
      <c r="G594" s="88">
        <v>3611.7</v>
      </c>
      <c r="H594" s="230">
        <v>16412</v>
      </c>
    </row>
    <row r="595" spans="2:8" x14ac:dyDescent="0.3">
      <c r="B595" s="229" t="s">
        <v>1011</v>
      </c>
      <c r="C595" s="88">
        <v>3621.3</v>
      </c>
      <c r="D595" s="88">
        <v>3629</v>
      </c>
      <c r="E595" s="88">
        <v>3465.1</v>
      </c>
      <c r="F595" s="88">
        <v>3579.65</v>
      </c>
      <c r="G595" s="88">
        <v>3579.65</v>
      </c>
      <c r="H595" s="230">
        <v>18033</v>
      </c>
    </row>
    <row r="596" spans="2:8" x14ac:dyDescent="0.3">
      <c r="B596" s="229" t="s">
        <v>1012</v>
      </c>
      <c r="C596" s="88">
        <v>3683</v>
      </c>
      <c r="D596" s="88">
        <v>3694.45</v>
      </c>
      <c r="E596" s="88">
        <v>3555.55</v>
      </c>
      <c r="F596" s="88">
        <v>3586.1</v>
      </c>
      <c r="G596" s="88">
        <v>3586.1</v>
      </c>
      <c r="H596" s="230">
        <v>20008</v>
      </c>
    </row>
    <row r="597" spans="2:8" x14ac:dyDescent="0.3">
      <c r="B597" s="229" t="s">
        <v>1013</v>
      </c>
      <c r="C597" s="88">
        <v>3589.8</v>
      </c>
      <c r="D597" s="88">
        <v>3685.05</v>
      </c>
      <c r="E597" s="88">
        <v>3577.5</v>
      </c>
      <c r="F597" s="88">
        <v>3658.2</v>
      </c>
      <c r="G597" s="88">
        <v>3658.2</v>
      </c>
      <c r="H597" s="230">
        <v>13927</v>
      </c>
    </row>
    <row r="598" spans="2:8" x14ac:dyDescent="0.3">
      <c r="B598" s="229" t="s">
        <v>1014</v>
      </c>
      <c r="C598" s="88">
        <v>3679.5</v>
      </c>
      <c r="D598" s="88">
        <v>3691.95</v>
      </c>
      <c r="E598" s="88">
        <v>3551.6</v>
      </c>
      <c r="F598" s="88">
        <v>3570.2</v>
      </c>
      <c r="G598" s="88">
        <v>3570.2</v>
      </c>
      <c r="H598" s="230">
        <v>14016</v>
      </c>
    </row>
    <row r="599" spans="2:8" x14ac:dyDescent="0.3">
      <c r="B599" s="229" t="s">
        <v>1015</v>
      </c>
      <c r="C599" s="88">
        <v>3707.05</v>
      </c>
      <c r="D599" s="88">
        <v>3715.95</v>
      </c>
      <c r="E599" s="88">
        <v>3610</v>
      </c>
      <c r="F599" s="88">
        <v>3627.55</v>
      </c>
      <c r="G599" s="88">
        <v>3627.55</v>
      </c>
      <c r="H599" s="230">
        <v>36580</v>
      </c>
    </row>
    <row r="600" spans="2:8" x14ac:dyDescent="0.3">
      <c r="B600" s="229" t="s">
        <v>1016</v>
      </c>
      <c r="C600" s="88">
        <v>3549</v>
      </c>
      <c r="D600" s="88">
        <v>3647.95</v>
      </c>
      <c r="E600" s="88">
        <v>3490.85</v>
      </c>
      <c r="F600" s="88">
        <v>3617.85</v>
      </c>
      <c r="G600" s="88">
        <v>3617.85</v>
      </c>
      <c r="H600" s="230">
        <v>30177</v>
      </c>
    </row>
    <row r="601" spans="2:8" x14ac:dyDescent="0.3">
      <c r="B601" s="229" t="s">
        <v>1017</v>
      </c>
      <c r="C601" s="88">
        <v>3724</v>
      </c>
      <c r="D601" s="88">
        <v>3781.95</v>
      </c>
      <c r="E601" s="88">
        <v>3639.7</v>
      </c>
      <c r="F601" s="88">
        <v>3660.7</v>
      </c>
      <c r="G601" s="88">
        <v>3660.7</v>
      </c>
      <c r="H601" s="230">
        <v>68204</v>
      </c>
    </row>
    <row r="602" spans="2:8" x14ac:dyDescent="0.3">
      <c r="B602" s="229" t="s">
        <v>1018</v>
      </c>
      <c r="C602" s="88">
        <v>3614.4</v>
      </c>
      <c r="D602" s="88">
        <v>3722.05</v>
      </c>
      <c r="E602" s="88">
        <v>3475</v>
      </c>
      <c r="F602" s="88">
        <v>3664.15</v>
      </c>
      <c r="G602" s="88">
        <v>3664.15</v>
      </c>
      <c r="H602" s="230">
        <v>77398</v>
      </c>
    </row>
    <row r="603" spans="2:8" x14ac:dyDescent="0.3">
      <c r="B603" s="229" t="s">
        <v>1019</v>
      </c>
      <c r="C603" s="88">
        <v>3272</v>
      </c>
      <c r="D603" s="88">
        <v>3620</v>
      </c>
      <c r="E603" s="88">
        <v>3185.1</v>
      </c>
      <c r="F603" s="88">
        <v>3562.9</v>
      </c>
      <c r="G603" s="88">
        <v>3562.9</v>
      </c>
      <c r="H603" s="230">
        <v>120276</v>
      </c>
    </row>
    <row r="604" spans="2:8" x14ac:dyDescent="0.3">
      <c r="B604" s="229" t="s">
        <v>1020</v>
      </c>
      <c r="C604" s="88">
        <v>3370</v>
      </c>
      <c r="D604" s="88">
        <v>3370</v>
      </c>
      <c r="E604" s="88">
        <v>3206.75</v>
      </c>
      <c r="F604" s="88">
        <v>3234.95</v>
      </c>
      <c r="G604" s="88">
        <v>3234.95</v>
      </c>
      <c r="H604" s="230">
        <v>24305</v>
      </c>
    </row>
    <row r="605" spans="2:8" x14ac:dyDescent="0.3">
      <c r="B605" s="229" t="s">
        <v>1021</v>
      </c>
      <c r="C605" s="88">
        <v>3310</v>
      </c>
      <c r="D605" s="88">
        <v>3335</v>
      </c>
      <c r="E605" s="88">
        <v>3247</v>
      </c>
      <c r="F605" s="88">
        <v>3262.3</v>
      </c>
      <c r="G605" s="88">
        <v>3262.3</v>
      </c>
      <c r="H605" s="230">
        <v>56858</v>
      </c>
    </row>
    <row r="606" spans="2:8" x14ac:dyDescent="0.3">
      <c r="B606" s="229" t="s">
        <v>1022</v>
      </c>
      <c r="C606" s="88">
        <v>3439</v>
      </c>
      <c r="D606" s="88">
        <v>3499</v>
      </c>
      <c r="E606" s="88">
        <v>3312.25</v>
      </c>
      <c r="F606" s="88">
        <v>3340.75</v>
      </c>
      <c r="G606" s="88">
        <v>3340.75</v>
      </c>
      <c r="H606" s="230">
        <v>60045</v>
      </c>
    </row>
    <row r="607" spans="2:8" x14ac:dyDescent="0.3">
      <c r="B607" s="229" t="s">
        <v>1023</v>
      </c>
      <c r="C607" s="88">
        <v>3488</v>
      </c>
      <c r="D607" s="88">
        <v>3548.95</v>
      </c>
      <c r="E607" s="88">
        <v>3403.15</v>
      </c>
      <c r="F607" s="88">
        <v>3415.95</v>
      </c>
      <c r="G607" s="88">
        <v>3415.95</v>
      </c>
      <c r="H607" s="230">
        <v>24612</v>
      </c>
    </row>
    <row r="608" spans="2:8" x14ac:dyDescent="0.3">
      <c r="B608" s="229" t="s">
        <v>1024</v>
      </c>
      <c r="C608" s="88">
        <v>3650</v>
      </c>
      <c r="D608" s="88">
        <v>3657.4</v>
      </c>
      <c r="E608" s="88">
        <v>3486</v>
      </c>
      <c r="F608" s="88">
        <v>3520.1</v>
      </c>
      <c r="G608" s="88">
        <v>3520.1</v>
      </c>
      <c r="H608" s="230">
        <v>28352</v>
      </c>
    </row>
    <row r="609" spans="2:8" x14ac:dyDescent="0.3">
      <c r="B609" s="229" t="s">
        <v>1025</v>
      </c>
      <c r="C609" s="88">
        <v>3880</v>
      </c>
      <c r="D609" s="88">
        <v>3890.5</v>
      </c>
      <c r="E609" s="88">
        <v>3604.65</v>
      </c>
      <c r="F609" s="88">
        <v>3664.55</v>
      </c>
      <c r="G609" s="88">
        <v>3664.55</v>
      </c>
      <c r="H609" s="230">
        <v>28410</v>
      </c>
    </row>
    <row r="610" spans="2:8" x14ac:dyDescent="0.3">
      <c r="B610" s="229" t="s">
        <v>1026</v>
      </c>
      <c r="C610" s="88">
        <v>3925</v>
      </c>
      <c r="D610" s="88">
        <v>3975</v>
      </c>
      <c r="E610" s="88">
        <v>3776.75</v>
      </c>
      <c r="F610" s="88">
        <v>3943.05</v>
      </c>
      <c r="G610" s="88">
        <v>3943.05</v>
      </c>
      <c r="H610" s="230">
        <v>19121</v>
      </c>
    </row>
    <row r="611" spans="2:8" x14ac:dyDescent="0.3">
      <c r="B611" s="229" t="s">
        <v>1027</v>
      </c>
      <c r="C611" s="88">
        <v>3988</v>
      </c>
      <c r="D611" s="88">
        <v>4022.5</v>
      </c>
      <c r="E611" s="88">
        <v>3850</v>
      </c>
      <c r="F611" s="88">
        <v>3866.85</v>
      </c>
      <c r="G611" s="88">
        <v>3866.85</v>
      </c>
      <c r="H611" s="230">
        <v>219481</v>
      </c>
    </row>
    <row r="612" spans="2:8" x14ac:dyDescent="0.3">
      <c r="B612" s="229" t="s">
        <v>1028</v>
      </c>
      <c r="C612" s="88">
        <v>4030</v>
      </c>
      <c r="D612" s="88">
        <v>4083.95</v>
      </c>
      <c r="E612" s="88">
        <v>3909.45</v>
      </c>
      <c r="F612" s="88">
        <v>3948.6</v>
      </c>
      <c r="G612" s="88">
        <v>3948.6</v>
      </c>
      <c r="H612" s="230">
        <v>28673</v>
      </c>
    </row>
    <row r="613" spans="2:8" x14ac:dyDescent="0.3">
      <c r="B613" s="229" t="s">
        <v>1029</v>
      </c>
      <c r="C613" s="88">
        <v>3997.95</v>
      </c>
      <c r="D613" s="88">
        <v>4052</v>
      </c>
      <c r="E613" s="88">
        <v>3997.95</v>
      </c>
      <c r="F613" s="88">
        <v>4025.5</v>
      </c>
      <c r="G613" s="88">
        <v>4025.5</v>
      </c>
      <c r="H613" s="230">
        <v>28082</v>
      </c>
    </row>
    <row r="614" spans="2:8" x14ac:dyDescent="0.3">
      <c r="B614" s="229" t="s">
        <v>1030</v>
      </c>
      <c r="C614" s="88">
        <v>4024</v>
      </c>
      <c r="D614" s="88">
        <v>4024</v>
      </c>
      <c r="E614" s="88">
        <v>3962</v>
      </c>
      <c r="F614" s="88">
        <v>3977.8</v>
      </c>
      <c r="G614" s="88">
        <v>3977.8</v>
      </c>
      <c r="H614" s="230">
        <v>6848</v>
      </c>
    </row>
    <row r="615" spans="2:8" x14ac:dyDescent="0.3">
      <c r="B615" s="229" t="s">
        <v>1031</v>
      </c>
      <c r="C615" s="88">
        <v>3998</v>
      </c>
      <c r="D615" s="88">
        <v>4048</v>
      </c>
      <c r="E615" s="88">
        <v>3996.05</v>
      </c>
      <c r="F615" s="88">
        <v>4040.75</v>
      </c>
      <c r="G615" s="88">
        <v>4040.75</v>
      </c>
      <c r="H615" s="230">
        <v>9090</v>
      </c>
    </row>
    <row r="616" spans="2:8" x14ac:dyDescent="0.3">
      <c r="B616" s="229" t="s">
        <v>1032</v>
      </c>
      <c r="C616" s="88">
        <v>4013.95</v>
      </c>
      <c r="D616" s="88">
        <v>4021</v>
      </c>
      <c r="E616" s="88">
        <v>3977</v>
      </c>
      <c r="F616" s="88">
        <v>3988.75</v>
      </c>
      <c r="G616" s="88">
        <v>3988.75</v>
      </c>
      <c r="H616" s="230">
        <v>7937</v>
      </c>
    </row>
    <row r="617" spans="2:8" x14ac:dyDescent="0.3">
      <c r="B617" s="229" t="s">
        <v>1033</v>
      </c>
      <c r="C617" s="88">
        <v>4033.8</v>
      </c>
      <c r="D617" s="88">
        <v>4060</v>
      </c>
      <c r="E617" s="88">
        <v>3997</v>
      </c>
      <c r="F617" s="88">
        <v>4028.8</v>
      </c>
      <c r="G617" s="88">
        <v>4028.8</v>
      </c>
      <c r="H617" s="230">
        <v>18633</v>
      </c>
    </row>
    <row r="618" spans="2:8" x14ac:dyDescent="0.3">
      <c r="B618" s="229" t="s">
        <v>1034</v>
      </c>
      <c r="C618" s="88">
        <v>4095</v>
      </c>
      <c r="D618" s="88">
        <v>4095</v>
      </c>
      <c r="E618" s="88">
        <v>4015</v>
      </c>
      <c r="F618" s="88">
        <v>4031</v>
      </c>
      <c r="G618" s="88">
        <v>4031</v>
      </c>
      <c r="H618" s="230">
        <v>5303</v>
      </c>
    </row>
    <row r="619" spans="2:8" x14ac:dyDescent="0.3">
      <c r="B619" s="229" t="s">
        <v>1035</v>
      </c>
      <c r="C619" s="88">
        <v>4020</v>
      </c>
      <c r="D619" s="88">
        <v>4064.95</v>
      </c>
      <c r="E619" s="88">
        <v>4000</v>
      </c>
      <c r="F619" s="88">
        <v>4054.4</v>
      </c>
      <c r="G619" s="88">
        <v>4054.4</v>
      </c>
      <c r="H619" s="230">
        <v>28290</v>
      </c>
    </row>
    <row r="620" spans="2:8" x14ac:dyDescent="0.3">
      <c r="B620" s="229" t="s">
        <v>1036</v>
      </c>
      <c r="C620" s="88">
        <v>4065</v>
      </c>
      <c r="D620" s="88">
        <v>4125.6000000000004</v>
      </c>
      <c r="E620" s="88">
        <v>3975.1</v>
      </c>
      <c r="F620" s="88">
        <v>4009</v>
      </c>
      <c r="G620" s="88">
        <v>4009</v>
      </c>
      <c r="H620" s="230">
        <v>7997</v>
      </c>
    </row>
    <row r="621" spans="2:8" x14ac:dyDescent="0.3">
      <c r="B621" s="229" t="s">
        <v>1037</v>
      </c>
      <c r="C621" s="88">
        <v>4085</v>
      </c>
      <c r="D621" s="88">
        <v>4085</v>
      </c>
      <c r="E621" s="88">
        <v>4012.2</v>
      </c>
      <c r="F621" s="88">
        <v>4055.8</v>
      </c>
      <c r="G621" s="88">
        <v>4055.8</v>
      </c>
      <c r="H621" s="230">
        <v>12573</v>
      </c>
    </row>
    <row r="622" spans="2:8" x14ac:dyDescent="0.3">
      <c r="B622" s="229" t="s">
        <v>1038</v>
      </c>
      <c r="C622" s="88">
        <v>4099</v>
      </c>
      <c r="D622" s="88">
        <v>4115.55</v>
      </c>
      <c r="E622" s="88">
        <v>4081.15</v>
      </c>
      <c r="F622" s="88">
        <v>4090.5</v>
      </c>
      <c r="G622" s="88">
        <v>4090.5</v>
      </c>
      <c r="H622" s="230">
        <v>6127</v>
      </c>
    </row>
    <row r="623" spans="2:8" x14ac:dyDescent="0.3">
      <c r="B623" s="229" t="s">
        <v>1039</v>
      </c>
      <c r="C623" s="88">
        <v>4171</v>
      </c>
      <c r="D623" s="88">
        <v>4176.1000000000004</v>
      </c>
      <c r="E623" s="88">
        <v>4075</v>
      </c>
      <c r="F623" s="88">
        <v>4085.65</v>
      </c>
      <c r="G623" s="88">
        <v>4085.65</v>
      </c>
      <c r="H623" s="230">
        <v>9285</v>
      </c>
    </row>
    <row r="624" spans="2:8" x14ac:dyDescent="0.3">
      <c r="B624" s="229" t="s">
        <v>1040</v>
      </c>
      <c r="C624" s="88">
        <v>4148</v>
      </c>
      <c r="D624" s="88">
        <v>4200</v>
      </c>
      <c r="E624" s="88">
        <v>4128.3999999999996</v>
      </c>
      <c r="F624" s="88">
        <v>4171.2</v>
      </c>
      <c r="G624" s="88">
        <v>4171.2</v>
      </c>
      <c r="H624" s="230">
        <v>9698</v>
      </c>
    </row>
    <row r="625" spans="2:8" x14ac:dyDescent="0.3">
      <c r="B625" s="229" t="s">
        <v>1041</v>
      </c>
      <c r="C625" s="88">
        <v>4160</v>
      </c>
      <c r="D625" s="88">
        <v>4208.95</v>
      </c>
      <c r="E625" s="88">
        <v>4120.05</v>
      </c>
      <c r="F625" s="88">
        <v>4144.6499999999996</v>
      </c>
      <c r="G625" s="88">
        <v>4144.6499999999996</v>
      </c>
      <c r="H625" s="230">
        <v>8890</v>
      </c>
    </row>
    <row r="626" spans="2:8" x14ac:dyDescent="0.3">
      <c r="B626" s="229" t="s">
        <v>1042</v>
      </c>
      <c r="C626" s="88">
        <v>4100</v>
      </c>
      <c r="D626" s="88">
        <v>4243</v>
      </c>
      <c r="E626" s="88">
        <v>4090.95</v>
      </c>
      <c r="F626" s="88">
        <v>4157.7</v>
      </c>
      <c r="G626" s="88">
        <v>4157.7</v>
      </c>
      <c r="H626" s="230">
        <v>82757</v>
      </c>
    </row>
    <row r="627" spans="2:8" x14ac:dyDescent="0.3">
      <c r="B627" s="229" t="s">
        <v>1043</v>
      </c>
      <c r="C627" s="88">
        <v>4108</v>
      </c>
      <c r="D627" s="88">
        <v>4137</v>
      </c>
      <c r="E627" s="88">
        <v>4086.05</v>
      </c>
      <c r="F627" s="88">
        <v>4103.1000000000004</v>
      </c>
      <c r="G627" s="88">
        <v>4103.1000000000004</v>
      </c>
      <c r="H627" s="230">
        <v>10649</v>
      </c>
    </row>
    <row r="628" spans="2:8" x14ac:dyDescent="0.3">
      <c r="B628" s="229" t="s">
        <v>1044</v>
      </c>
      <c r="C628" s="88">
        <v>4139</v>
      </c>
      <c r="D628" s="88">
        <v>4146</v>
      </c>
      <c r="E628" s="88">
        <v>4100</v>
      </c>
      <c r="F628" s="88">
        <v>4107.8500000000004</v>
      </c>
      <c r="G628" s="88">
        <v>4107.8500000000004</v>
      </c>
      <c r="H628" s="230">
        <v>31906</v>
      </c>
    </row>
    <row r="629" spans="2:8" x14ac:dyDescent="0.3">
      <c r="B629" s="229" t="s">
        <v>1045</v>
      </c>
      <c r="C629" s="88">
        <v>4110</v>
      </c>
      <c r="D629" s="88">
        <v>4149.95</v>
      </c>
      <c r="E629" s="88">
        <v>4075</v>
      </c>
      <c r="F629" s="88">
        <v>4107.1000000000004</v>
      </c>
      <c r="G629" s="88">
        <v>4107.1000000000004</v>
      </c>
      <c r="H629" s="230">
        <v>52376</v>
      </c>
    </row>
    <row r="630" spans="2:8" x14ac:dyDescent="0.3">
      <c r="B630" s="229" t="s">
        <v>1046</v>
      </c>
      <c r="C630" s="88">
        <v>4024</v>
      </c>
      <c r="D630" s="88">
        <v>4101.75</v>
      </c>
      <c r="E630" s="88">
        <v>4001.8</v>
      </c>
      <c r="F630" s="88">
        <v>4082.3</v>
      </c>
      <c r="G630" s="88">
        <v>4082.3</v>
      </c>
      <c r="H630" s="230">
        <v>14113</v>
      </c>
    </row>
    <row r="631" spans="2:8" x14ac:dyDescent="0.3">
      <c r="B631" s="229" t="s">
        <v>1047</v>
      </c>
      <c r="C631" s="88">
        <v>4012</v>
      </c>
      <c r="D631" s="88">
        <v>4040</v>
      </c>
      <c r="E631" s="88">
        <v>3985.6</v>
      </c>
      <c r="F631" s="88">
        <v>3999.45</v>
      </c>
      <c r="G631" s="88">
        <v>3999.45</v>
      </c>
      <c r="H631" s="230">
        <v>14878</v>
      </c>
    </row>
    <row r="632" spans="2:8" x14ac:dyDescent="0.3">
      <c r="B632" s="229" t="s">
        <v>1048</v>
      </c>
      <c r="C632" s="88">
        <v>4049</v>
      </c>
      <c r="D632" s="88">
        <v>4083.4</v>
      </c>
      <c r="E632" s="88">
        <v>3948</v>
      </c>
      <c r="F632" s="88">
        <v>3972.75</v>
      </c>
      <c r="G632" s="88">
        <v>3972.75</v>
      </c>
      <c r="H632" s="230">
        <v>63102</v>
      </c>
    </row>
    <row r="633" spans="2:8" x14ac:dyDescent="0.3">
      <c r="B633" s="229" t="s">
        <v>1049</v>
      </c>
      <c r="C633" s="88">
        <v>4020</v>
      </c>
      <c r="D633" s="88">
        <v>4037.7</v>
      </c>
      <c r="E633" s="88">
        <v>3986</v>
      </c>
      <c r="F633" s="88">
        <v>4006.1</v>
      </c>
      <c r="G633" s="88">
        <v>4006.1</v>
      </c>
      <c r="H633" s="230">
        <v>15522</v>
      </c>
    </row>
    <row r="634" spans="2:8" x14ac:dyDescent="0.3">
      <c r="B634" s="229" t="s">
        <v>1050</v>
      </c>
      <c r="C634" s="88">
        <v>4036</v>
      </c>
      <c r="D634" s="88">
        <v>4036</v>
      </c>
      <c r="E634" s="88">
        <v>3975</v>
      </c>
      <c r="F634" s="88">
        <v>4008.35</v>
      </c>
      <c r="G634" s="88">
        <v>4008.35</v>
      </c>
      <c r="H634" s="230">
        <v>14594</v>
      </c>
    </row>
    <row r="635" spans="2:8" x14ac:dyDescent="0.3">
      <c r="B635" s="229" t="s">
        <v>1051</v>
      </c>
      <c r="C635" s="88">
        <v>4070</v>
      </c>
      <c r="D635" s="88">
        <v>4070</v>
      </c>
      <c r="E635" s="88">
        <v>3996</v>
      </c>
      <c r="F635" s="88">
        <v>4000.85</v>
      </c>
      <c r="G635" s="88">
        <v>4000.85</v>
      </c>
      <c r="H635" s="230">
        <v>38846</v>
      </c>
    </row>
    <row r="636" spans="2:8" x14ac:dyDescent="0.3">
      <c r="B636" s="229" t="s">
        <v>1052</v>
      </c>
      <c r="C636" s="88">
        <v>4075</v>
      </c>
      <c r="D636" s="88">
        <v>4089.95</v>
      </c>
      <c r="E636" s="88">
        <v>4031.55</v>
      </c>
      <c r="F636" s="88">
        <v>4043.85</v>
      </c>
      <c r="G636" s="88">
        <v>4043.85</v>
      </c>
      <c r="H636" s="230">
        <v>16329</v>
      </c>
    </row>
    <row r="637" spans="2:8" x14ac:dyDescent="0.3">
      <c r="B637" s="229" t="s">
        <v>1053</v>
      </c>
      <c r="C637" s="88">
        <v>4080</v>
      </c>
      <c r="D637" s="88">
        <v>4116.45</v>
      </c>
      <c r="E637" s="88">
        <v>4067.35</v>
      </c>
      <c r="F637" s="88">
        <v>4089.3</v>
      </c>
      <c r="G637" s="88">
        <v>4089.3</v>
      </c>
      <c r="H637" s="230">
        <v>29285</v>
      </c>
    </row>
    <row r="638" spans="2:8" x14ac:dyDescent="0.3">
      <c r="B638" s="229" t="s">
        <v>1054</v>
      </c>
      <c r="C638" s="88">
        <v>4121.1000000000004</v>
      </c>
      <c r="D638" s="88">
        <v>4121.1000000000004</v>
      </c>
      <c r="E638" s="88">
        <v>4031.1</v>
      </c>
      <c r="F638" s="88">
        <v>4055.05</v>
      </c>
      <c r="G638" s="88">
        <v>4055.05</v>
      </c>
      <c r="H638" s="230">
        <v>24369</v>
      </c>
    </row>
    <row r="639" spans="2:8" x14ac:dyDescent="0.3">
      <c r="B639" s="229" t="s">
        <v>1055</v>
      </c>
      <c r="C639" s="88">
        <v>4203</v>
      </c>
      <c r="D639" s="88">
        <v>4210</v>
      </c>
      <c r="E639" s="88">
        <v>4082</v>
      </c>
      <c r="F639" s="88">
        <v>4097.3999999999996</v>
      </c>
      <c r="G639" s="88">
        <v>4097.3999999999996</v>
      </c>
      <c r="H639" s="230">
        <v>30205</v>
      </c>
    </row>
    <row r="640" spans="2:8" x14ac:dyDescent="0.3">
      <c r="B640" s="229" t="s">
        <v>1056</v>
      </c>
      <c r="C640" s="88">
        <v>4225</v>
      </c>
      <c r="D640" s="88">
        <v>4239.8500000000004</v>
      </c>
      <c r="E640" s="88">
        <v>4165.55</v>
      </c>
      <c r="F640" s="88">
        <v>4193.1000000000004</v>
      </c>
      <c r="G640" s="88">
        <v>4193.1000000000004</v>
      </c>
      <c r="H640" s="230">
        <v>28852</v>
      </c>
    </row>
    <row r="641" spans="2:8" x14ac:dyDescent="0.3">
      <c r="B641" s="229" t="s">
        <v>1057</v>
      </c>
      <c r="C641" s="88">
        <v>4225</v>
      </c>
      <c r="D641" s="88">
        <v>4240</v>
      </c>
      <c r="E641" s="88">
        <v>4156.5</v>
      </c>
      <c r="F641" s="88">
        <v>4169.6499999999996</v>
      </c>
      <c r="G641" s="88">
        <v>4169.6499999999996</v>
      </c>
      <c r="H641" s="230">
        <v>13861</v>
      </c>
    </row>
    <row r="642" spans="2:8" x14ac:dyDescent="0.3">
      <c r="B642" s="229" t="s">
        <v>1058</v>
      </c>
      <c r="C642" s="88">
        <v>4200</v>
      </c>
      <c r="D642" s="88">
        <v>4251</v>
      </c>
      <c r="E642" s="88">
        <v>4170</v>
      </c>
      <c r="F642" s="88">
        <v>4222.75</v>
      </c>
      <c r="G642" s="88">
        <v>4222.75</v>
      </c>
      <c r="H642" s="230">
        <v>26853</v>
      </c>
    </row>
    <row r="643" spans="2:8" x14ac:dyDescent="0.3">
      <c r="B643" s="229" t="s">
        <v>1059</v>
      </c>
      <c r="C643" s="88">
        <v>4181</v>
      </c>
      <c r="D643" s="88">
        <v>4216</v>
      </c>
      <c r="E643" s="88">
        <v>4150.05</v>
      </c>
      <c r="F643" s="88">
        <v>4167.05</v>
      </c>
      <c r="G643" s="88">
        <v>4167.05</v>
      </c>
      <c r="H643" s="230">
        <v>425518</v>
      </c>
    </row>
    <row r="644" spans="2:8" x14ac:dyDescent="0.3">
      <c r="B644" s="229" t="s">
        <v>1060</v>
      </c>
      <c r="C644" s="88">
        <v>4190</v>
      </c>
      <c r="D644" s="88">
        <v>4207.45</v>
      </c>
      <c r="E644" s="88">
        <v>4110.6499999999996</v>
      </c>
      <c r="F644" s="88">
        <v>4199.55</v>
      </c>
      <c r="G644" s="88">
        <v>4199.55</v>
      </c>
      <c r="H644" s="230">
        <v>12794</v>
      </c>
    </row>
    <row r="645" spans="2:8" x14ac:dyDescent="0.3">
      <c r="B645" s="229" t="s">
        <v>1061</v>
      </c>
      <c r="C645" s="88">
        <v>4195</v>
      </c>
      <c r="D645" s="88">
        <v>4238.8</v>
      </c>
      <c r="E645" s="88">
        <v>4141.6000000000004</v>
      </c>
      <c r="F645" s="88">
        <v>4167.25</v>
      </c>
      <c r="G645" s="88">
        <v>4167.25</v>
      </c>
      <c r="H645" s="230">
        <v>47093</v>
      </c>
    </row>
    <row r="646" spans="2:8" x14ac:dyDescent="0.3">
      <c r="B646" s="229" t="s">
        <v>1062</v>
      </c>
      <c r="C646" s="88">
        <v>4135.5</v>
      </c>
      <c r="D646" s="88">
        <v>4170</v>
      </c>
      <c r="E646" s="88">
        <v>4070.05</v>
      </c>
      <c r="F646" s="88">
        <v>4098.2</v>
      </c>
      <c r="G646" s="88">
        <v>4098.2</v>
      </c>
      <c r="H646" s="230">
        <v>16296</v>
      </c>
    </row>
    <row r="647" spans="2:8" x14ac:dyDescent="0.3">
      <c r="B647" s="229" t="s">
        <v>1063</v>
      </c>
      <c r="C647" s="88">
        <v>4047.9</v>
      </c>
      <c r="D647" s="88">
        <v>4160</v>
      </c>
      <c r="E647" s="88">
        <v>3993</v>
      </c>
      <c r="F647" s="88">
        <v>4114</v>
      </c>
      <c r="G647" s="88">
        <v>4114</v>
      </c>
      <c r="H647" s="230">
        <v>21598</v>
      </c>
    </row>
    <row r="648" spans="2:8" x14ac:dyDescent="0.3">
      <c r="B648" s="229" t="s">
        <v>1064</v>
      </c>
      <c r="C648" s="88">
        <v>4010</v>
      </c>
      <c r="D648" s="88">
        <v>4174.95</v>
      </c>
      <c r="E648" s="88">
        <v>3970</v>
      </c>
      <c r="F648" s="88">
        <v>3990.85</v>
      </c>
      <c r="G648" s="88">
        <v>3990.85</v>
      </c>
      <c r="H648" s="230">
        <v>37833</v>
      </c>
    </row>
    <row r="649" spans="2:8" x14ac:dyDescent="0.3">
      <c r="B649" s="229" t="s">
        <v>1065</v>
      </c>
      <c r="C649" s="88">
        <v>4263.8999999999996</v>
      </c>
      <c r="D649" s="88">
        <v>4263.8999999999996</v>
      </c>
      <c r="E649" s="88">
        <v>4077</v>
      </c>
      <c r="F649" s="88">
        <v>4108.45</v>
      </c>
      <c r="G649" s="88">
        <v>4108.45</v>
      </c>
      <c r="H649" s="230">
        <v>25825</v>
      </c>
    </row>
    <row r="650" spans="2:8" x14ac:dyDescent="0.3">
      <c r="B650" s="229" t="s">
        <v>1066</v>
      </c>
      <c r="C650" s="88">
        <v>4350</v>
      </c>
      <c r="D650" s="88">
        <v>4398.8500000000004</v>
      </c>
      <c r="E650" s="88">
        <v>4254</v>
      </c>
      <c r="F650" s="88">
        <v>4272.3500000000004</v>
      </c>
      <c r="G650" s="88">
        <v>4272.3500000000004</v>
      </c>
      <c r="H650" s="230">
        <v>28601</v>
      </c>
    </row>
    <row r="651" spans="2:8" x14ac:dyDescent="0.3">
      <c r="B651" s="229" t="s">
        <v>1067</v>
      </c>
      <c r="C651" s="88">
        <v>4280.05</v>
      </c>
      <c r="D651" s="88">
        <v>4447.55</v>
      </c>
      <c r="E651" s="88">
        <v>4271</v>
      </c>
      <c r="F651" s="88">
        <v>4296.2</v>
      </c>
      <c r="G651" s="88">
        <v>4296.2</v>
      </c>
      <c r="H651" s="230">
        <v>22980</v>
      </c>
    </row>
    <row r="652" spans="2:8" x14ac:dyDescent="0.3">
      <c r="B652" s="229" t="s">
        <v>1068</v>
      </c>
      <c r="C652" s="88">
        <v>4187</v>
      </c>
      <c r="D652" s="88">
        <v>4351</v>
      </c>
      <c r="E652" s="88">
        <v>4063.45</v>
      </c>
      <c r="F652" s="88">
        <v>4339.8500000000004</v>
      </c>
      <c r="G652" s="88">
        <v>4339.8500000000004</v>
      </c>
      <c r="H652" s="230">
        <v>24618</v>
      </c>
    </row>
    <row r="653" spans="2:8" x14ac:dyDescent="0.3">
      <c r="B653" s="229" t="s">
        <v>1069</v>
      </c>
      <c r="C653" s="88">
        <v>4047.55</v>
      </c>
      <c r="D653" s="88">
        <v>4210</v>
      </c>
      <c r="E653" s="88">
        <v>4039.35</v>
      </c>
      <c r="F653" s="88">
        <v>4189.75</v>
      </c>
      <c r="G653" s="88">
        <v>4189.75</v>
      </c>
      <c r="H653" s="230">
        <v>51015</v>
      </c>
    </row>
    <row r="654" spans="2:8" x14ac:dyDescent="0.3">
      <c r="B654" s="229" t="s">
        <v>1070</v>
      </c>
      <c r="C654" s="88">
        <v>3951</v>
      </c>
      <c r="D654" s="88">
        <v>4138.95</v>
      </c>
      <c r="E654" s="88">
        <v>3951</v>
      </c>
      <c r="F654" s="88">
        <v>4022.45</v>
      </c>
      <c r="G654" s="88">
        <v>4022.45</v>
      </c>
      <c r="H654" s="230">
        <v>91444</v>
      </c>
    </row>
    <row r="655" spans="2:8" x14ac:dyDescent="0.3">
      <c r="B655" s="229" t="s">
        <v>1071</v>
      </c>
      <c r="C655" s="88">
        <v>4160</v>
      </c>
      <c r="D655" s="88">
        <v>4214.8</v>
      </c>
      <c r="E655" s="88">
        <v>4137.3500000000004</v>
      </c>
      <c r="F655" s="88">
        <v>4196</v>
      </c>
      <c r="G655" s="88">
        <v>4196</v>
      </c>
      <c r="H655" s="230">
        <v>14409</v>
      </c>
    </row>
    <row r="656" spans="2:8" x14ac:dyDescent="0.3">
      <c r="B656" s="229" t="s">
        <v>1072</v>
      </c>
      <c r="C656" s="88">
        <v>4041</v>
      </c>
      <c r="D656" s="88">
        <v>4184.2</v>
      </c>
      <c r="E656" s="88">
        <v>3990.05</v>
      </c>
      <c r="F656" s="88">
        <v>4156.5</v>
      </c>
      <c r="G656" s="88">
        <v>4156.5</v>
      </c>
      <c r="H656" s="230">
        <v>19930</v>
      </c>
    </row>
    <row r="657" spans="2:8" x14ac:dyDescent="0.3">
      <c r="B657" s="229" t="s">
        <v>1073</v>
      </c>
      <c r="C657" s="88">
        <v>4060</v>
      </c>
      <c r="D657" s="88">
        <v>4169.8</v>
      </c>
      <c r="E657" s="88">
        <v>3992</v>
      </c>
      <c r="F657" s="88">
        <v>4092.5</v>
      </c>
      <c r="G657" s="88">
        <v>4092.5</v>
      </c>
      <c r="H657" s="230">
        <v>18078</v>
      </c>
    </row>
    <row r="658" spans="2:8" x14ac:dyDescent="0.3">
      <c r="B658" s="229" t="s">
        <v>1074</v>
      </c>
      <c r="C658" s="88">
        <v>4071</v>
      </c>
      <c r="D658" s="88">
        <v>4121.8</v>
      </c>
      <c r="E658" s="88">
        <v>4055.45</v>
      </c>
      <c r="F658" s="88">
        <v>4070.7</v>
      </c>
      <c r="G658" s="88">
        <v>4070.7</v>
      </c>
      <c r="H658" s="230">
        <v>15842</v>
      </c>
    </row>
    <row r="659" spans="2:8" x14ac:dyDescent="0.3">
      <c r="B659" s="229" t="s">
        <v>1075</v>
      </c>
      <c r="C659" s="88">
        <v>4118</v>
      </c>
      <c r="D659" s="88">
        <v>4151.5</v>
      </c>
      <c r="E659" s="88">
        <v>4082.05</v>
      </c>
      <c r="F659" s="88">
        <v>4116.6499999999996</v>
      </c>
      <c r="G659" s="88">
        <v>4116.6499999999996</v>
      </c>
      <c r="H659" s="230">
        <v>7807</v>
      </c>
    </row>
    <row r="660" spans="2:8" x14ac:dyDescent="0.3">
      <c r="B660" s="229" t="s">
        <v>1076</v>
      </c>
      <c r="C660" s="88">
        <v>4140</v>
      </c>
      <c r="D660" s="88">
        <v>4153</v>
      </c>
      <c r="E660" s="88">
        <v>4035</v>
      </c>
      <c r="F660" s="88">
        <v>4049.25</v>
      </c>
      <c r="G660" s="88">
        <v>4049.25</v>
      </c>
      <c r="H660" s="230">
        <v>23803</v>
      </c>
    </row>
    <row r="661" spans="2:8" x14ac:dyDescent="0.3">
      <c r="B661" s="229" t="s">
        <v>1077</v>
      </c>
      <c r="C661" s="88">
        <v>3980.65</v>
      </c>
      <c r="D661" s="88">
        <v>4126</v>
      </c>
      <c r="E661" s="88">
        <v>3980.65</v>
      </c>
      <c r="F661" s="88">
        <v>4082.25</v>
      </c>
      <c r="G661" s="88">
        <v>4082.25</v>
      </c>
      <c r="H661" s="230">
        <v>35383</v>
      </c>
    </row>
    <row r="662" spans="2:8" x14ac:dyDescent="0.3">
      <c r="B662" s="229" t="s">
        <v>1078</v>
      </c>
      <c r="C662" s="88">
        <v>4067.6</v>
      </c>
      <c r="D662" s="88">
        <v>4155.75</v>
      </c>
      <c r="E662" s="88">
        <v>4067.6</v>
      </c>
      <c r="F662" s="88">
        <v>4139.3500000000004</v>
      </c>
      <c r="G662" s="88">
        <v>4139.3500000000004</v>
      </c>
      <c r="H662" s="230">
        <v>30438</v>
      </c>
    </row>
    <row r="663" spans="2:8" x14ac:dyDescent="0.3">
      <c r="B663" s="229" t="s">
        <v>1079</v>
      </c>
      <c r="C663" s="88">
        <v>4025</v>
      </c>
      <c r="D663" s="88">
        <v>4179</v>
      </c>
      <c r="E663" s="88">
        <v>4001</v>
      </c>
      <c r="F663" s="88">
        <v>4162.95</v>
      </c>
      <c r="G663" s="88">
        <v>4162.95</v>
      </c>
      <c r="H663" s="230">
        <v>50041</v>
      </c>
    </row>
    <row r="664" spans="2:8" x14ac:dyDescent="0.3">
      <c r="B664" s="229" t="s">
        <v>1080</v>
      </c>
      <c r="C664" s="88">
        <v>4075</v>
      </c>
      <c r="D664" s="88">
        <v>4075</v>
      </c>
      <c r="E664" s="88">
        <v>3980</v>
      </c>
      <c r="F664" s="88">
        <v>4003.8</v>
      </c>
      <c r="G664" s="88">
        <v>4003.8</v>
      </c>
      <c r="H664" s="230">
        <v>15686</v>
      </c>
    </row>
    <row r="665" spans="2:8" x14ac:dyDescent="0.3">
      <c r="B665" s="229" t="s">
        <v>1081</v>
      </c>
      <c r="C665" s="88">
        <v>4087</v>
      </c>
      <c r="D665" s="88">
        <v>4125</v>
      </c>
      <c r="E665" s="88">
        <v>3995.2</v>
      </c>
      <c r="F665" s="88">
        <v>4012.9</v>
      </c>
      <c r="G665" s="88">
        <v>4012.9</v>
      </c>
      <c r="H665" s="230">
        <v>15148</v>
      </c>
    </row>
    <row r="666" spans="2:8" x14ac:dyDescent="0.3">
      <c r="B666" s="229" t="s">
        <v>1082</v>
      </c>
      <c r="C666" s="88">
        <v>4088</v>
      </c>
      <c r="D666" s="88">
        <v>4145</v>
      </c>
      <c r="E666" s="88">
        <v>4045.05</v>
      </c>
      <c r="F666" s="88">
        <v>4071.5</v>
      </c>
      <c r="G666" s="88">
        <v>4071.5</v>
      </c>
      <c r="H666" s="230">
        <v>29279</v>
      </c>
    </row>
    <row r="667" spans="2:8" x14ac:dyDescent="0.3">
      <c r="B667" s="229" t="s">
        <v>1083</v>
      </c>
      <c r="C667" s="88">
        <v>4138.5</v>
      </c>
      <c r="D667" s="88">
        <v>4138.5</v>
      </c>
      <c r="E667" s="88">
        <v>4075.95</v>
      </c>
      <c r="F667" s="88">
        <v>4083.25</v>
      </c>
      <c r="G667" s="88">
        <v>4083.25</v>
      </c>
      <c r="H667" s="230">
        <v>11087</v>
      </c>
    </row>
    <row r="668" spans="2:8" x14ac:dyDescent="0.3">
      <c r="B668" s="229" t="s">
        <v>1084</v>
      </c>
      <c r="C668" s="88">
        <v>4249.95</v>
      </c>
      <c r="D668" s="88">
        <v>4249.95</v>
      </c>
      <c r="E668" s="88">
        <v>4125</v>
      </c>
      <c r="F668" s="88">
        <v>4138.5</v>
      </c>
      <c r="G668" s="88">
        <v>4138.5</v>
      </c>
      <c r="H668" s="230">
        <v>32029</v>
      </c>
    </row>
    <row r="669" spans="2:8" x14ac:dyDescent="0.3">
      <c r="B669" s="229" t="s">
        <v>1085</v>
      </c>
      <c r="C669" s="88">
        <v>4283</v>
      </c>
      <c r="D669" s="88">
        <v>4283</v>
      </c>
      <c r="E669" s="88">
        <v>4213.55</v>
      </c>
      <c r="F669" s="88">
        <v>4243.3</v>
      </c>
      <c r="G669" s="88">
        <v>4243.3</v>
      </c>
      <c r="H669" s="230">
        <v>14377</v>
      </c>
    </row>
    <row r="670" spans="2:8" x14ac:dyDescent="0.3">
      <c r="B670" s="229" t="s">
        <v>1086</v>
      </c>
      <c r="C670" s="88">
        <v>4140</v>
      </c>
      <c r="D670" s="88">
        <v>4275</v>
      </c>
      <c r="E670" s="88">
        <v>4089.1</v>
      </c>
      <c r="F670" s="88">
        <v>4223.1499999999996</v>
      </c>
      <c r="G670" s="88">
        <v>4223.1499999999996</v>
      </c>
      <c r="H670" s="230">
        <v>37392</v>
      </c>
    </row>
    <row r="671" spans="2:8" x14ac:dyDescent="0.3">
      <c r="B671" s="229" t="s">
        <v>1087</v>
      </c>
      <c r="C671" s="88">
        <v>4140</v>
      </c>
      <c r="D671" s="88">
        <v>4167.75</v>
      </c>
      <c r="E671" s="88">
        <v>4095</v>
      </c>
      <c r="F671" s="88">
        <v>4116.3999999999996</v>
      </c>
      <c r="G671" s="88">
        <v>4116.3999999999996</v>
      </c>
      <c r="H671" s="230">
        <v>14671</v>
      </c>
    </row>
    <row r="672" spans="2:8" x14ac:dyDescent="0.3">
      <c r="B672" s="229" t="s">
        <v>1088</v>
      </c>
      <c r="C672" s="88">
        <v>4112</v>
      </c>
      <c r="D672" s="88">
        <v>4150</v>
      </c>
      <c r="E672" s="88">
        <v>4050</v>
      </c>
      <c r="F672" s="88">
        <v>4072</v>
      </c>
      <c r="G672" s="88">
        <v>4072</v>
      </c>
      <c r="H672" s="230">
        <v>42699</v>
      </c>
    </row>
    <row r="673" spans="2:8" x14ac:dyDescent="0.3">
      <c r="B673" s="229" t="s">
        <v>1089</v>
      </c>
      <c r="C673" s="88">
        <v>4068.5</v>
      </c>
      <c r="D673" s="88">
        <v>4145.2</v>
      </c>
      <c r="E673" s="88">
        <v>3997.85</v>
      </c>
      <c r="F673" s="88">
        <v>4063.35</v>
      </c>
      <c r="G673" s="88">
        <v>4063.35</v>
      </c>
      <c r="H673" s="230">
        <v>30797</v>
      </c>
    </row>
    <row r="674" spans="2:8" x14ac:dyDescent="0.3">
      <c r="B674" s="229" t="s">
        <v>1090</v>
      </c>
      <c r="C674" s="88">
        <v>4015</v>
      </c>
      <c r="D674" s="88">
        <v>4120</v>
      </c>
      <c r="E674" s="88">
        <v>3881.05</v>
      </c>
      <c r="F674" s="88">
        <v>4094.25</v>
      </c>
      <c r="G674" s="88">
        <v>4094.25</v>
      </c>
      <c r="H674" s="230">
        <v>84559</v>
      </c>
    </row>
    <row r="675" spans="2:8" x14ac:dyDescent="0.3">
      <c r="B675" s="229" t="s">
        <v>1091</v>
      </c>
      <c r="C675" s="88">
        <v>4300</v>
      </c>
      <c r="D675" s="88">
        <v>4316</v>
      </c>
      <c r="E675" s="88">
        <v>3975.25</v>
      </c>
      <c r="F675" s="88">
        <v>4036.4</v>
      </c>
      <c r="G675" s="88">
        <v>4036.4</v>
      </c>
      <c r="H675" s="230">
        <v>133461</v>
      </c>
    </row>
    <row r="676" spans="2:8" x14ac:dyDescent="0.3">
      <c r="B676" s="229" t="s">
        <v>1092</v>
      </c>
      <c r="C676" s="88">
        <v>4410</v>
      </c>
      <c r="D676" s="88">
        <v>4430.45</v>
      </c>
      <c r="E676" s="88">
        <v>4282</v>
      </c>
      <c r="F676" s="88">
        <v>4301.3999999999996</v>
      </c>
      <c r="G676" s="88">
        <v>4301.3999999999996</v>
      </c>
      <c r="H676" s="230">
        <v>65573</v>
      </c>
    </row>
    <row r="677" spans="2:8" x14ac:dyDescent="0.3">
      <c r="B677" s="229" t="s">
        <v>1093</v>
      </c>
      <c r="C677" s="88">
        <v>4505</v>
      </c>
      <c r="D677" s="88">
        <v>4515</v>
      </c>
      <c r="E677" s="88">
        <v>4465</v>
      </c>
      <c r="F677" s="88">
        <v>4486.6000000000004</v>
      </c>
      <c r="G677" s="88">
        <v>4486.6000000000004</v>
      </c>
      <c r="H677" s="230">
        <v>16185</v>
      </c>
    </row>
    <row r="678" spans="2:8" x14ac:dyDescent="0.3">
      <c r="B678" s="229" t="s">
        <v>1094</v>
      </c>
      <c r="C678" s="88">
        <v>4447</v>
      </c>
      <c r="D678" s="88">
        <v>4503.6000000000004</v>
      </c>
      <c r="E678" s="88">
        <v>4365.1000000000004</v>
      </c>
      <c r="F678" s="88">
        <v>4474.3999999999996</v>
      </c>
      <c r="G678" s="88">
        <v>4474.3999999999996</v>
      </c>
      <c r="H678" s="230">
        <v>18767</v>
      </c>
    </row>
    <row r="679" spans="2:8" x14ac:dyDescent="0.3">
      <c r="B679" s="229" t="s">
        <v>1095</v>
      </c>
      <c r="C679" s="88">
        <v>4440</v>
      </c>
      <c r="D679" s="88">
        <v>4503.6000000000004</v>
      </c>
      <c r="E679" s="88">
        <v>4384.6499999999996</v>
      </c>
      <c r="F679" s="88">
        <v>4439.8500000000004</v>
      </c>
      <c r="G679" s="88">
        <v>4439.8500000000004</v>
      </c>
      <c r="H679" s="230">
        <v>32030</v>
      </c>
    </row>
    <row r="680" spans="2:8" x14ac:dyDescent="0.3">
      <c r="B680" s="229" t="s">
        <v>1096</v>
      </c>
      <c r="C680" s="88">
        <v>4353.6000000000004</v>
      </c>
      <c r="D680" s="88">
        <v>4412.05</v>
      </c>
      <c r="E680" s="88">
        <v>4291</v>
      </c>
      <c r="F680" s="88">
        <v>4399.1499999999996</v>
      </c>
      <c r="G680" s="88">
        <v>4399.1499999999996</v>
      </c>
      <c r="H680" s="230">
        <v>68616</v>
      </c>
    </row>
    <row r="681" spans="2:8" x14ac:dyDescent="0.3">
      <c r="B681" s="229" t="s">
        <v>1097</v>
      </c>
      <c r="C681" s="88">
        <v>4270</v>
      </c>
      <c r="D681" s="88">
        <v>4347</v>
      </c>
      <c r="E681" s="88">
        <v>4255.25</v>
      </c>
      <c r="F681" s="88">
        <v>4323.6000000000004</v>
      </c>
      <c r="G681" s="88">
        <v>4323.6000000000004</v>
      </c>
      <c r="H681" s="230">
        <v>73803</v>
      </c>
    </row>
    <row r="682" spans="2:8" x14ac:dyDescent="0.3">
      <c r="B682" s="229" t="s">
        <v>1098</v>
      </c>
      <c r="C682" s="88">
        <v>4299.8999999999996</v>
      </c>
      <c r="D682" s="88">
        <v>4356.8</v>
      </c>
      <c r="E682" s="88">
        <v>4223.6499999999996</v>
      </c>
      <c r="F682" s="88">
        <v>4255.25</v>
      </c>
      <c r="G682" s="88">
        <v>4255.25</v>
      </c>
      <c r="H682" s="230">
        <v>104496</v>
      </c>
    </row>
    <row r="683" spans="2:8" x14ac:dyDescent="0.3">
      <c r="B683" s="229" t="s">
        <v>1099</v>
      </c>
      <c r="C683" s="88">
        <v>4499</v>
      </c>
      <c r="D683" s="88">
        <v>4499</v>
      </c>
      <c r="E683" s="88">
        <v>4165.1000000000004</v>
      </c>
      <c r="F683" s="88">
        <v>4277.8</v>
      </c>
      <c r="G683" s="88">
        <v>4277.8</v>
      </c>
      <c r="H683" s="230">
        <v>211117</v>
      </c>
    </row>
    <row r="684" spans="2:8" x14ac:dyDescent="0.3">
      <c r="B684" s="229" t="s">
        <v>1100</v>
      </c>
      <c r="C684" s="88">
        <v>4651</v>
      </c>
      <c r="D684" s="88">
        <v>4651</v>
      </c>
      <c r="E684" s="88">
        <v>4500</v>
      </c>
      <c r="F684" s="88">
        <v>4506.2</v>
      </c>
      <c r="G684" s="88">
        <v>4506.2</v>
      </c>
      <c r="H684" s="230">
        <v>31491</v>
      </c>
    </row>
    <row r="685" spans="2:8" x14ac:dyDescent="0.3">
      <c r="B685" s="229" t="s">
        <v>1101</v>
      </c>
      <c r="C685" s="88">
        <v>4798.8999999999996</v>
      </c>
      <c r="D685" s="88">
        <v>4798.8999999999996</v>
      </c>
      <c r="E685" s="88">
        <v>4620</v>
      </c>
      <c r="F685" s="88">
        <v>4633.05</v>
      </c>
      <c r="G685" s="88">
        <v>4633.05</v>
      </c>
      <c r="H685" s="230">
        <v>37235</v>
      </c>
    </row>
    <row r="686" spans="2:8" x14ac:dyDescent="0.3">
      <c r="B686" s="229" t="s">
        <v>1102</v>
      </c>
      <c r="C686" s="88">
        <v>4725</v>
      </c>
      <c r="D686" s="88">
        <v>4748.95</v>
      </c>
      <c r="E686" s="88">
        <v>4698</v>
      </c>
      <c r="F686" s="88">
        <v>4730.8500000000004</v>
      </c>
      <c r="G686" s="88">
        <v>4730.8500000000004</v>
      </c>
      <c r="H686" s="230">
        <v>13215</v>
      </c>
    </row>
    <row r="687" spans="2:8" x14ac:dyDescent="0.3">
      <c r="B687" s="229" t="s">
        <v>1103</v>
      </c>
      <c r="C687" s="88">
        <v>4650</v>
      </c>
      <c r="D687" s="88">
        <v>4718.25</v>
      </c>
      <c r="E687" s="88">
        <v>4632</v>
      </c>
      <c r="F687" s="88">
        <v>4705.3</v>
      </c>
      <c r="G687" s="88">
        <v>4705.3</v>
      </c>
      <c r="H687" s="230">
        <v>26005</v>
      </c>
    </row>
    <row r="688" spans="2:8" x14ac:dyDescent="0.3">
      <c r="B688" s="229" t="s">
        <v>1104</v>
      </c>
      <c r="C688" s="88">
        <v>4724</v>
      </c>
      <c r="D688" s="88">
        <v>4725</v>
      </c>
      <c r="E688" s="88">
        <v>4648.8</v>
      </c>
      <c r="F688" s="88">
        <v>4687.5</v>
      </c>
      <c r="G688" s="88">
        <v>4687.5</v>
      </c>
      <c r="H688" s="230">
        <v>11811</v>
      </c>
    </row>
    <row r="689" spans="2:8" x14ac:dyDescent="0.3">
      <c r="B689" s="229" t="s">
        <v>1105</v>
      </c>
      <c r="C689" s="88">
        <v>4765</v>
      </c>
      <c r="D689" s="88">
        <v>4765</v>
      </c>
      <c r="E689" s="88">
        <v>4687</v>
      </c>
      <c r="F689" s="88">
        <v>4723.1000000000004</v>
      </c>
      <c r="G689" s="88">
        <v>4723.1000000000004</v>
      </c>
      <c r="H689" s="230">
        <v>29999</v>
      </c>
    </row>
    <row r="690" spans="2:8" x14ac:dyDescent="0.3">
      <c r="B690" s="229" t="s">
        <v>1106</v>
      </c>
      <c r="C690" s="88">
        <v>4770</v>
      </c>
      <c r="D690" s="88">
        <v>4799</v>
      </c>
      <c r="E690" s="88">
        <v>4704.1000000000004</v>
      </c>
      <c r="F690" s="88">
        <v>4712.6499999999996</v>
      </c>
      <c r="G690" s="88">
        <v>4712.6499999999996</v>
      </c>
      <c r="H690" s="230">
        <v>33568</v>
      </c>
    </row>
    <row r="691" spans="2:8" x14ac:dyDescent="0.3">
      <c r="B691" s="229" t="s">
        <v>1107</v>
      </c>
      <c r="C691" s="88">
        <v>4638.8</v>
      </c>
      <c r="D691" s="88">
        <v>4689.45</v>
      </c>
      <c r="E691" s="88">
        <v>4638.8</v>
      </c>
      <c r="F691" s="88">
        <v>4669.7</v>
      </c>
      <c r="G691" s="88">
        <v>4669.7</v>
      </c>
      <c r="H691" s="230">
        <v>15530</v>
      </c>
    </row>
    <row r="692" spans="2:8" x14ac:dyDescent="0.3">
      <c r="B692" s="229" t="s">
        <v>1108</v>
      </c>
      <c r="C692" s="88">
        <v>4683</v>
      </c>
      <c r="D692" s="88">
        <v>4696.8500000000004</v>
      </c>
      <c r="E692" s="88">
        <v>4630</v>
      </c>
      <c r="F692" s="88">
        <v>4638.8</v>
      </c>
      <c r="G692" s="88">
        <v>4638.8</v>
      </c>
      <c r="H692" s="230">
        <v>10620</v>
      </c>
    </row>
    <row r="693" spans="2:8" x14ac:dyDescent="0.3">
      <c r="B693" s="229" t="s">
        <v>1109</v>
      </c>
      <c r="C693" s="88">
        <v>4739</v>
      </c>
      <c r="D693" s="88">
        <v>4748</v>
      </c>
      <c r="E693" s="88">
        <v>4670.8999999999996</v>
      </c>
      <c r="F693" s="88">
        <v>4682.25</v>
      </c>
      <c r="G693" s="88">
        <v>4682.25</v>
      </c>
      <c r="H693" s="230">
        <v>46783</v>
      </c>
    </row>
    <row r="694" spans="2:8" x14ac:dyDescent="0.3">
      <c r="B694" s="229" t="s">
        <v>1110</v>
      </c>
      <c r="C694" s="88">
        <v>4675</v>
      </c>
      <c r="D694" s="88">
        <v>4759</v>
      </c>
      <c r="E694" s="88">
        <v>4644.1499999999996</v>
      </c>
      <c r="F694" s="88">
        <v>4722.05</v>
      </c>
      <c r="G694" s="88">
        <v>4722.05</v>
      </c>
      <c r="H694" s="230">
        <v>26702</v>
      </c>
    </row>
    <row r="695" spans="2:8" x14ac:dyDescent="0.3">
      <c r="B695" s="229" t="s">
        <v>1111</v>
      </c>
      <c r="C695" s="88">
        <v>4620</v>
      </c>
      <c r="D695" s="88">
        <v>4679.3500000000004</v>
      </c>
      <c r="E695" s="88">
        <v>4559</v>
      </c>
      <c r="F695" s="88">
        <v>4669.25</v>
      </c>
      <c r="G695" s="88">
        <v>4669.25</v>
      </c>
      <c r="H695" s="230">
        <v>13871</v>
      </c>
    </row>
    <row r="696" spans="2:8" x14ac:dyDescent="0.3">
      <c r="B696" s="229" t="s">
        <v>1112</v>
      </c>
      <c r="C696" s="88">
        <v>4675.25</v>
      </c>
      <c r="D696" s="88">
        <v>4675.25</v>
      </c>
      <c r="E696" s="88">
        <v>4615</v>
      </c>
      <c r="F696" s="88">
        <v>4627.2</v>
      </c>
      <c r="G696" s="88">
        <v>4627.2</v>
      </c>
      <c r="H696" s="230">
        <v>13971</v>
      </c>
    </row>
    <row r="697" spans="2:8" x14ac:dyDescent="0.3">
      <c r="B697" s="229" t="s">
        <v>1113</v>
      </c>
      <c r="C697" s="88">
        <v>4695.2</v>
      </c>
      <c r="D697" s="88">
        <v>4695.2</v>
      </c>
      <c r="E697" s="88">
        <v>4635</v>
      </c>
      <c r="F697" s="88">
        <v>4648.7</v>
      </c>
      <c r="G697" s="88">
        <v>4648.7</v>
      </c>
      <c r="H697" s="230">
        <v>11913</v>
      </c>
    </row>
    <row r="698" spans="2:8" x14ac:dyDescent="0.3">
      <c r="B698" s="229" t="s">
        <v>1114</v>
      </c>
      <c r="C698" s="88">
        <v>4605</v>
      </c>
      <c r="D698" s="88">
        <v>4695.1499999999996</v>
      </c>
      <c r="E698" s="88">
        <v>4587.1499999999996</v>
      </c>
      <c r="F698" s="88">
        <v>4655.3</v>
      </c>
      <c r="G698" s="88">
        <v>4655.3</v>
      </c>
      <c r="H698" s="230">
        <v>20699</v>
      </c>
    </row>
    <row r="699" spans="2:8" x14ac:dyDescent="0.3">
      <c r="B699" s="229" t="s">
        <v>1115</v>
      </c>
      <c r="C699" s="88">
        <v>4615</v>
      </c>
      <c r="D699" s="88">
        <v>4678.1000000000004</v>
      </c>
      <c r="E699" s="88">
        <v>4572</v>
      </c>
      <c r="F699" s="88">
        <v>4586.8500000000004</v>
      </c>
      <c r="G699" s="88">
        <v>4586.8500000000004</v>
      </c>
      <c r="H699" s="230">
        <v>12352</v>
      </c>
    </row>
    <row r="700" spans="2:8" x14ac:dyDescent="0.3">
      <c r="B700" s="229" t="s">
        <v>1116</v>
      </c>
      <c r="C700" s="88">
        <v>4683</v>
      </c>
      <c r="D700" s="88">
        <v>4686.8</v>
      </c>
      <c r="E700" s="88">
        <v>4553.6000000000004</v>
      </c>
      <c r="F700" s="88">
        <v>4615.8500000000004</v>
      </c>
      <c r="G700" s="88">
        <v>4615.8500000000004</v>
      </c>
      <c r="H700" s="230">
        <v>20601</v>
      </c>
    </row>
    <row r="701" spans="2:8" x14ac:dyDescent="0.3">
      <c r="B701" s="229" t="s">
        <v>1117</v>
      </c>
      <c r="C701" s="88">
        <v>4780</v>
      </c>
      <c r="D701" s="88">
        <v>4788</v>
      </c>
      <c r="E701" s="88">
        <v>4671.75</v>
      </c>
      <c r="F701" s="88">
        <v>4696.8999999999996</v>
      </c>
      <c r="G701" s="88">
        <v>4696.8999999999996</v>
      </c>
      <c r="H701" s="230">
        <v>11790</v>
      </c>
    </row>
    <row r="702" spans="2:8" x14ac:dyDescent="0.3">
      <c r="B702" s="229" t="s">
        <v>1118</v>
      </c>
      <c r="C702" s="88">
        <v>4790</v>
      </c>
      <c r="D702" s="88">
        <v>4812.3999999999996</v>
      </c>
      <c r="E702" s="88">
        <v>4726.8500000000004</v>
      </c>
      <c r="F702" s="88">
        <v>4739.5</v>
      </c>
      <c r="G702" s="88">
        <v>4739.5</v>
      </c>
      <c r="H702" s="230">
        <v>17018</v>
      </c>
    </row>
    <row r="703" spans="2:8" x14ac:dyDescent="0.3">
      <c r="B703" s="229" t="s">
        <v>1119</v>
      </c>
      <c r="C703" s="88">
        <v>4785.3</v>
      </c>
      <c r="D703" s="88">
        <v>4810.5</v>
      </c>
      <c r="E703" s="88">
        <v>4741</v>
      </c>
      <c r="F703" s="88">
        <v>4750.3500000000004</v>
      </c>
      <c r="G703" s="88">
        <v>4750.3500000000004</v>
      </c>
      <c r="H703" s="230">
        <v>9857</v>
      </c>
    </row>
    <row r="704" spans="2:8" x14ac:dyDescent="0.3">
      <c r="B704" s="229" t="s">
        <v>1120</v>
      </c>
      <c r="C704" s="88">
        <v>4770</v>
      </c>
      <c r="D704" s="88">
        <v>4837.75</v>
      </c>
      <c r="E704" s="88">
        <v>4716.05</v>
      </c>
      <c r="F704" s="88">
        <v>4814.05</v>
      </c>
      <c r="G704" s="88">
        <v>4814.05</v>
      </c>
      <c r="H704" s="230">
        <v>74491</v>
      </c>
    </row>
    <row r="705" spans="2:8" x14ac:dyDescent="0.3">
      <c r="B705" s="229" t="s">
        <v>1121</v>
      </c>
      <c r="C705" s="88">
        <v>4839</v>
      </c>
      <c r="D705" s="88">
        <v>4871.55</v>
      </c>
      <c r="E705" s="88">
        <v>4751</v>
      </c>
      <c r="F705" s="88">
        <v>4766.6000000000004</v>
      </c>
      <c r="G705" s="88">
        <v>4766.6000000000004</v>
      </c>
      <c r="H705" s="230">
        <v>12164</v>
      </c>
    </row>
    <row r="706" spans="2:8" x14ac:dyDescent="0.3">
      <c r="B706" s="229" t="s">
        <v>1122</v>
      </c>
      <c r="C706" s="88">
        <v>4810</v>
      </c>
      <c r="D706" s="88">
        <v>4810</v>
      </c>
      <c r="E706" s="88">
        <v>4775.45</v>
      </c>
      <c r="F706" s="88">
        <v>4795.8500000000004</v>
      </c>
      <c r="G706" s="88">
        <v>4795.8500000000004</v>
      </c>
      <c r="H706" s="230">
        <v>6939</v>
      </c>
    </row>
    <row r="707" spans="2:8" x14ac:dyDescent="0.3">
      <c r="B707" s="229" t="s">
        <v>1123</v>
      </c>
      <c r="C707" s="88">
        <v>4839.5</v>
      </c>
      <c r="D707" s="88">
        <v>4875.2</v>
      </c>
      <c r="E707" s="88">
        <v>4777.5</v>
      </c>
      <c r="F707" s="88">
        <v>4820.8</v>
      </c>
      <c r="G707" s="88">
        <v>4820.8</v>
      </c>
      <c r="H707" s="230">
        <v>29450</v>
      </c>
    </row>
    <row r="708" spans="2:8" x14ac:dyDescent="0.3">
      <c r="B708" s="229" t="s">
        <v>1124</v>
      </c>
      <c r="C708" s="88">
        <v>4709.75</v>
      </c>
      <c r="D708" s="88">
        <v>4840</v>
      </c>
      <c r="E708" s="88">
        <v>4709.75</v>
      </c>
      <c r="F708" s="88">
        <v>4816.3500000000004</v>
      </c>
      <c r="G708" s="88">
        <v>4816.3500000000004</v>
      </c>
      <c r="H708" s="230">
        <v>44443</v>
      </c>
    </row>
    <row r="709" spans="2:8" x14ac:dyDescent="0.3">
      <c r="B709" s="229" t="s">
        <v>1125</v>
      </c>
      <c r="C709" s="88">
        <v>4678</v>
      </c>
      <c r="D709" s="88">
        <v>4716</v>
      </c>
      <c r="E709" s="88">
        <v>4610.95</v>
      </c>
      <c r="F709" s="88">
        <v>4660.8999999999996</v>
      </c>
      <c r="G709" s="88">
        <v>4660.8999999999996</v>
      </c>
      <c r="H709" s="230">
        <v>31897</v>
      </c>
    </row>
    <row r="710" spans="2:8" x14ac:dyDescent="0.3">
      <c r="B710" s="229" t="s">
        <v>1126</v>
      </c>
      <c r="C710" s="88">
        <v>4822</v>
      </c>
      <c r="D710" s="88">
        <v>4822</v>
      </c>
      <c r="E710" s="88">
        <v>4580.45</v>
      </c>
      <c r="F710" s="88">
        <v>4596.55</v>
      </c>
      <c r="G710" s="88">
        <v>4596.55</v>
      </c>
      <c r="H710" s="230">
        <v>47806</v>
      </c>
    </row>
    <row r="711" spans="2:8" x14ac:dyDescent="0.3">
      <c r="B711" s="229" t="s">
        <v>1127</v>
      </c>
      <c r="C711" s="88">
        <v>4813.55</v>
      </c>
      <c r="D711" s="88">
        <v>4850</v>
      </c>
      <c r="E711" s="88">
        <v>4775.6000000000004</v>
      </c>
      <c r="F711" s="88">
        <v>4800.45</v>
      </c>
      <c r="G711" s="88">
        <v>4800.45</v>
      </c>
      <c r="H711" s="230">
        <v>28730</v>
      </c>
    </row>
    <row r="712" spans="2:8" x14ac:dyDescent="0.3">
      <c r="B712" s="229" t="s">
        <v>1128</v>
      </c>
      <c r="C712" s="88">
        <v>4741.05</v>
      </c>
      <c r="D712" s="88">
        <v>4795</v>
      </c>
      <c r="E712" s="88">
        <v>4713.7</v>
      </c>
      <c r="F712" s="88">
        <v>4785.55</v>
      </c>
      <c r="G712" s="88">
        <v>4785.55</v>
      </c>
      <c r="H712" s="230">
        <v>30818</v>
      </c>
    </row>
    <row r="713" spans="2:8" x14ac:dyDescent="0.3">
      <c r="B713" s="229" t="s">
        <v>1129</v>
      </c>
      <c r="C713" s="88">
        <v>4725</v>
      </c>
      <c r="D713" s="88">
        <v>4842.45</v>
      </c>
      <c r="E713" s="88">
        <v>4670</v>
      </c>
      <c r="F713" s="88">
        <v>4694.75</v>
      </c>
      <c r="G713" s="88">
        <v>4694.75</v>
      </c>
      <c r="H713" s="230">
        <v>22164</v>
      </c>
    </row>
    <row r="714" spans="2:8" x14ac:dyDescent="0.3">
      <c r="B714" s="229" t="s">
        <v>1130</v>
      </c>
      <c r="C714" s="88">
        <v>4677</v>
      </c>
      <c r="D714" s="88">
        <v>4800</v>
      </c>
      <c r="E714" s="88">
        <v>4646.3999999999996</v>
      </c>
      <c r="F714" s="88">
        <v>4706.75</v>
      </c>
      <c r="G714" s="88">
        <v>4706.75</v>
      </c>
      <c r="H714" s="230">
        <v>43538</v>
      </c>
    </row>
    <row r="715" spans="2:8" x14ac:dyDescent="0.3">
      <c r="B715" s="229" t="s">
        <v>1131</v>
      </c>
      <c r="C715" s="88">
        <v>4650</v>
      </c>
      <c r="D715" s="88">
        <v>4718.75</v>
      </c>
      <c r="E715" s="88">
        <v>4385.75</v>
      </c>
      <c r="F715" s="88">
        <v>4675.3</v>
      </c>
      <c r="G715" s="88">
        <v>4675.3</v>
      </c>
      <c r="H715" s="230">
        <v>93170</v>
      </c>
    </row>
    <row r="716" spans="2:8" x14ac:dyDescent="0.3">
      <c r="B716" s="229" t="s">
        <v>1132</v>
      </c>
      <c r="C716" s="88">
        <v>4874</v>
      </c>
      <c r="D716" s="88">
        <v>4874</v>
      </c>
      <c r="E716" s="88">
        <v>4703</v>
      </c>
      <c r="F716" s="88">
        <v>4718.75</v>
      </c>
      <c r="G716" s="88">
        <v>4718.75</v>
      </c>
      <c r="H716" s="230">
        <v>27619</v>
      </c>
    </row>
    <row r="717" spans="2:8" x14ac:dyDescent="0.3">
      <c r="B717" s="229" t="s">
        <v>1133</v>
      </c>
      <c r="C717" s="88">
        <v>4915</v>
      </c>
      <c r="D717" s="88">
        <v>4930.05</v>
      </c>
      <c r="E717" s="88">
        <v>4855.7</v>
      </c>
      <c r="F717" s="88">
        <v>4891.6000000000004</v>
      </c>
      <c r="G717" s="88">
        <v>4891.6000000000004</v>
      </c>
      <c r="H717" s="230">
        <v>8358</v>
      </c>
    </row>
    <row r="718" spans="2:8" x14ac:dyDescent="0.3">
      <c r="B718" s="229" t="s">
        <v>1134</v>
      </c>
      <c r="C718" s="88">
        <v>4880</v>
      </c>
      <c r="D718" s="88">
        <v>4959.95</v>
      </c>
      <c r="E718" s="88">
        <v>4853</v>
      </c>
      <c r="F718" s="88">
        <v>4882.05</v>
      </c>
      <c r="G718" s="88">
        <v>4882.05</v>
      </c>
      <c r="H718" s="230">
        <v>15717</v>
      </c>
    </row>
    <row r="719" spans="2:8" x14ac:dyDescent="0.3">
      <c r="B719" s="229" t="s">
        <v>1135</v>
      </c>
      <c r="C719" s="88">
        <v>4766.3999999999996</v>
      </c>
      <c r="D719" s="88">
        <v>4919.7</v>
      </c>
      <c r="E719" s="88">
        <v>4754.3</v>
      </c>
      <c r="F719" s="88">
        <v>4841.75</v>
      </c>
      <c r="G719" s="88">
        <v>4841.75</v>
      </c>
      <c r="H719" s="230">
        <v>45250</v>
      </c>
    </row>
    <row r="720" spans="2:8" x14ac:dyDescent="0.3">
      <c r="B720" s="229" t="s">
        <v>1136</v>
      </c>
      <c r="C720" s="88">
        <v>5082</v>
      </c>
      <c r="D720" s="88">
        <v>5085.05</v>
      </c>
      <c r="E720" s="88">
        <v>4785.3500000000004</v>
      </c>
      <c r="F720" s="88">
        <v>4829</v>
      </c>
      <c r="G720" s="88">
        <v>4829</v>
      </c>
      <c r="H720" s="230">
        <v>86708</v>
      </c>
    </row>
    <row r="721" spans="2:8" x14ac:dyDescent="0.3">
      <c r="B721" s="229" t="s">
        <v>1137</v>
      </c>
      <c r="C721" s="88">
        <v>5124.1000000000004</v>
      </c>
      <c r="D721" s="88">
        <v>5178.55</v>
      </c>
      <c r="E721" s="88">
        <v>5040</v>
      </c>
      <c r="F721" s="88">
        <v>5082.8</v>
      </c>
      <c r="G721" s="88">
        <v>5082.8</v>
      </c>
      <c r="H721" s="230">
        <v>30575</v>
      </c>
    </row>
    <row r="722" spans="2:8" x14ac:dyDescent="0.3">
      <c r="B722" s="229" t="s">
        <v>1138</v>
      </c>
      <c r="C722" s="88">
        <v>5080</v>
      </c>
      <c r="D722" s="88">
        <v>5177.45</v>
      </c>
      <c r="E722" s="88">
        <v>5078</v>
      </c>
      <c r="F722" s="88">
        <v>5124.1000000000004</v>
      </c>
      <c r="G722" s="88">
        <v>5124.1000000000004</v>
      </c>
      <c r="H722" s="230">
        <v>46972</v>
      </c>
    </row>
    <row r="723" spans="2:8" x14ac:dyDescent="0.3">
      <c r="B723" s="229" t="s">
        <v>1139</v>
      </c>
      <c r="C723" s="88">
        <v>5045</v>
      </c>
      <c r="D723" s="88">
        <v>5098.95</v>
      </c>
      <c r="E723" s="88">
        <v>4985</v>
      </c>
      <c r="F723" s="88">
        <v>5082.2</v>
      </c>
      <c r="G723" s="88">
        <v>5082.2</v>
      </c>
      <c r="H723" s="230">
        <v>25465</v>
      </c>
    </row>
    <row r="724" spans="2:8" x14ac:dyDescent="0.3">
      <c r="B724" s="229" t="s">
        <v>1140</v>
      </c>
      <c r="C724" s="88">
        <v>5080</v>
      </c>
      <c r="D724" s="88">
        <v>5081.6000000000004</v>
      </c>
      <c r="E724" s="88">
        <v>4984.25</v>
      </c>
      <c r="F724" s="88">
        <v>5019.2</v>
      </c>
      <c r="G724" s="88">
        <v>5019.2</v>
      </c>
      <c r="H724" s="230">
        <v>13206</v>
      </c>
    </row>
    <row r="725" spans="2:8" x14ac:dyDescent="0.3">
      <c r="B725" s="229" t="s">
        <v>1141</v>
      </c>
      <c r="C725" s="88">
        <v>5032</v>
      </c>
      <c r="D725" s="88">
        <v>5095.05</v>
      </c>
      <c r="E725" s="88">
        <v>5027.25</v>
      </c>
      <c r="F725" s="88">
        <v>5077.2</v>
      </c>
      <c r="G725" s="88">
        <v>5077.2</v>
      </c>
      <c r="H725" s="230">
        <v>57569</v>
      </c>
    </row>
    <row r="726" spans="2:8" x14ac:dyDescent="0.3">
      <c r="B726" s="229" t="s">
        <v>1142</v>
      </c>
      <c r="C726" s="88">
        <v>4959</v>
      </c>
      <c r="D726" s="88">
        <v>5040</v>
      </c>
      <c r="E726" s="88">
        <v>4900</v>
      </c>
      <c r="F726" s="88">
        <v>4997.75</v>
      </c>
      <c r="G726" s="88">
        <v>4997.75</v>
      </c>
      <c r="H726" s="230">
        <v>83797</v>
      </c>
    </row>
    <row r="727" spans="2:8" x14ac:dyDescent="0.3">
      <c r="B727" s="229" t="s">
        <v>1143</v>
      </c>
      <c r="C727" s="88">
        <v>4750</v>
      </c>
      <c r="D727" s="88">
        <v>4998.95</v>
      </c>
      <c r="E727" s="88">
        <v>4726.8</v>
      </c>
      <c r="F727" s="88">
        <v>4965.2</v>
      </c>
      <c r="G727" s="88">
        <v>4965.2</v>
      </c>
      <c r="H727" s="230">
        <v>40029</v>
      </c>
    </row>
    <row r="728" spans="2:8" x14ac:dyDescent="0.3">
      <c r="B728" s="229" t="s">
        <v>1144</v>
      </c>
      <c r="C728" s="88">
        <v>4750</v>
      </c>
      <c r="D728" s="88">
        <v>4772.75</v>
      </c>
      <c r="E728" s="88">
        <v>4723.2</v>
      </c>
      <c r="F728" s="88">
        <v>4755.3999999999996</v>
      </c>
      <c r="G728" s="88">
        <v>4755.3999999999996</v>
      </c>
      <c r="H728" s="230">
        <v>20190</v>
      </c>
    </row>
    <row r="729" spans="2:8" x14ac:dyDescent="0.3">
      <c r="B729" s="229" t="s">
        <v>1145</v>
      </c>
      <c r="C729" s="88">
        <v>4784</v>
      </c>
      <c r="D729" s="88">
        <v>4864</v>
      </c>
      <c r="E729" s="88">
        <v>4719.6000000000004</v>
      </c>
      <c r="F729" s="88">
        <v>4749.2</v>
      </c>
      <c r="G729" s="88">
        <v>4749.2</v>
      </c>
      <c r="H729" s="230">
        <v>29933</v>
      </c>
    </row>
    <row r="730" spans="2:8" x14ac:dyDescent="0.3">
      <c r="B730" s="229" t="s">
        <v>1146</v>
      </c>
      <c r="C730" s="88">
        <v>4768.1000000000004</v>
      </c>
      <c r="D730" s="88">
        <v>4825.95</v>
      </c>
      <c r="E730" s="88">
        <v>4761.05</v>
      </c>
      <c r="F730" s="88">
        <v>4783.7</v>
      </c>
      <c r="G730" s="88">
        <v>4783.7</v>
      </c>
      <c r="H730" s="230">
        <v>9170</v>
      </c>
    </row>
    <row r="731" spans="2:8" x14ac:dyDescent="0.3">
      <c r="B731" s="229" t="s">
        <v>1147</v>
      </c>
      <c r="C731" s="88">
        <v>4650</v>
      </c>
      <c r="D731" s="88">
        <v>4793.95</v>
      </c>
      <c r="E731" s="88">
        <v>4600</v>
      </c>
      <c r="F731" s="88">
        <v>4720.2</v>
      </c>
      <c r="G731" s="88">
        <v>4720.2</v>
      </c>
      <c r="H731" s="230">
        <v>20538</v>
      </c>
    </row>
    <row r="732" spans="2:8" x14ac:dyDescent="0.3">
      <c r="B732" s="229" t="s">
        <v>1148</v>
      </c>
      <c r="C732" s="88">
        <v>4590</v>
      </c>
      <c r="D732" s="88">
        <v>4669.8</v>
      </c>
      <c r="E732" s="88">
        <v>4581.5</v>
      </c>
      <c r="F732" s="88">
        <v>4595.55</v>
      </c>
      <c r="G732" s="88">
        <v>4595.55</v>
      </c>
      <c r="H732" s="230">
        <v>17203</v>
      </c>
    </row>
    <row r="733" spans="2:8" x14ac:dyDescent="0.3">
      <c r="B733" s="229" t="s">
        <v>1149</v>
      </c>
      <c r="C733" s="88">
        <v>4663</v>
      </c>
      <c r="D733" s="88">
        <v>4711.3999999999996</v>
      </c>
      <c r="E733" s="88">
        <v>4550</v>
      </c>
      <c r="F733" s="88">
        <v>4559.75</v>
      </c>
      <c r="G733" s="88">
        <v>4559.75</v>
      </c>
      <c r="H733" s="230">
        <v>19271</v>
      </c>
    </row>
    <row r="734" spans="2:8" x14ac:dyDescent="0.3">
      <c r="B734" s="229" t="s">
        <v>1150</v>
      </c>
      <c r="C734" s="88">
        <v>4670</v>
      </c>
      <c r="D734" s="88">
        <v>4721</v>
      </c>
      <c r="E734" s="88">
        <v>4554.3999999999996</v>
      </c>
      <c r="F734" s="88">
        <v>4632.05</v>
      </c>
      <c r="G734" s="88">
        <v>4632.05</v>
      </c>
      <c r="H734" s="230">
        <v>51255</v>
      </c>
    </row>
    <row r="735" spans="2:8" x14ac:dyDescent="0.3">
      <c r="B735" s="229" t="s">
        <v>1151</v>
      </c>
      <c r="C735" s="88">
        <v>4748.95</v>
      </c>
      <c r="D735" s="88">
        <v>4779.8500000000004</v>
      </c>
      <c r="E735" s="88">
        <v>4621</v>
      </c>
      <c r="F735" s="88">
        <v>4677.1499999999996</v>
      </c>
      <c r="G735" s="88">
        <v>4677.1499999999996</v>
      </c>
      <c r="H735" s="230">
        <v>20689</v>
      </c>
    </row>
    <row r="736" spans="2:8" x14ac:dyDescent="0.3">
      <c r="B736" s="229" t="s">
        <v>1152</v>
      </c>
      <c r="C736" s="88">
        <v>4620</v>
      </c>
      <c r="D736" s="88">
        <v>4771.8</v>
      </c>
      <c r="E736" s="88">
        <v>4600</v>
      </c>
      <c r="F736" s="88">
        <v>4731.6000000000004</v>
      </c>
      <c r="G736" s="88">
        <v>4731.6000000000004</v>
      </c>
      <c r="H736" s="230">
        <v>64256</v>
      </c>
    </row>
    <row r="737" spans="2:8" x14ac:dyDescent="0.3">
      <c r="B737" s="229" t="s">
        <v>1153</v>
      </c>
      <c r="C737" s="88">
        <v>4402</v>
      </c>
      <c r="D737" s="88">
        <v>4600</v>
      </c>
      <c r="E737" s="88">
        <v>4364.8500000000004</v>
      </c>
      <c r="F737" s="88">
        <v>4569</v>
      </c>
      <c r="G737" s="88">
        <v>4569</v>
      </c>
      <c r="H737" s="230">
        <v>45982</v>
      </c>
    </row>
    <row r="738" spans="2:8" x14ac:dyDescent="0.3">
      <c r="B738" s="229" t="s">
        <v>1154</v>
      </c>
      <c r="C738" s="88">
        <v>4550</v>
      </c>
      <c r="D738" s="88">
        <v>4571.5</v>
      </c>
      <c r="E738" s="88">
        <v>4350</v>
      </c>
      <c r="F738" s="88">
        <v>4398.6499999999996</v>
      </c>
      <c r="G738" s="88">
        <v>4398.6499999999996</v>
      </c>
      <c r="H738" s="230">
        <v>68805</v>
      </c>
    </row>
    <row r="739" spans="2:8" x14ac:dyDescent="0.3">
      <c r="B739" s="229" t="s">
        <v>1155</v>
      </c>
      <c r="C739" s="88">
        <v>4545.3</v>
      </c>
      <c r="D739" s="88">
        <v>4560.7</v>
      </c>
      <c r="E739" s="88">
        <v>4482</v>
      </c>
      <c r="F739" s="88">
        <v>4521.55</v>
      </c>
      <c r="G739" s="88">
        <v>4521.55</v>
      </c>
      <c r="H739" s="230">
        <v>36175</v>
      </c>
    </row>
    <row r="740" spans="2:8" x14ac:dyDescent="0.3">
      <c r="B740" s="229" t="s">
        <v>1156</v>
      </c>
      <c r="C740" s="88">
        <v>4620</v>
      </c>
      <c r="D740" s="88">
        <v>4700</v>
      </c>
      <c r="E740" s="88">
        <v>4500</v>
      </c>
      <c r="F740" s="88">
        <v>4514.3999999999996</v>
      </c>
      <c r="G740" s="88">
        <v>4514.3999999999996</v>
      </c>
      <c r="H740" s="230">
        <v>90467</v>
      </c>
    </row>
    <row r="741" spans="2:8" x14ac:dyDescent="0.3">
      <c r="B741" s="229" t="s">
        <v>1157</v>
      </c>
      <c r="C741" s="88">
        <v>4785</v>
      </c>
      <c r="D741" s="88">
        <v>4859.95</v>
      </c>
      <c r="E741" s="88">
        <v>4471</v>
      </c>
      <c r="F741" s="88">
        <v>4610.45</v>
      </c>
      <c r="G741" s="88">
        <v>4610.45</v>
      </c>
      <c r="H741" s="230">
        <v>357300</v>
      </c>
    </row>
    <row r="742" spans="2:8" x14ac:dyDescent="0.3">
      <c r="B742" s="229" t="s">
        <v>1158</v>
      </c>
      <c r="C742" s="88">
        <v>5002</v>
      </c>
      <c r="D742" s="88">
        <v>5106.05</v>
      </c>
      <c r="E742" s="88">
        <v>4727</v>
      </c>
      <c r="F742" s="88">
        <v>4755.55</v>
      </c>
      <c r="G742" s="88">
        <v>4755.55</v>
      </c>
      <c r="H742" s="230">
        <v>101318</v>
      </c>
    </row>
    <row r="743" spans="2:8" x14ac:dyDescent="0.3">
      <c r="B743" s="229" t="s">
        <v>1159</v>
      </c>
      <c r="C743" s="88">
        <v>5640</v>
      </c>
      <c r="D743" s="88">
        <v>5899.9</v>
      </c>
      <c r="E743" s="88">
        <v>4850.1000000000004</v>
      </c>
      <c r="F743" s="88">
        <v>4894.8999999999996</v>
      </c>
      <c r="G743" s="88">
        <v>4894.8999999999996</v>
      </c>
      <c r="H743" s="230">
        <v>338841</v>
      </c>
    </row>
    <row r="744" spans="2:8" x14ac:dyDescent="0.3">
      <c r="B744" s="229" t="s">
        <v>1160</v>
      </c>
      <c r="C744" s="88">
        <v>5187</v>
      </c>
      <c r="D744" s="88">
        <v>5420</v>
      </c>
      <c r="E744" s="88">
        <v>5179.8999999999996</v>
      </c>
      <c r="F744" s="88">
        <v>5329.65</v>
      </c>
      <c r="G744" s="88">
        <v>5329.65</v>
      </c>
      <c r="H744" s="230">
        <v>110885</v>
      </c>
    </row>
    <row r="745" spans="2:8" x14ac:dyDescent="0.3">
      <c r="B745" s="229" t="s">
        <v>1161</v>
      </c>
      <c r="C745" s="88">
        <v>4755</v>
      </c>
      <c r="D745" s="88">
        <v>5599.3</v>
      </c>
      <c r="E745" s="88">
        <v>4755</v>
      </c>
      <c r="F745" s="88">
        <v>5122.55</v>
      </c>
      <c r="G745" s="88">
        <v>5122.55</v>
      </c>
      <c r="H745" s="230">
        <v>138983</v>
      </c>
    </row>
    <row r="746" spans="2:8" x14ac:dyDescent="0.3">
      <c r="B746" s="229" t="s">
        <v>1162</v>
      </c>
      <c r="C746" s="88">
        <v>4799</v>
      </c>
      <c r="D746" s="88">
        <v>4892.2</v>
      </c>
      <c r="E746" s="88">
        <v>4719</v>
      </c>
      <c r="F746" s="88">
        <v>4737.75</v>
      </c>
      <c r="G746" s="88">
        <v>4737.75</v>
      </c>
      <c r="H746" s="230">
        <v>47165</v>
      </c>
    </row>
    <row r="747" spans="2:8" x14ac:dyDescent="0.3">
      <c r="B747" s="229" t="s">
        <v>1163</v>
      </c>
      <c r="C747" s="88">
        <v>4435</v>
      </c>
      <c r="D747" s="88">
        <v>4837</v>
      </c>
      <c r="E747" s="88">
        <v>4422.6000000000004</v>
      </c>
      <c r="F747" s="88">
        <v>4719.3999999999996</v>
      </c>
      <c r="G747" s="88">
        <v>4719.3999999999996</v>
      </c>
      <c r="H747" s="230">
        <v>246478</v>
      </c>
    </row>
    <row r="748" spans="2:8" x14ac:dyDescent="0.3">
      <c r="B748" s="229" t="s">
        <v>1164</v>
      </c>
      <c r="C748" s="88">
        <v>4334</v>
      </c>
      <c r="D748" s="88">
        <v>4420</v>
      </c>
      <c r="E748" s="88">
        <v>4300</v>
      </c>
      <c r="F748" s="88">
        <v>4408.05</v>
      </c>
      <c r="G748" s="88">
        <v>4408.05</v>
      </c>
      <c r="H748" s="230">
        <v>18789</v>
      </c>
    </row>
    <row r="749" spans="2:8" x14ac:dyDescent="0.3">
      <c r="B749" s="229" t="s">
        <v>1165</v>
      </c>
      <c r="C749" s="88">
        <v>4260</v>
      </c>
      <c r="D749" s="88">
        <v>4335.1000000000004</v>
      </c>
      <c r="E749" s="88">
        <v>4254.55</v>
      </c>
      <c r="F749" s="88">
        <v>4311</v>
      </c>
      <c r="G749" s="88">
        <v>4311</v>
      </c>
      <c r="H749" s="230">
        <v>41020</v>
      </c>
    </row>
    <row r="750" spans="2:8" x14ac:dyDescent="0.3">
      <c r="B750" s="229" t="s">
        <v>1166</v>
      </c>
      <c r="C750" s="88">
        <v>4280</v>
      </c>
      <c r="D750" s="88">
        <v>4282</v>
      </c>
      <c r="E750" s="88">
        <v>4205</v>
      </c>
      <c r="F750" s="88">
        <v>4218.75</v>
      </c>
      <c r="G750" s="88">
        <v>4218.75</v>
      </c>
      <c r="H750" s="230">
        <v>23475</v>
      </c>
    </row>
    <row r="751" spans="2:8" x14ac:dyDescent="0.3">
      <c r="B751" s="229" t="s">
        <v>1167</v>
      </c>
      <c r="C751" s="88">
        <v>4284</v>
      </c>
      <c r="D751" s="88">
        <v>4284</v>
      </c>
      <c r="E751" s="88">
        <v>4247.25</v>
      </c>
      <c r="F751" s="88">
        <v>4258.95</v>
      </c>
      <c r="G751" s="88">
        <v>4258.95</v>
      </c>
      <c r="H751" s="230">
        <v>14660</v>
      </c>
    </row>
    <row r="752" spans="2:8" x14ac:dyDescent="0.3">
      <c r="B752" s="229" t="s">
        <v>1168</v>
      </c>
      <c r="C752" s="88">
        <v>4380</v>
      </c>
      <c r="D752" s="88">
        <v>4465.75</v>
      </c>
      <c r="E752" s="88">
        <v>4234.3</v>
      </c>
      <c r="F752" s="88">
        <v>4254.5</v>
      </c>
      <c r="G752" s="88">
        <v>4254.5</v>
      </c>
      <c r="H752" s="230">
        <v>53197</v>
      </c>
    </row>
    <row r="753" spans="2:8" x14ac:dyDescent="0.3">
      <c r="B753" s="229" t="s">
        <v>1169</v>
      </c>
      <c r="C753" s="88">
        <v>4250</v>
      </c>
      <c r="D753" s="88">
        <v>4284.25</v>
      </c>
      <c r="E753" s="88">
        <v>4220</v>
      </c>
      <c r="F753" s="88">
        <v>4239.25</v>
      </c>
      <c r="G753" s="88">
        <v>4239.25</v>
      </c>
      <c r="H753" s="230">
        <v>10059</v>
      </c>
    </row>
    <row r="754" spans="2:8" x14ac:dyDescent="0.3">
      <c r="B754" s="229" t="s">
        <v>1170</v>
      </c>
      <c r="C754" s="88">
        <v>4265</v>
      </c>
      <c r="D754" s="88">
        <v>4307.3</v>
      </c>
      <c r="E754" s="88">
        <v>4212.5</v>
      </c>
      <c r="F754" s="88">
        <v>4243.8500000000004</v>
      </c>
      <c r="G754" s="88">
        <v>4243.8500000000004</v>
      </c>
      <c r="H754" s="230">
        <v>12795</v>
      </c>
    </row>
    <row r="755" spans="2:8" x14ac:dyDescent="0.3">
      <c r="B755" s="229" t="s">
        <v>1171</v>
      </c>
      <c r="C755" s="88">
        <v>4315</v>
      </c>
      <c r="D755" s="88">
        <v>4389.2</v>
      </c>
      <c r="E755" s="88">
        <v>4203</v>
      </c>
      <c r="F755" s="88">
        <v>4247</v>
      </c>
      <c r="G755" s="88">
        <v>4247</v>
      </c>
      <c r="H755" s="230">
        <v>14719</v>
      </c>
    </row>
    <row r="756" spans="2:8" x14ac:dyDescent="0.3">
      <c r="B756" s="229" t="s">
        <v>1172</v>
      </c>
      <c r="C756" s="88">
        <v>4399.8999999999996</v>
      </c>
      <c r="D756" s="88">
        <v>4423.8999999999996</v>
      </c>
      <c r="E756" s="88">
        <v>4291.6499999999996</v>
      </c>
      <c r="F756" s="88">
        <v>4313.8</v>
      </c>
      <c r="G756" s="88">
        <v>4313.8</v>
      </c>
      <c r="H756" s="230">
        <v>28885</v>
      </c>
    </row>
    <row r="757" spans="2:8" x14ac:dyDescent="0.3">
      <c r="B757" s="229" t="s">
        <v>1173</v>
      </c>
      <c r="C757" s="88">
        <v>4450</v>
      </c>
      <c r="D757" s="88">
        <v>4450</v>
      </c>
      <c r="E757" s="88">
        <v>4298.8</v>
      </c>
      <c r="F757" s="88">
        <v>4386.55</v>
      </c>
      <c r="G757" s="88">
        <v>4386.55</v>
      </c>
      <c r="H757" s="230">
        <v>24669</v>
      </c>
    </row>
    <row r="758" spans="2:8" x14ac:dyDescent="0.3">
      <c r="B758" s="229" t="s">
        <v>1174</v>
      </c>
      <c r="C758" s="88">
        <v>4449</v>
      </c>
      <c r="D758" s="88">
        <v>4461.95</v>
      </c>
      <c r="E758" s="88">
        <v>4405.5</v>
      </c>
      <c r="F758" s="88">
        <v>4421.6499999999996</v>
      </c>
      <c r="G758" s="88">
        <v>4421.6499999999996</v>
      </c>
      <c r="H758" s="230">
        <v>18105</v>
      </c>
    </row>
    <row r="759" spans="2:8" x14ac:dyDescent="0.3">
      <c r="B759" s="229" t="s">
        <v>1175</v>
      </c>
      <c r="C759" s="88">
        <v>4410</v>
      </c>
      <c r="D759" s="88">
        <v>4495</v>
      </c>
      <c r="E759" s="88">
        <v>4372.45</v>
      </c>
      <c r="F759" s="88">
        <v>4410.6000000000004</v>
      </c>
      <c r="G759" s="88">
        <v>4410.6000000000004</v>
      </c>
      <c r="H759" s="230">
        <v>187826</v>
      </c>
    </row>
    <row r="760" spans="2:8" x14ac:dyDescent="0.3">
      <c r="B760" s="229" t="s">
        <v>1176</v>
      </c>
      <c r="C760" s="88">
        <v>4352</v>
      </c>
      <c r="D760" s="88">
        <v>4416</v>
      </c>
      <c r="E760" s="88">
        <v>4331.2</v>
      </c>
      <c r="F760" s="88">
        <v>4379.1499999999996</v>
      </c>
      <c r="G760" s="88">
        <v>4379.1499999999996</v>
      </c>
      <c r="H760" s="230">
        <v>31338</v>
      </c>
    </row>
    <row r="761" spans="2:8" x14ac:dyDescent="0.3">
      <c r="B761" s="229" t="s">
        <v>1177</v>
      </c>
      <c r="C761" s="88">
        <v>4415</v>
      </c>
      <c r="D761" s="88">
        <v>4450</v>
      </c>
      <c r="E761" s="88">
        <v>4303.8500000000004</v>
      </c>
      <c r="F761" s="88">
        <v>4367.1000000000004</v>
      </c>
      <c r="G761" s="88">
        <v>4367.1000000000004</v>
      </c>
      <c r="H761" s="230">
        <v>49014</v>
      </c>
    </row>
    <row r="762" spans="2:8" x14ac:dyDescent="0.3">
      <c r="B762" s="229" t="s">
        <v>1178</v>
      </c>
      <c r="C762" s="88">
        <v>4215</v>
      </c>
      <c r="D762" s="88">
        <v>4432.25</v>
      </c>
      <c r="E762" s="88">
        <v>4150</v>
      </c>
      <c r="F762" s="88">
        <v>4362.2</v>
      </c>
      <c r="G762" s="88">
        <v>4362.2</v>
      </c>
      <c r="H762" s="230">
        <v>45936</v>
      </c>
    </row>
    <row r="763" spans="2:8" x14ac:dyDescent="0.3">
      <c r="B763" s="229" t="s">
        <v>1179</v>
      </c>
      <c r="C763" s="88">
        <v>4115</v>
      </c>
      <c r="D763" s="88">
        <v>4293.75</v>
      </c>
      <c r="E763" s="88">
        <v>4111.8</v>
      </c>
      <c r="F763" s="88">
        <v>4241.8999999999996</v>
      </c>
      <c r="G763" s="88">
        <v>4241.8999999999996</v>
      </c>
      <c r="H763" s="230">
        <v>33568</v>
      </c>
    </row>
    <row r="764" spans="2:8" x14ac:dyDescent="0.3">
      <c r="B764" s="229" t="s">
        <v>1180</v>
      </c>
      <c r="C764" s="88">
        <v>3989.9</v>
      </c>
      <c r="D764" s="88">
        <v>4099</v>
      </c>
      <c r="E764" s="88">
        <v>3984.95</v>
      </c>
      <c r="F764" s="88">
        <v>4080.85</v>
      </c>
      <c r="G764" s="88">
        <v>4080.85</v>
      </c>
      <c r="H764" s="230">
        <v>29361</v>
      </c>
    </row>
    <row r="765" spans="2:8" x14ac:dyDescent="0.3">
      <c r="B765" s="229" t="s">
        <v>1181</v>
      </c>
      <c r="C765" s="88">
        <v>3980</v>
      </c>
      <c r="D765" s="88">
        <v>3992.5</v>
      </c>
      <c r="E765" s="88">
        <v>3957.65</v>
      </c>
      <c r="F765" s="88">
        <v>3981.9</v>
      </c>
      <c r="G765" s="88">
        <v>3981.9</v>
      </c>
      <c r="H765" s="230">
        <v>16045</v>
      </c>
    </row>
    <row r="766" spans="2:8" x14ac:dyDescent="0.3">
      <c r="B766" s="229" t="s">
        <v>1182</v>
      </c>
      <c r="C766" s="88">
        <v>3975</v>
      </c>
      <c r="D766" s="88">
        <v>4000</v>
      </c>
      <c r="E766" s="88">
        <v>3963.5</v>
      </c>
      <c r="F766" s="88">
        <v>3979.95</v>
      </c>
      <c r="G766" s="88">
        <v>3979.95</v>
      </c>
      <c r="H766" s="230">
        <v>20509</v>
      </c>
    </row>
    <row r="767" spans="2:8" x14ac:dyDescent="0.3">
      <c r="B767" s="229" t="s">
        <v>1183</v>
      </c>
      <c r="C767" s="88">
        <v>3941</v>
      </c>
      <c r="D767" s="88">
        <v>3984.95</v>
      </c>
      <c r="E767" s="88">
        <v>3941</v>
      </c>
      <c r="F767" s="88">
        <v>3962.25</v>
      </c>
      <c r="G767" s="88">
        <v>3962.25</v>
      </c>
      <c r="H767" s="230">
        <v>17573</v>
      </c>
    </row>
    <row r="768" spans="2:8" x14ac:dyDescent="0.3">
      <c r="B768" s="229" t="s">
        <v>1184</v>
      </c>
      <c r="C768" s="88">
        <v>3925.1</v>
      </c>
      <c r="D768" s="88">
        <v>3962</v>
      </c>
      <c r="E768" s="88">
        <v>3909.6</v>
      </c>
      <c r="F768" s="88">
        <v>3953.65</v>
      </c>
      <c r="G768" s="88">
        <v>3953.65</v>
      </c>
      <c r="H768" s="230">
        <v>12148</v>
      </c>
    </row>
    <row r="769" spans="2:8" x14ac:dyDescent="0.3">
      <c r="B769" s="229" t="s">
        <v>1185</v>
      </c>
      <c r="C769" s="88">
        <v>3955</v>
      </c>
      <c r="D769" s="88">
        <v>3976.9</v>
      </c>
      <c r="E769" s="88">
        <v>3924.45</v>
      </c>
      <c r="F769" s="88">
        <v>3933.35</v>
      </c>
      <c r="G769" s="88">
        <v>3933.35</v>
      </c>
      <c r="H769" s="230">
        <v>7887</v>
      </c>
    </row>
    <row r="770" spans="2:8" x14ac:dyDescent="0.3">
      <c r="B770" s="229" t="s">
        <v>1186</v>
      </c>
      <c r="C770" s="88">
        <v>3935</v>
      </c>
      <c r="D770" s="88">
        <v>3963.6</v>
      </c>
      <c r="E770" s="88">
        <v>3875.1</v>
      </c>
      <c r="F770" s="88">
        <v>3936.6</v>
      </c>
      <c r="G770" s="88">
        <v>3936.6</v>
      </c>
      <c r="H770" s="230">
        <v>12603</v>
      </c>
    </row>
    <row r="771" spans="2:8" x14ac:dyDescent="0.3">
      <c r="B771" s="229" t="s">
        <v>1187</v>
      </c>
      <c r="C771" s="88">
        <v>3973.7</v>
      </c>
      <c r="D771" s="88">
        <v>3973.7</v>
      </c>
      <c r="E771" s="88">
        <v>3902.25</v>
      </c>
      <c r="F771" s="88">
        <v>3920.75</v>
      </c>
      <c r="G771" s="88">
        <v>3920.75</v>
      </c>
      <c r="H771" s="230">
        <v>17152</v>
      </c>
    </row>
    <row r="772" spans="2:8" x14ac:dyDescent="0.3">
      <c r="B772" s="229" t="s">
        <v>1188</v>
      </c>
      <c r="C772" s="88">
        <v>3936</v>
      </c>
      <c r="D772" s="88">
        <v>3962.55</v>
      </c>
      <c r="E772" s="88">
        <v>3920.55</v>
      </c>
      <c r="F772" s="88">
        <v>3939.95</v>
      </c>
      <c r="G772" s="88">
        <v>3939.95</v>
      </c>
      <c r="H772" s="230">
        <v>16956</v>
      </c>
    </row>
    <row r="773" spans="2:8" x14ac:dyDescent="0.3">
      <c r="B773" s="229" t="s">
        <v>1189</v>
      </c>
      <c r="C773" s="88">
        <v>3985</v>
      </c>
      <c r="D773" s="88">
        <v>3985</v>
      </c>
      <c r="E773" s="88">
        <v>3913</v>
      </c>
      <c r="F773" s="88">
        <v>3919.65</v>
      </c>
      <c r="G773" s="88">
        <v>3919.65</v>
      </c>
      <c r="H773" s="230">
        <v>21124</v>
      </c>
    </row>
    <row r="774" spans="2:8" x14ac:dyDescent="0.3">
      <c r="B774" s="229" t="s">
        <v>1190</v>
      </c>
      <c r="C774" s="88">
        <v>3985</v>
      </c>
      <c r="D774" s="88">
        <v>4012.7</v>
      </c>
      <c r="E774" s="88">
        <v>3960.3</v>
      </c>
      <c r="F774" s="88">
        <v>3969.05</v>
      </c>
      <c r="G774" s="88">
        <v>3969.05</v>
      </c>
      <c r="H774" s="230">
        <v>20413</v>
      </c>
    </row>
    <row r="775" spans="2:8" x14ac:dyDescent="0.3">
      <c r="B775" s="229" t="s">
        <v>1191</v>
      </c>
      <c r="C775" s="88">
        <v>3900</v>
      </c>
      <c r="D775" s="88">
        <v>3979.15</v>
      </c>
      <c r="E775" s="88">
        <v>3872</v>
      </c>
      <c r="F775" s="88">
        <v>3955.3</v>
      </c>
      <c r="G775" s="88">
        <v>3955.3</v>
      </c>
      <c r="H775" s="230">
        <v>718464</v>
      </c>
    </row>
    <row r="776" spans="2:8" x14ac:dyDescent="0.3">
      <c r="B776" s="229" t="s">
        <v>1192</v>
      </c>
      <c r="C776" s="88">
        <v>3870</v>
      </c>
      <c r="D776" s="88">
        <v>3900</v>
      </c>
      <c r="E776" s="88">
        <v>3835</v>
      </c>
      <c r="F776" s="88">
        <v>3890.1</v>
      </c>
      <c r="G776" s="88">
        <v>3890.1</v>
      </c>
      <c r="H776" s="230">
        <v>14714</v>
      </c>
    </row>
    <row r="777" spans="2:8" x14ac:dyDescent="0.3">
      <c r="B777" s="229" t="s">
        <v>1193</v>
      </c>
      <c r="C777" s="88">
        <v>3904.95</v>
      </c>
      <c r="D777" s="88">
        <v>3909.5</v>
      </c>
      <c r="E777" s="88">
        <v>3810.1</v>
      </c>
      <c r="F777" s="88">
        <v>3829.8</v>
      </c>
      <c r="G777" s="88">
        <v>3829.8</v>
      </c>
      <c r="H777" s="230">
        <v>20585</v>
      </c>
    </row>
    <row r="778" spans="2:8" x14ac:dyDescent="0.3">
      <c r="B778" s="229" t="s">
        <v>1194</v>
      </c>
      <c r="C778" s="88">
        <v>3810</v>
      </c>
      <c r="D778" s="88">
        <v>3888</v>
      </c>
      <c r="E778" s="88">
        <v>3802.25</v>
      </c>
      <c r="F778" s="88">
        <v>3845.1</v>
      </c>
      <c r="G778" s="88">
        <v>3845.1</v>
      </c>
      <c r="H778" s="230">
        <v>19871</v>
      </c>
    </row>
    <row r="779" spans="2:8" x14ac:dyDescent="0.3">
      <c r="B779" s="229" t="s">
        <v>1195</v>
      </c>
      <c r="C779" s="88">
        <v>3740</v>
      </c>
      <c r="D779" s="88">
        <v>3843.4</v>
      </c>
      <c r="E779" s="88">
        <v>3720</v>
      </c>
      <c r="F779" s="88">
        <v>3789.1</v>
      </c>
      <c r="G779" s="88">
        <v>3789.1</v>
      </c>
      <c r="H779" s="230">
        <v>32022</v>
      </c>
    </row>
    <row r="780" spans="2:8" x14ac:dyDescent="0.3">
      <c r="B780" s="229" t="s">
        <v>1196</v>
      </c>
      <c r="C780" s="88">
        <v>3709.9</v>
      </c>
      <c r="D780" s="88">
        <v>3766.25</v>
      </c>
      <c r="E780" s="88">
        <v>3682</v>
      </c>
      <c r="F780" s="88">
        <v>3708.85</v>
      </c>
      <c r="G780" s="88">
        <v>3708.85</v>
      </c>
      <c r="H780" s="230">
        <v>20799</v>
      </c>
    </row>
    <row r="781" spans="2:8" x14ac:dyDescent="0.3">
      <c r="B781" s="229" t="s">
        <v>1197</v>
      </c>
      <c r="C781" s="88">
        <v>3662</v>
      </c>
      <c r="D781" s="88">
        <v>3700</v>
      </c>
      <c r="E781" s="88">
        <v>3645.3</v>
      </c>
      <c r="F781" s="88">
        <v>3673.05</v>
      </c>
      <c r="G781" s="88">
        <v>3673.05</v>
      </c>
      <c r="H781" s="230">
        <v>7436</v>
      </c>
    </row>
    <row r="782" spans="2:8" x14ac:dyDescent="0.3">
      <c r="B782" s="229" t="s">
        <v>1198</v>
      </c>
      <c r="C782" s="88">
        <v>3655</v>
      </c>
      <c r="D782" s="88">
        <v>3707.55</v>
      </c>
      <c r="E782" s="88">
        <v>3620</v>
      </c>
      <c r="F782" s="88">
        <v>3641.8</v>
      </c>
      <c r="G782" s="88">
        <v>3641.8</v>
      </c>
      <c r="H782" s="230">
        <v>23860</v>
      </c>
    </row>
    <row r="783" spans="2:8" x14ac:dyDescent="0.3">
      <c r="B783" s="229" t="s">
        <v>1199</v>
      </c>
      <c r="C783" s="88">
        <v>3636</v>
      </c>
      <c r="D783" s="88">
        <v>3669.8</v>
      </c>
      <c r="E783" s="88">
        <v>3626.65</v>
      </c>
      <c r="F783" s="88">
        <v>3651.55</v>
      </c>
      <c r="G783" s="88">
        <v>3651.55</v>
      </c>
      <c r="H783" s="230">
        <v>10853</v>
      </c>
    </row>
    <row r="784" spans="2:8" x14ac:dyDescent="0.3">
      <c r="B784" s="229" t="s">
        <v>1200</v>
      </c>
      <c r="C784" s="88">
        <v>3640</v>
      </c>
      <c r="D784" s="88">
        <v>3645.7</v>
      </c>
      <c r="E784" s="88">
        <v>3603</v>
      </c>
      <c r="F784" s="88">
        <v>3632.5</v>
      </c>
      <c r="G784" s="88">
        <v>3632.5</v>
      </c>
      <c r="H784" s="230">
        <v>9440</v>
      </c>
    </row>
    <row r="785" spans="2:8" x14ac:dyDescent="0.3">
      <c r="B785" s="229" t="s">
        <v>1201</v>
      </c>
      <c r="C785" s="88">
        <v>3609</v>
      </c>
      <c r="D785" s="88">
        <v>3655.95</v>
      </c>
      <c r="E785" s="88">
        <v>3566.8</v>
      </c>
      <c r="F785" s="88">
        <v>3633.5</v>
      </c>
      <c r="G785" s="88">
        <v>3633.5</v>
      </c>
      <c r="H785" s="230">
        <v>16501</v>
      </c>
    </row>
    <row r="786" spans="2:8" x14ac:dyDescent="0.3">
      <c r="B786" s="229" t="s">
        <v>1202</v>
      </c>
      <c r="C786" s="88">
        <v>3571</v>
      </c>
      <c r="D786" s="88">
        <v>3630</v>
      </c>
      <c r="E786" s="88">
        <v>3520</v>
      </c>
      <c r="F786" s="88">
        <v>3593.65</v>
      </c>
      <c r="G786" s="88">
        <v>3593.65</v>
      </c>
      <c r="H786" s="230">
        <v>28507</v>
      </c>
    </row>
    <row r="787" spans="2:8" x14ac:dyDescent="0.3">
      <c r="B787" s="229" t="s">
        <v>1203</v>
      </c>
      <c r="C787" s="88">
        <v>3570</v>
      </c>
      <c r="D787" s="88">
        <v>3591.65</v>
      </c>
      <c r="E787" s="88">
        <v>3548.3</v>
      </c>
      <c r="F787" s="88">
        <v>3562.55</v>
      </c>
      <c r="G787" s="88">
        <v>3562.55</v>
      </c>
      <c r="H787" s="230">
        <v>5049</v>
      </c>
    </row>
    <row r="788" spans="2:8" x14ac:dyDescent="0.3">
      <c r="B788" s="229" t="s">
        <v>1204</v>
      </c>
      <c r="C788" s="88">
        <v>3560</v>
      </c>
      <c r="D788" s="88">
        <v>3574.9</v>
      </c>
      <c r="E788" s="88">
        <v>3467.15</v>
      </c>
      <c r="F788" s="88">
        <v>3562.55</v>
      </c>
      <c r="G788" s="88">
        <v>3562.55</v>
      </c>
      <c r="H788" s="230">
        <v>8943</v>
      </c>
    </row>
    <row r="789" spans="2:8" x14ac:dyDescent="0.3">
      <c r="B789" s="229" t="s">
        <v>1205</v>
      </c>
      <c r="C789" s="88">
        <v>3557.9</v>
      </c>
      <c r="D789" s="88">
        <v>3583.7</v>
      </c>
      <c r="E789" s="88">
        <v>3516.4</v>
      </c>
      <c r="F789" s="88">
        <v>3550.65</v>
      </c>
      <c r="G789" s="88">
        <v>3550.65</v>
      </c>
      <c r="H789" s="230">
        <v>9004</v>
      </c>
    </row>
    <row r="790" spans="2:8" x14ac:dyDescent="0.3">
      <c r="B790" s="229" t="s">
        <v>1206</v>
      </c>
      <c r="C790" s="88">
        <v>3535</v>
      </c>
      <c r="D790" s="88">
        <v>3576.25</v>
      </c>
      <c r="E790" s="88">
        <v>3500</v>
      </c>
      <c r="F790" s="88">
        <v>3522.3</v>
      </c>
      <c r="G790" s="88">
        <v>3522.3</v>
      </c>
      <c r="H790" s="230">
        <v>11349</v>
      </c>
    </row>
    <row r="791" spans="2:8" x14ac:dyDescent="0.3">
      <c r="B791" s="229" t="s">
        <v>1207</v>
      </c>
      <c r="C791" s="88">
        <v>3560</v>
      </c>
      <c r="D791" s="88">
        <v>3625</v>
      </c>
      <c r="E791" s="88">
        <v>3522.05</v>
      </c>
      <c r="F791" s="88">
        <v>3529.05</v>
      </c>
      <c r="G791" s="88">
        <v>3529.05</v>
      </c>
      <c r="H791" s="230">
        <v>8907</v>
      </c>
    </row>
    <row r="792" spans="2:8" x14ac:dyDescent="0.3">
      <c r="B792" s="229" t="s">
        <v>1208</v>
      </c>
      <c r="C792" s="88">
        <v>3619.4</v>
      </c>
      <c r="D792" s="88">
        <v>3621</v>
      </c>
      <c r="E792" s="88">
        <v>3551</v>
      </c>
      <c r="F792" s="88">
        <v>3562.6</v>
      </c>
      <c r="G792" s="88">
        <v>3562.6</v>
      </c>
      <c r="H792" s="230">
        <v>6992</v>
      </c>
    </row>
    <row r="793" spans="2:8" x14ac:dyDescent="0.3">
      <c r="B793" s="229" t="s">
        <v>1209</v>
      </c>
      <c r="C793" s="88">
        <v>3562</v>
      </c>
      <c r="D793" s="88">
        <v>3608</v>
      </c>
      <c r="E793" s="88">
        <v>3536.65</v>
      </c>
      <c r="F793" s="88">
        <v>3592.2</v>
      </c>
      <c r="G793" s="88">
        <v>3592.2</v>
      </c>
      <c r="H793" s="230">
        <v>18773</v>
      </c>
    </row>
    <row r="794" spans="2:8" x14ac:dyDescent="0.3">
      <c r="B794" s="229" t="s">
        <v>1210</v>
      </c>
      <c r="C794" s="88">
        <v>3520</v>
      </c>
      <c r="D794" s="88">
        <v>3580</v>
      </c>
      <c r="E794" s="88">
        <v>3508</v>
      </c>
      <c r="F794" s="88">
        <v>3566.85</v>
      </c>
      <c r="G794" s="88">
        <v>3566.85</v>
      </c>
      <c r="H794" s="230">
        <v>13827</v>
      </c>
    </row>
    <row r="795" spans="2:8" x14ac:dyDescent="0.3">
      <c r="B795" s="229" t="s">
        <v>1211</v>
      </c>
      <c r="C795" s="88">
        <v>3535</v>
      </c>
      <c r="D795" s="88">
        <v>3535</v>
      </c>
      <c r="E795" s="88">
        <v>3488</v>
      </c>
      <c r="F795" s="88">
        <v>3500.9</v>
      </c>
      <c r="G795" s="88">
        <v>3500.9</v>
      </c>
      <c r="H795" s="230">
        <v>6054</v>
      </c>
    </row>
    <row r="796" spans="2:8" x14ac:dyDescent="0.3">
      <c r="B796" s="229" t="s">
        <v>1212</v>
      </c>
      <c r="C796" s="88">
        <v>3505</v>
      </c>
      <c r="D796" s="88">
        <v>3519</v>
      </c>
      <c r="E796" s="88">
        <v>3476</v>
      </c>
      <c r="F796" s="88">
        <v>3500.55</v>
      </c>
      <c r="G796" s="88">
        <v>3500.55</v>
      </c>
      <c r="H796" s="230">
        <v>5888</v>
      </c>
    </row>
    <row r="797" spans="2:8" x14ac:dyDescent="0.3">
      <c r="B797" s="229" t="s">
        <v>1213</v>
      </c>
      <c r="C797" s="88">
        <v>3515</v>
      </c>
      <c r="D797" s="88">
        <v>3522.45</v>
      </c>
      <c r="E797" s="88">
        <v>3491</v>
      </c>
      <c r="F797" s="88">
        <v>3501.1</v>
      </c>
      <c r="G797" s="88">
        <v>3501.1</v>
      </c>
      <c r="H797" s="230">
        <v>5873</v>
      </c>
    </row>
    <row r="798" spans="2:8" x14ac:dyDescent="0.3">
      <c r="B798" s="229" t="s">
        <v>1214</v>
      </c>
      <c r="C798" s="88">
        <v>3520</v>
      </c>
      <c r="D798" s="88">
        <v>3520</v>
      </c>
      <c r="E798" s="88">
        <v>3442.75</v>
      </c>
      <c r="F798" s="88">
        <v>3486.55</v>
      </c>
      <c r="G798" s="88">
        <v>3486.55</v>
      </c>
      <c r="H798" s="230">
        <v>8309</v>
      </c>
    </row>
    <row r="799" spans="2:8" x14ac:dyDescent="0.3">
      <c r="B799" s="229" t="s">
        <v>1215</v>
      </c>
      <c r="C799" s="88">
        <v>3492</v>
      </c>
      <c r="D799" s="88">
        <v>3535</v>
      </c>
      <c r="E799" s="88">
        <v>3465.35</v>
      </c>
      <c r="F799" s="88">
        <v>3498.1</v>
      </c>
      <c r="G799" s="88">
        <v>3498.1</v>
      </c>
      <c r="H799" s="230">
        <v>24377</v>
      </c>
    </row>
    <row r="800" spans="2:8" x14ac:dyDescent="0.3">
      <c r="B800" s="229" t="s">
        <v>1216</v>
      </c>
      <c r="C800" s="88">
        <v>3419</v>
      </c>
      <c r="D800" s="88">
        <v>3499</v>
      </c>
      <c r="E800" s="88">
        <v>3401</v>
      </c>
      <c r="F800" s="88">
        <v>3485.6</v>
      </c>
      <c r="G800" s="88">
        <v>3485.6</v>
      </c>
      <c r="H800" s="230">
        <v>13921</v>
      </c>
    </row>
    <row r="801" spans="2:8" x14ac:dyDescent="0.3">
      <c r="B801" s="229" t="s">
        <v>1217</v>
      </c>
      <c r="C801" s="88">
        <v>3439.5</v>
      </c>
      <c r="D801" s="88">
        <v>3439.5</v>
      </c>
      <c r="E801" s="88">
        <v>3393.5</v>
      </c>
      <c r="F801" s="88">
        <v>3412.05</v>
      </c>
      <c r="G801" s="88">
        <v>3412.05</v>
      </c>
      <c r="H801" s="230">
        <v>7506</v>
      </c>
    </row>
    <row r="802" spans="2:8" x14ac:dyDescent="0.3">
      <c r="B802" s="229" t="s">
        <v>1218</v>
      </c>
      <c r="C802" s="88">
        <v>3425</v>
      </c>
      <c r="D802" s="88">
        <v>3446.2</v>
      </c>
      <c r="E802" s="88">
        <v>3384</v>
      </c>
      <c r="F802" s="88">
        <v>3396.5</v>
      </c>
      <c r="G802" s="88">
        <v>3396.5</v>
      </c>
      <c r="H802" s="230">
        <v>24220</v>
      </c>
    </row>
    <row r="803" spans="2:8" x14ac:dyDescent="0.3">
      <c r="B803" s="229" t="s">
        <v>1219</v>
      </c>
      <c r="C803" s="88">
        <v>3335</v>
      </c>
      <c r="D803" s="88">
        <v>3418.75</v>
      </c>
      <c r="E803" s="88">
        <v>3335</v>
      </c>
      <c r="F803" s="88">
        <v>3398.8</v>
      </c>
      <c r="G803" s="88">
        <v>3398.8</v>
      </c>
      <c r="H803" s="230">
        <v>28314</v>
      </c>
    </row>
    <row r="804" spans="2:8" x14ac:dyDescent="0.3">
      <c r="B804" s="229" t="s">
        <v>1220</v>
      </c>
      <c r="C804" s="88">
        <v>3320</v>
      </c>
      <c r="D804" s="88">
        <v>3347</v>
      </c>
      <c r="E804" s="88">
        <v>3316</v>
      </c>
      <c r="F804" s="88">
        <v>3331.15</v>
      </c>
      <c r="G804" s="88">
        <v>3331.15</v>
      </c>
      <c r="H804" s="230">
        <v>84974</v>
      </c>
    </row>
    <row r="805" spans="2:8" x14ac:dyDescent="0.3">
      <c r="B805" s="229" t="s">
        <v>1221</v>
      </c>
      <c r="C805" s="88">
        <v>3342</v>
      </c>
      <c r="D805" s="88">
        <v>3363.6</v>
      </c>
      <c r="E805" s="88">
        <v>3328</v>
      </c>
      <c r="F805" s="88">
        <v>3349.4</v>
      </c>
      <c r="G805" s="88">
        <v>3349.4</v>
      </c>
      <c r="H805" s="230">
        <v>11923</v>
      </c>
    </row>
    <row r="806" spans="2:8" x14ac:dyDescent="0.3">
      <c r="B806" s="229" t="s">
        <v>1222</v>
      </c>
      <c r="C806" s="88">
        <v>3311</v>
      </c>
      <c r="D806" s="88">
        <v>3360</v>
      </c>
      <c r="E806" s="88">
        <v>3310</v>
      </c>
      <c r="F806" s="88">
        <v>3319.3</v>
      </c>
      <c r="G806" s="88">
        <v>3319.3</v>
      </c>
      <c r="H806" s="230">
        <v>8936</v>
      </c>
    </row>
    <row r="807" spans="2:8" x14ac:dyDescent="0.3">
      <c r="B807" s="229" t="s">
        <v>1223</v>
      </c>
      <c r="C807" s="88">
        <v>3350</v>
      </c>
      <c r="D807" s="88">
        <v>3350.3</v>
      </c>
      <c r="E807" s="88">
        <v>3319</v>
      </c>
      <c r="F807" s="88">
        <v>3329.15</v>
      </c>
      <c r="G807" s="88">
        <v>3329.15</v>
      </c>
      <c r="H807" s="230">
        <v>14107</v>
      </c>
    </row>
    <row r="808" spans="2:8" x14ac:dyDescent="0.3">
      <c r="B808" s="229" t="s">
        <v>1224</v>
      </c>
      <c r="C808" s="88">
        <v>3321</v>
      </c>
      <c r="D808" s="88">
        <v>3369.3</v>
      </c>
      <c r="E808" s="88">
        <v>3309.25</v>
      </c>
      <c r="F808" s="88">
        <v>3355.85</v>
      </c>
      <c r="G808" s="88">
        <v>3355.85</v>
      </c>
      <c r="H808" s="230">
        <v>20079</v>
      </c>
    </row>
    <row r="809" spans="2:8" x14ac:dyDescent="0.3">
      <c r="B809" s="229" t="s">
        <v>1225</v>
      </c>
      <c r="C809" s="88">
        <v>3375</v>
      </c>
      <c r="D809" s="88">
        <v>3399</v>
      </c>
      <c r="E809" s="88">
        <v>3311.7</v>
      </c>
      <c r="F809" s="88">
        <v>3347.05</v>
      </c>
      <c r="G809" s="88">
        <v>3347.05</v>
      </c>
      <c r="H809" s="230">
        <v>109734</v>
      </c>
    </row>
    <row r="810" spans="2:8" x14ac:dyDescent="0.3">
      <c r="B810" s="229" t="s">
        <v>1226</v>
      </c>
      <c r="C810" s="88">
        <v>3399</v>
      </c>
      <c r="D810" s="88">
        <v>3399</v>
      </c>
      <c r="E810" s="88">
        <v>3363.9</v>
      </c>
      <c r="F810" s="88">
        <v>3378.95</v>
      </c>
      <c r="G810" s="88">
        <v>3378.95</v>
      </c>
      <c r="H810" s="230">
        <v>6647</v>
      </c>
    </row>
    <row r="811" spans="2:8" x14ac:dyDescent="0.3">
      <c r="B811" s="229" t="s">
        <v>1227</v>
      </c>
      <c r="C811" s="88">
        <v>3393</v>
      </c>
      <c r="D811" s="88">
        <v>3419.85</v>
      </c>
      <c r="E811" s="88">
        <v>3368.75</v>
      </c>
      <c r="F811" s="88">
        <v>3388</v>
      </c>
      <c r="G811" s="88">
        <v>3388</v>
      </c>
      <c r="H811" s="230">
        <v>9644</v>
      </c>
    </row>
    <row r="812" spans="2:8" x14ac:dyDescent="0.3">
      <c r="B812" s="229" t="s">
        <v>1228</v>
      </c>
      <c r="C812" s="88">
        <v>3395</v>
      </c>
      <c r="D812" s="88">
        <v>3400</v>
      </c>
      <c r="E812" s="88">
        <v>3330</v>
      </c>
      <c r="F812" s="88">
        <v>3395.05</v>
      </c>
      <c r="G812" s="88">
        <v>3395.05</v>
      </c>
      <c r="H812" s="230">
        <v>10657</v>
      </c>
    </row>
    <row r="813" spans="2:8" x14ac:dyDescent="0.3">
      <c r="B813" s="229" t="s">
        <v>1229</v>
      </c>
      <c r="C813" s="88">
        <v>3374.4</v>
      </c>
      <c r="D813" s="88">
        <v>3425</v>
      </c>
      <c r="E813" s="88">
        <v>3331.25</v>
      </c>
      <c r="F813" s="88">
        <v>3361.25</v>
      </c>
      <c r="G813" s="88">
        <v>3361.25</v>
      </c>
      <c r="H813" s="230">
        <v>21364</v>
      </c>
    </row>
    <row r="814" spans="2:8" x14ac:dyDescent="0.3">
      <c r="B814" s="229" t="s">
        <v>1230</v>
      </c>
      <c r="C814" s="88">
        <v>3384</v>
      </c>
      <c r="D814" s="88">
        <v>3394.75</v>
      </c>
      <c r="E814" s="88">
        <v>3341</v>
      </c>
      <c r="F814" s="88">
        <v>3359.95</v>
      </c>
      <c r="G814" s="88">
        <v>3359.95</v>
      </c>
      <c r="H814" s="230">
        <v>20883</v>
      </c>
    </row>
    <row r="815" spans="2:8" x14ac:dyDescent="0.3">
      <c r="B815" s="229" t="s">
        <v>1231</v>
      </c>
      <c r="C815" s="88">
        <v>3326</v>
      </c>
      <c r="D815" s="88">
        <v>3342.9</v>
      </c>
      <c r="E815" s="88">
        <v>3305.2</v>
      </c>
      <c r="F815" s="88">
        <v>3313.3</v>
      </c>
      <c r="G815" s="88">
        <v>3313.3</v>
      </c>
      <c r="H815" s="230">
        <v>8150</v>
      </c>
    </row>
    <row r="816" spans="2:8" x14ac:dyDescent="0.3">
      <c r="B816" s="229" t="s">
        <v>1232</v>
      </c>
      <c r="C816" s="88">
        <v>3344.6</v>
      </c>
      <c r="D816" s="88">
        <v>3376.15</v>
      </c>
      <c r="E816" s="88">
        <v>3307</v>
      </c>
      <c r="F816" s="88">
        <v>3314.5</v>
      </c>
      <c r="G816" s="88">
        <v>3314.5</v>
      </c>
      <c r="H816" s="230">
        <v>6908</v>
      </c>
    </row>
    <row r="817" spans="2:8" x14ac:dyDescent="0.3">
      <c r="B817" s="229" t="s">
        <v>1233</v>
      </c>
      <c r="C817" s="88">
        <v>3275</v>
      </c>
      <c r="D817" s="88">
        <v>3356.45</v>
      </c>
      <c r="E817" s="88">
        <v>3275</v>
      </c>
      <c r="F817" s="88">
        <v>3342.4</v>
      </c>
      <c r="G817" s="88">
        <v>3342.4</v>
      </c>
      <c r="H817" s="230">
        <v>20381</v>
      </c>
    </row>
    <row r="818" spans="2:8" x14ac:dyDescent="0.3">
      <c r="B818" s="229" t="s">
        <v>1234</v>
      </c>
      <c r="C818" s="88">
        <v>3349</v>
      </c>
      <c r="D818" s="88">
        <v>3350</v>
      </c>
      <c r="E818" s="88">
        <v>3251.65</v>
      </c>
      <c r="F818" s="88">
        <v>3270.85</v>
      </c>
      <c r="G818" s="88">
        <v>3270.85</v>
      </c>
      <c r="H818" s="230">
        <v>16590</v>
      </c>
    </row>
    <row r="819" spans="2:8" x14ac:dyDescent="0.3">
      <c r="B819" s="229" t="s">
        <v>1235</v>
      </c>
      <c r="C819" s="88">
        <v>3332.5</v>
      </c>
      <c r="D819" s="88">
        <v>3353</v>
      </c>
      <c r="E819" s="88">
        <v>3278</v>
      </c>
      <c r="F819" s="88">
        <v>3335.15</v>
      </c>
      <c r="G819" s="88">
        <v>3335.15</v>
      </c>
      <c r="H819" s="230">
        <v>11206</v>
      </c>
    </row>
    <row r="820" spans="2:8" x14ac:dyDescent="0.3">
      <c r="B820" s="229" t="s">
        <v>1236</v>
      </c>
      <c r="C820" s="88">
        <v>3315</v>
      </c>
      <c r="D820" s="88">
        <v>3345</v>
      </c>
      <c r="E820" s="88">
        <v>3308.05</v>
      </c>
      <c r="F820" s="88">
        <v>3315.25</v>
      </c>
      <c r="G820" s="88">
        <v>3315.25</v>
      </c>
      <c r="H820" s="230">
        <v>6186</v>
      </c>
    </row>
    <row r="821" spans="2:8" x14ac:dyDescent="0.3">
      <c r="B821" s="229" t="s">
        <v>1237</v>
      </c>
      <c r="C821" s="88">
        <v>3330</v>
      </c>
      <c r="D821" s="88">
        <v>3355</v>
      </c>
      <c r="E821" s="88">
        <v>3303.3</v>
      </c>
      <c r="F821" s="88">
        <v>3322.75</v>
      </c>
      <c r="G821" s="88">
        <v>3322.75</v>
      </c>
      <c r="H821" s="230">
        <v>18603</v>
      </c>
    </row>
    <row r="822" spans="2:8" x14ac:dyDescent="0.3">
      <c r="B822" s="229" t="s">
        <v>1238</v>
      </c>
      <c r="C822" s="88">
        <v>3400</v>
      </c>
      <c r="D822" s="88">
        <v>3400</v>
      </c>
      <c r="E822" s="88">
        <v>3300.95</v>
      </c>
      <c r="F822" s="88">
        <v>3312.75</v>
      </c>
      <c r="G822" s="88">
        <v>3312.75</v>
      </c>
      <c r="H822" s="230">
        <v>17625</v>
      </c>
    </row>
    <row r="823" spans="2:8" x14ac:dyDescent="0.3">
      <c r="B823" s="229" t="s">
        <v>1239</v>
      </c>
      <c r="C823" s="88">
        <v>3344.4</v>
      </c>
      <c r="D823" s="88">
        <v>3408</v>
      </c>
      <c r="E823" s="88">
        <v>3290</v>
      </c>
      <c r="F823" s="88">
        <v>3372.9</v>
      </c>
      <c r="G823" s="88">
        <v>3372.9</v>
      </c>
      <c r="H823" s="230">
        <v>46948</v>
      </c>
    </row>
    <row r="824" spans="2:8" x14ac:dyDescent="0.3">
      <c r="B824" s="229" t="s">
        <v>1240</v>
      </c>
      <c r="C824" s="88">
        <v>3320</v>
      </c>
      <c r="D824" s="88">
        <v>3320.05</v>
      </c>
      <c r="E824" s="88">
        <v>3275.35</v>
      </c>
      <c r="F824" s="88">
        <v>3311.4</v>
      </c>
      <c r="G824" s="88">
        <v>3311.4</v>
      </c>
      <c r="H824" s="230">
        <v>12527</v>
      </c>
    </row>
    <row r="825" spans="2:8" x14ac:dyDescent="0.3">
      <c r="B825" s="229" t="s">
        <v>1241</v>
      </c>
      <c r="C825" s="88">
        <v>3310</v>
      </c>
      <c r="D825" s="88">
        <v>3373.15</v>
      </c>
      <c r="E825" s="88">
        <v>3253</v>
      </c>
      <c r="F825" s="88">
        <v>3317.5</v>
      </c>
      <c r="G825" s="88">
        <v>3317.5</v>
      </c>
      <c r="H825" s="230">
        <v>76978</v>
      </c>
    </row>
    <row r="826" spans="2:8" x14ac:dyDescent="0.3">
      <c r="B826" s="229" t="s">
        <v>1242</v>
      </c>
      <c r="C826" s="88">
        <v>3291</v>
      </c>
      <c r="D826" s="88">
        <v>3305</v>
      </c>
      <c r="E826" s="88">
        <v>3262.75</v>
      </c>
      <c r="F826" s="88">
        <v>3287.55</v>
      </c>
      <c r="G826" s="88">
        <v>3287.55</v>
      </c>
      <c r="H826" s="230">
        <v>11865</v>
      </c>
    </row>
    <row r="827" spans="2:8" x14ac:dyDescent="0.3">
      <c r="B827" s="229" t="s">
        <v>1243</v>
      </c>
      <c r="C827" s="88">
        <v>3360.05</v>
      </c>
      <c r="D827" s="88">
        <v>3394</v>
      </c>
      <c r="E827" s="88">
        <v>3276.05</v>
      </c>
      <c r="F827" s="88">
        <v>3304.9</v>
      </c>
      <c r="G827" s="88">
        <v>3304.9</v>
      </c>
      <c r="H827" s="230">
        <v>35704</v>
      </c>
    </row>
    <row r="828" spans="2:8" x14ac:dyDescent="0.3">
      <c r="B828" s="229" t="s">
        <v>1244</v>
      </c>
      <c r="C828" s="88">
        <v>3300</v>
      </c>
      <c r="D828" s="88">
        <v>3392.95</v>
      </c>
      <c r="E828" s="88">
        <v>3295</v>
      </c>
      <c r="F828" s="88">
        <v>3359.55</v>
      </c>
      <c r="G828" s="88">
        <v>3359.55</v>
      </c>
      <c r="H828" s="230">
        <v>58142</v>
      </c>
    </row>
    <row r="829" spans="2:8" x14ac:dyDescent="0.3">
      <c r="B829" s="229" t="s">
        <v>1245</v>
      </c>
      <c r="C829" s="88">
        <v>3180</v>
      </c>
      <c r="D829" s="88">
        <v>3292.85</v>
      </c>
      <c r="E829" s="88">
        <v>3109</v>
      </c>
      <c r="F829" s="88">
        <v>3272.55</v>
      </c>
      <c r="G829" s="88">
        <v>3272.55</v>
      </c>
      <c r="H829" s="230">
        <v>23812</v>
      </c>
    </row>
    <row r="830" spans="2:8" x14ac:dyDescent="0.3">
      <c r="B830" s="229" t="s">
        <v>1246</v>
      </c>
      <c r="C830" s="88">
        <v>3220</v>
      </c>
      <c r="D830" s="88">
        <v>3224.9</v>
      </c>
      <c r="E830" s="88">
        <v>3161.65</v>
      </c>
      <c r="F830" s="88">
        <v>3174.55</v>
      </c>
      <c r="G830" s="88">
        <v>3174.55</v>
      </c>
      <c r="H830" s="230">
        <v>9913</v>
      </c>
    </row>
    <row r="831" spans="2:8" x14ac:dyDescent="0.3">
      <c r="B831" s="229" t="s">
        <v>1247</v>
      </c>
      <c r="C831" s="88">
        <v>3209.8</v>
      </c>
      <c r="D831" s="88">
        <v>3240</v>
      </c>
      <c r="E831" s="88">
        <v>3182.45</v>
      </c>
      <c r="F831" s="88">
        <v>3194.45</v>
      </c>
      <c r="G831" s="88">
        <v>3194.45</v>
      </c>
      <c r="H831" s="230">
        <v>7525</v>
      </c>
    </row>
    <row r="832" spans="2:8" x14ac:dyDescent="0.3">
      <c r="B832" s="229" t="s">
        <v>1248</v>
      </c>
      <c r="C832" s="88">
        <v>3190</v>
      </c>
      <c r="D832" s="88">
        <v>3256.5</v>
      </c>
      <c r="E832" s="88">
        <v>3160</v>
      </c>
      <c r="F832" s="88">
        <v>3193.1</v>
      </c>
      <c r="G832" s="88">
        <v>3193.1</v>
      </c>
      <c r="H832" s="230">
        <v>25405</v>
      </c>
    </row>
    <row r="833" spans="2:8" x14ac:dyDescent="0.3">
      <c r="B833" s="229" t="s">
        <v>1249</v>
      </c>
      <c r="C833" s="88">
        <v>3181</v>
      </c>
      <c r="D833" s="88">
        <v>3212.65</v>
      </c>
      <c r="E833" s="88">
        <v>3164.45</v>
      </c>
      <c r="F833" s="88">
        <v>3177.9</v>
      </c>
      <c r="G833" s="88">
        <v>3177.9</v>
      </c>
      <c r="H833" s="230">
        <v>17063</v>
      </c>
    </row>
    <row r="834" spans="2:8" x14ac:dyDescent="0.3">
      <c r="B834" s="229" t="s">
        <v>1250</v>
      </c>
      <c r="C834" s="88">
        <v>3230</v>
      </c>
      <c r="D834" s="88">
        <v>3235</v>
      </c>
      <c r="E834" s="88">
        <v>3178.5</v>
      </c>
      <c r="F834" s="88">
        <v>3189.45</v>
      </c>
      <c r="G834" s="88">
        <v>3189.45</v>
      </c>
      <c r="H834" s="230">
        <v>14005</v>
      </c>
    </row>
    <row r="835" spans="2:8" x14ac:dyDescent="0.3">
      <c r="B835" s="229" t="s">
        <v>1251</v>
      </c>
      <c r="C835" s="88">
        <v>3234.4</v>
      </c>
      <c r="D835" s="88">
        <v>3256.75</v>
      </c>
      <c r="E835" s="88">
        <v>3170</v>
      </c>
      <c r="F835" s="88">
        <v>3195.7</v>
      </c>
      <c r="G835" s="88">
        <v>3195.7</v>
      </c>
      <c r="H835" s="230">
        <v>23965</v>
      </c>
    </row>
    <row r="836" spans="2:8" x14ac:dyDescent="0.3">
      <c r="B836" s="229" t="s">
        <v>1252</v>
      </c>
      <c r="C836" s="88">
        <v>3089</v>
      </c>
      <c r="D836" s="88">
        <v>3200</v>
      </c>
      <c r="E836" s="88">
        <v>3076.5</v>
      </c>
      <c r="F836" s="88">
        <v>3192.5</v>
      </c>
      <c r="G836" s="88">
        <v>3192.5</v>
      </c>
      <c r="H836" s="230">
        <v>39506</v>
      </c>
    </row>
    <row r="837" spans="2:8" x14ac:dyDescent="0.3">
      <c r="B837" s="229" t="s">
        <v>1253</v>
      </c>
      <c r="C837" s="88">
        <v>3068</v>
      </c>
      <c r="D837" s="88">
        <v>3092</v>
      </c>
      <c r="E837" s="88">
        <v>3052.9</v>
      </c>
      <c r="F837" s="88">
        <v>3065.65</v>
      </c>
      <c r="G837" s="88">
        <v>3065.65</v>
      </c>
      <c r="H837" s="230">
        <v>21144</v>
      </c>
    </row>
    <row r="838" spans="2:8" x14ac:dyDescent="0.3">
      <c r="B838" s="229" t="s">
        <v>1254</v>
      </c>
      <c r="C838" s="88">
        <v>3070.3</v>
      </c>
      <c r="D838" s="88">
        <v>3089.8</v>
      </c>
      <c r="E838" s="88">
        <v>3033</v>
      </c>
      <c r="F838" s="88">
        <v>3045.45</v>
      </c>
      <c r="G838" s="88">
        <v>3045.45</v>
      </c>
      <c r="H838" s="230">
        <v>26384</v>
      </c>
    </row>
    <row r="839" spans="2:8" x14ac:dyDescent="0.3">
      <c r="B839" s="229" t="s">
        <v>1255</v>
      </c>
      <c r="C839" s="88">
        <v>3048</v>
      </c>
      <c r="D839" s="88">
        <v>3084.2</v>
      </c>
      <c r="E839" s="88">
        <v>3021.45</v>
      </c>
      <c r="F839" s="88">
        <v>3070.3</v>
      </c>
      <c r="G839" s="88">
        <v>3070.3</v>
      </c>
      <c r="H839" s="230">
        <v>15052</v>
      </c>
    </row>
    <row r="840" spans="2:8" x14ac:dyDescent="0.3">
      <c r="B840" s="229" t="s">
        <v>1256</v>
      </c>
      <c r="C840" s="88">
        <v>3050</v>
      </c>
      <c r="D840" s="88">
        <v>3103.55</v>
      </c>
      <c r="E840" s="88">
        <v>2995.2</v>
      </c>
      <c r="F840" s="88">
        <v>3018.15</v>
      </c>
      <c r="G840" s="88">
        <v>3018.15</v>
      </c>
      <c r="H840" s="230">
        <v>36493</v>
      </c>
    </row>
    <row r="841" spans="2:8" x14ac:dyDescent="0.3">
      <c r="B841" s="229" t="s">
        <v>1257</v>
      </c>
      <c r="C841" s="88">
        <v>3099.9</v>
      </c>
      <c r="D841" s="88">
        <v>3109.7</v>
      </c>
      <c r="E841" s="88">
        <v>3007.05</v>
      </c>
      <c r="F841" s="88">
        <v>3026.6</v>
      </c>
      <c r="G841" s="88">
        <v>3026.6</v>
      </c>
      <c r="H841" s="230">
        <v>11491</v>
      </c>
    </row>
    <row r="842" spans="2:8" x14ac:dyDescent="0.3">
      <c r="B842" s="229" t="s">
        <v>1258</v>
      </c>
      <c r="C842" s="88">
        <v>3129.6</v>
      </c>
      <c r="D842" s="88">
        <v>3135</v>
      </c>
      <c r="E842" s="88">
        <v>3070</v>
      </c>
      <c r="F842" s="88">
        <v>3095.9</v>
      </c>
      <c r="G842" s="88">
        <v>3095.9</v>
      </c>
      <c r="H842" s="230">
        <v>17227</v>
      </c>
    </row>
    <row r="843" spans="2:8" x14ac:dyDescent="0.3">
      <c r="B843" s="229" t="s">
        <v>1259</v>
      </c>
      <c r="C843" s="88">
        <v>3059.9</v>
      </c>
      <c r="D843" s="88">
        <v>3122.4</v>
      </c>
      <c r="E843" s="88">
        <v>3055</v>
      </c>
      <c r="F843" s="88">
        <v>3103.25</v>
      </c>
      <c r="G843" s="88">
        <v>3103.25</v>
      </c>
      <c r="H843" s="230">
        <v>25818</v>
      </c>
    </row>
    <row r="844" spans="2:8" x14ac:dyDescent="0.3">
      <c r="B844" s="229" t="s">
        <v>1260</v>
      </c>
      <c r="C844" s="88">
        <v>3060</v>
      </c>
      <c r="D844" s="88">
        <v>3061.7</v>
      </c>
      <c r="E844" s="88">
        <v>3019.4</v>
      </c>
      <c r="F844" s="88">
        <v>3036.75</v>
      </c>
      <c r="G844" s="88">
        <v>3036.75</v>
      </c>
      <c r="H844" s="230">
        <v>15829</v>
      </c>
    </row>
    <row r="845" spans="2:8" x14ac:dyDescent="0.3">
      <c r="B845" s="229" t="s">
        <v>1261</v>
      </c>
      <c r="C845" s="88">
        <v>3055</v>
      </c>
      <c r="D845" s="88">
        <v>3068.85</v>
      </c>
      <c r="E845" s="88">
        <v>3014.35</v>
      </c>
      <c r="F845" s="88">
        <v>3032.45</v>
      </c>
      <c r="G845" s="88">
        <v>3032.45</v>
      </c>
      <c r="H845" s="230">
        <v>24280</v>
      </c>
    </row>
    <row r="846" spans="2:8" x14ac:dyDescent="0.3">
      <c r="B846" s="229" t="s">
        <v>1262</v>
      </c>
      <c r="C846" s="88">
        <v>3044.45</v>
      </c>
      <c r="D846" s="88">
        <v>3052.25</v>
      </c>
      <c r="E846" s="88">
        <v>3000.05</v>
      </c>
      <c r="F846" s="88">
        <v>3025.75</v>
      </c>
      <c r="G846" s="88">
        <v>3025.75</v>
      </c>
      <c r="H846" s="230">
        <v>14489</v>
      </c>
    </row>
    <row r="847" spans="2:8" x14ac:dyDescent="0.3">
      <c r="B847" s="229" t="s">
        <v>1263</v>
      </c>
      <c r="C847" s="88">
        <v>3071</v>
      </c>
      <c r="D847" s="88">
        <v>3094.8</v>
      </c>
      <c r="E847" s="88">
        <v>3009.15</v>
      </c>
      <c r="F847" s="88">
        <v>3024.45</v>
      </c>
      <c r="G847" s="88">
        <v>3024.45</v>
      </c>
      <c r="H847" s="230">
        <v>54046</v>
      </c>
    </row>
    <row r="848" spans="2:8" x14ac:dyDescent="0.3">
      <c r="B848" s="229" t="s">
        <v>1264</v>
      </c>
      <c r="C848" s="88">
        <v>2915</v>
      </c>
      <c r="D848" s="88">
        <v>3079</v>
      </c>
      <c r="E848" s="88">
        <v>2913.5</v>
      </c>
      <c r="F848" s="88">
        <v>3054.5</v>
      </c>
      <c r="G848" s="88">
        <v>3054.5</v>
      </c>
      <c r="H848" s="230">
        <v>44509</v>
      </c>
    </row>
    <row r="849" spans="2:8" x14ac:dyDescent="0.3">
      <c r="B849" s="229" t="s">
        <v>1265</v>
      </c>
      <c r="C849" s="88">
        <v>2864</v>
      </c>
      <c r="D849" s="88">
        <v>2909</v>
      </c>
      <c r="E849" s="88">
        <v>2841.8</v>
      </c>
      <c r="F849" s="88">
        <v>2895.6</v>
      </c>
      <c r="G849" s="88">
        <v>2895.6</v>
      </c>
      <c r="H849" s="230">
        <v>19884</v>
      </c>
    </row>
    <row r="850" spans="2:8" x14ac:dyDescent="0.3">
      <c r="B850" s="229" t="s">
        <v>1266</v>
      </c>
      <c r="C850" s="88">
        <v>2875</v>
      </c>
      <c r="D850" s="88">
        <v>2875</v>
      </c>
      <c r="E850" s="88">
        <v>2830</v>
      </c>
      <c r="F850" s="88">
        <v>2843.05</v>
      </c>
      <c r="G850" s="88">
        <v>2843.05</v>
      </c>
      <c r="H850" s="230">
        <v>20575</v>
      </c>
    </row>
    <row r="851" spans="2:8" x14ac:dyDescent="0.3">
      <c r="B851" s="229" t="s">
        <v>1267</v>
      </c>
      <c r="C851" s="88">
        <v>2865</v>
      </c>
      <c r="D851" s="88">
        <v>2873.05</v>
      </c>
      <c r="E851" s="88">
        <v>2829.9</v>
      </c>
      <c r="F851" s="88">
        <v>2856.2</v>
      </c>
      <c r="G851" s="88">
        <v>2856.2</v>
      </c>
      <c r="H851" s="230">
        <v>11513</v>
      </c>
    </row>
    <row r="852" spans="2:8" x14ac:dyDescent="0.3">
      <c r="B852" s="229" t="s">
        <v>1268</v>
      </c>
      <c r="C852" s="88">
        <v>2841.4</v>
      </c>
      <c r="D852" s="88">
        <v>2884</v>
      </c>
      <c r="E852" s="88">
        <v>2823.9</v>
      </c>
      <c r="F852" s="88">
        <v>2849.65</v>
      </c>
      <c r="G852" s="88">
        <v>2849.65</v>
      </c>
      <c r="H852" s="230">
        <v>31143</v>
      </c>
    </row>
    <row r="853" spans="2:8" x14ac:dyDescent="0.3">
      <c r="B853" s="229" t="s">
        <v>1269</v>
      </c>
      <c r="C853" s="88">
        <v>2939</v>
      </c>
      <c r="D853" s="88">
        <v>2957.6</v>
      </c>
      <c r="E853" s="88">
        <v>2840.2</v>
      </c>
      <c r="F853" s="88">
        <v>2853.2</v>
      </c>
      <c r="G853" s="88">
        <v>2853.2</v>
      </c>
      <c r="H853" s="230">
        <v>40512</v>
      </c>
    </row>
    <row r="854" spans="2:8" x14ac:dyDescent="0.3">
      <c r="B854" s="229" t="s">
        <v>1270</v>
      </c>
      <c r="C854" s="88">
        <v>2895</v>
      </c>
      <c r="D854" s="88">
        <v>2954.95</v>
      </c>
      <c r="E854" s="88">
        <v>2851</v>
      </c>
      <c r="F854" s="88">
        <v>2888.75</v>
      </c>
      <c r="G854" s="88">
        <v>2888.75</v>
      </c>
      <c r="H854" s="230">
        <v>17826</v>
      </c>
    </row>
    <row r="855" spans="2:8" x14ac:dyDescent="0.3">
      <c r="B855" s="229" t="s">
        <v>1271</v>
      </c>
      <c r="C855" s="88">
        <v>2861</v>
      </c>
      <c r="D855" s="88">
        <v>2893.65</v>
      </c>
      <c r="E855" s="88">
        <v>2851</v>
      </c>
      <c r="F855" s="88">
        <v>2878.05</v>
      </c>
      <c r="G855" s="88">
        <v>2878.05</v>
      </c>
      <c r="H855" s="230">
        <v>13623</v>
      </c>
    </row>
    <row r="856" spans="2:8" x14ac:dyDescent="0.3">
      <c r="B856" s="229" t="s">
        <v>1272</v>
      </c>
      <c r="C856" s="88">
        <v>2884</v>
      </c>
      <c r="D856" s="88">
        <v>2889</v>
      </c>
      <c r="E856" s="88">
        <v>2854.15</v>
      </c>
      <c r="F856" s="88">
        <v>2875.65</v>
      </c>
      <c r="G856" s="88">
        <v>2875.65</v>
      </c>
      <c r="H856" s="230">
        <v>16494</v>
      </c>
    </row>
    <row r="857" spans="2:8" x14ac:dyDescent="0.3">
      <c r="B857" s="229" t="s">
        <v>1273</v>
      </c>
      <c r="C857" s="88">
        <v>2914</v>
      </c>
      <c r="D857" s="88">
        <v>2934.8</v>
      </c>
      <c r="E857" s="88">
        <v>2850</v>
      </c>
      <c r="F857" s="88">
        <v>2858.95</v>
      </c>
      <c r="G857" s="88">
        <v>2858.95</v>
      </c>
      <c r="H857" s="230">
        <v>11954</v>
      </c>
    </row>
    <row r="858" spans="2:8" x14ac:dyDescent="0.3">
      <c r="B858" s="229" t="s">
        <v>1274</v>
      </c>
      <c r="C858" s="88">
        <v>2835</v>
      </c>
      <c r="D858" s="88">
        <v>2910</v>
      </c>
      <c r="E858" s="88">
        <v>2820.8</v>
      </c>
      <c r="F858" s="88">
        <v>2897.6</v>
      </c>
      <c r="G858" s="88">
        <v>2897.6</v>
      </c>
      <c r="H858" s="230">
        <v>26570</v>
      </c>
    </row>
    <row r="859" spans="2:8" x14ac:dyDescent="0.3">
      <c r="B859" s="229" t="s">
        <v>1275</v>
      </c>
      <c r="C859" s="88">
        <v>2899</v>
      </c>
      <c r="D859" s="88">
        <v>2930</v>
      </c>
      <c r="E859" s="88">
        <v>2820</v>
      </c>
      <c r="F859" s="88">
        <v>2858.55</v>
      </c>
      <c r="G859" s="88">
        <v>2858.55</v>
      </c>
      <c r="H859" s="230">
        <v>17987</v>
      </c>
    </row>
    <row r="860" spans="2:8" x14ac:dyDescent="0.3">
      <c r="B860" s="229" t="s">
        <v>1276</v>
      </c>
      <c r="C860" s="88">
        <v>2949.95</v>
      </c>
      <c r="D860" s="88">
        <v>2986.9</v>
      </c>
      <c r="E860" s="88">
        <v>2879.95</v>
      </c>
      <c r="F860" s="88">
        <v>2900</v>
      </c>
      <c r="G860" s="88">
        <v>2900</v>
      </c>
      <c r="H860" s="230">
        <v>48397</v>
      </c>
    </row>
    <row r="861" spans="2:8" x14ac:dyDescent="0.3">
      <c r="B861" s="229" t="s">
        <v>1277</v>
      </c>
      <c r="C861" s="88">
        <v>2865</v>
      </c>
      <c r="D861" s="88">
        <v>2952.95</v>
      </c>
      <c r="E861" s="88">
        <v>2849</v>
      </c>
      <c r="F861" s="88">
        <v>2936.95</v>
      </c>
      <c r="G861" s="88">
        <v>2936.95</v>
      </c>
      <c r="H861" s="230">
        <v>61905</v>
      </c>
    </row>
    <row r="862" spans="2:8" x14ac:dyDescent="0.3">
      <c r="B862" s="229" t="s">
        <v>1278</v>
      </c>
      <c r="C862" s="88">
        <v>2824</v>
      </c>
      <c r="D862" s="88">
        <v>2864.95</v>
      </c>
      <c r="E862" s="88">
        <v>2811.05</v>
      </c>
      <c r="F862" s="88">
        <v>2827.75</v>
      </c>
      <c r="G862" s="88">
        <v>2827.75</v>
      </c>
      <c r="H862" s="230">
        <v>21917</v>
      </c>
    </row>
    <row r="863" spans="2:8" x14ac:dyDescent="0.3">
      <c r="B863" s="229" t="s">
        <v>1279</v>
      </c>
      <c r="C863" s="88">
        <v>2740</v>
      </c>
      <c r="D863" s="88">
        <v>2820.3</v>
      </c>
      <c r="E863" s="88">
        <v>2721</v>
      </c>
      <c r="F863" s="88">
        <v>2807.95</v>
      </c>
      <c r="G863" s="88">
        <v>2807.95</v>
      </c>
      <c r="H863" s="230">
        <v>27467</v>
      </c>
    </row>
    <row r="864" spans="2:8" x14ac:dyDescent="0.3">
      <c r="B864" s="229" t="s">
        <v>1280</v>
      </c>
      <c r="C864" s="88">
        <v>2715.65</v>
      </c>
      <c r="D864" s="88">
        <v>2746.2</v>
      </c>
      <c r="E864" s="88">
        <v>2677</v>
      </c>
      <c r="F864" s="88">
        <v>2711.85</v>
      </c>
      <c r="G864" s="88">
        <v>2711.85</v>
      </c>
      <c r="H864" s="230">
        <v>23137</v>
      </c>
    </row>
    <row r="865" spans="2:8" x14ac:dyDescent="0.3">
      <c r="B865" s="229" t="s">
        <v>1281</v>
      </c>
      <c r="C865" s="88">
        <v>2785</v>
      </c>
      <c r="D865" s="88">
        <v>2791.45</v>
      </c>
      <c r="E865" s="88">
        <v>2678.3</v>
      </c>
      <c r="F865" s="88">
        <v>2715.65</v>
      </c>
      <c r="G865" s="88">
        <v>2715.65</v>
      </c>
      <c r="H865" s="230">
        <v>80781</v>
      </c>
    </row>
    <row r="866" spans="2:8" x14ac:dyDescent="0.3">
      <c r="B866" s="229" t="s">
        <v>1282</v>
      </c>
      <c r="C866" s="88">
        <v>2880</v>
      </c>
      <c r="D866" s="88">
        <v>2889.2</v>
      </c>
      <c r="E866" s="88">
        <v>2756.55</v>
      </c>
      <c r="F866" s="88">
        <v>2778.3</v>
      </c>
      <c r="G866" s="88">
        <v>2778.3</v>
      </c>
      <c r="H866" s="230">
        <v>33616</v>
      </c>
    </row>
    <row r="867" spans="2:8" x14ac:dyDescent="0.3">
      <c r="B867" s="229" t="s">
        <v>1283</v>
      </c>
      <c r="C867" s="88">
        <v>2872.3</v>
      </c>
      <c r="D867" s="88">
        <v>2872.3</v>
      </c>
      <c r="E867" s="88">
        <v>2817</v>
      </c>
      <c r="F867" s="88">
        <v>2852.7</v>
      </c>
      <c r="G867" s="88">
        <v>2852.7</v>
      </c>
      <c r="H867" s="230">
        <v>16843</v>
      </c>
    </row>
    <row r="868" spans="2:8" x14ac:dyDescent="0.3">
      <c r="B868" s="229" t="s">
        <v>1284</v>
      </c>
      <c r="C868" s="88">
        <v>2938</v>
      </c>
      <c r="D868" s="88">
        <v>2981.95</v>
      </c>
      <c r="E868" s="88">
        <v>2893.7</v>
      </c>
      <c r="F868" s="88">
        <v>2919.4</v>
      </c>
      <c r="G868" s="88">
        <v>2919.4</v>
      </c>
      <c r="H868" s="230">
        <v>46711</v>
      </c>
    </row>
    <row r="869" spans="2:8" x14ac:dyDescent="0.3">
      <c r="B869" s="229" t="s">
        <v>1285</v>
      </c>
      <c r="C869" s="88">
        <v>2803</v>
      </c>
      <c r="D869" s="88">
        <v>2950</v>
      </c>
      <c r="E869" s="88">
        <v>2803</v>
      </c>
      <c r="F869" s="88">
        <v>2932.75</v>
      </c>
      <c r="G869" s="88">
        <v>2932.75</v>
      </c>
      <c r="H869" s="230">
        <v>35167</v>
      </c>
    </row>
    <row r="870" spans="2:8" x14ac:dyDescent="0.3">
      <c r="B870" s="229" t="s">
        <v>1286</v>
      </c>
      <c r="C870" s="88">
        <v>2822.2</v>
      </c>
      <c r="D870" s="88">
        <v>2884.25</v>
      </c>
      <c r="E870" s="88">
        <v>2812.05</v>
      </c>
      <c r="F870" s="88">
        <v>2834.55</v>
      </c>
      <c r="G870" s="88">
        <v>2834.55</v>
      </c>
      <c r="H870" s="230">
        <v>31399</v>
      </c>
    </row>
    <row r="871" spans="2:8" x14ac:dyDescent="0.3">
      <c r="B871" s="229" t="s">
        <v>1287</v>
      </c>
      <c r="C871" s="88">
        <v>2923</v>
      </c>
      <c r="D871" s="88">
        <v>2923</v>
      </c>
      <c r="E871" s="88">
        <v>2790</v>
      </c>
      <c r="F871" s="88">
        <v>2816.25</v>
      </c>
      <c r="G871" s="88">
        <v>2816.25</v>
      </c>
      <c r="H871" s="230">
        <v>28663</v>
      </c>
    </row>
    <row r="872" spans="2:8" x14ac:dyDescent="0.3">
      <c r="B872" s="229" t="s">
        <v>1288</v>
      </c>
      <c r="C872" s="88">
        <v>2939</v>
      </c>
      <c r="D872" s="88">
        <v>2972</v>
      </c>
      <c r="E872" s="88">
        <v>2920</v>
      </c>
      <c r="F872" s="88">
        <v>2947.55</v>
      </c>
      <c r="G872" s="88">
        <v>2947.55</v>
      </c>
      <c r="H872" s="230">
        <v>14850</v>
      </c>
    </row>
    <row r="873" spans="2:8" x14ac:dyDescent="0.3">
      <c r="B873" s="229" t="s">
        <v>1289</v>
      </c>
      <c r="C873" s="88">
        <v>2899.9</v>
      </c>
      <c r="D873" s="88">
        <v>2955.65</v>
      </c>
      <c r="E873" s="88">
        <v>2897.6</v>
      </c>
      <c r="F873" s="88">
        <v>2935.35</v>
      </c>
      <c r="G873" s="88">
        <v>2935.35</v>
      </c>
      <c r="H873" s="230">
        <v>23204</v>
      </c>
    </row>
    <row r="874" spans="2:8" x14ac:dyDescent="0.3">
      <c r="B874" s="229" t="s">
        <v>1290</v>
      </c>
      <c r="C874" s="88">
        <v>2850</v>
      </c>
      <c r="D874" s="88">
        <v>2898.45</v>
      </c>
      <c r="E874" s="88">
        <v>2836.05</v>
      </c>
      <c r="F874" s="88">
        <v>2889.2</v>
      </c>
      <c r="G874" s="88">
        <v>2889.2</v>
      </c>
      <c r="H874" s="230">
        <v>37262</v>
      </c>
    </row>
    <row r="875" spans="2:8" x14ac:dyDescent="0.3">
      <c r="B875" s="229" t="s">
        <v>1291</v>
      </c>
      <c r="C875" s="88">
        <v>2879</v>
      </c>
      <c r="D875" s="88">
        <v>2879</v>
      </c>
      <c r="E875" s="88">
        <v>2824.4</v>
      </c>
      <c r="F875" s="88">
        <v>2844.85</v>
      </c>
      <c r="G875" s="88">
        <v>2844.85</v>
      </c>
      <c r="H875" s="230">
        <v>54802</v>
      </c>
    </row>
    <row r="876" spans="2:8" x14ac:dyDescent="0.3">
      <c r="B876" s="229" t="s">
        <v>1292</v>
      </c>
      <c r="C876" s="88">
        <v>2909.95</v>
      </c>
      <c r="D876" s="88">
        <v>2909.95</v>
      </c>
      <c r="E876" s="88">
        <v>2795</v>
      </c>
      <c r="F876" s="88">
        <v>2848.4</v>
      </c>
      <c r="G876" s="88">
        <v>2848.4</v>
      </c>
      <c r="H876" s="230">
        <v>21311</v>
      </c>
    </row>
    <row r="877" spans="2:8" x14ac:dyDescent="0.3">
      <c r="B877" s="229" t="s">
        <v>1293</v>
      </c>
      <c r="C877" s="88">
        <v>2890</v>
      </c>
      <c r="D877" s="88">
        <v>2925</v>
      </c>
      <c r="E877" s="88">
        <v>2860</v>
      </c>
      <c r="F877" s="88">
        <v>2911.4</v>
      </c>
      <c r="G877" s="88">
        <v>2911.4</v>
      </c>
      <c r="H877" s="230">
        <v>14970</v>
      </c>
    </row>
    <row r="878" spans="2:8" x14ac:dyDescent="0.3">
      <c r="B878" s="229" t="s">
        <v>1294</v>
      </c>
      <c r="C878" s="88">
        <v>2890</v>
      </c>
      <c r="D878" s="88">
        <v>2890</v>
      </c>
      <c r="E878" s="88">
        <v>2830</v>
      </c>
      <c r="F878" s="88">
        <v>2854.05</v>
      </c>
      <c r="G878" s="88">
        <v>2854.05</v>
      </c>
      <c r="H878" s="230">
        <v>17028</v>
      </c>
    </row>
    <row r="879" spans="2:8" x14ac:dyDescent="0.3">
      <c r="B879" s="229" t="s">
        <v>1295</v>
      </c>
      <c r="C879" s="88">
        <v>2897</v>
      </c>
      <c r="D879" s="88">
        <v>2916.35</v>
      </c>
      <c r="E879" s="88">
        <v>2808.85</v>
      </c>
      <c r="F879" s="88">
        <v>2834.35</v>
      </c>
      <c r="G879" s="88">
        <v>2834.35</v>
      </c>
      <c r="H879" s="230">
        <v>27046</v>
      </c>
    </row>
    <row r="880" spans="2:8" x14ac:dyDescent="0.3">
      <c r="B880" s="229" t="s">
        <v>1296</v>
      </c>
      <c r="C880" s="88">
        <v>2827</v>
      </c>
      <c r="D880" s="88">
        <v>2897</v>
      </c>
      <c r="E880" s="88">
        <v>2807.2</v>
      </c>
      <c r="F880" s="88">
        <v>2854.8</v>
      </c>
      <c r="G880" s="88">
        <v>2854.8</v>
      </c>
      <c r="H880" s="230">
        <v>23383</v>
      </c>
    </row>
    <row r="881" spans="2:8" x14ac:dyDescent="0.3">
      <c r="B881" s="229" t="s">
        <v>1297</v>
      </c>
      <c r="C881" s="88">
        <v>2872</v>
      </c>
      <c r="D881" s="88">
        <v>2890.6</v>
      </c>
      <c r="E881" s="88">
        <v>2775</v>
      </c>
      <c r="F881" s="88">
        <v>2795.25</v>
      </c>
      <c r="G881" s="88">
        <v>2795.25</v>
      </c>
      <c r="H881" s="230">
        <v>48610</v>
      </c>
    </row>
    <row r="882" spans="2:8" x14ac:dyDescent="0.3">
      <c r="B882" s="229" t="s">
        <v>1298</v>
      </c>
      <c r="C882" s="88">
        <v>2967</v>
      </c>
      <c r="D882" s="88">
        <v>2967</v>
      </c>
      <c r="E882" s="88">
        <v>2841.75</v>
      </c>
      <c r="F882" s="88">
        <v>2855.75</v>
      </c>
      <c r="G882" s="88">
        <v>2855.75</v>
      </c>
      <c r="H882" s="230">
        <v>25783</v>
      </c>
    </row>
    <row r="883" spans="2:8" x14ac:dyDescent="0.3">
      <c r="B883" s="229" t="s">
        <v>1299</v>
      </c>
      <c r="C883" s="88">
        <v>2904.3</v>
      </c>
      <c r="D883" s="88">
        <v>3004.8</v>
      </c>
      <c r="E883" s="88">
        <v>2904.3</v>
      </c>
      <c r="F883" s="88">
        <v>2932.4</v>
      </c>
      <c r="G883" s="88">
        <v>2932.4</v>
      </c>
      <c r="H883" s="230">
        <v>26224</v>
      </c>
    </row>
    <row r="884" spans="2:8" x14ac:dyDescent="0.3">
      <c r="B884" s="229" t="s">
        <v>1300</v>
      </c>
      <c r="C884" s="88">
        <v>2982.55</v>
      </c>
      <c r="D884" s="88">
        <v>2988</v>
      </c>
      <c r="E884" s="88">
        <v>2862</v>
      </c>
      <c r="F884" s="88">
        <v>2879.8</v>
      </c>
      <c r="G884" s="88">
        <v>2879.8</v>
      </c>
      <c r="H884" s="230">
        <v>41742</v>
      </c>
    </row>
    <row r="885" spans="2:8" x14ac:dyDescent="0.3">
      <c r="B885" s="229" t="s">
        <v>1301</v>
      </c>
      <c r="C885" s="88">
        <v>3005</v>
      </c>
      <c r="D885" s="88">
        <v>3015.75</v>
      </c>
      <c r="E885" s="88">
        <v>2928.15</v>
      </c>
      <c r="F885" s="88">
        <v>2961.95</v>
      </c>
      <c r="G885" s="88">
        <v>2961.95</v>
      </c>
      <c r="H885" s="230">
        <v>62972</v>
      </c>
    </row>
    <row r="886" spans="2:8" x14ac:dyDescent="0.3">
      <c r="B886" s="229" t="s">
        <v>1302</v>
      </c>
      <c r="C886" s="88">
        <v>3030.3</v>
      </c>
      <c r="D886" s="88">
        <v>3074.95</v>
      </c>
      <c r="E886" s="88">
        <v>2978</v>
      </c>
      <c r="F886" s="88">
        <v>3034.95</v>
      </c>
      <c r="G886" s="88">
        <v>3034.95</v>
      </c>
      <c r="H886" s="230">
        <v>19509</v>
      </c>
    </row>
    <row r="887" spans="2:8" x14ac:dyDescent="0.3">
      <c r="B887" s="229" t="s">
        <v>1303</v>
      </c>
      <c r="C887" s="88">
        <v>3080</v>
      </c>
      <c r="D887" s="88">
        <v>3096.1</v>
      </c>
      <c r="E887" s="88">
        <v>2992</v>
      </c>
      <c r="F887" s="88">
        <v>3014.65</v>
      </c>
      <c r="G887" s="88">
        <v>3014.65</v>
      </c>
      <c r="H887" s="230">
        <v>24193</v>
      </c>
    </row>
    <row r="888" spans="2:8" x14ac:dyDescent="0.3">
      <c r="B888" s="229" t="s">
        <v>1304</v>
      </c>
      <c r="C888" s="88">
        <v>3108</v>
      </c>
      <c r="D888" s="88">
        <v>3199.95</v>
      </c>
      <c r="E888" s="88">
        <v>3055</v>
      </c>
      <c r="F888" s="88">
        <v>3072.05</v>
      </c>
      <c r="G888" s="88">
        <v>3072.05</v>
      </c>
      <c r="H888" s="230">
        <v>13405</v>
      </c>
    </row>
    <row r="889" spans="2:8" x14ac:dyDescent="0.3">
      <c r="B889" s="229" t="s">
        <v>1305</v>
      </c>
      <c r="C889" s="88">
        <v>3121</v>
      </c>
      <c r="D889" s="88">
        <v>3166</v>
      </c>
      <c r="E889" s="88">
        <v>3095.2</v>
      </c>
      <c r="F889" s="88">
        <v>3108.5</v>
      </c>
      <c r="G889" s="88">
        <v>3108.5</v>
      </c>
      <c r="H889" s="230">
        <v>17781</v>
      </c>
    </row>
    <row r="890" spans="2:8" x14ac:dyDescent="0.3">
      <c r="B890" s="229" t="s">
        <v>1306</v>
      </c>
      <c r="C890" s="88">
        <v>3165.4</v>
      </c>
      <c r="D890" s="88">
        <v>3227.8</v>
      </c>
      <c r="E890" s="88">
        <v>3113.95</v>
      </c>
      <c r="F890" s="88">
        <v>3133.7</v>
      </c>
      <c r="G890" s="88">
        <v>3133.7</v>
      </c>
      <c r="H890" s="230">
        <v>28906</v>
      </c>
    </row>
    <row r="891" spans="2:8" x14ac:dyDescent="0.3">
      <c r="B891" s="229" t="s">
        <v>1307</v>
      </c>
      <c r="C891" s="88">
        <v>3188</v>
      </c>
      <c r="D891" s="88">
        <v>3188</v>
      </c>
      <c r="E891" s="88">
        <v>3114.9</v>
      </c>
      <c r="F891" s="88">
        <v>3155.5</v>
      </c>
      <c r="G891" s="88">
        <v>3155.5</v>
      </c>
      <c r="H891" s="230">
        <v>8590</v>
      </c>
    </row>
    <row r="892" spans="2:8" x14ac:dyDescent="0.3">
      <c r="B892" s="229" t="s">
        <v>1308</v>
      </c>
      <c r="C892" s="88">
        <v>3192</v>
      </c>
      <c r="D892" s="88">
        <v>3254.65</v>
      </c>
      <c r="E892" s="88">
        <v>3122.9</v>
      </c>
      <c r="F892" s="88">
        <v>3151.15</v>
      </c>
      <c r="G892" s="88">
        <v>3151.15</v>
      </c>
      <c r="H892" s="230">
        <v>19355</v>
      </c>
    </row>
    <row r="893" spans="2:8" x14ac:dyDescent="0.3">
      <c r="B893" s="229" t="s">
        <v>1309</v>
      </c>
      <c r="C893" s="88">
        <v>3295.1</v>
      </c>
      <c r="D893" s="88">
        <v>3312.1</v>
      </c>
      <c r="E893" s="88">
        <v>3173</v>
      </c>
      <c r="F893" s="88">
        <v>3189.2</v>
      </c>
      <c r="G893" s="88">
        <v>3189.2</v>
      </c>
      <c r="H893" s="230">
        <v>35047</v>
      </c>
    </row>
    <row r="894" spans="2:8" x14ac:dyDescent="0.3">
      <c r="B894" s="229" t="s">
        <v>1310</v>
      </c>
      <c r="C894" s="88">
        <v>3118</v>
      </c>
      <c r="D894" s="88">
        <v>3328</v>
      </c>
      <c r="E894" s="88">
        <v>3118</v>
      </c>
      <c r="F894" s="88">
        <v>3289.4</v>
      </c>
      <c r="G894" s="88">
        <v>3289.4</v>
      </c>
      <c r="H894" s="230">
        <v>91833</v>
      </c>
    </row>
    <row r="895" spans="2:8" x14ac:dyDescent="0.3">
      <c r="B895" s="229" t="s">
        <v>1311</v>
      </c>
      <c r="C895" s="88">
        <v>3145</v>
      </c>
      <c r="D895" s="88">
        <v>3213.9</v>
      </c>
      <c r="E895" s="88">
        <v>3110.9</v>
      </c>
      <c r="F895" s="88">
        <v>3180.3</v>
      </c>
      <c r="G895" s="88">
        <v>3180.3</v>
      </c>
      <c r="H895" s="230">
        <v>85621</v>
      </c>
    </row>
    <row r="896" spans="2:8" x14ac:dyDescent="0.3">
      <c r="B896" s="229" t="s">
        <v>1312</v>
      </c>
      <c r="C896" s="88">
        <v>3080</v>
      </c>
      <c r="D896" s="88">
        <v>3177.4</v>
      </c>
      <c r="E896" s="88">
        <v>3080</v>
      </c>
      <c r="F896" s="88">
        <v>3168.9</v>
      </c>
      <c r="G896" s="88">
        <v>3168.9</v>
      </c>
      <c r="H896" s="230">
        <v>50644</v>
      </c>
    </row>
    <row r="897" spans="2:8" x14ac:dyDescent="0.3">
      <c r="B897" s="229" t="s">
        <v>1313</v>
      </c>
      <c r="C897" s="88">
        <v>2947</v>
      </c>
      <c r="D897" s="88">
        <v>3106.35</v>
      </c>
      <c r="E897" s="88">
        <v>2887.05</v>
      </c>
      <c r="F897" s="88">
        <v>3077.4</v>
      </c>
      <c r="G897" s="88">
        <v>3077.4</v>
      </c>
      <c r="H897" s="230">
        <v>29373</v>
      </c>
    </row>
    <row r="898" spans="2:8" x14ac:dyDescent="0.3">
      <c r="B898" s="229" t="s">
        <v>1314</v>
      </c>
      <c r="C898" s="88">
        <v>3004</v>
      </c>
      <c r="D898" s="88">
        <v>3019</v>
      </c>
      <c r="E898" s="88">
        <v>2897.4</v>
      </c>
      <c r="F898" s="88">
        <v>2908.4</v>
      </c>
      <c r="G898" s="88">
        <v>2908.4</v>
      </c>
      <c r="H898" s="230">
        <v>28831</v>
      </c>
    </row>
    <row r="899" spans="2:8" x14ac:dyDescent="0.3">
      <c r="B899" s="229" t="s">
        <v>1315</v>
      </c>
      <c r="C899" s="88">
        <v>3086.6</v>
      </c>
      <c r="D899" s="88">
        <v>3103.95</v>
      </c>
      <c r="E899" s="88">
        <v>2950</v>
      </c>
      <c r="F899" s="88">
        <v>2993.65</v>
      </c>
      <c r="G899" s="88">
        <v>2993.65</v>
      </c>
      <c r="H899" s="230">
        <v>47641</v>
      </c>
    </row>
    <row r="900" spans="2:8" x14ac:dyDescent="0.3">
      <c r="B900" s="229" t="s">
        <v>1316</v>
      </c>
      <c r="C900" s="88">
        <v>3150</v>
      </c>
      <c r="D900" s="88">
        <v>3177.4</v>
      </c>
      <c r="E900" s="88">
        <v>3071</v>
      </c>
      <c r="F900" s="88">
        <v>3086.6</v>
      </c>
      <c r="G900" s="88">
        <v>3086.6</v>
      </c>
      <c r="H900" s="230">
        <v>82826</v>
      </c>
    </row>
    <row r="901" spans="2:8" x14ac:dyDescent="0.3">
      <c r="B901" s="229" t="s">
        <v>1317</v>
      </c>
      <c r="C901" s="88">
        <v>3139.7</v>
      </c>
      <c r="D901" s="88">
        <v>3270</v>
      </c>
      <c r="E901" s="88">
        <v>2980</v>
      </c>
      <c r="F901" s="88">
        <v>3138.9</v>
      </c>
      <c r="G901" s="88">
        <v>3138.9</v>
      </c>
      <c r="H901" s="230">
        <v>56667</v>
      </c>
    </row>
    <row r="902" spans="2:8" x14ac:dyDescent="0.3">
      <c r="B902" s="229" t="s">
        <v>1318</v>
      </c>
      <c r="C902" s="88">
        <v>3024.9</v>
      </c>
      <c r="D902" s="88">
        <v>3173.25</v>
      </c>
      <c r="E902" s="88">
        <v>2987.05</v>
      </c>
      <c r="F902" s="88">
        <v>3149.9</v>
      </c>
      <c r="G902" s="88">
        <v>3149.9</v>
      </c>
      <c r="H902" s="230">
        <v>33364</v>
      </c>
    </row>
    <row r="903" spans="2:8" x14ac:dyDescent="0.3">
      <c r="B903" s="229" t="s">
        <v>1319</v>
      </c>
      <c r="C903" s="88">
        <v>3120</v>
      </c>
      <c r="D903" s="88">
        <v>3120</v>
      </c>
      <c r="E903" s="88">
        <v>2950</v>
      </c>
      <c r="F903" s="88">
        <v>2982.25</v>
      </c>
      <c r="G903" s="88">
        <v>2982.25</v>
      </c>
      <c r="H903" s="230">
        <v>20040</v>
      </c>
    </row>
    <row r="904" spans="2:8" x14ac:dyDescent="0.3">
      <c r="B904" s="229" t="s">
        <v>1320</v>
      </c>
      <c r="C904" s="88">
        <v>3136.9</v>
      </c>
      <c r="D904" s="88">
        <v>3168.6</v>
      </c>
      <c r="E904" s="88">
        <v>3057.85</v>
      </c>
      <c r="F904" s="88">
        <v>3098.5</v>
      </c>
      <c r="G904" s="88">
        <v>3098.5</v>
      </c>
      <c r="H904" s="230">
        <v>49392</v>
      </c>
    </row>
    <row r="905" spans="2:8" x14ac:dyDescent="0.3">
      <c r="B905" s="229" t="s">
        <v>1321</v>
      </c>
      <c r="C905" s="88">
        <v>3224.95</v>
      </c>
      <c r="D905" s="88">
        <v>3225.35</v>
      </c>
      <c r="E905" s="88">
        <v>3053.4</v>
      </c>
      <c r="F905" s="88">
        <v>3138.75</v>
      </c>
      <c r="G905" s="88">
        <v>3138.75</v>
      </c>
      <c r="H905" s="230">
        <v>53713</v>
      </c>
    </row>
    <row r="906" spans="2:8" x14ac:dyDescent="0.3">
      <c r="B906" s="229" t="s">
        <v>1322</v>
      </c>
      <c r="C906" s="88">
        <v>3130</v>
      </c>
      <c r="D906" s="88">
        <v>3240.5</v>
      </c>
      <c r="E906" s="88">
        <v>3009.95</v>
      </c>
      <c r="F906" s="88">
        <v>3187.75</v>
      </c>
      <c r="G906" s="88">
        <v>3187.75</v>
      </c>
      <c r="H906" s="230">
        <v>59419</v>
      </c>
    </row>
    <row r="907" spans="2:8" x14ac:dyDescent="0.3">
      <c r="B907" s="229" t="s">
        <v>1323</v>
      </c>
      <c r="C907" s="88">
        <v>3060</v>
      </c>
      <c r="D907" s="88">
        <v>3151</v>
      </c>
      <c r="E907" s="88">
        <v>3046.75</v>
      </c>
      <c r="F907" s="88">
        <v>3131.8</v>
      </c>
      <c r="G907" s="88">
        <v>3131.8</v>
      </c>
      <c r="H907" s="230">
        <v>53641</v>
      </c>
    </row>
    <row r="908" spans="2:8" x14ac:dyDescent="0.3">
      <c r="B908" s="229" t="s">
        <v>1324</v>
      </c>
      <c r="C908" s="88">
        <v>2930.1</v>
      </c>
      <c r="D908" s="88">
        <v>3060</v>
      </c>
      <c r="E908" s="88">
        <v>2930.1</v>
      </c>
      <c r="F908" s="88">
        <v>3043.5</v>
      </c>
      <c r="G908" s="88">
        <v>3043.5</v>
      </c>
      <c r="H908" s="230">
        <v>51706</v>
      </c>
    </row>
    <row r="909" spans="2:8" x14ac:dyDescent="0.3">
      <c r="B909" s="229" t="s">
        <v>1325</v>
      </c>
      <c r="C909" s="88">
        <v>2964.9</v>
      </c>
      <c r="D909" s="88">
        <v>2965</v>
      </c>
      <c r="E909" s="88">
        <v>2916.5</v>
      </c>
      <c r="F909" s="88">
        <v>2928.65</v>
      </c>
      <c r="G909" s="88">
        <v>2928.65</v>
      </c>
      <c r="H909" s="230">
        <v>7736</v>
      </c>
    </row>
    <row r="910" spans="2:8" x14ac:dyDescent="0.3">
      <c r="B910" s="229" t="s">
        <v>1326</v>
      </c>
      <c r="C910" s="88">
        <v>2988</v>
      </c>
      <c r="D910" s="88">
        <v>2988</v>
      </c>
      <c r="E910" s="88">
        <v>2918.75</v>
      </c>
      <c r="F910" s="88">
        <v>2950.8</v>
      </c>
      <c r="G910" s="88">
        <v>2950.8</v>
      </c>
      <c r="H910" s="230">
        <v>19293</v>
      </c>
    </row>
    <row r="911" spans="2:8" x14ac:dyDescent="0.3">
      <c r="B911" s="229" t="s">
        <v>1327</v>
      </c>
      <c r="C911" s="88">
        <v>2923</v>
      </c>
      <c r="D911" s="88">
        <v>2980</v>
      </c>
      <c r="E911" s="88">
        <v>2912.5</v>
      </c>
      <c r="F911" s="88">
        <v>2965.25</v>
      </c>
      <c r="G911" s="88">
        <v>2965.25</v>
      </c>
      <c r="H911" s="230">
        <v>13379</v>
      </c>
    </row>
    <row r="912" spans="2:8" x14ac:dyDescent="0.3">
      <c r="B912" s="229" t="s">
        <v>1328</v>
      </c>
      <c r="C912" s="88">
        <v>2990</v>
      </c>
      <c r="D912" s="88">
        <v>3005</v>
      </c>
      <c r="E912" s="88">
        <v>2902</v>
      </c>
      <c r="F912" s="88">
        <v>2923.45</v>
      </c>
      <c r="G912" s="88">
        <v>2923.45</v>
      </c>
      <c r="H912" s="230">
        <v>14711</v>
      </c>
    </row>
    <row r="913" spans="2:8" x14ac:dyDescent="0.3">
      <c r="B913" s="229" t="s">
        <v>1329</v>
      </c>
      <c r="C913" s="88">
        <v>2940</v>
      </c>
      <c r="D913" s="88">
        <v>3009</v>
      </c>
      <c r="E913" s="88">
        <v>2911.1</v>
      </c>
      <c r="F913" s="88">
        <v>2984.1</v>
      </c>
      <c r="G913" s="88">
        <v>2984.1</v>
      </c>
      <c r="H913" s="230">
        <v>40312</v>
      </c>
    </row>
    <row r="914" spans="2:8" x14ac:dyDescent="0.3">
      <c r="B914" s="229" t="s">
        <v>1330</v>
      </c>
      <c r="C914" s="88">
        <v>2960.05</v>
      </c>
      <c r="D914" s="88">
        <v>2985</v>
      </c>
      <c r="E914" s="88">
        <v>2928.4</v>
      </c>
      <c r="F914" s="88">
        <v>2944.5</v>
      </c>
      <c r="G914" s="88">
        <v>2944.5</v>
      </c>
      <c r="H914" s="230">
        <v>30438</v>
      </c>
    </row>
    <row r="915" spans="2:8" x14ac:dyDescent="0.3">
      <c r="B915" s="229" t="s">
        <v>1331</v>
      </c>
      <c r="C915" s="88">
        <v>2916</v>
      </c>
      <c r="D915" s="88">
        <v>2975</v>
      </c>
      <c r="E915" s="88">
        <v>2874</v>
      </c>
      <c r="F915" s="88">
        <v>2963.4</v>
      </c>
      <c r="G915" s="88">
        <v>2963.4</v>
      </c>
      <c r="H915" s="230">
        <v>77860</v>
      </c>
    </row>
    <row r="916" spans="2:8" x14ac:dyDescent="0.3">
      <c r="B916" s="229" t="s">
        <v>1332</v>
      </c>
      <c r="C916" s="88">
        <v>2825</v>
      </c>
      <c r="D916" s="88">
        <v>2946</v>
      </c>
      <c r="E916" s="88">
        <v>2825</v>
      </c>
      <c r="F916" s="88">
        <v>2876.95</v>
      </c>
      <c r="G916" s="88">
        <v>2876.95</v>
      </c>
      <c r="H916" s="230">
        <v>24509</v>
      </c>
    </row>
    <row r="917" spans="2:8" x14ac:dyDescent="0.3">
      <c r="B917" s="229" t="s">
        <v>1333</v>
      </c>
      <c r="C917" s="88">
        <v>2828.6</v>
      </c>
      <c r="D917" s="88">
        <v>2905</v>
      </c>
      <c r="E917" s="88">
        <v>2781.5</v>
      </c>
      <c r="F917" s="88">
        <v>2866.9</v>
      </c>
      <c r="G917" s="88">
        <v>2866.9</v>
      </c>
      <c r="H917" s="230">
        <v>26286</v>
      </c>
    </row>
    <row r="918" spans="2:8" x14ac:dyDescent="0.3">
      <c r="B918" s="229" t="s">
        <v>1334</v>
      </c>
      <c r="C918" s="88">
        <v>2680</v>
      </c>
      <c r="D918" s="88">
        <v>2893.25</v>
      </c>
      <c r="E918" s="88">
        <v>2638</v>
      </c>
      <c r="F918" s="88">
        <v>2806.8</v>
      </c>
      <c r="G918" s="88">
        <v>2806.8</v>
      </c>
      <c r="H918" s="230">
        <v>87310</v>
      </c>
    </row>
    <row r="919" spans="2:8" x14ac:dyDescent="0.3">
      <c r="B919" s="229" t="s">
        <v>1335</v>
      </c>
      <c r="C919" s="88">
        <v>2835</v>
      </c>
      <c r="D919" s="88">
        <v>2835.5</v>
      </c>
      <c r="E919" s="88">
        <v>2610.8000000000002</v>
      </c>
      <c r="F919" s="88">
        <v>2650.9</v>
      </c>
      <c r="G919" s="88">
        <v>2650.9</v>
      </c>
      <c r="H919" s="230">
        <v>29348</v>
      </c>
    </row>
    <row r="920" spans="2:8" x14ac:dyDescent="0.3">
      <c r="B920" s="229" t="s">
        <v>1336</v>
      </c>
      <c r="C920" s="88">
        <v>2820</v>
      </c>
      <c r="D920" s="88">
        <v>2877.8</v>
      </c>
      <c r="E920" s="88">
        <v>2774</v>
      </c>
      <c r="F920" s="88">
        <v>2791.2</v>
      </c>
      <c r="G920" s="88">
        <v>2791.2</v>
      </c>
      <c r="H920" s="230">
        <v>833227</v>
      </c>
    </row>
    <row r="921" spans="2:8" x14ac:dyDescent="0.3">
      <c r="B921" s="229" t="s">
        <v>1337</v>
      </c>
      <c r="C921" s="88">
        <v>2850</v>
      </c>
      <c r="D921" s="88">
        <v>2888.05</v>
      </c>
      <c r="E921" s="88">
        <v>2791.4</v>
      </c>
      <c r="F921" s="88">
        <v>2815.45</v>
      </c>
      <c r="G921" s="88">
        <v>2815.45</v>
      </c>
      <c r="H921" s="230">
        <v>32561</v>
      </c>
    </row>
    <row r="922" spans="2:8" x14ac:dyDescent="0.3">
      <c r="B922" s="229" t="s">
        <v>1338</v>
      </c>
      <c r="C922" s="88">
        <v>2894</v>
      </c>
      <c r="D922" s="88">
        <v>2937.4</v>
      </c>
      <c r="E922" s="88">
        <v>2807.05</v>
      </c>
      <c r="F922" s="88">
        <v>2838.5</v>
      </c>
      <c r="G922" s="88">
        <v>2838.5</v>
      </c>
      <c r="H922" s="230">
        <v>46378</v>
      </c>
    </row>
    <row r="923" spans="2:8" x14ac:dyDescent="0.3">
      <c r="B923" s="229" t="s">
        <v>1339</v>
      </c>
      <c r="C923" s="88">
        <v>2720</v>
      </c>
      <c r="D923" s="88">
        <v>2893</v>
      </c>
      <c r="E923" s="88">
        <v>2720</v>
      </c>
      <c r="F923" s="88">
        <v>2871.05</v>
      </c>
      <c r="G923" s="88">
        <v>2871.05</v>
      </c>
      <c r="H923" s="230">
        <v>194669</v>
      </c>
    </row>
    <row r="924" spans="2:8" x14ac:dyDescent="0.3">
      <c r="B924" s="229" t="s">
        <v>1340</v>
      </c>
      <c r="C924" s="88">
        <v>2780</v>
      </c>
      <c r="D924" s="88">
        <v>2800.9</v>
      </c>
      <c r="E924" s="88">
        <v>2702.15</v>
      </c>
      <c r="F924" s="88">
        <v>2717.95</v>
      </c>
      <c r="G924" s="88">
        <v>2717.95</v>
      </c>
      <c r="H924" s="230">
        <v>22659</v>
      </c>
    </row>
    <row r="925" spans="2:8" x14ac:dyDescent="0.3">
      <c r="B925" s="229" t="s">
        <v>1341</v>
      </c>
      <c r="C925" s="88">
        <v>2825</v>
      </c>
      <c r="D925" s="88">
        <v>2825</v>
      </c>
      <c r="E925" s="88">
        <v>2741.5</v>
      </c>
      <c r="F925" s="88">
        <v>2758.4</v>
      </c>
      <c r="G925" s="88">
        <v>2758.4</v>
      </c>
      <c r="H925" s="230">
        <v>15344</v>
      </c>
    </row>
    <row r="926" spans="2:8" x14ac:dyDescent="0.3">
      <c r="B926" s="229" t="s">
        <v>1342</v>
      </c>
      <c r="C926" s="88">
        <v>2750</v>
      </c>
      <c r="D926" s="88">
        <v>2818</v>
      </c>
      <c r="E926" s="88">
        <v>2750</v>
      </c>
      <c r="F926" s="88">
        <v>2777.6</v>
      </c>
      <c r="G926" s="88">
        <v>2777.6</v>
      </c>
      <c r="H926" s="230">
        <v>15385</v>
      </c>
    </row>
    <row r="927" spans="2:8" x14ac:dyDescent="0.3">
      <c r="B927" s="229" t="s">
        <v>1343</v>
      </c>
      <c r="C927" s="88">
        <v>2830</v>
      </c>
      <c r="D927" s="88">
        <v>2831.3</v>
      </c>
      <c r="E927" s="88">
        <v>2717</v>
      </c>
      <c r="F927" s="88">
        <v>2743.45</v>
      </c>
      <c r="G927" s="88">
        <v>2743.45</v>
      </c>
      <c r="H927" s="230">
        <v>37901</v>
      </c>
    </row>
    <row r="928" spans="2:8" x14ac:dyDescent="0.3">
      <c r="B928" s="229" t="s">
        <v>1344</v>
      </c>
      <c r="C928" s="88">
        <v>2895</v>
      </c>
      <c r="D928" s="88">
        <v>2919.9</v>
      </c>
      <c r="E928" s="88">
        <v>2802</v>
      </c>
      <c r="F928" s="88">
        <v>2820.65</v>
      </c>
      <c r="G928" s="88">
        <v>2820.65</v>
      </c>
      <c r="H928" s="230">
        <v>22467</v>
      </c>
    </row>
    <row r="929" spans="2:8" x14ac:dyDescent="0.3">
      <c r="B929" s="229" t="s">
        <v>1345</v>
      </c>
      <c r="C929" s="88">
        <v>2930</v>
      </c>
      <c r="D929" s="88">
        <v>2941.55</v>
      </c>
      <c r="E929" s="88">
        <v>2875</v>
      </c>
      <c r="F929" s="88">
        <v>2891.75</v>
      </c>
      <c r="G929" s="88">
        <v>2891.75</v>
      </c>
      <c r="H929" s="230">
        <v>67382</v>
      </c>
    </row>
    <row r="930" spans="2:8" x14ac:dyDescent="0.3">
      <c r="B930" s="229" t="s">
        <v>1346</v>
      </c>
      <c r="C930" s="88">
        <v>3009.95</v>
      </c>
      <c r="D930" s="88">
        <v>3009.95</v>
      </c>
      <c r="E930" s="88">
        <v>2881</v>
      </c>
      <c r="F930" s="88">
        <v>2919.6</v>
      </c>
      <c r="G930" s="88">
        <v>2919.6</v>
      </c>
      <c r="H930" s="230">
        <v>20184</v>
      </c>
    </row>
    <row r="931" spans="2:8" x14ac:dyDescent="0.3">
      <c r="B931" s="229" t="s">
        <v>1347</v>
      </c>
      <c r="C931" s="88">
        <v>2985</v>
      </c>
      <c r="D931" s="88">
        <v>3009.1</v>
      </c>
      <c r="E931" s="88">
        <v>2943</v>
      </c>
      <c r="F931" s="88">
        <v>2993.9</v>
      </c>
      <c r="G931" s="88">
        <v>2993.9</v>
      </c>
      <c r="H931" s="230">
        <v>34494</v>
      </c>
    </row>
    <row r="932" spans="2:8" x14ac:dyDescent="0.3">
      <c r="B932" s="229" t="s">
        <v>1348</v>
      </c>
      <c r="C932" s="88">
        <v>3130</v>
      </c>
      <c r="D932" s="88">
        <v>3130.05</v>
      </c>
      <c r="E932" s="88">
        <v>2942.8</v>
      </c>
      <c r="F932" s="88">
        <v>2979.75</v>
      </c>
      <c r="G932" s="88">
        <v>2979.75</v>
      </c>
      <c r="H932" s="230">
        <v>136010</v>
      </c>
    </row>
    <row r="933" spans="2:8" x14ac:dyDescent="0.3">
      <c r="B933" s="229" t="s">
        <v>1349</v>
      </c>
      <c r="C933" s="88">
        <v>2950</v>
      </c>
      <c r="D933" s="88">
        <v>2995.95</v>
      </c>
      <c r="E933" s="88">
        <v>2935.9</v>
      </c>
      <c r="F933" s="88">
        <v>2967.55</v>
      </c>
      <c r="G933" s="88">
        <v>2967.55</v>
      </c>
      <c r="H933" s="230">
        <v>26242</v>
      </c>
    </row>
    <row r="934" spans="2:8" x14ac:dyDescent="0.3">
      <c r="B934" s="229" t="s">
        <v>1350</v>
      </c>
      <c r="C934" s="88">
        <v>2980</v>
      </c>
      <c r="D934" s="88">
        <v>3008</v>
      </c>
      <c r="E934" s="88">
        <v>2884.1</v>
      </c>
      <c r="F934" s="88">
        <v>2918</v>
      </c>
      <c r="G934" s="88">
        <v>2918</v>
      </c>
      <c r="H934" s="230">
        <v>36995</v>
      </c>
    </row>
    <row r="935" spans="2:8" x14ac:dyDescent="0.3">
      <c r="B935" s="229" t="s">
        <v>1351</v>
      </c>
      <c r="C935" s="88">
        <v>3002</v>
      </c>
      <c r="D935" s="88">
        <v>3094.95</v>
      </c>
      <c r="E935" s="88">
        <v>2846.55</v>
      </c>
      <c r="F935" s="88">
        <v>2906.05</v>
      </c>
      <c r="G935" s="88">
        <v>2906.05</v>
      </c>
      <c r="H935" s="230">
        <v>92832</v>
      </c>
    </row>
    <row r="936" spans="2:8" x14ac:dyDescent="0.3">
      <c r="B936" s="229" t="s">
        <v>1352</v>
      </c>
      <c r="C936" s="88">
        <v>2882</v>
      </c>
      <c r="D936" s="88">
        <v>3062.85</v>
      </c>
      <c r="E936" s="88">
        <v>2808.1</v>
      </c>
      <c r="F936" s="88">
        <v>2995.55</v>
      </c>
      <c r="G936" s="88">
        <v>2995.55</v>
      </c>
      <c r="H936" s="230">
        <v>56001</v>
      </c>
    </row>
    <row r="937" spans="2:8" x14ac:dyDescent="0.3">
      <c r="B937" s="229" t="s">
        <v>1353</v>
      </c>
      <c r="C937" s="88">
        <v>2808</v>
      </c>
      <c r="D937" s="88">
        <v>2949</v>
      </c>
      <c r="E937" s="88">
        <v>2804</v>
      </c>
      <c r="F937" s="88">
        <v>2902.85</v>
      </c>
      <c r="G937" s="88">
        <v>2902.85</v>
      </c>
      <c r="H937" s="230">
        <v>70407</v>
      </c>
    </row>
    <row r="938" spans="2:8" x14ac:dyDescent="0.3">
      <c r="B938" s="229" t="s">
        <v>1354</v>
      </c>
      <c r="C938" s="88">
        <v>2761.4</v>
      </c>
      <c r="D938" s="88">
        <v>2802</v>
      </c>
      <c r="E938" s="88">
        <v>2750</v>
      </c>
      <c r="F938" s="88">
        <v>2790.5</v>
      </c>
      <c r="G938" s="88">
        <v>2790.5</v>
      </c>
      <c r="H938" s="230">
        <v>38843</v>
      </c>
    </row>
    <row r="939" spans="2:8" x14ac:dyDescent="0.3">
      <c r="B939" s="229" t="s">
        <v>1355</v>
      </c>
      <c r="C939" s="88">
        <v>2689</v>
      </c>
      <c r="D939" s="88">
        <v>2780</v>
      </c>
      <c r="E939" s="88">
        <v>2670.45</v>
      </c>
      <c r="F939" s="88">
        <v>2765.65</v>
      </c>
      <c r="G939" s="88">
        <v>2765.65</v>
      </c>
      <c r="H939" s="230">
        <v>58936</v>
      </c>
    </row>
    <row r="940" spans="2:8" x14ac:dyDescent="0.3">
      <c r="B940" s="229" t="s">
        <v>1356</v>
      </c>
      <c r="C940" s="88">
        <v>2674</v>
      </c>
      <c r="D940" s="88">
        <v>2725</v>
      </c>
      <c r="E940" s="88">
        <v>2643</v>
      </c>
      <c r="F940" s="88">
        <v>2687.65</v>
      </c>
      <c r="G940" s="88">
        <v>2687.65</v>
      </c>
      <c r="H940" s="230">
        <v>13249</v>
      </c>
    </row>
    <row r="941" spans="2:8" x14ac:dyDescent="0.3">
      <c r="B941" s="229" t="s">
        <v>1357</v>
      </c>
      <c r="C941" s="88">
        <v>2681.5</v>
      </c>
      <c r="D941" s="88">
        <v>2693.4</v>
      </c>
      <c r="E941" s="88">
        <v>2645.15</v>
      </c>
      <c r="F941" s="88">
        <v>2665.1</v>
      </c>
      <c r="G941" s="88">
        <v>2665.1</v>
      </c>
      <c r="H941" s="230">
        <v>13487</v>
      </c>
    </row>
    <row r="942" spans="2:8" x14ac:dyDescent="0.3">
      <c r="B942" s="229" t="s">
        <v>1358</v>
      </c>
      <c r="C942" s="88">
        <v>2680</v>
      </c>
      <c r="D942" s="88">
        <v>2697.95</v>
      </c>
      <c r="E942" s="88">
        <v>2657</v>
      </c>
      <c r="F942" s="88">
        <v>2675.2</v>
      </c>
      <c r="G942" s="88">
        <v>2675.2</v>
      </c>
      <c r="H942" s="230">
        <v>29045</v>
      </c>
    </row>
    <row r="943" spans="2:8" x14ac:dyDescent="0.3">
      <c r="B943" s="229" t="s">
        <v>1359</v>
      </c>
      <c r="C943" s="88">
        <v>2674.9</v>
      </c>
      <c r="D943" s="88">
        <v>2700</v>
      </c>
      <c r="E943" s="88">
        <v>2649.4</v>
      </c>
      <c r="F943" s="88">
        <v>2673.25</v>
      </c>
      <c r="G943" s="88">
        <v>2673.25</v>
      </c>
      <c r="H943" s="230">
        <v>35419</v>
      </c>
    </row>
    <row r="944" spans="2:8" x14ac:dyDescent="0.3">
      <c r="B944" s="229" t="s">
        <v>1360</v>
      </c>
      <c r="C944" s="88">
        <v>2660</v>
      </c>
      <c r="D944" s="88">
        <v>2672.65</v>
      </c>
      <c r="E944" s="88">
        <v>2625</v>
      </c>
      <c r="F944" s="88">
        <v>2662</v>
      </c>
      <c r="G944" s="88">
        <v>2662</v>
      </c>
      <c r="H944" s="230">
        <v>16524</v>
      </c>
    </row>
    <row r="945" spans="2:8" x14ac:dyDescent="0.3">
      <c r="B945" s="229" t="s">
        <v>1361</v>
      </c>
      <c r="C945" s="88">
        <v>2670</v>
      </c>
      <c r="D945" s="88">
        <v>2675</v>
      </c>
      <c r="E945" s="88">
        <v>2551</v>
      </c>
      <c r="F945" s="88">
        <v>2625.55</v>
      </c>
      <c r="G945" s="88">
        <v>2625.55</v>
      </c>
      <c r="H945" s="230">
        <v>1230503</v>
      </c>
    </row>
    <row r="946" spans="2:8" x14ac:dyDescent="0.3">
      <c r="B946" s="229" t="s">
        <v>1362</v>
      </c>
      <c r="C946" s="88">
        <v>2633</v>
      </c>
      <c r="D946" s="88">
        <v>2710</v>
      </c>
      <c r="E946" s="88">
        <v>2458.75</v>
      </c>
      <c r="F946" s="88">
        <v>2684.85</v>
      </c>
      <c r="G946" s="88">
        <v>2684.85</v>
      </c>
      <c r="H946" s="230">
        <v>109356</v>
      </c>
    </row>
    <row r="947" spans="2:8" x14ac:dyDescent="0.3">
      <c r="B947" s="229" t="s">
        <v>1363</v>
      </c>
      <c r="C947" s="88">
        <v>2579.8000000000002</v>
      </c>
      <c r="D947" s="88">
        <v>2650.05</v>
      </c>
      <c r="E947" s="88">
        <v>2555.5</v>
      </c>
      <c r="F947" s="88">
        <v>2638.6</v>
      </c>
      <c r="G947" s="88">
        <v>2638.6</v>
      </c>
      <c r="H947" s="230">
        <v>27207</v>
      </c>
    </row>
    <row r="948" spans="2:8" x14ac:dyDescent="0.3">
      <c r="B948" s="229" t="s">
        <v>1364</v>
      </c>
      <c r="C948" s="88">
        <v>2638</v>
      </c>
      <c r="D948" s="88">
        <v>2646.8</v>
      </c>
      <c r="E948" s="88">
        <v>2505</v>
      </c>
      <c r="F948" s="88">
        <v>2548.1999999999998</v>
      </c>
      <c r="G948" s="88">
        <v>2548.1999999999998</v>
      </c>
      <c r="H948" s="230">
        <v>60537</v>
      </c>
    </row>
    <row r="949" spans="2:8" x14ac:dyDescent="0.3">
      <c r="B949" s="229" t="s">
        <v>1365</v>
      </c>
      <c r="C949" s="88">
        <v>2665</v>
      </c>
      <c r="D949" s="88">
        <v>2679.9</v>
      </c>
      <c r="E949" s="88">
        <v>2605.8000000000002</v>
      </c>
      <c r="F949" s="88">
        <v>2628.75</v>
      </c>
      <c r="G949" s="88">
        <v>2628.75</v>
      </c>
      <c r="H949" s="230">
        <v>20110</v>
      </c>
    </row>
    <row r="950" spans="2:8" x14ac:dyDescent="0.3">
      <c r="B950" s="229" t="s">
        <v>1366</v>
      </c>
      <c r="C950" s="88">
        <v>2693</v>
      </c>
      <c r="D950" s="88">
        <v>2693</v>
      </c>
      <c r="E950" s="88">
        <v>2626</v>
      </c>
      <c r="F950" s="88">
        <v>2637.55</v>
      </c>
      <c r="G950" s="88">
        <v>2637.55</v>
      </c>
      <c r="H950" s="230">
        <v>13915</v>
      </c>
    </row>
    <row r="951" spans="2:8" x14ac:dyDescent="0.3">
      <c r="B951" s="229" t="s">
        <v>1367</v>
      </c>
      <c r="C951" s="88">
        <v>2702</v>
      </c>
      <c r="D951" s="88">
        <v>2745</v>
      </c>
      <c r="E951" s="88">
        <v>2651.9</v>
      </c>
      <c r="F951" s="88">
        <v>2670.75</v>
      </c>
      <c r="G951" s="88">
        <v>2670.75</v>
      </c>
      <c r="H951" s="230">
        <v>35747</v>
      </c>
    </row>
    <row r="952" spans="2:8" x14ac:dyDescent="0.3">
      <c r="B952" s="229" t="s">
        <v>1368</v>
      </c>
      <c r="C952" s="88">
        <v>2645</v>
      </c>
      <c r="D952" s="88">
        <v>2715</v>
      </c>
      <c r="E952" s="88">
        <v>2633.05</v>
      </c>
      <c r="F952" s="88">
        <v>2689.95</v>
      </c>
      <c r="G952" s="88">
        <v>2689.95</v>
      </c>
      <c r="H952" s="230">
        <v>44399</v>
      </c>
    </row>
    <row r="953" spans="2:8" x14ac:dyDescent="0.3">
      <c r="B953" s="229" t="s">
        <v>1369</v>
      </c>
      <c r="C953" s="88">
        <v>2645</v>
      </c>
      <c r="D953" s="88">
        <v>2669</v>
      </c>
      <c r="E953" s="88">
        <v>2576.0500000000002</v>
      </c>
      <c r="F953" s="88">
        <v>2623.15</v>
      </c>
      <c r="G953" s="88">
        <v>2623.15</v>
      </c>
      <c r="H953" s="230">
        <v>32573</v>
      </c>
    </row>
    <row r="954" spans="2:8" x14ac:dyDescent="0.3">
      <c r="B954" s="229" t="s">
        <v>1370</v>
      </c>
      <c r="C954" s="88">
        <v>2654.8</v>
      </c>
      <c r="D954" s="88">
        <v>2752.2</v>
      </c>
      <c r="E954" s="88">
        <v>2586.9</v>
      </c>
      <c r="F954" s="88">
        <v>2622.4</v>
      </c>
      <c r="G954" s="88">
        <v>2622.4</v>
      </c>
      <c r="H954" s="230">
        <v>104196</v>
      </c>
    </row>
    <row r="955" spans="2:8" x14ac:dyDescent="0.3">
      <c r="B955" s="229" t="s">
        <v>1371</v>
      </c>
      <c r="C955" s="88">
        <v>2533.9499999999998</v>
      </c>
      <c r="D955" s="88">
        <v>2689.8</v>
      </c>
      <c r="E955" s="88">
        <v>2529</v>
      </c>
      <c r="F955" s="88">
        <v>2657.7</v>
      </c>
      <c r="G955" s="88">
        <v>2657.7</v>
      </c>
      <c r="H955" s="230">
        <v>147704</v>
      </c>
    </row>
    <row r="956" spans="2:8" x14ac:dyDescent="0.3">
      <c r="B956" s="229" t="s">
        <v>1372</v>
      </c>
      <c r="C956" s="88">
        <v>2442.0500000000002</v>
      </c>
      <c r="D956" s="88">
        <v>2540</v>
      </c>
      <c r="E956" s="88">
        <v>2415</v>
      </c>
      <c r="F956" s="88">
        <v>2526.5500000000002</v>
      </c>
      <c r="G956" s="88">
        <v>2526.5500000000002</v>
      </c>
      <c r="H956" s="230">
        <v>71999</v>
      </c>
    </row>
    <row r="957" spans="2:8" x14ac:dyDescent="0.3">
      <c r="B957" s="229" t="s">
        <v>1373</v>
      </c>
      <c r="C957" s="88">
        <v>2463.0500000000002</v>
      </c>
      <c r="D957" s="88">
        <v>2465.8000000000002</v>
      </c>
      <c r="E957" s="88">
        <v>2415.0500000000002</v>
      </c>
      <c r="F957" s="88">
        <v>2442.0500000000002</v>
      </c>
      <c r="G957" s="88">
        <v>2442.0500000000002</v>
      </c>
      <c r="H957" s="230">
        <v>15548</v>
      </c>
    </row>
    <row r="958" spans="2:8" x14ac:dyDescent="0.3">
      <c r="B958" s="229" t="s">
        <v>1374</v>
      </c>
      <c r="C958" s="88">
        <v>2430.0500000000002</v>
      </c>
      <c r="D958" s="88">
        <v>2479.8000000000002</v>
      </c>
      <c r="E958" s="88">
        <v>2430.0500000000002</v>
      </c>
      <c r="F958" s="88">
        <v>2469.1</v>
      </c>
      <c r="G958" s="88">
        <v>2469.1</v>
      </c>
      <c r="H958" s="230">
        <v>77367</v>
      </c>
    </row>
    <row r="959" spans="2:8" x14ac:dyDescent="0.3">
      <c r="B959" s="229" t="s">
        <v>1375</v>
      </c>
      <c r="C959" s="88">
        <v>2430.5</v>
      </c>
      <c r="D959" s="88">
        <v>2474.8000000000002</v>
      </c>
      <c r="E959" s="88">
        <v>2382.6</v>
      </c>
      <c r="F959" s="88">
        <v>2456.5500000000002</v>
      </c>
      <c r="G959" s="88">
        <v>2456.5500000000002</v>
      </c>
      <c r="H959" s="230">
        <v>35024</v>
      </c>
    </row>
    <row r="960" spans="2:8" x14ac:dyDescent="0.3">
      <c r="B960" s="229" t="s">
        <v>1376</v>
      </c>
      <c r="C960" s="88">
        <v>2311</v>
      </c>
      <c r="D960" s="88">
        <v>2450</v>
      </c>
      <c r="E960" s="88">
        <v>2311</v>
      </c>
      <c r="F960" s="88">
        <v>2430.4</v>
      </c>
      <c r="G960" s="88">
        <v>2430.4</v>
      </c>
      <c r="H960" s="230">
        <v>55568</v>
      </c>
    </row>
    <row r="961" spans="2:8" x14ac:dyDescent="0.3">
      <c r="B961" s="229" t="s">
        <v>1377</v>
      </c>
      <c r="C961" s="88">
        <v>2395</v>
      </c>
      <c r="D961" s="88">
        <v>2395</v>
      </c>
      <c r="E961" s="88">
        <v>2221</v>
      </c>
      <c r="F961" s="88">
        <v>2286.6</v>
      </c>
      <c r="G961" s="88">
        <v>2286.6</v>
      </c>
      <c r="H961" s="230">
        <v>51267</v>
      </c>
    </row>
    <row r="962" spans="2:8" x14ac:dyDescent="0.3">
      <c r="B962" s="229" t="s">
        <v>1378</v>
      </c>
      <c r="C962" s="88">
        <v>2351</v>
      </c>
      <c r="D962" s="88">
        <v>2396</v>
      </c>
      <c r="E962" s="88">
        <v>2347.1999999999998</v>
      </c>
      <c r="F962" s="88">
        <v>2372.25</v>
      </c>
      <c r="G962" s="88">
        <v>2372.25</v>
      </c>
      <c r="H962" s="230">
        <v>23256</v>
      </c>
    </row>
    <row r="963" spans="2:8" x14ac:dyDescent="0.3">
      <c r="B963" s="229" t="s">
        <v>1379</v>
      </c>
      <c r="C963" s="88">
        <v>2370.5</v>
      </c>
      <c r="D963" s="88">
        <v>2399.5</v>
      </c>
      <c r="E963" s="88">
        <v>2350</v>
      </c>
      <c r="F963" s="88">
        <v>2361.6999999999998</v>
      </c>
      <c r="G963" s="88">
        <v>2361.6999999999998</v>
      </c>
      <c r="H963" s="230">
        <v>19807</v>
      </c>
    </row>
    <row r="964" spans="2:8" x14ac:dyDescent="0.3">
      <c r="B964" s="229" t="s">
        <v>1380</v>
      </c>
      <c r="C964" s="88">
        <v>2377.5</v>
      </c>
      <c r="D964" s="88">
        <v>2429</v>
      </c>
      <c r="E964" s="88">
        <v>2351.0500000000002</v>
      </c>
      <c r="F964" s="88">
        <v>2384.8000000000002</v>
      </c>
      <c r="G964" s="88">
        <v>2384.8000000000002</v>
      </c>
      <c r="H964" s="230">
        <v>30925</v>
      </c>
    </row>
    <row r="965" spans="2:8" x14ac:dyDescent="0.3">
      <c r="B965" s="229" t="s">
        <v>1381</v>
      </c>
      <c r="C965" s="88">
        <v>2375</v>
      </c>
      <c r="D965" s="88">
        <v>2381.6999999999998</v>
      </c>
      <c r="E965" s="88">
        <v>2353</v>
      </c>
      <c r="F965" s="88">
        <v>2358.75</v>
      </c>
      <c r="G965" s="88">
        <v>2358.75</v>
      </c>
      <c r="H965" s="230">
        <v>9670</v>
      </c>
    </row>
    <row r="966" spans="2:8" x14ac:dyDescent="0.3">
      <c r="B966" s="229" t="s">
        <v>1382</v>
      </c>
      <c r="C966" s="88">
        <v>2380</v>
      </c>
      <c r="D966" s="88">
        <v>2437.8000000000002</v>
      </c>
      <c r="E966" s="88">
        <v>2353</v>
      </c>
      <c r="F966" s="88">
        <v>2379.35</v>
      </c>
      <c r="G966" s="88">
        <v>2379.35</v>
      </c>
      <c r="H966" s="230">
        <v>25340</v>
      </c>
    </row>
    <row r="967" spans="2:8" x14ac:dyDescent="0.3">
      <c r="B967" s="229" t="s">
        <v>1383</v>
      </c>
      <c r="C967" s="88">
        <v>2374</v>
      </c>
      <c r="D967" s="88">
        <v>2414.8000000000002</v>
      </c>
      <c r="E967" s="88">
        <v>2331.8000000000002</v>
      </c>
      <c r="F967" s="88">
        <v>2395.5</v>
      </c>
      <c r="G967" s="88">
        <v>2395.5</v>
      </c>
      <c r="H967" s="230">
        <v>17156</v>
      </c>
    </row>
    <row r="968" spans="2:8" x14ac:dyDescent="0.3">
      <c r="B968" s="229" t="s">
        <v>1384</v>
      </c>
      <c r="C968" s="88">
        <v>2435</v>
      </c>
      <c r="D968" s="88">
        <v>2435</v>
      </c>
      <c r="E968" s="88">
        <v>2361</v>
      </c>
      <c r="F968" s="88">
        <v>2374.6</v>
      </c>
      <c r="G968" s="88">
        <v>2374.6</v>
      </c>
      <c r="H968" s="230">
        <v>24053</v>
      </c>
    </row>
    <row r="969" spans="2:8" x14ac:dyDescent="0.3">
      <c r="B969" s="229" t="s">
        <v>1385</v>
      </c>
      <c r="C969" s="88">
        <v>2396</v>
      </c>
      <c r="D969" s="88">
        <v>2505</v>
      </c>
      <c r="E969" s="88">
        <v>2390</v>
      </c>
      <c r="F969" s="88">
        <v>2423.3000000000002</v>
      </c>
      <c r="G969" s="88">
        <v>2423.3000000000002</v>
      </c>
      <c r="H969" s="230">
        <v>44585</v>
      </c>
    </row>
    <row r="970" spans="2:8" x14ac:dyDescent="0.3">
      <c r="B970" s="229" t="s">
        <v>1386</v>
      </c>
      <c r="C970" s="88">
        <v>2400</v>
      </c>
      <c r="D970" s="88">
        <v>2405</v>
      </c>
      <c r="E970" s="88">
        <v>2350</v>
      </c>
      <c r="F970" s="88">
        <v>2368.6</v>
      </c>
      <c r="G970" s="88">
        <v>2368.6</v>
      </c>
      <c r="H970" s="230">
        <v>4650</v>
      </c>
    </row>
    <row r="971" spans="2:8" x14ac:dyDescent="0.3">
      <c r="B971" s="229" t="s">
        <v>1387</v>
      </c>
      <c r="C971" s="88">
        <v>2394</v>
      </c>
      <c r="D971" s="88">
        <v>2398.85</v>
      </c>
      <c r="E971" s="88">
        <v>2371.6999999999998</v>
      </c>
      <c r="F971" s="88">
        <v>2381.6</v>
      </c>
      <c r="G971" s="88">
        <v>2381.6</v>
      </c>
      <c r="H971" s="230">
        <v>75557</v>
      </c>
    </row>
    <row r="972" spans="2:8" x14ac:dyDescent="0.3">
      <c r="B972" s="229" t="s">
        <v>1388</v>
      </c>
      <c r="C972" s="88">
        <v>2401</v>
      </c>
      <c r="D972" s="88">
        <v>2409</v>
      </c>
      <c r="E972" s="88">
        <v>2360.65</v>
      </c>
      <c r="F972" s="88">
        <v>2400.5</v>
      </c>
      <c r="G972" s="88">
        <v>2400.5</v>
      </c>
      <c r="H972" s="230">
        <v>14917</v>
      </c>
    </row>
    <row r="973" spans="2:8" x14ac:dyDescent="0.3">
      <c r="B973" s="229" t="s">
        <v>1389</v>
      </c>
      <c r="C973" s="88">
        <v>2365</v>
      </c>
      <c r="D973" s="88">
        <v>2400</v>
      </c>
      <c r="E973" s="88">
        <v>2360</v>
      </c>
      <c r="F973" s="88">
        <v>2397.0500000000002</v>
      </c>
      <c r="G973" s="88">
        <v>2397.0500000000002</v>
      </c>
      <c r="H973" s="230">
        <v>38801</v>
      </c>
    </row>
    <row r="974" spans="2:8" x14ac:dyDescent="0.3">
      <c r="B974" s="229" t="s">
        <v>1390</v>
      </c>
      <c r="C974" s="88">
        <v>2325.1</v>
      </c>
      <c r="D974" s="88">
        <v>2370</v>
      </c>
      <c r="E974" s="88">
        <v>2316</v>
      </c>
      <c r="F974" s="88">
        <v>2362.6</v>
      </c>
      <c r="G974" s="88">
        <v>2362.6</v>
      </c>
      <c r="H974" s="230">
        <v>39517</v>
      </c>
    </row>
    <row r="975" spans="2:8" x14ac:dyDescent="0.3">
      <c r="B975" s="229" t="s">
        <v>1391</v>
      </c>
      <c r="C975" s="88">
        <v>2299</v>
      </c>
      <c r="D975" s="88">
        <v>2335</v>
      </c>
      <c r="E975" s="88">
        <v>2285</v>
      </c>
      <c r="F975" s="88">
        <v>2324.1999999999998</v>
      </c>
      <c r="G975" s="88">
        <v>2324.1999999999998</v>
      </c>
      <c r="H975" s="230">
        <v>22082</v>
      </c>
    </row>
    <row r="976" spans="2:8" x14ac:dyDescent="0.3">
      <c r="B976" s="229" t="s">
        <v>1392</v>
      </c>
      <c r="C976" s="88">
        <v>2285</v>
      </c>
      <c r="D976" s="88">
        <v>2301.25</v>
      </c>
      <c r="E976" s="88">
        <v>2245</v>
      </c>
      <c r="F976" s="88">
        <v>2292.1</v>
      </c>
      <c r="G976" s="88">
        <v>2292.1</v>
      </c>
      <c r="H976" s="230">
        <v>20302</v>
      </c>
    </row>
    <row r="977" spans="2:8" x14ac:dyDescent="0.3">
      <c r="B977" s="229" t="s">
        <v>1393</v>
      </c>
      <c r="C977" s="88">
        <v>2292</v>
      </c>
      <c r="D977" s="88">
        <v>2324</v>
      </c>
      <c r="E977" s="88">
        <v>2254</v>
      </c>
      <c r="F977" s="88">
        <v>2280.85</v>
      </c>
      <c r="G977" s="88">
        <v>2280.85</v>
      </c>
      <c r="H977" s="230">
        <v>37520</v>
      </c>
    </row>
    <row r="978" spans="2:8" x14ac:dyDescent="0.3">
      <c r="B978" s="229" t="s">
        <v>1394</v>
      </c>
      <c r="C978" s="88">
        <v>2209</v>
      </c>
      <c r="D978" s="88">
        <v>2305.15</v>
      </c>
      <c r="E978" s="88">
        <v>2209</v>
      </c>
      <c r="F978" s="88">
        <v>2291.75</v>
      </c>
      <c r="G978" s="88">
        <v>2291.75</v>
      </c>
      <c r="H978" s="230">
        <v>35747</v>
      </c>
    </row>
    <row r="979" spans="2:8" x14ac:dyDescent="0.3">
      <c r="B979" s="229" t="s">
        <v>1395</v>
      </c>
      <c r="C979" s="88">
        <v>2198.6</v>
      </c>
      <c r="D979" s="88">
        <v>2244.4499999999998</v>
      </c>
      <c r="E979" s="88">
        <v>2181</v>
      </c>
      <c r="F979" s="88">
        <v>2207.75</v>
      </c>
      <c r="G979" s="88">
        <v>2207.75</v>
      </c>
      <c r="H979" s="230">
        <v>18619</v>
      </c>
    </row>
    <row r="980" spans="2:8" x14ac:dyDescent="0.3">
      <c r="B980" s="229" t="s">
        <v>1396</v>
      </c>
      <c r="C980" s="88">
        <v>2236</v>
      </c>
      <c r="D980" s="88">
        <v>2258.1</v>
      </c>
      <c r="E980" s="88">
        <v>2161.9499999999998</v>
      </c>
      <c r="F980" s="88">
        <v>2198.6</v>
      </c>
      <c r="G980" s="88">
        <v>2198.6</v>
      </c>
      <c r="H980" s="230">
        <v>39975</v>
      </c>
    </row>
    <row r="981" spans="2:8" x14ac:dyDescent="0.3">
      <c r="B981" s="229" t="s">
        <v>1397</v>
      </c>
      <c r="C981" s="88">
        <v>2267</v>
      </c>
      <c r="D981" s="88">
        <v>2276</v>
      </c>
      <c r="E981" s="88">
        <v>2195.5</v>
      </c>
      <c r="F981" s="88">
        <v>2241.3000000000002</v>
      </c>
      <c r="G981" s="88">
        <v>2241.3000000000002</v>
      </c>
      <c r="H981" s="230">
        <v>40857</v>
      </c>
    </row>
    <row r="982" spans="2:8" x14ac:dyDescent="0.3">
      <c r="B982" s="229" t="s">
        <v>1398</v>
      </c>
      <c r="C982" s="88">
        <v>2208</v>
      </c>
      <c r="D982" s="88">
        <v>2275</v>
      </c>
      <c r="E982" s="88">
        <v>2186</v>
      </c>
      <c r="F982" s="88">
        <v>2265.25</v>
      </c>
      <c r="G982" s="88">
        <v>2265.25</v>
      </c>
      <c r="H982" s="230">
        <v>42429</v>
      </c>
    </row>
    <row r="983" spans="2:8" x14ac:dyDescent="0.3">
      <c r="B983" s="229" t="s">
        <v>1399</v>
      </c>
      <c r="C983" s="88">
        <v>2199.9499999999998</v>
      </c>
      <c r="D983" s="88">
        <v>2250</v>
      </c>
      <c r="E983" s="88">
        <v>2176</v>
      </c>
      <c r="F983" s="88">
        <v>2239.6999999999998</v>
      </c>
      <c r="G983" s="88">
        <v>2239.6999999999998</v>
      </c>
      <c r="H983" s="230">
        <v>94049</v>
      </c>
    </row>
    <row r="984" spans="2:8" x14ac:dyDescent="0.3">
      <c r="B984" s="229" t="s">
        <v>1400</v>
      </c>
      <c r="C984" s="88">
        <v>2125.3000000000002</v>
      </c>
      <c r="D984" s="88">
        <v>2187.15</v>
      </c>
      <c r="E984" s="88">
        <v>2111.15</v>
      </c>
      <c r="F984" s="88">
        <v>2173.35</v>
      </c>
      <c r="G984" s="88">
        <v>2173.35</v>
      </c>
      <c r="H984" s="230">
        <v>23243</v>
      </c>
    </row>
    <row r="985" spans="2:8" x14ac:dyDescent="0.3">
      <c r="B985" s="229" t="s">
        <v>1401</v>
      </c>
      <c r="C985" s="88">
        <v>2115.3000000000002</v>
      </c>
      <c r="D985" s="88">
        <v>2149</v>
      </c>
      <c r="E985" s="88">
        <v>2101.15</v>
      </c>
      <c r="F985" s="88">
        <v>2142.35</v>
      </c>
      <c r="G985" s="88">
        <v>2142.35</v>
      </c>
      <c r="H985" s="230">
        <v>46113</v>
      </c>
    </row>
    <row r="986" spans="2:8" x14ac:dyDescent="0.3">
      <c r="B986" s="229" t="s">
        <v>1402</v>
      </c>
      <c r="C986" s="88">
        <v>2110</v>
      </c>
      <c r="D986" s="88">
        <v>2130</v>
      </c>
      <c r="E986" s="88">
        <v>2083</v>
      </c>
      <c r="F986" s="88">
        <v>2112.1</v>
      </c>
      <c r="G986" s="88">
        <v>2112.1</v>
      </c>
      <c r="H986" s="230">
        <v>42806</v>
      </c>
    </row>
    <row r="987" spans="2:8" x14ac:dyDescent="0.3">
      <c r="B987" s="229" t="s">
        <v>1403</v>
      </c>
      <c r="C987" s="88">
        <v>2090</v>
      </c>
      <c r="D987" s="88">
        <v>2128</v>
      </c>
      <c r="E987" s="88">
        <v>2063.0500000000002</v>
      </c>
      <c r="F987" s="88">
        <v>2103.6</v>
      </c>
      <c r="G987" s="88">
        <v>2103.6</v>
      </c>
      <c r="H987" s="230">
        <v>23702</v>
      </c>
    </row>
    <row r="988" spans="2:8" x14ac:dyDescent="0.3">
      <c r="B988" s="229" t="s">
        <v>1404</v>
      </c>
      <c r="C988" s="88">
        <v>2140.5500000000002</v>
      </c>
      <c r="D988" s="88">
        <v>2167.4</v>
      </c>
      <c r="E988" s="88">
        <v>2060.0500000000002</v>
      </c>
      <c r="F988" s="88">
        <v>2078.5500000000002</v>
      </c>
      <c r="G988" s="88">
        <v>2078.5500000000002</v>
      </c>
      <c r="H988" s="230">
        <v>76542</v>
      </c>
    </row>
    <row r="989" spans="2:8" x14ac:dyDescent="0.3">
      <c r="B989" s="229" t="s">
        <v>1405</v>
      </c>
      <c r="C989" s="88">
        <v>2093</v>
      </c>
      <c r="D989" s="88">
        <v>2170</v>
      </c>
      <c r="E989" s="88">
        <v>2054.0500000000002</v>
      </c>
      <c r="F989" s="88">
        <v>2142.1999999999998</v>
      </c>
      <c r="G989" s="88">
        <v>2142.1999999999998</v>
      </c>
      <c r="H989" s="230">
        <v>137608</v>
      </c>
    </row>
    <row r="990" spans="2:8" x14ac:dyDescent="0.3">
      <c r="B990" s="229" t="s">
        <v>1406</v>
      </c>
      <c r="C990" s="88">
        <v>1968.5</v>
      </c>
      <c r="D990" s="88">
        <v>2141.0500000000002</v>
      </c>
      <c r="E990" s="88">
        <v>1949.3</v>
      </c>
      <c r="F990" s="88">
        <v>2095.75</v>
      </c>
      <c r="G990" s="88">
        <v>2095.75</v>
      </c>
      <c r="H990" s="230">
        <v>122155</v>
      </c>
    </row>
    <row r="991" spans="2:8" x14ac:dyDescent="0.3">
      <c r="B991" s="229" t="s">
        <v>1407</v>
      </c>
      <c r="C991" s="88">
        <v>1978</v>
      </c>
      <c r="D991" s="88">
        <v>1998</v>
      </c>
      <c r="E991" s="88">
        <v>1969.8</v>
      </c>
      <c r="F991" s="88">
        <v>1983.6</v>
      </c>
      <c r="G991" s="88">
        <v>1983.6</v>
      </c>
      <c r="H991" s="230">
        <v>32408</v>
      </c>
    </row>
    <row r="992" spans="2:8" x14ac:dyDescent="0.3">
      <c r="B992" s="229" t="s">
        <v>1408</v>
      </c>
      <c r="C992" s="88">
        <v>1995</v>
      </c>
      <c r="D992" s="88">
        <v>1997.95</v>
      </c>
      <c r="E992" s="88">
        <v>1971</v>
      </c>
      <c r="F992" s="88">
        <v>1977.7</v>
      </c>
      <c r="G992" s="88">
        <v>1977.7</v>
      </c>
      <c r="H992" s="230">
        <v>14764</v>
      </c>
    </row>
    <row r="993" spans="2:8" x14ac:dyDescent="0.3">
      <c r="B993" s="229" t="s">
        <v>1409</v>
      </c>
      <c r="C993" s="88">
        <v>1990</v>
      </c>
      <c r="D993" s="88">
        <v>2016.4</v>
      </c>
      <c r="E993" s="88">
        <v>1966</v>
      </c>
      <c r="F993" s="88">
        <v>1973.5</v>
      </c>
      <c r="G993" s="88">
        <v>1973.5</v>
      </c>
      <c r="H993" s="230">
        <v>27071</v>
      </c>
    </row>
    <row r="994" spans="2:8" x14ac:dyDescent="0.3">
      <c r="B994" s="229" t="s">
        <v>1410</v>
      </c>
      <c r="C994" s="88">
        <v>2028</v>
      </c>
      <c r="D994" s="88">
        <v>2035</v>
      </c>
      <c r="E994" s="88">
        <v>1965.05</v>
      </c>
      <c r="F994" s="88">
        <v>1976.9</v>
      </c>
      <c r="G994" s="88">
        <v>1976.9</v>
      </c>
      <c r="H994" s="230">
        <v>26667</v>
      </c>
    </row>
    <row r="995" spans="2:8" x14ac:dyDescent="0.3">
      <c r="B995" s="229" t="s">
        <v>1411</v>
      </c>
      <c r="C995" s="88">
        <v>2072.15</v>
      </c>
      <c r="D995" s="88">
        <v>2072.15</v>
      </c>
      <c r="E995" s="88">
        <v>1993.3</v>
      </c>
      <c r="F995" s="88">
        <v>2002.25</v>
      </c>
      <c r="G995" s="88">
        <v>2002.25</v>
      </c>
      <c r="H995" s="230">
        <v>71145</v>
      </c>
    </row>
    <row r="996" spans="2:8" x14ac:dyDescent="0.3">
      <c r="B996" s="229" t="s">
        <v>1412</v>
      </c>
      <c r="C996" s="88">
        <v>2079.9499999999998</v>
      </c>
      <c r="D996" s="88">
        <v>2099</v>
      </c>
      <c r="E996" s="88">
        <v>2035</v>
      </c>
      <c r="F996" s="88">
        <v>2057.65</v>
      </c>
      <c r="G996" s="88">
        <v>2057.65</v>
      </c>
      <c r="H996" s="230">
        <v>15904</v>
      </c>
    </row>
    <row r="997" spans="2:8" x14ac:dyDescent="0.3">
      <c r="B997" s="229" t="s">
        <v>1413</v>
      </c>
      <c r="C997" s="88">
        <v>2071</v>
      </c>
      <c r="D997" s="88">
        <v>2085.4499999999998</v>
      </c>
      <c r="E997" s="88">
        <v>2045.45</v>
      </c>
      <c r="F997" s="88">
        <v>2064.6999999999998</v>
      </c>
      <c r="G997" s="88">
        <v>2064.6999999999998</v>
      </c>
      <c r="H997" s="230">
        <v>13022</v>
      </c>
    </row>
    <row r="998" spans="2:8" x14ac:dyDescent="0.3">
      <c r="B998" s="229" t="s">
        <v>1414</v>
      </c>
      <c r="C998" s="88">
        <v>2098</v>
      </c>
      <c r="D998" s="88">
        <v>2106.35</v>
      </c>
      <c r="E998" s="88">
        <v>2047.5</v>
      </c>
      <c r="F998" s="88">
        <v>2064.65</v>
      </c>
      <c r="G998" s="88">
        <v>2064.65</v>
      </c>
      <c r="H998" s="230">
        <v>18950</v>
      </c>
    </row>
    <row r="999" spans="2:8" x14ac:dyDescent="0.3">
      <c r="B999" s="229" t="s">
        <v>1415</v>
      </c>
      <c r="C999" s="88">
        <v>2130</v>
      </c>
      <c r="D999" s="88">
        <v>2133.65</v>
      </c>
      <c r="E999" s="88">
        <v>2067.3000000000002</v>
      </c>
      <c r="F999" s="88">
        <v>2080.4499999999998</v>
      </c>
      <c r="G999" s="88">
        <v>2080.4499999999998</v>
      </c>
      <c r="H999" s="230">
        <v>42457</v>
      </c>
    </row>
    <row r="1000" spans="2:8" x14ac:dyDescent="0.3">
      <c r="B1000" s="229" t="s">
        <v>1416</v>
      </c>
      <c r="C1000" s="88">
        <v>2205</v>
      </c>
      <c r="D1000" s="88">
        <v>2205</v>
      </c>
      <c r="E1000" s="88">
        <v>2105</v>
      </c>
      <c r="F1000" s="88">
        <v>2110.65</v>
      </c>
      <c r="G1000" s="88">
        <v>2110.65</v>
      </c>
      <c r="H1000" s="230">
        <v>36566</v>
      </c>
    </row>
    <row r="1001" spans="2:8" x14ac:dyDescent="0.3">
      <c r="B1001" s="229" t="s">
        <v>1417</v>
      </c>
      <c r="C1001" s="88">
        <v>2213.9499999999998</v>
      </c>
      <c r="D1001" s="88">
        <v>2242</v>
      </c>
      <c r="E1001" s="88">
        <v>2171.1999999999998</v>
      </c>
      <c r="F1001" s="88">
        <v>2183.5</v>
      </c>
      <c r="G1001" s="88">
        <v>2183.5</v>
      </c>
      <c r="H1001" s="230">
        <v>17654</v>
      </c>
    </row>
    <row r="1002" spans="2:8" x14ac:dyDescent="0.3">
      <c r="B1002" s="229" t="s">
        <v>1418</v>
      </c>
      <c r="C1002" s="88">
        <v>2131.5</v>
      </c>
      <c r="D1002" s="88">
        <v>2218.85</v>
      </c>
      <c r="E1002" s="88">
        <v>2120.0500000000002</v>
      </c>
      <c r="F1002" s="88">
        <v>2198.1999999999998</v>
      </c>
      <c r="G1002" s="88">
        <v>2198.1999999999998</v>
      </c>
      <c r="H1002" s="230">
        <v>18490</v>
      </c>
    </row>
    <row r="1003" spans="2:8" x14ac:dyDescent="0.3">
      <c r="B1003" s="229" t="s">
        <v>1419</v>
      </c>
      <c r="C1003" s="88">
        <v>2124</v>
      </c>
      <c r="D1003" s="88">
        <v>2148.8000000000002</v>
      </c>
      <c r="E1003" s="88">
        <v>2083.0500000000002</v>
      </c>
      <c r="F1003" s="88">
        <v>2131.5</v>
      </c>
      <c r="G1003" s="88">
        <v>2131.5</v>
      </c>
      <c r="H1003" s="230">
        <v>9024</v>
      </c>
    </row>
    <row r="1004" spans="2:8" x14ac:dyDescent="0.3">
      <c r="B1004" s="229" t="s">
        <v>1420</v>
      </c>
      <c r="C1004" s="88">
        <v>2111.0500000000002</v>
      </c>
      <c r="D1004" s="88">
        <v>2142.85</v>
      </c>
      <c r="E1004" s="88">
        <v>2098.1</v>
      </c>
      <c r="F1004" s="88">
        <v>2107.1</v>
      </c>
      <c r="G1004" s="88">
        <v>2107.1</v>
      </c>
      <c r="H1004" s="230">
        <v>16503</v>
      </c>
    </row>
    <row r="1005" spans="2:8" x14ac:dyDescent="0.3">
      <c r="B1005" s="229" t="s">
        <v>1421</v>
      </c>
      <c r="C1005" s="88">
        <v>2048</v>
      </c>
      <c r="D1005" s="88">
        <v>2114.5500000000002</v>
      </c>
      <c r="E1005" s="88">
        <v>2048</v>
      </c>
      <c r="F1005" s="88">
        <v>2103.65</v>
      </c>
      <c r="G1005" s="88">
        <v>2103.65</v>
      </c>
      <c r="H1005" s="230">
        <v>10396</v>
      </c>
    </row>
    <row r="1006" spans="2:8" x14ac:dyDescent="0.3">
      <c r="B1006" s="229" t="s">
        <v>1422</v>
      </c>
      <c r="C1006" s="88">
        <v>2053.4</v>
      </c>
      <c r="D1006" s="88">
        <v>2083.9499999999998</v>
      </c>
      <c r="E1006" s="88">
        <v>2037.8</v>
      </c>
      <c r="F1006" s="88">
        <v>2046.6</v>
      </c>
      <c r="G1006" s="88">
        <v>2046.6</v>
      </c>
      <c r="H1006" s="230">
        <v>13141</v>
      </c>
    </row>
    <row r="1007" spans="2:8" x14ac:dyDescent="0.3">
      <c r="B1007" s="229" t="s">
        <v>1423</v>
      </c>
      <c r="C1007" s="88">
        <v>2056.5</v>
      </c>
      <c r="D1007" s="88">
        <v>2098.6999999999998</v>
      </c>
      <c r="E1007" s="88">
        <v>2047.1</v>
      </c>
      <c r="F1007" s="88">
        <v>2053.4</v>
      </c>
      <c r="G1007" s="88">
        <v>2053.4</v>
      </c>
      <c r="H1007" s="230">
        <v>21661</v>
      </c>
    </row>
    <row r="1008" spans="2:8" x14ac:dyDescent="0.3">
      <c r="B1008" s="229" t="s">
        <v>1424</v>
      </c>
      <c r="C1008" s="88">
        <v>2086</v>
      </c>
      <c r="D1008" s="88">
        <v>2098.0500000000002</v>
      </c>
      <c r="E1008" s="88">
        <v>1996.1</v>
      </c>
      <c r="F1008" s="88">
        <v>2053.85</v>
      </c>
      <c r="G1008" s="88">
        <v>2053.85</v>
      </c>
      <c r="H1008" s="230">
        <v>23665</v>
      </c>
    </row>
    <row r="1009" spans="2:8" x14ac:dyDescent="0.3">
      <c r="B1009" s="229" t="s">
        <v>1425</v>
      </c>
      <c r="C1009" s="88">
        <v>2170</v>
      </c>
      <c r="D1009" s="88">
        <v>2175</v>
      </c>
      <c r="E1009" s="88">
        <v>2055.15</v>
      </c>
      <c r="F1009" s="88">
        <v>2093.35</v>
      </c>
      <c r="G1009" s="88">
        <v>2093.35</v>
      </c>
      <c r="H1009" s="230">
        <v>44934</v>
      </c>
    </row>
    <row r="1010" spans="2:8" x14ac:dyDescent="0.3">
      <c r="B1010" s="229" t="s">
        <v>1426</v>
      </c>
      <c r="C1010" s="88">
        <v>2158</v>
      </c>
      <c r="D1010" s="88">
        <v>2175</v>
      </c>
      <c r="E1010" s="88">
        <v>2105</v>
      </c>
      <c r="F1010" s="88">
        <v>2149.5</v>
      </c>
      <c r="G1010" s="88">
        <v>2149.5</v>
      </c>
      <c r="H1010" s="230">
        <v>17147</v>
      </c>
    </row>
    <row r="1011" spans="2:8" x14ac:dyDescent="0.3">
      <c r="B1011" s="229" t="s">
        <v>1427</v>
      </c>
      <c r="C1011" s="88">
        <v>2142</v>
      </c>
      <c r="D1011" s="88">
        <v>2165</v>
      </c>
      <c r="E1011" s="88">
        <v>2133.65</v>
      </c>
      <c r="F1011" s="88">
        <v>2138.4</v>
      </c>
      <c r="G1011" s="88">
        <v>2138.4</v>
      </c>
      <c r="H1011" s="230">
        <v>19968</v>
      </c>
    </row>
    <row r="1012" spans="2:8" x14ac:dyDescent="0.3">
      <c r="B1012" s="229" t="s">
        <v>1428</v>
      </c>
      <c r="C1012" s="88">
        <v>2140</v>
      </c>
      <c r="D1012" s="88">
        <v>2170</v>
      </c>
      <c r="E1012" s="88">
        <v>2132</v>
      </c>
      <c r="F1012" s="88">
        <v>2136.1</v>
      </c>
      <c r="G1012" s="88">
        <v>2136.1</v>
      </c>
      <c r="H1012" s="230">
        <v>11810</v>
      </c>
    </row>
    <row r="1013" spans="2:8" x14ac:dyDescent="0.3">
      <c r="B1013" s="229" t="s">
        <v>1429</v>
      </c>
      <c r="C1013" s="88">
        <v>2196.9499999999998</v>
      </c>
      <c r="D1013" s="88">
        <v>2196.9499999999998</v>
      </c>
      <c r="E1013" s="88">
        <v>2130.5</v>
      </c>
      <c r="F1013" s="88">
        <v>2135.5500000000002</v>
      </c>
      <c r="G1013" s="88">
        <v>2135.5500000000002</v>
      </c>
      <c r="H1013" s="230">
        <v>22419</v>
      </c>
    </row>
    <row r="1014" spans="2:8" x14ac:dyDescent="0.3">
      <c r="B1014" s="229" t="s">
        <v>1430</v>
      </c>
      <c r="C1014" s="88">
        <v>2253.25</v>
      </c>
      <c r="D1014" s="88">
        <v>2255</v>
      </c>
      <c r="E1014" s="88">
        <v>2150</v>
      </c>
      <c r="F1014" s="88">
        <v>2162.3000000000002</v>
      </c>
      <c r="G1014" s="88">
        <v>2162.3000000000002</v>
      </c>
      <c r="H1014" s="230">
        <v>63254</v>
      </c>
    </row>
    <row r="1015" spans="2:8" x14ac:dyDescent="0.3">
      <c r="B1015" s="229" t="s">
        <v>1431</v>
      </c>
      <c r="C1015" s="88">
        <v>2250.4</v>
      </c>
      <c r="D1015" s="88">
        <v>2272</v>
      </c>
      <c r="E1015" s="88">
        <v>2227.0500000000002</v>
      </c>
      <c r="F1015" s="88">
        <v>2240.6999999999998</v>
      </c>
      <c r="G1015" s="88">
        <v>2240.6999999999998</v>
      </c>
      <c r="H1015" s="230">
        <v>20846</v>
      </c>
    </row>
    <row r="1016" spans="2:8" x14ac:dyDescent="0.3">
      <c r="B1016" s="229" t="s">
        <v>1432</v>
      </c>
      <c r="C1016" s="88">
        <v>2234</v>
      </c>
      <c r="D1016" s="88">
        <v>2242.6</v>
      </c>
      <c r="E1016" s="88">
        <v>2215</v>
      </c>
      <c r="F1016" s="88">
        <v>2238.35</v>
      </c>
      <c r="G1016" s="88">
        <v>2238.35</v>
      </c>
      <c r="H1016" s="230">
        <v>8383</v>
      </c>
    </row>
    <row r="1017" spans="2:8" x14ac:dyDescent="0.3">
      <c r="B1017" s="229" t="s">
        <v>1433</v>
      </c>
      <c r="C1017" s="88">
        <v>2234.8000000000002</v>
      </c>
      <c r="D1017" s="88">
        <v>2255</v>
      </c>
      <c r="E1017" s="88">
        <v>2207</v>
      </c>
      <c r="F1017" s="88">
        <v>2220.65</v>
      </c>
      <c r="G1017" s="88">
        <v>2220.65</v>
      </c>
      <c r="H1017" s="230">
        <v>25737</v>
      </c>
    </row>
    <row r="1018" spans="2:8" x14ac:dyDescent="0.3">
      <c r="B1018" s="229" t="s">
        <v>1434</v>
      </c>
      <c r="C1018" s="88">
        <v>2265.0500000000002</v>
      </c>
      <c r="D1018" s="88">
        <v>2295</v>
      </c>
      <c r="E1018" s="88">
        <v>2226.6999999999998</v>
      </c>
      <c r="F1018" s="88">
        <v>2247.5</v>
      </c>
      <c r="G1018" s="88">
        <v>2247.5</v>
      </c>
      <c r="H1018" s="230">
        <v>58350</v>
      </c>
    </row>
    <row r="1019" spans="2:8" x14ac:dyDescent="0.3">
      <c r="B1019" s="229" t="s">
        <v>1435</v>
      </c>
      <c r="C1019" s="88">
        <v>2280</v>
      </c>
      <c r="D1019" s="88">
        <v>2280</v>
      </c>
      <c r="E1019" s="88">
        <v>2240.1999999999998</v>
      </c>
      <c r="F1019" s="88">
        <v>2261.5</v>
      </c>
      <c r="G1019" s="88">
        <v>2261.5</v>
      </c>
      <c r="H1019" s="230">
        <v>10914</v>
      </c>
    </row>
    <row r="1020" spans="2:8" x14ac:dyDescent="0.3">
      <c r="B1020" s="229" t="s">
        <v>1436</v>
      </c>
      <c r="C1020" s="88">
        <v>2235.3000000000002</v>
      </c>
      <c r="D1020" s="88">
        <v>2367.85</v>
      </c>
      <c r="E1020" s="88">
        <v>2223.4</v>
      </c>
      <c r="F1020" s="88">
        <v>2249.15</v>
      </c>
      <c r="G1020" s="88">
        <v>2249.15</v>
      </c>
      <c r="H1020" s="230">
        <v>84247</v>
      </c>
    </row>
    <row r="1021" spans="2:8" x14ac:dyDescent="0.3">
      <c r="B1021" s="229" t="s">
        <v>1437</v>
      </c>
      <c r="C1021" s="88">
        <v>2248</v>
      </c>
      <c r="D1021" s="88">
        <v>2324</v>
      </c>
      <c r="E1021" s="88">
        <v>2231.9499999999998</v>
      </c>
      <c r="F1021" s="88">
        <v>2283.3000000000002</v>
      </c>
      <c r="G1021" s="88">
        <v>2283.3000000000002</v>
      </c>
      <c r="H1021" s="230">
        <v>22409</v>
      </c>
    </row>
    <row r="1022" spans="2:8" x14ac:dyDescent="0.3">
      <c r="B1022" s="229" t="s">
        <v>1438</v>
      </c>
      <c r="C1022" s="88">
        <v>2242.5</v>
      </c>
      <c r="D1022" s="88">
        <v>2275</v>
      </c>
      <c r="E1022" s="88">
        <v>2212.0500000000002</v>
      </c>
      <c r="F1022" s="88">
        <v>2218.1999999999998</v>
      </c>
      <c r="G1022" s="88">
        <v>2218.1999999999998</v>
      </c>
      <c r="H1022" s="230">
        <v>9313</v>
      </c>
    </row>
    <row r="1023" spans="2:8" x14ac:dyDescent="0.3">
      <c r="B1023" s="229" t="s">
        <v>1439</v>
      </c>
      <c r="C1023" s="88">
        <v>2226.65</v>
      </c>
      <c r="D1023" s="88">
        <v>2280</v>
      </c>
      <c r="E1023" s="88">
        <v>2203.4499999999998</v>
      </c>
      <c r="F1023" s="88">
        <v>2241.15</v>
      </c>
      <c r="G1023" s="88">
        <v>2241.15</v>
      </c>
      <c r="H1023" s="230">
        <v>16238</v>
      </c>
    </row>
    <row r="1024" spans="2:8" x14ac:dyDescent="0.3">
      <c r="B1024" s="229" t="s">
        <v>1440</v>
      </c>
      <c r="C1024" s="88">
        <v>2296</v>
      </c>
      <c r="D1024" s="88">
        <v>2299</v>
      </c>
      <c r="E1024" s="88">
        <v>2192.85</v>
      </c>
      <c r="F1024" s="88">
        <v>2250.0500000000002</v>
      </c>
      <c r="G1024" s="88">
        <v>2250.0500000000002</v>
      </c>
      <c r="H1024" s="230">
        <v>95978</v>
      </c>
    </row>
    <row r="1025" spans="2:8" x14ac:dyDescent="0.3">
      <c r="B1025" s="229" t="s">
        <v>1441</v>
      </c>
      <c r="C1025" s="88">
        <v>2365.3000000000002</v>
      </c>
      <c r="D1025" s="88">
        <v>2379.8000000000002</v>
      </c>
      <c r="E1025" s="88">
        <v>2301</v>
      </c>
      <c r="F1025" s="88">
        <v>2320.0500000000002</v>
      </c>
      <c r="G1025" s="88">
        <v>2320.0500000000002</v>
      </c>
      <c r="H1025" s="230">
        <v>47343</v>
      </c>
    </row>
    <row r="1026" spans="2:8" x14ac:dyDescent="0.3">
      <c r="B1026" s="229" t="s">
        <v>1442</v>
      </c>
      <c r="C1026" s="88">
        <v>2448</v>
      </c>
      <c r="D1026" s="88">
        <v>2448</v>
      </c>
      <c r="E1026" s="88">
        <v>2352</v>
      </c>
      <c r="F1026" s="88">
        <v>2381.25</v>
      </c>
      <c r="G1026" s="88">
        <v>2381.25</v>
      </c>
      <c r="H1026" s="230">
        <v>28890</v>
      </c>
    </row>
    <row r="1027" spans="2:8" x14ac:dyDescent="0.3">
      <c r="B1027" s="229" t="s">
        <v>1443</v>
      </c>
      <c r="C1027" s="88">
        <v>2349.9499999999998</v>
      </c>
      <c r="D1027" s="88">
        <v>2424</v>
      </c>
      <c r="E1027" s="88">
        <v>2346.15</v>
      </c>
      <c r="F1027" s="88">
        <v>2408.5</v>
      </c>
      <c r="G1027" s="88">
        <v>2408.5</v>
      </c>
      <c r="H1027" s="230">
        <v>44807</v>
      </c>
    </row>
    <row r="1028" spans="2:8" x14ac:dyDescent="0.3">
      <c r="B1028" s="229" t="s">
        <v>1444</v>
      </c>
      <c r="C1028" s="88">
        <v>2270</v>
      </c>
      <c r="D1028" s="88">
        <v>2350</v>
      </c>
      <c r="E1028" s="88">
        <v>2262.9</v>
      </c>
      <c r="F1028" s="88">
        <v>2339.8000000000002</v>
      </c>
      <c r="G1028" s="88">
        <v>2339.8000000000002</v>
      </c>
      <c r="H1028" s="230">
        <v>49004</v>
      </c>
    </row>
    <row r="1029" spans="2:8" x14ac:dyDescent="0.3">
      <c r="B1029" s="229" t="s">
        <v>1445</v>
      </c>
      <c r="C1029" s="88">
        <v>2261.5</v>
      </c>
      <c r="D1029" s="88">
        <v>2271.35</v>
      </c>
      <c r="E1029" s="88">
        <v>2245</v>
      </c>
      <c r="F1029" s="88">
        <v>2250</v>
      </c>
      <c r="G1029" s="88">
        <v>2250</v>
      </c>
      <c r="H1029" s="230">
        <v>30373</v>
      </c>
    </row>
    <row r="1030" spans="2:8" x14ac:dyDescent="0.3">
      <c r="B1030" s="229" t="s">
        <v>1446</v>
      </c>
      <c r="C1030" s="88">
        <v>2290</v>
      </c>
      <c r="D1030" s="88">
        <v>2299</v>
      </c>
      <c r="E1030" s="88">
        <v>2255</v>
      </c>
      <c r="F1030" s="88">
        <v>2259.85</v>
      </c>
      <c r="G1030" s="88">
        <v>2259.85</v>
      </c>
      <c r="H1030" s="230">
        <v>24361</v>
      </c>
    </row>
    <row r="1031" spans="2:8" x14ac:dyDescent="0.3">
      <c r="B1031" s="229" t="s">
        <v>1447</v>
      </c>
      <c r="C1031" s="88">
        <v>2254.85</v>
      </c>
      <c r="D1031" s="88">
        <v>2290</v>
      </c>
      <c r="E1031" s="88">
        <v>2219.4499999999998</v>
      </c>
      <c r="F1031" s="88">
        <v>2286.35</v>
      </c>
      <c r="G1031" s="88">
        <v>2286.35</v>
      </c>
      <c r="H1031" s="230">
        <v>18924</v>
      </c>
    </row>
    <row r="1032" spans="2:8" x14ac:dyDescent="0.3">
      <c r="B1032" s="229" t="s">
        <v>1448</v>
      </c>
      <c r="C1032" s="88">
        <v>2273.1999999999998</v>
      </c>
      <c r="D1032" s="88">
        <v>2309.65</v>
      </c>
      <c r="E1032" s="88">
        <v>2240</v>
      </c>
      <c r="F1032" s="88">
        <v>2264.85</v>
      </c>
      <c r="G1032" s="88">
        <v>2264.85</v>
      </c>
      <c r="H1032" s="230">
        <v>70121</v>
      </c>
    </row>
    <row r="1033" spans="2:8" x14ac:dyDescent="0.3">
      <c r="B1033" s="229" t="s">
        <v>1449</v>
      </c>
      <c r="C1033" s="88">
        <v>2188.0500000000002</v>
      </c>
      <c r="D1033" s="88">
        <v>2265</v>
      </c>
      <c r="E1033" s="88">
        <v>2175.9</v>
      </c>
      <c r="F1033" s="88">
        <v>2260.35</v>
      </c>
      <c r="G1033" s="88">
        <v>2260.35</v>
      </c>
      <c r="H1033" s="230">
        <v>67346</v>
      </c>
    </row>
    <row r="1034" spans="2:8" x14ac:dyDescent="0.3">
      <c r="B1034" s="229" t="s">
        <v>1450</v>
      </c>
      <c r="C1034" s="88">
        <v>2180</v>
      </c>
      <c r="D1034" s="88">
        <v>2203</v>
      </c>
      <c r="E1034" s="88">
        <v>2158.5</v>
      </c>
      <c r="F1034" s="88">
        <v>2194.0500000000002</v>
      </c>
      <c r="G1034" s="88">
        <v>2194.0500000000002</v>
      </c>
      <c r="H1034" s="230">
        <v>19772</v>
      </c>
    </row>
    <row r="1035" spans="2:8" x14ac:dyDescent="0.3">
      <c r="B1035" s="229" t="s">
        <v>1451</v>
      </c>
      <c r="C1035" s="88">
        <v>2219.8000000000002</v>
      </c>
      <c r="D1035" s="88">
        <v>2219.8000000000002</v>
      </c>
      <c r="E1035" s="88">
        <v>2173</v>
      </c>
      <c r="F1035" s="88">
        <v>2178.15</v>
      </c>
      <c r="G1035" s="88">
        <v>2178.15</v>
      </c>
      <c r="H1035" s="230">
        <v>44343</v>
      </c>
    </row>
    <row r="1036" spans="2:8" x14ac:dyDescent="0.3">
      <c r="B1036" s="229" t="s">
        <v>1452</v>
      </c>
      <c r="C1036" s="88">
        <v>2175</v>
      </c>
      <c r="D1036" s="88">
        <v>2212.1</v>
      </c>
      <c r="E1036" s="88">
        <v>2150.75</v>
      </c>
      <c r="F1036" s="88">
        <v>2207.6999999999998</v>
      </c>
      <c r="G1036" s="88">
        <v>2207.6999999999998</v>
      </c>
      <c r="H1036" s="230">
        <v>28238</v>
      </c>
    </row>
    <row r="1037" spans="2:8" x14ac:dyDescent="0.3">
      <c r="B1037" s="229" t="s">
        <v>1453</v>
      </c>
      <c r="C1037" s="88">
        <v>2145</v>
      </c>
      <c r="D1037" s="88">
        <v>2174</v>
      </c>
      <c r="E1037" s="88">
        <v>2122.65</v>
      </c>
      <c r="F1037" s="88">
        <v>2168.85</v>
      </c>
      <c r="G1037" s="88">
        <v>2168.85</v>
      </c>
      <c r="H1037" s="230">
        <v>48247</v>
      </c>
    </row>
    <row r="1038" spans="2:8" x14ac:dyDescent="0.3">
      <c r="B1038" s="229" t="s">
        <v>1454</v>
      </c>
      <c r="C1038" s="88">
        <v>2113.3000000000002</v>
      </c>
      <c r="D1038" s="88">
        <v>2142.65</v>
      </c>
      <c r="E1038" s="88">
        <v>2111.35</v>
      </c>
      <c r="F1038" s="88">
        <v>2132.9</v>
      </c>
      <c r="G1038" s="88">
        <v>2132.9</v>
      </c>
      <c r="H1038" s="230">
        <v>15923</v>
      </c>
    </row>
    <row r="1039" spans="2:8" x14ac:dyDescent="0.3">
      <c r="B1039" s="229" t="s">
        <v>1455</v>
      </c>
      <c r="C1039" s="88">
        <v>2135.1</v>
      </c>
      <c r="D1039" s="88">
        <v>2149</v>
      </c>
      <c r="E1039" s="88">
        <v>2098.5</v>
      </c>
      <c r="F1039" s="88">
        <v>2115.4</v>
      </c>
      <c r="G1039" s="88">
        <v>2115.4</v>
      </c>
      <c r="H1039" s="230">
        <v>43674</v>
      </c>
    </row>
    <row r="1040" spans="2:8" x14ac:dyDescent="0.3">
      <c r="B1040" s="229" t="s">
        <v>1456</v>
      </c>
      <c r="C1040" s="88">
        <v>2169.6</v>
      </c>
      <c r="D1040" s="88">
        <v>2178</v>
      </c>
      <c r="E1040" s="88">
        <v>2135</v>
      </c>
      <c r="F1040" s="88">
        <v>2139.0500000000002</v>
      </c>
      <c r="G1040" s="88">
        <v>2139.0500000000002</v>
      </c>
      <c r="H1040" s="230">
        <v>11959</v>
      </c>
    </row>
    <row r="1041" spans="2:8" x14ac:dyDescent="0.3">
      <c r="B1041" s="229" t="s">
        <v>1457</v>
      </c>
      <c r="C1041" s="88">
        <v>2170</v>
      </c>
      <c r="D1041" s="88">
        <v>2192</v>
      </c>
      <c r="E1041" s="88">
        <v>2136.4499999999998</v>
      </c>
      <c r="F1041" s="88">
        <v>2149.65</v>
      </c>
      <c r="G1041" s="88">
        <v>2149.65</v>
      </c>
      <c r="H1041" s="230">
        <v>19332</v>
      </c>
    </row>
    <row r="1042" spans="2:8" x14ac:dyDescent="0.3">
      <c r="B1042" s="229" t="s">
        <v>1458</v>
      </c>
      <c r="C1042" s="88">
        <v>2179</v>
      </c>
      <c r="D1042" s="88">
        <v>2189</v>
      </c>
      <c r="E1042" s="88">
        <v>2151</v>
      </c>
      <c r="F1042" s="88">
        <v>2160.4</v>
      </c>
      <c r="G1042" s="88">
        <v>2160.4</v>
      </c>
      <c r="H1042" s="230">
        <v>22423</v>
      </c>
    </row>
    <row r="1043" spans="2:8" x14ac:dyDescent="0.3">
      <c r="B1043" s="229" t="s">
        <v>1459</v>
      </c>
      <c r="C1043" s="88">
        <v>2101</v>
      </c>
      <c r="D1043" s="88">
        <v>2180</v>
      </c>
      <c r="E1043" s="88">
        <v>2095</v>
      </c>
      <c r="F1043" s="88">
        <v>2163.65</v>
      </c>
      <c r="G1043" s="88">
        <v>2163.65</v>
      </c>
      <c r="H1043" s="230">
        <v>80055</v>
      </c>
    </row>
    <row r="1044" spans="2:8" x14ac:dyDescent="0.3">
      <c r="B1044" s="229" t="s">
        <v>1460</v>
      </c>
      <c r="C1044" s="88">
        <v>2055.4499999999998</v>
      </c>
      <c r="D1044" s="88">
        <v>2112.15</v>
      </c>
      <c r="E1044" s="88">
        <v>2054</v>
      </c>
      <c r="F1044" s="88">
        <v>2095.3000000000002</v>
      </c>
      <c r="G1044" s="88">
        <v>2095.3000000000002</v>
      </c>
      <c r="H1044" s="230">
        <v>139178</v>
      </c>
    </row>
    <row r="1045" spans="2:8" x14ac:dyDescent="0.3">
      <c r="B1045" s="229" t="s">
        <v>1461</v>
      </c>
      <c r="C1045" s="88">
        <v>2041.05</v>
      </c>
      <c r="D1045" s="88">
        <v>2075.3000000000002</v>
      </c>
      <c r="E1045" s="88">
        <v>2034.1</v>
      </c>
      <c r="F1045" s="88">
        <v>2063.5</v>
      </c>
      <c r="G1045" s="88">
        <v>2063.5</v>
      </c>
      <c r="H1045" s="230">
        <v>48296</v>
      </c>
    </row>
    <row r="1046" spans="2:8" x14ac:dyDescent="0.3">
      <c r="B1046" s="229" t="s">
        <v>1462</v>
      </c>
      <c r="C1046" s="88">
        <v>2031</v>
      </c>
      <c r="D1046" s="88">
        <v>2070</v>
      </c>
      <c r="E1046" s="88">
        <v>2030.85</v>
      </c>
      <c r="F1046" s="88">
        <v>2040.8</v>
      </c>
      <c r="G1046" s="88">
        <v>2040.8</v>
      </c>
      <c r="H1046" s="230">
        <v>34357</v>
      </c>
    </row>
    <row r="1047" spans="2:8" x14ac:dyDescent="0.3">
      <c r="B1047" s="229" t="s">
        <v>1463</v>
      </c>
      <c r="C1047" s="88">
        <v>2054.5</v>
      </c>
      <c r="D1047" s="88">
        <v>2074</v>
      </c>
      <c r="E1047" s="88">
        <v>2041.1</v>
      </c>
      <c r="F1047" s="88">
        <v>2050.4</v>
      </c>
      <c r="G1047" s="88">
        <v>2050.4</v>
      </c>
      <c r="H1047" s="230">
        <v>45825</v>
      </c>
    </row>
    <row r="1048" spans="2:8" x14ac:dyDescent="0.3">
      <c r="B1048" s="229" t="s">
        <v>1464</v>
      </c>
      <c r="C1048" s="88">
        <v>2055</v>
      </c>
      <c r="D1048" s="88">
        <v>2066</v>
      </c>
      <c r="E1048" s="88">
        <v>2026.7</v>
      </c>
      <c r="F1048" s="88">
        <v>2052.1999999999998</v>
      </c>
      <c r="G1048" s="88">
        <v>2052.1999999999998</v>
      </c>
      <c r="H1048" s="230">
        <v>55752</v>
      </c>
    </row>
    <row r="1049" spans="2:8" x14ac:dyDescent="0.3">
      <c r="B1049" s="229" t="s">
        <v>1465</v>
      </c>
      <c r="C1049" s="88">
        <v>2036.2</v>
      </c>
      <c r="D1049" s="88">
        <v>2056.0500000000002</v>
      </c>
      <c r="E1049" s="88">
        <v>2000</v>
      </c>
      <c r="F1049" s="88">
        <v>2026.7</v>
      </c>
      <c r="G1049" s="88">
        <v>2026.7</v>
      </c>
      <c r="H1049" s="230">
        <v>69058</v>
      </c>
    </row>
    <row r="1050" spans="2:8" x14ac:dyDescent="0.3">
      <c r="B1050" s="229" t="s">
        <v>1466</v>
      </c>
      <c r="C1050" s="88">
        <v>2100.0500000000002</v>
      </c>
      <c r="D1050" s="88">
        <v>2121</v>
      </c>
      <c r="E1050" s="88">
        <v>2029</v>
      </c>
      <c r="F1050" s="88">
        <v>2035.85</v>
      </c>
      <c r="G1050" s="88">
        <v>2035.85</v>
      </c>
      <c r="H1050" s="230">
        <v>55261</v>
      </c>
    </row>
    <row r="1051" spans="2:8" x14ac:dyDescent="0.3">
      <c r="B1051" s="229" t="s">
        <v>1467</v>
      </c>
      <c r="C1051" s="88">
        <v>2115</v>
      </c>
      <c r="D1051" s="88">
        <v>2149</v>
      </c>
      <c r="E1051" s="88">
        <v>2094.15</v>
      </c>
      <c r="F1051" s="88">
        <v>2100.0500000000002</v>
      </c>
      <c r="G1051" s="88">
        <v>2100.0500000000002</v>
      </c>
      <c r="H1051" s="230">
        <v>29220</v>
      </c>
    </row>
    <row r="1052" spans="2:8" x14ac:dyDescent="0.3">
      <c r="B1052" s="229" t="s">
        <v>1468</v>
      </c>
      <c r="C1052" s="88">
        <v>2052</v>
      </c>
      <c r="D1052" s="88">
        <v>2120.9499999999998</v>
      </c>
      <c r="E1052" s="88">
        <v>2011.05</v>
      </c>
      <c r="F1052" s="88">
        <v>2108.85</v>
      </c>
      <c r="G1052" s="88">
        <v>2108.85</v>
      </c>
      <c r="H1052" s="230">
        <v>62177</v>
      </c>
    </row>
    <row r="1053" spans="2:8" x14ac:dyDescent="0.3">
      <c r="B1053" s="229" t="s">
        <v>1469</v>
      </c>
      <c r="C1053" s="88">
        <v>2035</v>
      </c>
      <c r="D1053" s="88">
        <v>2054</v>
      </c>
      <c r="E1053" s="88">
        <v>2022</v>
      </c>
      <c r="F1053" s="88">
        <v>2040.45</v>
      </c>
      <c r="G1053" s="88">
        <v>2040.45</v>
      </c>
      <c r="H1053" s="230">
        <v>42284</v>
      </c>
    </row>
    <row r="1054" spans="2:8" x14ac:dyDescent="0.3">
      <c r="B1054" s="229" t="s">
        <v>1470</v>
      </c>
      <c r="C1054" s="88">
        <v>1900</v>
      </c>
      <c r="D1054" s="88">
        <v>2037</v>
      </c>
      <c r="E1054" s="88">
        <v>1900</v>
      </c>
      <c r="F1054" s="88">
        <v>2018.95</v>
      </c>
      <c r="G1054" s="88">
        <v>2018.95</v>
      </c>
      <c r="H1054" s="230">
        <v>117934</v>
      </c>
    </row>
    <row r="1055" spans="2:8" x14ac:dyDescent="0.3">
      <c r="B1055" s="229" t="s">
        <v>1471</v>
      </c>
      <c r="C1055" s="88">
        <v>2007.55</v>
      </c>
      <c r="D1055" s="88">
        <v>2024</v>
      </c>
      <c r="E1055" s="88">
        <v>1955</v>
      </c>
      <c r="F1055" s="88">
        <v>1988.9</v>
      </c>
      <c r="G1055" s="88">
        <v>1988.9</v>
      </c>
      <c r="H1055" s="230">
        <v>226904</v>
      </c>
    </row>
    <row r="1056" spans="2:8" x14ac:dyDescent="0.3">
      <c r="B1056" s="229" t="s">
        <v>1472</v>
      </c>
      <c r="C1056" s="88">
        <v>2142.0500000000002</v>
      </c>
      <c r="D1056" s="88">
        <v>2148.5</v>
      </c>
      <c r="E1056" s="88">
        <v>1981.15</v>
      </c>
      <c r="F1056" s="88">
        <v>2007.8</v>
      </c>
      <c r="G1056" s="88">
        <v>2007.8</v>
      </c>
      <c r="H1056" s="230">
        <v>236384</v>
      </c>
    </row>
    <row r="1057" spans="2:8" x14ac:dyDescent="0.3">
      <c r="B1057" s="229" t="s">
        <v>1473</v>
      </c>
      <c r="C1057" s="88">
        <v>2160</v>
      </c>
      <c r="D1057" s="88">
        <v>2194.6</v>
      </c>
      <c r="E1057" s="88">
        <v>2137</v>
      </c>
      <c r="F1057" s="88">
        <v>2146.75</v>
      </c>
      <c r="G1057" s="88">
        <v>2146.75</v>
      </c>
      <c r="H1057" s="230">
        <v>76246</v>
      </c>
    </row>
    <row r="1058" spans="2:8" x14ac:dyDescent="0.3">
      <c r="B1058" s="229" t="s">
        <v>1474</v>
      </c>
      <c r="C1058" s="88">
        <v>2230</v>
      </c>
      <c r="D1058" s="88">
        <v>2230</v>
      </c>
      <c r="E1058" s="88">
        <v>2148</v>
      </c>
      <c r="F1058" s="88">
        <v>2154.4</v>
      </c>
      <c r="G1058" s="88">
        <v>2154.4</v>
      </c>
      <c r="H1058" s="230">
        <v>47019</v>
      </c>
    </row>
    <row r="1059" spans="2:8" x14ac:dyDescent="0.3">
      <c r="B1059" s="229" t="s">
        <v>1475</v>
      </c>
      <c r="C1059" s="88">
        <v>2210</v>
      </c>
      <c r="D1059" s="88">
        <v>2302</v>
      </c>
      <c r="E1059" s="88">
        <v>2182</v>
      </c>
      <c r="F1059" s="88">
        <v>2232.4499999999998</v>
      </c>
      <c r="G1059" s="88">
        <v>2232.4499999999998</v>
      </c>
      <c r="H1059" s="230">
        <v>96380</v>
      </c>
    </row>
    <row r="1060" spans="2:8" x14ac:dyDescent="0.3">
      <c r="B1060" s="229" t="s">
        <v>1476</v>
      </c>
      <c r="C1060" s="88">
        <v>2322</v>
      </c>
      <c r="D1060" s="88">
        <v>2341.0500000000002</v>
      </c>
      <c r="E1060" s="88">
        <v>2305.8000000000002</v>
      </c>
      <c r="F1060" s="88">
        <v>2322.15</v>
      </c>
      <c r="G1060" s="88">
        <v>2322.15</v>
      </c>
      <c r="H1060" s="230">
        <v>26189</v>
      </c>
    </row>
    <row r="1061" spans="2:8" x14ac:dyDescent="0.3">
      <c r="B1061" s="229" t="s">
        <v>1477</v>
      </c>
      <c r="C1061" s="88">
        <v>2318.0500000000002</v>
      </c>
      <c r="D1061" s="88">
        <v>2360</v>
      </c>
      <c r="E1061" s="88">
        <v>2310</v>
      </c>
      <c r="F1061" s="88">
        <v>2321.0500000000002</v>
      </c>
      <c r="G1061" s="88">
        <v>2321.0500000000002</v>
      </c>
      <c r="H1061" s="230">
        <v>12037</v>
      </c>
    </row>
    <row r="1062" spans="2:8" x14ac:dyDescent="0.3">
      <c r="B1062" s="229" t="s">
        <v>1478</v>
      </c>
      <c r="C1062" s="88">
        <v>2377.4499999999998</v>
      </c>
      <c r="D1062" s="88">
        <v>2384.9499999999998</v>
      </c>
      <c r="E1062" s="88">
        <v>2300.0500000000002</v>
      </c>
      <c r="F1062" s="88">
        <v>2318.6</v>
      </c>
      <c r="G1062" s="88">
        <v>2318.6</v>
      </c>
      <c r="H1062" s="230">
        <v>35180</v>
      </c>
    </row>
    <row r="1063" spans="2:8" x14ac:dyDescent="0.3">
      <c r="B1063" s="229" t="s">
        <v>1479</v>
      </c>
      <c r="C1063" s="88">
        <v>2309</v>
      </c>
      <c r="D1063" s="88">
        <v>2382.25</v>
      </c>
      <c r="E1063" s="88">
        <v>2306</v>
      </c>
      <c r="F1063" s="88">
        <v>2364.9</v>
      </c>
      <c r="G1063" s="88">
        <v>2364.9</v>
      </c>
      <c r="H1063" s="230">
        <v>17636</v>
      </c>
    </row>
    <row r="1064" spans="2:8" x14ac:dyDescent="0.3">
      <c r="B1064" s="229" t="s">
        <v>1480</v>
      </c>
      <c r="C1064" s="88">
        <v>2304</v>
      </c>
      <c r="D1064" s="88">
        <v>2354.4</v>
      </c>
      <c r="E1064" s="88">
        <v>2300.1</v>
      </c>
      <c r="F1064" s="88">
        <v>2323</v>
      </c>
      <c r="G1064" s="88">
        <v>2323</v>
      </c>
      <c r="H1064" s="230">
        <v>17182</v>
      </c>
    </row>
    <row r="1065" spans="2:8" x14ac:dyDescent="0.3">
      <c r="B1065" s="229" t="s">
        <v>1481</v>
      </c>
      <c r="C1065" s="88">
        <v>2300</v>
      </c>
      <c r="D1065" s="88">
        <v>2324</v>
      </c>
      <c r="E1065" s="88">
        <v>2285.25</v>
      </c>
      <c r="F1065" s="88">
        <v>2295.4499999999998</v>
      </c>
      <c r="G1065" s="88">
        <v>2295.4499999999998</v>
      </c>
      <c r="H1065" s="230">
        <v>14999</v>
      </c>
    </row>
    <row r="1066" spans="2:8" x14ac:dyDescent="0.3">
      <c r="B1066" s="229" t="s">
        <v>1482</v>
      </c>
      <c r="C1066" s="88">
        <v>2332.9499999999998</v>
      </c>
      <c r="D1066" s="88">
        <v>2332.9499999999998</v>
      </c>
      <c r="E1066" s="88">
        <v>2286.1</v>
      </c>
      <c r="F1066" s="88">
        <v>2289.3000000000002</v>
      </c>
      <c r="G1066" s="88">
        <v>2289.3000000000002</v>
      </c>
      <c r="H1066" s="230">
        <v>19629</v>
      </c>
    </row>
    <row r="1067" spans="2:8" x14ac:dyDescent="0.3">
      <c r="B1067" s="229" t="s">
        <v>1483</v>
      </c>
      <c r="C1067" s="88">
        <v>2315</v>
      </c>
      <c r="D1067" s="88">
        <v>2330.3000000000002</v>
      </c>
      <c r="E1067" s="88">
        <v>2291</v>
      </c>
      <c r="F1067" s="88">
        <v>2318</v>
      </c>
      <c r="G1067" s="88">
        <v>2318</v>
      </c>
      <c r="H1067" s="230">
        <v>24457</v>
      </c>
    </row>
    <row r="1068" spans="2:8" x14ac:dyDescent="0.3">
      <c r="B1068" s="229" t="s">
        <v>1484</v>
      </c>
      <c r="C1068" s="88">
        <v>2295</v>
      </c>
      <c r="D1068" s="88">
        <v>2333.65</v>
      </c>
      <c r="E1068" s="88">
        <v>2275</v>
      </c>
      <c r="F1068" s="88">
        <v>2293.1</v>
      </c>
      <c r="G1068" s="88">
        <v>2293.1</v>
      </c>
      <c r="H1068" s="230">
        <v>31196</v>
      </c>
    </row>
    <row r="1069" spans="2:8" x14ac:dyDescent="0.3">
      <c r="B1069" s="229" t="s">
        <v>1485</v>
      </c>
      <c r="C1069" s="88">
        <v>2340</v>
      </c>
      <c r="D1069" s="88">
        <v>2340</v>
      </c>
      <c r="E1069" s="88">
        <v>2290</v>
      </c>
      <c r="F1069" s="88">
        <v>2295.4499999999998</v>
      </c>
      <c r="G1069" s="88">
        <v>2295.4499999999998</v>
      </c>
      <c r="H1069" s="230">
        <v>24318</v>
      </c>
    </row>
    <row r="1070" spans="2:8" x14ac:dyDescent="0.3">
      <c r="B1070" s="229" t="s">
        <v>1486</v>
      </c>
      <c r="C1070" s="88">
        <v>2350.1999999999998</v>
      </c>
      <c r="D1070" s="88">
        <v>2355</v>
      </c>
      <c r="E1070" s="88">
        <v>2298.0500000000002</v>
      </c>
      <c r="F1070" s="88">
        <v>2306.4</v>
      </c>
      <c r="G1070" s="88">
        <v>2306.4</v>
      </c>
      <c r="H1070" s="230">
        <v>25269</v>
      </c>
    </row>
    <row r="1071" spans="2:8" x14ac:dyDescent="0.3">
      <c r="B1071" s="229" t="s">
        <v>1487</v>
      </c>
      <c r="C1071" s="88">
        <v>2395</v>
      </c>
      <c r="D1071" s="88">
        <v>2423.9</v>
      </c>
      <c r="E1071" s="88">
        <v>2342.5500000000002</v>
      </c>
      <c r="F1071" s="88">
        <v>2356.1</v>
      </c>
      <c r="G1071" s="88">
        <v>2356.1</v>
      </c>
      <c r="H1071" s="230">
        <v>83095</v>
      </c>
    </row>
    <row r="1072" spans="2:8" x14ac:dyDescent="0.3">
      <c r="B1072" s="229" t="s">
        <v>1488</v>
      </c>
      <c r="C1072" s="88">
        <v>2352.85</v>
      </c>
      <c r="D1072" s="88">
        <v>2374</v>
      </c>
      <c r="E1072" s="88">
        <v>2340.9499999999998</v>
      </c>
      <c r="F1072" s="88">
        <v>2358.9</v>
      </c>
      <c r="G1072" s="88">
        <v>2358.9</v>
      </c>
      <c r="H1072" s="230">
        <v>20736</v>
      </c>
    </row>
    <row r="1073" spans="2:8" x14ac:dyDescent="0.3">
      <c r="B1073" s="229" t="s">
        <v>1489</v>
      </c>
      <c r="C1073" s="88">
        <v>2370</v>
      </c>
      <c r="D1073" s="88">
        <v>2399</v>
      </c>
      <c r="E1073" s="88">
        <v>2340.9499999999998</v>
      </c>
      <c r="F1073" s="88">
        <v>2352.85</v>
      </c>
      <c r="G1073" s="88">
        <v>2352.85</v>
      </c>
      <c r="H1073" s="230">
        <v>16257</v>
      </c>
    </row>
    <row r="1074" spans="2:8" x14ac:dyDescent="0.3">
      <c r="B1074" s="229" t="s">
        <v>1490</v>
      </c>
      <c r="C1074" s="88">
        <v>2342</v>
      </c>
      <c r="D1074" s="88">
        <v>2366.35</v>
      </c>
      <c r="E1074" s="88">
        <v>2330</v>
      </c>
      <c r="F1074" s="88">
        <v>2348.6999999999998</v>
      </c>
      <c r="G1074" s="88">
        <v>2348.6999999999998</v>
      </c>
      <c r="H1074" s="230">
        <v>11806</v>
      </c>
    </row>
    <row r="1075" spans="2:8" x14ac:dyDescent="0.3">
      <c r="B1075" s="229" t="s">
        <v>1491</v>
      </c>
      <c r="C1075" s="88">
        <v>2372</v>
      </c>
      <c r="D1075" s="88">
        <v>2401.85</v>
      </c>
      <c r="E1075" s="88">
        <v>2325</v>
      </c>
      <c r="F1075" s="88">
        <v>2340.25</v>
      </c>
      <c r="G1075" s="88">
        <v>2340.25</v>
      </c>
      <c r="H1075" s="230">
        <v>222697</v>
      </c>
    </row>
    <row r="1076" spans="2:8" x14ac:dyDescent="0.3">
      <c r="B1076" s="229" t="s">
        <v>1492</v>
      </c>
      <c r="C1076" s="88">
        <v>2390</v>
      </c>
      <c r="D1076" s="88">
        <v>2434</v>
      </c>
      <c r="E1076" s="88">
        <v>2354</v>
      </c>
      <c r="F1076" s="88">
        <v>2400.9</v>
      </c>
      <c r="G1076" s="88">
        <v>2400.9</v>
      </c>
      <c r="H1076" s="230">
        <v>40378</v>
      </c>
    </row>
    <row r="1077" spans="2:8" x14ac:dyDescent="0.3">
      <c r="B1077" s="229" t="s">
        <v>1493</v>
      </c>
      <c r="C1077" s="88">
        <v>2400</v>
      </c>
      <c r="D1077" s="88">
        <v>2422</v>
      </c>
      <c r="E1077" s="88">
        <v>2340.0500000000002</v>
      </c>
      <c r="F1077" s="88">
        <v>2371</v>
      </c>
      <c r="G1077" s="88">
        <v>2371</v>
      </c>
      <c r="H1077" s="230">
        <v>15762</v>
      </c>
    </row>
    <row r="1078" spans="2:8" x14ac:dyDescent="0.3">
      <c r="B1078" s="229" t="s">
        <v>1494</v>
      </c>
      <c r="C1078" s="88">
        <v>2338</v>
      </c>
      <c r="D1078" s="88">
        <v>2434.85</v>
      </c>
      <c r="E1078" s="88">
        <v>2310</v>
      </c>
      <c r="F1078" s="88">
        <v>2398.5</v>
      </c>
      <c r="G1078" s="88">
        <v>2398.5</v>
      </c>
      <c r="H1078" s="230">
        <v>20063</v>
      </c>
    </row>
    <row r="1079" spans="2:8" x14ac:dyDescent="0.3">
      <c r="B1079" s="229" t="s">
        <v>1495</v>
      </c>
      <c r="C1079" s="88">
        <v>2390</v>
      </c>
      <c r="D1079" s="88">
        <v>2422.6999999999998</v>
      </c>
      <c r="E1079" s="88">
        <v>2365</v>
      </c>
      <c r="F1079" s="88">
        <v>2405.65</v>
      </c>
      <c r="G1079" s="88">
        <v>2405.65</v>
      </c>
      <c r="H1079" s="230">
        <v>15752</v>
      </c>
    </row>
    <row r="1080" spans="2:8" x14ac:dyDescent="0.3">
      <c r="B1080" s="229" t="s">
        <v>1496</v>
      </c>
      <c r="C1080" s="88">
        <v>2410</v>
      </c>
      <c r="D1080" s="88">
        <v>2430.9499999999998</v>
      </c>
      <c r="E1080" s="88">
        <v>2361.25</v>
      </c>
      <c r="F1080" s="88">
        <v>2387.25</v>
      </c>
      <c r="G1080" s="88">
        <v>2387.25</v>
      </c>
      <c r="H1080" s="230">
        <v>14387</v>
      </c>
    </row>
    <row r="1081" spans="2:8" x14ac:dyDescent="0.3">
      <c r="B1081" s="229" t="s">
        <v>1497</v>
      </c>
      <c r="C1081" s="88">
        <v>2462</v>
      </c>
      <c r="D1081" s="88">
        <v>2470.9499999999998</v>
      </c>
      <c r="E1081" s="88">
        <v>2370.1</v>
      </c>
      <c r="F1081" s="88">
        <v>2391.6</v>
      </c>
      <c r="G1081" s="88">
        <v>2391.6</v>
      </c>
      <c r="H1081" s="230">
        <v>28372</v>
      </c>
    </row>
    <row r="1082" spans="2:8" x14ac:dyDescent="0.3">
      <c r="B1082" s="229" t="s">
        <v>1498</v>
      </c>
      <c r="C1082" s="88">
        <v>2503</v>
      </c>
      <c r="D1082" s="88">
        <v>2526.8000000000002</v>
      </c>
      <c r="E1082" s="88">
        <v>2415</v>
      </c>
      <c r="F1082" s="88">
        <v>2457.1999999999998</v>
      </c>
      <c r="G1082" s="88">
        <v>2457.1999999999998</v>
      </c>
      <c r="H1082" s="230">
        <v>26015</v>
      </c>
    </row>
    <row r="1083" spans="2:8" x14ac:dyDescent="0.3">
      <c r="B1083" s="229" t="s">
        <v>1499</v>
      </c>
      <c r="C1083" s="88">
        <v>2430</v>
      </c>
      <c r="D1083" s="88">
        <v>2522.9499999999998</v>
      </c>
      <c r="E1083" s="88">
        <v>2430</v>
      </c>
      <c r="F1083" s="88">
        <v>2496.9499999999998</v>
      </c>
      <c r="G1083" s="88">
        <v>2496.9499999999998</v>
      </c>
      <c r="H1083" s="230">
        <v>47066</v>
      </c>
    </row>
    <row r="1084" spans="2:8" x14ac:dyDescent="0.3">
      <c r="B1084" s="229" t="s">
        <v>1500</v>
      </c>
      <c r="C1084" s="88">
        <v>2383</v>
      </c>
      <c r="D1084" s="88">
        <v>2432.6</v>
      </c>
      <c r="E1084" s="88">
        <v>2320</v>
      </c>
      <c r="F1084" s="88">
        <v>2415.85</v>
      </c>
      <c r="G1084" s="88">
        <v>2415.85</v>
      </c>
      <c r="H1084" s="230">
        <v>23238</v>
      </c>
    </row>
    <row r="1085" spans="2:8" x14ac:dyDescent="0.3">
      <c r="B1085" s="229" t="s">
        <v>1501</v>
      </c>
      <c r="C1085" s="88">
        <v>2392.1</v>
      </c>
      <c r="D1085" s="88">
        <v>2450</v>
      </c>
      <c r="E1085" s="88">
        <v>2331</v>
      </c>
      <c r="F1085" s="88">
        <v>2353.3000000000002</v>
      </c>
      <c r="G1085" s="88">
        <v>2353.3000000000002</v>
      </c>
      <c r="H1085" s="230">
        <v>28392</v>
      </c>
    </row>
    <row r="1086" spans="2:8" x14ac:dyDescent="0.3">
      <c r="B1086" s="229" t="s">
        <v>1502</v>
      </c>
      <c r="C1086" s="88">
        <v>2315</v>
      </c>
      <c r="D1086" s="88">
        <v>2390</v>
      </c>
      <c r="E1086" s="88">
        <v>2291</v>
      </c>
      <c r="F1086" s="88">
        <v>2381.15</v>
      </c>
      <c r="G1086" s="88">
        <v>2381.15</v>
      </c>
      <c r="H1086" s="230">
        <v>28735</v>
      </c>
    </row>
    <row r="1087" spans="2:8" x14ac:dyDescent="0.3">
      <c r="B1087" s="229" t="s">
        <v>1503</v>
      </c>
      <c r="C1087" s="88">
        <v>2334</v>
      </c>
      <c r="D1087" s="88">
        <v>2334</v>
      </c>
      <c r="E1087" s="88">
        <v>2284.75</v>
      </c>
      <c r="F1087" s="88">
        <v>2304.75</v>
      </c>
      <c r="G1087" s="88">
        <v>2304.75</v>
      </c>
      <c r="H1087" s="230">
        <v>18432</v>
      </c>
    </row>
    <row r="1088" spans="2:8" x14ac:dyDescent="0.3">
      <c r="B1088" s="229" t="s">
        <v>1504</v>
      </c>
      <c r="C1088" s="88">
        <v>2330</v>
      </c>
      <c r="D1088" s="88">
        <v>2366.15</v>
      </c>
      <c r="E1088" s="88">
        <v>2232</v>
      </c>
      <c r="F1088" s="88">
        <v>2265.9</v>
      </c>
      <c r="G1088" s="88">
        <v>2265.9</v>
      </c>
      <c r="H1088" s="230">
        <v>59424</v>
      </c>
    </row>
    <row r="1089" spans="2:8" x14ac:dyDescent="0.3">
      <c r="B1089" s="229" t="s">
        <v>1505</v>
      </c>
      <c r="C1089" s="88">
        <v>2224</v>
      </c>
      <c r="D1089" s="88">
        <v>2310.4499999999998</v>
      </c>
      <c r="E1089" s="88">
        <v>2205</v>
      </c>
      <c r="F1089" s="88">
        <v>2308.1999999999998</v>
      </c>
      <c r="G1089" s="88">
        <v>2308.1999999999998</v>
      </c>
      <c r="H1089" s="230">
        <v>44419</v>
      </c>
    </row>
    <row r="1090" spans="2:8" x14ac:dyDescent="0.3">
      <c r="B1090" s="229" t="s">
        <v>1506</v>
      </c>
      <c r="C1090" s="88">
        <v>2260</v>
      </c>
      <c r="D1090" s="88">
        <v>2265</v>
      </c>
      <c r="E1090" s="88">
        <v>2176.15</v>
      </c>
      <c r="F1090" s="88">
        <v>2200.4499999999998</v>
      </c>
      <c r="G1090" s="88">
        <v>2200.4499999999998</v>
      </c>
      <c r="H1090" s="230">
        <v>54015</v>
      </c>
    </row>
    <row r="1091" spans="2:8" x14ac:dyDescent="0.3">
      <c r="B1091" s="229" t="s">
        <v>1507</v>
      </c>
      <c r="C1091" s="88">
        <v>2350</v>
      </c>
      <c r="D1091" s="88">
        <v>2390</v>
      </c>
      <c r="E1091" s="88">
        <v>2282.4499999999998</v>
      </c>
      <c r="F1091" s="88">
        <v>2290.4</v>
      </c>
      <c r="G1091" s="88">
        <v>2290.4</v>
      </c>
      <c r="H1091" s="230">
        <v>31359</v>
      </c>
    </row>
    <row r="1092" spans="2:8" x14ac:dyDescent="0.3">
      <c r="B1092" s="229" t="s">
        <v>1508</v>
      </c>
      <c r="C1092" s="88">
        <v>2485</v>
      </c>
      <c r="D1092" s="88">
        <v>2518</v>
      </c>
      <c r="E1092" s="88">
        <v>2395.0500000000002</v>
      </c>
      <c r="F1092" s="88">
        <v>2402.5500000000002</v>
      </c>
      <c r="G1092" s="88">
        <v>2402.5500000000002</v>
      </c>
      <c r="H1092" s="230">
        <v>18747</v>
      </c>
    </row>
    <row r="1093" spans="2:8" x14ac:dyDescent="0.3">
      <c r="B1093" s="229" t="s">
        <v>1509</v>
      </c>
      <c r="C1093" s="88">
        <v>2448.8000000000002</v>
      </c>
      <c r="D1093" s="88">
        <v>2530</v>
      </c>
      <c r="E1093" s="88">
        <v>2380</v>
      </c>
      <c r="F1093" s="88">
        <v>2470.5</v>
      </c>
      <c r="G1093" s="88">
        <v>2470.5</v>
      </c>
      <c r="H1093" s="230">
        <v>14774</v>
      </c>
    </row>
    <row r="1094" spans="2:8" x14ac:dyDescent="0.3">
      <c r="B1094" s="229" t="s">
        <v>1510</v>
      </c>
      <c r="C1094" s="88">
        <v>2347</v>
      </c>
      <c r="D1094" s="88">
        <v>2453.0500000000002</v>
      </c>
      <c r="E1094" s="88">
        <v>2310.0500000000002</v>
      </c>
      <c r="F1094" s="88">
        <v>2453.0500000000002</v>
      </c>
      <c r="G1094" s="88">
        <v>2453.0500000000002</v>
      </c>
      <c r="H1094" s="230">
        <v>17218</v>
      </c>
    </row>
    <row r="1095" spans="2:8" x14ac:dyDescent="0.3">
      <c r="B1095" s="229" t="s">
        <v>1511</v>
      </c>
      <c r="C1095" s="88">
        <v>2325</v>
      </c>
      <c r="D1095" s="88">
        <v>2355</v>
      </c>
      <c r="E1095" s="88">
        <v>2256.65</v>
      </c>
      <c r="F1095" s="88">
        <v>2336.25</v>
      </c>
      <c r="G1095" s="88">
        <v>2336.25</v>
      </c>
      <c r="H1095" s="230">
        <v>4606</v>
      </c>
    </row>
    <row r="1096" spans="2:8" x14ac:dyDescent="0.3">
      <c r="B1096" s="229" t="s">
        <v>1512</v>
      </c>
      <c r="C1096" s="88">
        <v>2350</v>
      </c>
      <c r="D1096" s="88">
        <v>2362.5</v>
      </c>
      <c r="E1096" s="88">
        <v>2280</v>
      </c>
      <c r="F1096" s="88">
        <v>2306</v>
      </c>
      <c r="G1096" s="88">
        <v>2306</v>
      </c>
      <c r="H1096" s="230">
        <v>7412</v>
      </c>
    </row>
    <row r="1097" spans="2:8" x14ac:dyDescent="0.3">
      <c r="B1097" s="229" t="s">
        <v>1513</v>
      </c>
      <c r="C1097" s="88">
        <v>2334.9</v>
      </c>
      <c r="D1097" s="88">
        <v>2338.75</v>
      </c>
      <c r="E1097" s="88">
        <v>2282.8000000000002</v>
      </c>
      <c r="F1097" s="88">
        <v>2329.4499999999998</v>
      </c>
      <c r="G1097" s="88">
        <v>2329.4499999999998</v>
      </c>
      <c r="H1097" s="230">
        <v>5740</v>
      </c>
    </row>
    <row r="1098" spans="2:8" x14ac:dyDescent="0.3">
      <c r="B1098" s="229" t="s">
        <v>1514</v>
      </c>
      <c r="C1098" s="88">
        <v>2345</v>
      </c>
      <c r="D1098" s="88">
        <v>2359.6999999999998</v>
      </c>
      <c r="E1098" s="88">
        <v>2310</v>
      </c>
      <c r="F1098" s="88">
        <v>2323.1</v>
      </c>
      <c r="G1098" s="88">
        <v>2323.1</v>
      </c>
      <c r="H1098" s="230">
        <v>6563</v>
      </c>
    </row>
    <row r="1099" spans="2:8" x14ac:dyDescent="0.3">
      <c r="B1099" s="229" t="s">
        <v>1515</v>
      </c>
      <c r="C1099" s="88">
        <v>2368</v>
      </c>
      <c r="D1099" s="88">
        <v>2395</v>
      </c>
      <c r="E1099" s="88">
        <v>2300</v>
      </c>
      <c r="F1099" s="88">
        <v>2351.75</v>
      </c>
      <c r="G1099" s="88">
        <v>2351.75</v>
      </c>
      <c r="H1099" s="230">
        <v>13576</v>
      </c>
    </row>
    <row r="1100" spans="2:8" x14ac:dyDescent="0.3">
      <c r="B1100" s="229" t="s">
        <v>1516</v>
      </c>
      <c r="C1100" s="88">
        <v>2320</v>
      </c>
      <c r="D1100" s="88">
        <v>2349.4499999999998</v>
      </c>
      <c r="E1100" s="88">
        <v>2262</v>
      </c>
      <c r="F1100" s="88">
        <v>2300.1</v>
      </c>
      <c r="G1100" s="88">
        <v>2300.1</v>
      </c>
      <c r="H1100" s="230">
        <v>10724</v>
      </c>
    </row>
    <row r="1101" spans="2:8" x14ac:dyDescent="0.3">
      <c r="B1101" s="229" t="s">
        <v>1517</v>
      </c>
      <c r="C1101" s="88">
        <v>2299.5</v>
      </c>
      <c r="D1101" s="88">
        <v>2352</v>
      </c>
      <c r="E1101" s="88">
        <v>2261</v>
      </c>
      <c r="F1101" s="88">
        <v>2310.4499999999998</v>
      </c>
      <c r="G1101" s="88">
        <v>2310.4499999999998</v>
      </c>
      <c r="H1101" s="230">
        <v>9972</v>
      </c>
    </row>
    <row r="1102" spans="2:8" x14ac:dyDescent="0.3">
      <c r="B1102" s="229" t="s">
        <v>1518</v>
      </c>
      <c r="C1102" s="88">
        <v>2208</v>
      </c>
      <c r="D1102" s="88">
        <v>2275</v>
      </c>
      <c r="E1102" s="88">
        <v>2150</v>
      </c>
      <c r="F1102" s="88">
        <v>2248.85</v>
      </c>
      <c r="G1102" s="88">
        <v>2248.85</v>
      </c>
      <c r="H1102" s="230">
        <v>11759</v>
      </c>
    </row>
    <row r="1103" spans="2:8" x14ac:dyDescent="0.3">
      <c r="B1103" s="229" t="s">
        <v>1519</v>
      </c>
      <c r="C1103" s="88">
        <v>2190</v>
      </c>
      <c r="D1103" s="88">
        <v>2222</v>
      </c>
      <c r="E1103" s="88">
        <v>2133</v>
      </c>
      <c r="F1103" s="88">
        <v>2198.35</v>
      </c>
      <c r="G1103" s="88">
        <v>2198.35</v>
      </c>
      <c r="H1103" s="230">
        <v>6661</v>
      </c>
    </row>
    <row r="1104" spans="2:8" x14ac:dyDescent="0.3">
      <c r="B1104" s="229" t="s">
        <v>1520</v>
      </c>
      <c r="C1104" s="88">
        <v>2250</v>
      </c>
      <c r="D1104" s="88">
        <v>2250</v>
      </c>
      <c r="E1104" s="88">
        <v>2124</v>
      </c>
      <c r="F1104" s="88">
        <v>2170.0500000000002</v>
      </c>
      <c r="G1104" s="88">
        <v>2170.0500000000002</v>
      </c>
      <c r="H1104" s="230">
        <v>11093</v>
      </c>
    </row>
    <row r="1105" spans="2:8" x14ac:dyDescent="0.3">
      <c r="B1105" s="229" t="s">
        <v>1521</v>
      </c>
      <c r="C1105" s="88">
        <v>2336</v>
      </c>
      <c r="D1105" s="88">
        <v>2336</v>
      </c>
      <c r="E1105" s="88">
        <v>2189.4</v>
      </c>
      <c r="F1105" s="88">
        <v>2205.1999999999998</v>
      </c>
      <c r="G1105" s="88">
        <v>2205.1999999999998</v>
      </c>
      <c r="H1105" s="230">
        <v>6934</v>
      </c>
    </row>
    <row r="1106" spans="2:8" x14ac:dyDescent="0.3">
      <c r="B1106" s="229" t="s">
        <v>1522</v>
      </c>
      <c r="C1106" s="88">
        <v>2340</v>
      </c>
      <c r="D1106" s="88">
        <v>2340</v>
      </c>
      <c r="E1106" s="88">
        <v>2275</v>
      </c>
      <c r="F1106" s="88">
        <v>2284.5500000000002</v>
      </c>
      <c r="G1106" s="88">
        <v>2284.5500000000002</v>
      </c>
      <c r="H1106" s="230">
        <v>10215</v>
      </c>
    </row>
    <row r="1107" spans="2:8" x14ac:dyDescent="0.3">
      <c r="B1107" s="229" t="s">
        <v>1523</v>
      </c>
      <c r="C1107" s="88">
        <v>2329</v>
      </c>
      <c r="D1107" s="88">
        <v>2390</v>
      </c>
      <c r="E1107" s="88">
        <v>2329</v>
      </c>
      <c r="F1107" s="88">
        <v>2379.8000000000002</v>
      </c>
      <c r="G1107" s="88">
        <v>2379.8000000000002</v>
      </c>
      <c r="H1107" s="230">
        <v>9159</v>
      </c>
    </row>
    <row r="1108" spans="2:8" x14ac:dyDescent="0.3">
      <c r="B1108" s="229" t="s">
        <v>1524</v>
      </c>
      <c r="C1108" s="88">
        <v>2320</v>
      </c>
      <c r="D1108" s="88">
        <v>2348.9499999999998</v>
      </c>
      <c r="E1108" s="88">
        <v>2300</v>
      </c>
      <c r="F1108" s="88">
        <v>2328.6999999999998</v>
      </c>
      <c r="G1108" s="88">
        <v>2328.6999999999998</v>
      </c>
      <c r="H1108" s="230">
        <v>7601</v>
      </c>
    </row>
    <row r="1109" spans="2:8" x14ac:dyDescent="0.3">
      <c r="B1109" s="229" t="s">
        <v>1525</v>
      </c>
      <c r="C1109" s="88">
        <v>2312</v>
      </c>
      <c r="D1109" s="88">
        <v>2338</v>
      </c>
      <c r="E1109" s="88">
        <v>2290</v>
      </c>
      <c r="F1109" s="88">
        <v>2301.3000000000002</v>
      </c>
      <c r="G1109" s="88">
        <v>2301.3000000000002</v>
      </c>
      <c r="H1109" s="230">
        <v>4477</v>
      </c>
    </row>
    <row r="1110" spans="2:8" x14ac:dyDescent="0.3">
      <c r="B1110" s="229" t="s">
        <v>1526</v>
      </c>
      <c r="C1110" s="88">
        <v>2319</v>
      </c>
      <c r="D1110" s="88">
        <v>2349</v>
      </c>
      <c r="E1110" s="88">
        <v>2275.1</v>
      </c>
      <c r="F1110" s="88">
        <v>2317.8000000000002</v>
      </c>
      <c r="G1110" s="88">
        <v>2317.8000000000002</v>
      </c>
      <c r="H1110" s="230">
        <v>7818</v>
      </c>
    </row>
    <row r="1111" spans="2:8" x14ac:dyDescent="0.3">
      <c r="B1111" s="229" t="s">
        <v>1527</v>
      </c>
      <c r="C1111" s="88">
        <v>2319</v>
      </c>
      <c r="D1111" s="88">
        <v>2345</v>
      </c>
      <c r="E1111" s="88">
        <v>2273.5</v>
      </c>
      <c r="F1111" s="88">
        <v>2311.4</v>
      </c>
      <c r="G1111" s="88">
        <v>2311.4</v>
      </c>
      <c r="H1111" s="230">
        <v>6704</v>
      </c>
    </row>
    <row r="1112" spans="2:8" x14ac:dyDescent="0.3">
      <c r="B1112" s="229" t="s">
        <v>1528</v>
      </c>
      <c r="C1112" s="88">
        <v>2292.6999999999998</v>
      </c>
      <c r="D1112" s="88">
        <v>2345</v>
      </c>
      <c r="E1112" s="88">
        <v>2260.1</v>
      </c>
      <c r="F1112" s="88">
        <v>2296.4499999999998</v>
      </c>
      <c r="G1112" s="88">
        <v>2296.4499999999998</v>
      </c>
      <c r="H1112" s="230">
        <v>15180</v>
      </c>
    </row>
    <row r="1113" spans="2:8" x14ac:dyDescent="0.3">
      <c r="B1113" s="229" t="s">
        <v>1529</v>
      </c>
      <c r="C1113" s="88">
        <v>2220</v>
      </c>
      <c r="D1113" s="88">
        <v>2314.9</v>
      </c>
      <c r="E1113" s="88">
        <v>2205.1999999999998</v>
      </c>
      <c r="F1113" s="88">
        <v>2292.6999999999998</v>
      </c>
      <c r="G1113" s="88">
        <v>2292.6999999999998</v>
      </c>
      <c r="H1113" s="230">
        <v>9946</v>
      </c>
    </row>
    <row r="1114" spans="2:8" x14ac:dyDescent="0.3">
      <c r="B1114" s="229" t="s">
        <v>1530</v>
      </c>
      <c r="C1114" s="88">
        <v>2209.4499999999998</v>
      </c>
      <c r="D1114" s="88">
        <v>2280</v>
      </c>
      <c r="E1114" s="88">
        <v>2170</v>
      </c>
      <c r="F1114" s="88">
        <v>2237.1999999999998</v>
      </c>
      <c r="G1114" s="88">
        <v>2237.1999999999998</v>
      </c>
      <c r="H1114" s="230">
        <v>6809</v>
      </c>
    </row>
    <row r="1115" spans="2:8" x14ac:dyDescent="0.3">
      <c r="B1115" s="229" t="s">
        <v>1531</v>
      </c>
      <c r="C1115" s="88">
        <v>2223</v>
      </c>
      <c r="D1115" s="88">
        <v>2283</v>
      </c>
      <c r="E1115" s="88">
        <v>2155</v>
      </c>
      <c r="F1115" s="88">
        <v>2257.4499999999998</v>
      </c>
      <c r="G1115" s="88">
        <v>2257.4499999999998</v>
      </c>
      <c r="H1115" s="230">
        <v>11171</v>
      </c>
    </row>
    <row r="1116" spans="2:8" x14ac:dyDescent="0.3">
      <c r="B1116" s="229" t="s">
        <v>1532</v>
      </c>
      <c r="C1116" s="88">
        <v>2200.0500000000002</v>
      </c>
      <c r="D1116" s="88">
        <v>2229.9</v>
      </c>
      <c r="E1116" s="88">
        <v>2195.5500000000002</v>
      </c>
      <c r="F1116" s="88">
        <v>2211.35</v>
      </c>
      <c r="G1116" s="88">
        <v>2211.35</v>
      </c>
      <c r="H1116" s="230">
        <v>7682</v>
      </c>
    </row>
    <row r="1117" spans="2:8" x14ac:dyDescent="0.3">
      <c r="B1117" s="229" t="s">
        <v>1533</v>
      </c>
      <c r="C1117" s="88">
        <v>2099</v>
      </c>
      <c r="D1117" s="88">
        <v>2222</v>
      </c>
      <c r="E1117" s="88">
        <v>2099</v>
      </c>
      <c r="F1117" s="88">
        <v>2141.1</v>
      </c>
      <c r="G1117" s="88">
        <v>2141.1</v>
      </c>
      <c r="H1117" s="230">
        <v>15024</v>
      </c>
    </row>
    <row r="1118" spans="2:8" x14ac:dyDescent="0.3">
      <c r="B1118" s="229" t="s">
        <v>1534</v>
      </c>
      <c r="C1118" s="88">
        <v>2180</v>
      </c>
      <c r="D1118" s="88">
        <v>2319.9499999999998</v>
      </c>
      <c r="E1118" s="88">
        <v>2173.9499999999998</v>
      </c>
      <c r="F1118" s="88">
        <v>2181.9</v>
      </c>
      <c r="G1118" s="88">
        <v>2181.9</v>
      </c>
      <c r="H1118" s="230">
        <v>29877</v>
      </c>
    </row>
    <row r="1119" spans="2:8" x14ac:dyDescent="0.3">
      <c r="B1119" s="229" t="s">
        <v>1535</v>
      </c>
      <c r="C1119" s="88">
        <v>2345.5</v>
      </c>
      <c r="D1119" s="88">
        <v>2345.5</v>
      </c>
      <c r="E1119" s="88">
        <v>2287.9</v>
      </c>
      <c r="F1119" s="88">
        <v>2287.9</v>
      </c>
      <c r="G1119" s="88">
        <v>2287.9</v>
      </c>
      <c r="H1119" s="230">
        <v>10920</v>
      </c>
    </row>
    <row r="1120" spans="2:8" x14ac:dyDescent="0.3">
      <c r="B1120" s="229" t="s">
        <v>1536</v>
      </c>
      <c r="C1120" s="88">
        <v>2397</v>
      </c>
      <c r="D1120" s="88">
        <v>2414.6</v>
      </c>
      <c r="E1120" s="88">
        <v>2375.25</v>
      </c>
      <c r="F1120" s="88">
        <v>2408.3000000000002</v>
      </c>
      <c r="G1120" s="88">
        <v>2408.3000000000002</v>
      </c>
      <c r="H1120" s="230">
        <v>76055</v>
      </c>
    </row>
    <row r="1121" spans="2:8" x14ac:dyDescent="0.3">
      <c r="B1121" s="229" t="s">
        <v>1537</v>
      </c>
      <c r="C1121" s="88">
        <v>2201</v>
      </c>
      <c r="D1121" s="88">
        <v>2301</v>
      </c>
      <c r="E1121" s="88">
        <v>2201</v>
      </c>
      <c r="F1121" s="88">
        <v>2299.65</v>
      </c>
      <c r="G1121" s="88">
        <v>2299.65</v>
      </c>
      <c r="H1121" s="230">
        <v>49358</v>
      </c>
    </row>
    <row r="1122" spans="2:8" x14ac:dyDescent="0.3">
      <c r="B1122" s="229" t="s">
        <v>1538</v>
      </c>
      <c r="C1122" s="88">
        <v>2179</v>
      </c>
      <c r="D1122" s="88">
        <v>2191.4499999999998</v>
      </c>
      <c r="E1122" s="88">
        <v>2100.25</v>
      </c>
      <c r="F1122" s="88">
        <v>2191.4499999999998</v>
      </c>
      <c r="G1122" s="88">
        <v>2191.4499999999998</v>
      </c>
      <c r="H1122" s="230">
        <v>119372</v>
      </c>
    </row>
    <row r="1123" spans="2:8" x14ac:dyDescent="0.3">
      <c r="B1123" s="229" t="s">
        <v>1539</v>
      </c>
      <c r="C1123" s="88">
        <v>2092</v>
      </c>
      <c r="D1123" s="88">
        <v>2125</v>
      </c>
      <c r="E1123" s="88">
        <v>2010</v>
      </c>
      <c r="F1123" s="88">
        <v>2087.1</v>
      </c>
      <c r="G1123" s="88">
        <v>2087.1</v>
      </c>
      <c r="H1123" s="230">
        <v>8910</v>
      </c>
    </row>
    <row r="1124" spans="2:8" x14ac:dyDescent="0.3">
      <c r="B1124" s="229" t="s">
        <v>1540</v>
      </c>
      <c r="C1124" s="88">
        <v>2258</v>
      </c>
      <c r="D1124" s="88">
        <v>2275</v>
      </c>
      <c r="E1124" s="88">
        <v>2090.6999999999998</v>
      </c>
      <c r="F1124" s="88">
        <v>2092.9499999999998</v>
      </c>
      <c r="G1124" s="88">
        <v>2092.9499999999998</v>
      </c>
      <c r="H1124" s="230">
        <v>14967</v>
      </c>
    </row>
    <row r="1125" spans="2:8" x14ac:dyDescent="0.3">
      <c r="B1125" s="229" t="s">
        <v>1541</v>
      </c>
      <c r="C1125" s="88">
        <v>2150</v>
      </c>
      <c r="D1125" s="88">
        <v>2221.4499999999998</v>
      </c>
      <c r="E1125" s="88">
        <v>2115</v>
      </c>
      <c r="F1125" s="88">
        <v>2200.6999999999998</v>
      </c>
      <c r="G1125" s="88">
        <v>2200.6999999999998</v>
      </c>
      <c r="H1125" s="230">
        <v>18631</v>
      </c>
    </row>
    <row r="1126" spans="2:8" x14ac:dyDescent="0.3">
      <c r="B1126" s="229" t="s">
        <v>1542</v>
      </c>
      <c r="C1126" s="88">
        <v>2081.9</v>
      </c>
      <c r="D1126" s="88">
        <v>2187.4499999999998</v>
      </c>
      <c r="E1126" s="88">
        <v>1979.15</v>
      </c>
      <c r="F1126" s="88">
        <v>2115.6999999999998</v>
      </c>
      <c r="G1126" s="88">
        <v>2115.6999999999998</v>
      </c>
      <c r="H1126" s="230">
        <v>22318</v>
      </c>
    </row>
    <row r="1127" spans="2:8" x14ac:dyDescent="0.3">
      <c r="B1127" s="229" t="s">
        <v>1543</v>
      </c>
      <c r="C1127" s="88">
        <v>2015</v>
      </c>
      <c r="D1127" s="88">
        <v>2098.75</v>
      </c>
      <c r="E1127" s="88">
        <v>2015</v>
      </c>
      <c r="F1127" s="88">
        <v>2083.3000000000002</v>
      </c>
      <c r="G1127" s="88">
        <v>2083.3000000000002</v>
      </c>
      <c r="H1127" s="230">
        <v>44395</v>
      </c>
    </row>
    <row r="1128" spans="2:8" x14ac:dyDescent="0.3">
      <c r="B1128" s="229" t="s">
        <v>1544</v>
      </c>
      <c r="C1128" s="88">
        <v>1990</v>
      </c>
      <c r="D1128" s="88">
        <v>1998.85</v>
      </c>
      <c r="E1128" s="88">
        <v>1952</v>
      </c>
      <c r="F1128" s="88">
        <v>1998.85</v>
      </c>
      <c r="G1128" s="88">
        <v>1998.85</v>
      </c>
      <c r="H1128" s="230">
        <v>19472</v>
      </c>
    </row>
    <row r="1129" spans="2:8" x14ac:dyDescent="0.3">
      <c r="B1129" s="229" t="s">
        <v>1545</v>
      </c>
      <c r="C1129" s="88">
        <v>1751</v>
      </c>
      <c r="D1129" s="88">
        <v>1903.7</v>
      </c>
      <c r="E1129" s="88">
        <v>1751</v>
      </c>
      <c r="F1129" s="88">
        <v>1903.7</v>
      </c>
      <c r="G1129" s="88">
        <v>1903.7</v>
      </c>
      <c r="H1129" s="230">
        <v>11587</v>
      </c>
    </row>
    <row r="1130" spans="2:8" x14ac:dyDescent="0.3">
      <c r="B1130" s="229" t="s">
        <v>1546</v>
      </c>
      <c r="C1130" s="88">
        <v>1822.25</v>
      </c>
      <c r="D1130" s="88">
        <v>1900</v>
      </c>
      <c r="E1130" s="88">
        <v>1735.65</v>
      </c>
      <c r="F1130" s="88">
        <v>1813.05</v>
      </c>
      <c r="G1130" s="88">
        <v>1813.05</v>
      </c>
      <c r="H1130" s="230">
        <v>17467</v>
      </c>
    </row>
    <row r="1131" spans="2:8" x14ac:dyDescent="0.3">
      <c r="B1131" s="229" t="s">
        <v>1547</v>
      </c>
      <c r="C1131" s="88">
        <v>1826.95</v>
      </c>
      <c r="D1131" s="88">
        <v>1851</v>
      </c>
      <c r="E1131" s="88">
        <v>1826.95</v>
      </c>
      <c r="F1131" s="88">
        <v>1826.95</v>
      </c>
      <c r="G1131" s="88">
        <v>1826.95</v>
      </c>
      <c r="H1131" s="230">
        <v>12980</v>
      </c>
    </row>
    <row r="1132" spans="2:8" x14ac:dyDescent="0.3">
      <c r="B1132" s="229" t="s">
        <v>1548</v>
      </c>
      <c r="C1132" s="88">
        <v>1760.15</v>
      </c>
      <c r="D1132" s="88">
        <v>1923.1</v>
      </c>
      <c r="E1132" s="88">
        <v>1740</v>
      </c>
      <c r="F1132" s="88">
        <v>1923.1</v>
      </c>
      <c r="G1132" s="88">
        <v>1923.1</v>
      </c>
      <c r="H1132" s="230">
        <v>25128</v>
      </c>
    </row>
    <row r="1133" spans="2:8" x14ac:dyDescent="0.3">
      <c r="B1133" s="229" t="s">
        <v>1549</v>
      </c>
      <c r="C1133" s="88">
        <v>1831.55</v>
      </c>
      <c r="D1133" s="88">
        <v>1835</v>
      </c>
      <c r="E1133" s="88">
        <v>1831.55</v>
      </c>
      <c r="F1133" s="88">
        <v>1831.55</v>
      </c>
      <c r="G1133" s="88">
        <v>1831.55</v>
      </c>
      <c r="H1133" s="230">
        <v>12134</v>
      </c>
    </row>
    <row r="1134" spans="2:8" x14ac:dyDescent="0.3">
      <c r="B1134" s="229" t="s">
        <v>1550</v>
      </c>
      <c r="C1134" s="88">
        <v>2050</v>
      </c>
      <c r="D1134" s="88">
        <v>2079.8000000000002</v>
      </c>
      <c r="E1134" s="88">
        <v>1927.9</v>
      </c>
      <c r="F1134" s="88">
        <v>1927.9</v>
      </c>
      <c r="G1134" s="88">
        <v>1927.9</v>
      </c>
      <c r="H1134" s="230">
        <v>16736</v>
      </c>
    </row>
    <row r="1135" spans="2:8" x14ac:dyDescent="0.3">
      <c r="B1135" s="229" t="s">
        <v>1551</v>
      </c>
      <c r="C1135" s="88">
        <v>1935</v>
      </c>
      <c r="D1135" s="88">
        <v>2095</v>
      </c>
      <c r="E1135" s="88">
        <v>1911</v>
      </c>
      <c r="F1135" s="88">
        <v>2029.35</v>
      </c>
      <c r="G1135" s="88">
        <v>2029.35</v>
      </c>
      <c r="H1135" s="230">
        <v>21011</v>
      </c>
    </row>
    <row r="1136" spans="2:8" x14ac:dyDescent="0.3">
      <c r="B1136" s="229" t="s">
        <v>1552</v>
      </c>
      <c r="C1136" s="88">
        <v>2009</v>
      </c>
      <c r="D1136" s="88">
        <v>2100</v>
      </c>
      <c r="E1136" s="88">
        <v>2008.5</v>
      </c>
      <c r="F1136" s="88">
        <v>2011.55</v>
      </c>
      <c r="G1136" s="88">
        <v>2011.55</v>
      </c>
      <c r="H1136" s="230">
        <v>19323</v>
      </c>
    </row>
    <row r="1137" spans="2:8" x14ac:dyDescent="0.3">
      <c r="B1137" s="229" t="s">
        <v>1553</v>
      </c>
      <c r="C1137" s="88">
        <v>1917.3</v>
      </c>
      <c r="D1137" s="88">
        <v>2119.1</v>
      </c>
      <c r="E1137" s="88">
        <v>1917.3</v>
      </c>
      <c r="F1137" s="88">
        <v>2114.1999999999998</v>
      </c>
      <c r="G1137" s="88">
        <v>2114.1999999999998</v>
      </c>
      <c r="H1137" s="230">
        <v>54828</v>
      </c>
    </row>
    <row r="1138" spans="2:8" x14ac:dyDescent="0.3">
      <c r="B1138" s="229" t="s">
        <v>1554</v>
      </c>
      <c r="C1138" s="88">
        <v>2070</v>
      </c>
      <c r="D1138" s="88">
        <v>2070</v>
      </c>
      <c r="E1138" s="88">
        <v>2018.2</v>
      </c>
      <c r="F1138" s="88">
        <v>2018.2</v>
      </c>
      <c r="G1138" s="88">
        <v>2018.2</v>
      </c>
      <c r="H1138" s="230">
        <v>12732</v>
      </c>
    </row>
    <row r="1139" spans="2:8" x14ac:dyDescent="0.3">
      <c r="B1139" s="229" t="s">
        <v>1555</v>
      </c>
      <c r="C1139" s="88">
        <v>2135</v>
      </c>
      <c r="D1139" s="88">
        <v>2220</v>
      </c>
      <c r="E1139" s="88">
        <v>2105</v>
      </c>
      <c r="F1139" s="88">
        <v>2124.4</v>
      </c>
      <c r="G1139" s="88">
        <v>2124.4</v>
      </c>
      <c r="H1139" s="230">
        <v>13616</v>
      </c>
    </row>
    <row r="1140" spans="2:8" x14ac:dyDescent="0.3">
      <c r="B1140" s="229" t="s">
        <v>1556</v>
      </c>
      <c r="C1140" s="88">
        <v>2200</v>
      </c>
      <c r="D1140" s="88">
        <v>2240</v>
      </c>
      <c r="E1140" s="88">
        <v>2128.9499999999998</v>
      </c>
      <c r="F1140" s="88">
        <v>2138.8000000000002</v>
      </c>
      <c r="G1140" s="88">
        <v>2138.8000000000002</v>
      </c>
      <c r="H1140" s="230">
        <v>24658</v>
      </c>
    </row>
    <row r="1141" spans="2:8" x14ac:dyDescent="0.3">
      <c r="B1141" s="229" t="s">
        <v>1557</v>
      </c>
      <c r="C1141" s="88">
        <v>2190</v>
      </c>
      <c r="D1141" s="88">
        <v>2250</v>
      </c>
      <c r="E1141" s="88">
        <v>2140</v>
      </c>
      <c r="F1141" s="88">
        <v>2241</v>
      </c>
      <c r="G1141" s="88">
        <v>2241</v>
      </c>
      <c r="H1141" s="230">
        <v>14516</v>
      </c>
    </row>
    <row r="1142" spans="2:8" x14ac:dyDescent="0.3">
      <c r="B1142" s="229" t="s">
        <v>1558</v>
      </c>
      <c r="C1142" s="88">
        <v>2200</v>
      </c>
      <c r="D1142" s="88">
        <v>2250</v>
      </c>
      <c r="E1142" s="88">
        <v>2140</v>
      </c>
      <c r="F1142" s="88">
        <v>2239.0500000000002</v>
      </c>
      <c r="G1142" s="88">
        <v>2239.0500000000002</v>
      </c>
      <c r="H1142" s="230">
        <v>12979</v>
      </c>
    </row>
    <row r="1143" spans="2:8" x14ac:dyDescent="0.3">
      <c r="B1143" s="229" t="s">
        <v>1559</v>
      </c>
      <c r="C1143" s="88">
        <v>2289</v>
      </c>
      <c r="D1143" s="88">
        <v>2289</v>
      </c>
      <c r="E1143" s="88">
        <v>2160.1</v>
      </c>
      <c r="F1143" s="88">
        <v>2199.15</v>
      </c>
      <c r="G1143" s="88">
        <v>2199.15</v>
      </c>
      <c r="H1143" s="230">
        <v>17103</v>
      </c>
    </row>
    <row r="1144" spans="2:8" x14ac:dyDescent="0.3">
      <c r="B1144" s="229" t="s">
        <v>1560</v>
      </c>
      <c r="C1144" s="88">
        <v>2230</v>
      </c>
      <c r="D1144" s="88">
        <v>2274.0500000000002</v>
      </c>
      <c r="E1144" s="88">
        <v>2172.0500000000002</v>
      </c>
      <c r="F1144" s="88">
        <v>2229.3000000000002</v>
      </c>
      <c r="G1144" s="88">
        <v>2229.3000000000002</v>
      </c>
      <c r="H1144" s="230">
        <v>72912</v>
      </c>
    </row>
    <row r="1145" spans="2:8" x14ac:dyDescent="0.3">
      <c r="B1145" s="229" t="s">
        <v>1561</v>
      </c>
      <c r="C1145" s="88">
        <v>2350</v>
      </c>
      <c r="D1145" s="88">
        <v>2350</v>
      </c>
      <c r="E1145" s="88">
        <v>2220</v>
      </c>
      <c r="F1145" s="88">
        <v>2228.25</v>
      </c>
      <c r="G1145" s="88">
        <v>2228.25</v>
      </c>
      <c r="H1145" s="230">
        <v>105761</v>
      </c>
    </row>
    <row r="1146" spans="2:8" x14ac:dyDescent="0.3">
      <c r="B1146" s="229" t="s">
        <v>1562</v>
      </c>
      <c r="C1146" s="88">
        <v>2290</v>
      </c>
      <c r="D1146" s="88">
        <v>2374</v>
      </c>
      <c r="E1146" s="88">
        <v>2184</v>
      </c>
      <c r="F1146" s="88">
        <v>2311.25</v>
      </c>
      <c r="G1146" s="88">
        <v>2311.25</v>
      </c>
      <c r="H1146" s="230">
        <v>117392</v>
      </c>
    </row>
    <row r="1147" spans="2:8" x14ac:dyDescent="0.3">
      <c r="B1147" s="229" t="s">
        <v>1563</v>
      </c>
      <c r="C1147" s="88">
        <v>2348</v>
      </c>
      <c r="D1147" s="88">
        <v>2369.15</v>
      </c>
      <c r="E1147" s="88">
        <v>2310.8000000000002</v>
      </c>
      <c r="F1147" s="88">
        <v>2320.0500000000002</v>
      </c>
      <c r="G1147" s="88">
        <v>2320.0500000000002</v>
      </c>
      <c r="H1147" s="230">
        <v>50836</v>
      </c>
    </row>
    <row r="1148" spans="2:8" x14ac:dyDescent="0.3">
      <c r="B1148" s="229" t="s">
        <v>1564</v>
      </c>
      <c r="C1148" s="88">
        <v>2329.8000000000002</v>
      </c>
      <c r="D1148" s="88">
        <v>2418.3000000000002</v>
      </c>
      <c r="E1148" s="88">
        <v>2306</v>
      </c>
      <c r="F1148" s="88">
        <v>2360.5500000000002</v>
      </c>
      <c r="G1148" s="88">
        <v>2360.5500000000002</v>
      </c>
      <c r="H1148" s="230">
        <v>72022</v>
      </c>
    </row>
    <row r="1149" spans="2:8" x14ac:dyDescent="0.3">
      <c r="B1149" s="229" t="s">
        <v>1565</v>
      </c>
      <c r="C1149" s="88">
        <v>2400</v>
      </c>
      <c r="D1149" s="88">
        <v>2428.8000000000002</v>
      </c>
      <c r="E1149" s="88">
        <v>2308.5</v>
      </c>
      <c r="F1149" s="88">
        <v>2330.6999999999998</v>
      </c>
      <c r="G1149" s="88">
        <v>2330.6999999999998</v>
      </c>
      <c r="H1149" s="230">
        <v>65192</v>
      </c>
    </row>
    <row r="1150" spans="2:8" x14ac:dyDescent="0.3">
      <c r="B1150" s="229" t="s">
        <v>1566</v>
      </c>
      <c r="C1150" s="88">
        <v>2457</v>
      </c>
      <c r="D1150" s="88">
        <v>2457</v>
      </c>
      <c r="E1150" s="88">
        <v>2370.1</v>
      </c>
      <c r="F1150" s="88">
        <v>2388.35</v>
      </c>
      <c r="G1150" s="88">
        <v>2388.35</v>
      </c>
      <c r="H1150" s="230">
        <v>46529</v>
      </c>
    </row>
    <row r="1151" spans="2:8" x14ac:dyDescent="0.3">
      <c r="B1151" s="229" t="s">
        <v>1567</v>
      </c>
      <c r="C1151" s="88">
        <v>2439</v>
      </c>
      <c r="D1151" s="88">
        <v>2484.1</v>
      </c>
      <c r="E1151" s="88">
        <v>2430.5500000000002</v>
      </c>
      <c r="F1151" s="88">
        <v>2461.8000000000002</v>
      </c>
      <c r="G1151" s="88">
        <v>2461.8000000000002</v>
      </c>
      <c r="H1151" s="230">
        <v>80001</v>
      </c>
    </row>
    <row r="1152" spans="2:8" x14ac:dyDescent="0.3">
      <c r="B1152" s="229" t="s">
        <v>1568</v>
      </c>
      <c r="C1152" s="88">
        <v>2388</v>
      </c>
      <c r="D1152" s="88">
        <v>2436.85</v>
      </c>
      <c r="E1152" s="88">
        <v>2373.85</v>
      </c>
      <c r="F1152" s="88">
        <v>2425</v>
      </c>
      <c r="G1152" s="88">
        <v>2425</v>
      </c>
      <c r="H1152" s="230">
        <v>102083</v>
      </c>
    </row>
    <row r="1153" spans="2:8" x14ac:dyDescent="0.3">
      <c r="B1153" s="229" t="s">
        <v>1569</v>
      </c>
      <c r="C1153" s="88">
        <v>2330</v>
      </c>
      <c r="D1153" s="88">
        <v>2386</v>
      </c>
      <c r="E1153" s="88">
        <v>2307.35</v>
      </c>
      <c r="F1153" s="88">
        <v>2365.3000000000002</v>
      </c>
      <c r="G1153" s="88">
        <v>2365.3000000000002</v>
      </c>
      <c r="H1153" s="230">
        <v>137061</v>
      </c>
    </row>
    <row r="1154" spans="2:8" x14ac:dyDescent="0.3">
      <c r="B1154" s="229" t="s">
        <v>1570</v>
      </c>
      <c r="C1154" s="88">
        <v>2355</v>
      </c>
      <c r="D1154" s="88">
        <v>2379</v>
      </c>
      <c r="E1154" s="88">
        <v>2332.6999999999998</v>
      </c>
      <c r="F1154" s="88">
        <v>2340.5</v>
      </c>
      <c r="G1154" s="88">
        <v>2340.5</v>
      </c>
      <c r="H1154" s="230">
        <v>213855</v>
      </c>
    </row>
    <row r="1155" spans="2:8" x14ac:dyDescent="0.3">
      <c r="B1155" s="229" t="s">
        <v>1571</v>
      </c>
      <c r="C1155" s="88">
        <v>2444</v>
      </c>
      <c r="D1155" s="88">
        <v>2499</v>
      </c>
      <c r="E1155" s="88">
        <v>2336.85</v>
      </c>
      <c r="F1155" s="88">
        <v>2401.25</v>
      </c>
      <c r="G1155" s="88">
        <v>2401.25</v>
      </c>
      <c r="H1155" s="230">
        <v>322888</v>
      </c>
    </row>
    <row r="1156" spans="2:8" x14ac:dyDescent="0.3">
      <c r="B1156" s="229" t="s">
        <v>1572</v>
      </c>
      <c r="C1156" s="88">
        <v>2481.6</v>
      </c>
      <c r="D1156" s="88">
        <v>2559</v>
      </c>
      <c r="E1156" s="88">
        <v>2444.4</v>
      </c>
      <c r="F1156" s="88">
        <v>2542.3000000000002</v>
      </c>
      <c r="G1156" s="88">
        <v>2542.3000000000002</v>
      </c>
      <c r="H1156" s="230">
        <v>173268</v>
      </c>
    </row>
    <row r="1157" spans="2:8" x14ac:dyDescent="0.3">
      <c r="B1157" s="229" t="s">
        <v>1573</v>
      </c>
      <c r="C1157" s="88">
        <v>2394.65</v>
      </c>
      <c r="D1157" s="88">
        <v>2525.3000000000002</v>
      </c>
      <c r="E1157" s="88">
        <v>2382.15</v>
      </c>
      <c r="F1157" s="88">
        <v>2481.6</v>
      </c>
      <c r="G1157" s="88">
        <v>2481.6</v>
      </c>
      <c r="H1157" s="230">
        <v>136921</v>
      </c>
    </row>
    <row r="1158" spans="2:8" x14ac:dyDescent="0.3">
      <c r="B1158" s="229" t="s">
        <v>1574</v>
      </c>
      <c r="C1158" s="88">
        <v>2480</v>
      </c>
      <c r="D1158" s="88">
        <v>2480</v>
      </c>
      <c r="E1158" s="88">
        <v>2381.25</v>
      </c>
      <c r="F1158" s="88">
        <v>2394.65</v>
      </c>
      <c r="G1158" s="88">
        <v>2394.65</v>
      </c>
      <c r="H1158" s="230">
        <v>115232</v>
      </c>
    </row>
    <row r="1159" spans="2:8" x14ac:dyDescent="0.3">
      <c r="B1159" s="229" t="s">
        <v>1575</v>
      </c>
      <c r="C1159" s="88">
        <v>2286.6999999999998</v>
      </c>
      <c r="D1159" s="88">
        <v>2537</v>
      </c>
      <c r="E1159" s="88">
        <v>2286</v>
      </c>
      <c r="F1159" s="88">
        <v>2484.15</v>
      </c>
      <c r="G1159" s="88">
        <v>2484.15</v>
      </c>
      <c r="H1159" s="230">
        <v>185427</v>
      </c>
    </row>
    <row r="1160" spans="2:8" x14ac:dyDescent="0.3">
      <c r="B1160" s="229" t="s">
        <v>1576</v>
      </c>
      <c r="C1160" s="88">
        <v>2297.8000000000002</v>
      </c>
      <c r="D1160" s="88">
        <v>2330.1</v>
      </c>
      <c r="E1160" s="88">
        <v>2270.5</v>
      </c>
      <c r="F1160" s="88">
        <v>2286.6999999999998</v>
      </c>
      <c r="G1160" s="88">
        <v>2286.6999999999998</v>
      </c>
      <c r="H1160" s="230">
        <v>56377</v>
      </c>
    </row>
    <row r="1161" spans="2:8" x14ac:dyDescent="0.3">
      <c r="B1161" s="229" t="s">
        <v>1577</v>
      </c>
      <c r="C1161" s="88">
        <v>2250.0500000000002</v>
      </c>
      <c r="D1161" s="88">
        <v>2360.75</v>
      </c>
      <c r="E1161" s="88">
        <v>2250.0500000000002</v>
      </c>
      <c r="F1161" s="88">
        <v>2294.4499999999998</v>
      </c>
      <c r="G1161" s="88">
        <v>2294.4499999999998</v>
      </c>
      <c r="H1161" s="230">
        <v>111153</v>
      </c>
    </row>
    <row r="1162" spans="2:8" x14ac:dyDescent="0.3">
      <c r="B1162" s="229" t="s">
        <v>1578</v>
      </c>
      <c r="C1162" s="88">
        <v>2160</v>
      </c>
      <c r="D1162" s="88">
        <v>2273.1</v>
      </c>
      <c r="E1162" s="88">
        <v>2160</v>
      </c>
      <c r="F1162" s="88">
        <v>2249.3000000000002</v>
      </c>
      <c r="G1162" s="88">
        <v>2249.3000000000002</v>
      </c>
      <c r="H1162" s="230">
        <v>344332</v>
      </c>
    </row>
    <row r="1163" spans="2:8" x14ac:dyDescent="0.3">
      <c r="B1163" s="229" t="s">
        <v>1579</v>
      </c>
      <c r="C1163" s="88">
        <v>2141</v>
      </c>
      <c r="D1163" s="88">
        <v>2173</v>
      </c>
      <c r="E1163" s="88">
        <v>2113</v>
      </c>
      <c r="F1163" s="88">
        <v>2155.4499999999998</v>
      </c>
      <c r="G1163" s="88">
        <v>2155.4499999999998</v>
      </c>
      <c r="H1163" s="230">
        <v>43005</v>
      </c>
    </row>
    <row r="1164" spans="2:8" x14ac:dyDescent="0.3">
      <c r="B1164" s="229" t="s">
        <v>1580</v>
      </c>
      <c r="C1164" s="88">
        <v>2076</v>
      </c>
      <c r="D1164" s="88">
        <v>2157.85</v>
      </c>
      <c r="E1164" s="88">
        <v>2075.85</v>
      </c>
      <c r="F1164" s="88">
        <v>2131.65</v>
      </c>
      <c r="G1164" s="88">
        <v>2131.65</v>
      </c>
      <c r="H1164" s="230">
        <v>59416</v>
      </c>
    </row>
    <row r="1165" spans="2:8" x14ac:dyDescent="0.3">
      <c r="B1165" s="229" t="s">
        <v>1581</v>
      </c>
      <c r="C1165" s="88">
        <v>2055.1</v>
      </c>
      <c r="D1165" s="88">
        <v>2144.5</v>
      </c>
      <c r="E1165" s="88">
        <v>2055.1</v>
      </c>
      <c r="F1165" s="88">
        <v>2133.4499999999998</v>
      </c>
      <c r="G1165" s="88">
        <v>2133.4499999999998</v>
      </c>
      <c r="H1165" s="230">
        <v>185190</v>
      </c>
    </row>
    <row r="1166" spans="2:8" x14ac:dyDescent="0.3">
      <c r="B1166" s="229" t="s">
        <v>1582</v>
      </c>
      <c r="C1166" s="88">
        <v>1977</v>
      </c>
      <c r="D1166" s="88">
        <v>2063.35</v>
      </c>
      <c r="E1166" s="88">
        <v>1977</v>
      </c>
      <c r="F1166" s="88">
        <v>2051.65</v>
      </c>
      <c r="G1166" s="88">
        <v>2051.65</v>
      </c>
      <c r="H1166" s="230">
        <v>142186</v>
      </c>
    </row>
    <row r="1167" spans="2:8" x14ac:dyDescent="0.3">
      <c r="B1167" s="229" t="s">
        <v>1583</v>
      </c>
      <c r="C1167" s="88">
        <v>1935</v>
      </c>
      <c r="D1167" s="88">
        <v>1984</v>
      </c>
      <c r="E1167" s="88">
        <v>1930.4</v>
      </c>
      <c r="F1167" s="88">
        <v>1974</v>
      </c>
      <c r="G1167" s="88">
        <v>1974</v>
      </c>
      <c r="H1167" s="230">
        <v>33035</v>
      </c>
    </row>
    <row r="1168" spans="2:8" x14ac:dyDescent="0.3">
      <c r="B1168" s="229" t="s">
        <v>1584</v>
      </c>
      <c r="C1168" s="88">
        <v>1946.05</v>
      </c>
      <c r="D1168" s="88">
        <v>1958</v>
      </c>
      <c r="E1168" s="88">
        <v>1923.85</v>
      </c>
      <c r="F1168" s="88">
        <v>1929.3</v>
      </c>
      <c r="G1168" s="88">
        <v>1929.3</v>
      </c>
      <c r="H1168" s="230">
        <v>11698</v>
      </c>
    </row>
    <row r="1169" spans="2:8" x14ac:dyDescent="0.3">
      <c r="B1169" s="229" t="s">
        <v>1585</v>
      </c>
      <c r="C1169" s="88">
        <v>1941</v>
      </c>
      <c r="D1169" s="88">
        <v>1961</v>
      </c>
      <c r="E1169" s="88">
        <v>1928.35</v>
      </c>
      <c r="F1169" s="88">
        <v>1952.6</v>
      </c>
      <c r="G1169" s="88">
        <v>1952.6</v>
      </c>
      <c r="H1169" s="230">
        <v>18078</v>
      </c>
    </row>
    <row r="1170" spans="2:8" x14ac:dyDescent="0.3">
      <c r="B1170" s="229" t="s">
        <v>1586</v>
      </c>
      <c r="C1170" s="88">
        <v>1930</v>
      </c>
      <c r="D1170" s="88">
        <v>1960</v>
      </c>
      <c r="E1170" s="88">
        <v>1920</v>
      </c>
      <c r="F1170" s="88">
        <v>1949.75</v>
      </c>
      <c r="G1170" s="88">
        <v>1949.75</v>
      </c>
      <c r="H1170" s="230">
        <v>22541</v>
      </c>
    </row>
    <row r="1171" spans="2:8" x14ac:dyDescent="0.3">
      <c r="B1171" s="229" t="s">
        <v>1587</v>
      </c>
      <c r="C1171" s="88">
        <v>1915</v>
      </c>
      <c r="D1171" s="88">
        <v>1928.75</v>
      </c>
      <c r="E1171" s="88">
        <v>1911.4</v>
      </c>
      <c r="F1171" s="88">
        <v>1927</v>
      </c>
      <c r="G1171" s="88">
        <v>1927</v>
      </c>
      <c r="H1171" s="230">
        <v>42197</v>
      </c>
    </row>
    <row r="1172" spans="2:8" x14ac:dyDescent="0.3">
      <c r="B1172" s="229" t="s">
        <v>1588</v>
      </c>
      <c r="C1172" s="88">
        <v>1925</v>
      </c>
      <c r="D1172" s="88">
        <v>1930</v>
      </c>
      <c r="E1172" s="88">
        <v>1908.15</v>
      </c>
      <c r="F1172" s="88">
        <v>1914.2</v>
      </c>
      <c r="G1172" s="88">
        <v>1914.2</v>
      </c>
      <c r="H1172" s="230">
        <v>18490</v>
      </c>
    </row>
    <row r="1173" spans="2:8" x14ac:dyDescent="0.3">
      <c r="B1173" s="229" t="s">
        <v>1589</v>
      </c>
      <c r="C1173" s="88">
        <v>1934.9</v>
      </c>
      <c r="D1173" s="88">
        <v>1958.65</v>
      </c>
      <c r="E1173" s="88">
        <v>1901.15</v>
      </c>
      <c r="F1173" s="88">
        <v>1916.85</v>
      </c>
      <c r="G1173" s="88">
        <v>1916.85</v>
      </c>
      <c r="H1173" s="230">
        <v>30897</v>
      </c>
    </row>
    <row r="1174" spans="2:8" x14ac:dyDescent="0.3">
      <c r="B1174" s="229" t="s">
        <v>1590</v>
      </c>
      <c r="C1174" s="88">
        <v>1995.25</v>
      </c>
      <c r="D1174" s="88">
        <v>2004</v>
      </c>
      <c r="E1174" s="88">
        <v>1928.55</v>
      </c>
      <c r="F1174" s="88">
        <v>1936.8</v>
      </c>
      <c r="G1174" s="88">
        <v>1936.8</v>
      </c>
      <c r="H1174" s="230">
        <v>72536</v>
      </c>
    </row>
    <row r="1175" spans="2:8" x14ac:dyDescent="0.3">
      <c r="B1175" s="229" t="s">
        <v>1591</v>
      </c>
      <c r="C1175" s="88">
        <v>1946</v>
      </c>
      <c r="D1175" s="88">
        <v>1999</v>
      </c>
      <c r="E1175" s="88">
        <v>1932.9</v>
      </c>
      <c r="F1175" s="88">
        <v>1989.6</v>
      </c>
      <c r="G1175" s="88">
        <v>1989.6</v>
      </c>
      <c r="H1175" s="230">
        <v>63877</v>
      </c>
    </row>
    <row r="1176" spans="2:8" x14ac:dyDescent="0.3">
      <c r="B1176" s="229" t="s">
        <v>1592</v>
      </c>
      <c r="C1176" s="88">
        <v>1935</v>
      </c>
      <c r="D1176" s="88">
        <v>1951</v>
      </c>
      <c r="E1176" s="88">
        <v>1922.05</v>
      </c>
      <c r="F1176" s="88">
        <v>1947.4</v>
      </c>
      <c r="G1176" s="88">
        <v>1947.4</v>
      </c>
      <c r="H1176" s="230">
        <v>39699</v>
      </c>
    </row>
    <row r="1177" spans="2:8" x14ac:dyDescent="0.3">
      <c r="B1177" s="229" t="s">
        <v>1593</v>
      </c>
      <c r="C1177" s="88">
        <v>1939</v>
      </c>
      <c r="D1177" s="88">
        <v>1944.5</v>
      </c>
      <c r="E1177" s="88">
        <v>1921.1</v>
      </c>
      <c r="F1177" s="88">
        <v>1933.2</v>
      </c>
      <c r="G1177" s="88">
        <v>1933.2</v>
      </c>
      <c r="H1177" s="230">
        <v>47955</v>
      </c>
    </row>
    <row r="1178" spans="2:8" x14ac:dyDescent="0.3">
      <c r="B1178" s="229" t="s">
        <v>1594</v>
      </c>
      <c r="C1178" s="88">
        <v>1903.8</v>
      </c>
      <c r="D1178" s="88">
        <v>1939.7</v>
      </c>
      <c r="E1178" s="88">
        <v>1892.6</v>
      </c>
      <c r="F1178" s="88">
        <v>1930</v>
      </c>
      <c r="G1178" s="88">
        <v>1930</v>
      </c>
      <c r="H1178" s="230">
        <v>57461</v>
      </c>
    </row>
    <row r="1179" spans="2:8" x14ac:dyDescent="0.3">
      <c r="B1179" s="229" t="s">
        <v>1595</v>
      </c>
      <c r="C1179" s="88">
        <v>1927</v>
      </c>
      <c r="D1179" s="88">
        <v>1941.4</v>
      </c>
      <c r="E1179" s="88">
        <v>1881.55</v>
      </c>
      <c r="F1179" s="88">
        <v>1905.95</v>
      </c>
      <c r="G1179" s="88">
        <v>1905.95</v>
      </c>
      <c r="H1179" s="230">
        <v>3278899</v>
      </c>
    </row>
    <row r="1180" spans="2:8" x14ac:dyDescent="0.3">
      <c r="B1180" s="229" t="s">
        <v>1596</v>
      </c>
      <c r="C1180" s="88">
        <v>1888</v>
      </c>
      <c r="D1180" s="88">
        <v>1897.65</v>
      </c>
      <c r="E1180" s="88">
        <v>1863.35</v>
      </c>
      <c r="F1180" s="88">
        <v>1876.75</v>
      </c>
      <c r="G1180" s="88">
        <v>1876.75</v>
      </c>
      <c r="H1180" s="230">
        <v>60533</v>
      </c>
    </row>
    <row r="1181" spans="2:8" x14ac:dyDescent="0.3">
      <c r="B1181" s="229" t="s">
        <v>1597</v>
      </c>
      <c r="C1181" s="88">
        <v>1845</v>
      </c>
      <c r="D1181" s="88">
        <v>1903.6</v>
      </c>
      <c r="E1181" s="88">
        <v>1826.8</v>
      </c>
      <c r="F1181" s="88">
        <v>1882.85</v>
      </c>
      <c r="G1181" s="88">
        <v>1882.85</v>
      </c>
      <c r="H1181" s="230">
        <v>6955515</v>
      </c>
    </row>
    <row r="1182" spans="2:8" x14ac:dyDescent="0.3">
      <c r="B1182" s="229" t="s">
        <v>1598</v>
      </c>
      <c r="C1182" s="88">
        <v>1799.95</v>
      </c>
      <c r="D1182" s="88">
        <v>1839.65</v>
      </c>
      <c r="E1182" s="88">
        <v>1785.8</v>
      </c>
      <c r="F1182" s="88">
        <v>1829.5</v>
      </c>
      <c r="G1182" s="88">
        <v>1829.5</v>
      </c>
      <c r="H1182" s="230">
        <v>21931</v>
      </c>
    </row>
    <row r="1183" spans="2:8" x14ac:dyDescent="0.3">
      <c r="B1183" s="229" t="s">
        <v>1599</v>
      </c>
      <c r="C1183" s="88">
        <v>1800</v>
      </c>
      <c r="D1183" s="88">
        <v>1837.1</v>
      </c>
      <c r="E1183" s="88">
        <v>1800</v>
      </c>
      <c r="F1183" s="88">
        <v>1815.15</v>
      </c>
      <c r="G1183" s="88">
        <v>1815.15</v>
      </c>
      <c r="H1183" s="230">
        <v>23983</v>
      </c>
    </row>
    <row r="1184" spans="2:8" x14ac:dyDescent="0.3">
      <c r="B1184" s="229" t="s">
        <v>1600</v>
      </c>
      <c r="C1184" s="88">
        <v>1830</v>
      </c>
      <c r="D1184" s="88">
        <v>1830</v>
      </c>
      <c r="E1184" s="88">
        <v>1780</v>
      </c>
      <c r="F1184" s="88">
        <v>1789.65</v>
      </c>
      <c r="G1184" s="88">
        <v>1789.65</v>
      </c>
      <c r="H1184" s="230">
        <v>35175</v>
      </c>
    </row>
    <row r="1185" spans="2:8" x14ac:dyDescent="0.3">
      <c r="B1185" s="229" t="s">
        <v>1601</v>
      </c>
      <c r="C1185" s="88">
        <v>1831.6</v>
      </c>
      <c r="D1185" s="88">
        <v>1852.4</v>
      </c>
      <c r="E1185" s="88">
        <v>1827.7</v>
      </c>
      <c r="F1185" s="88">
        <v>1842.7</v>
      </c>
      <c r="G1185" s="88">
        <v>1842.7</v>
      </c>
      <c r="H1185" s="230">
        <v>204124</v>
      </c>
    </row>
    <row r="1186" spans="2:8" x14ac:dyDescent="0.3">
      <c r="B1186" s="229" t="s">
        <v>1602</v>
      </c>
      <c r="C1186" s="88">
        <v>1832</v>
      </c>
      <c r="D1186" s="88">
        <v>1854</v>
      </c>
      <c r="E1186" s="88">
        <v>1812.8</v>
      </c>
      <c r="F1186" s="88">
        <v>1822.6</v>
      </c>
      <c r="G1186" s="88">
        <v>1822.6</v>
      </c>
      <c r="H1186" s="230">
        <v>31383</v>
      </c>
    </row>
    <row r="1187" spans="2:8" x14ac:dyDescent="0.3">
      <c r="B1187" s="229" t="s">
        <v>1603</v>
      </c>
      <c r="C1187" s="88">
        <v>1855</v>
      </c>
      <c r="D1187" s="88">
        <v>1866.4</v>
      </c>
      <c r="E1187" s="88">
        <v>1820.1</v>
      </c>
      <c r="F1187" s="88">
        <v>1827</v>
      </c>
      <c r="G1187" s="88">
        <v>1827</v>
      </c>
      <c r="H1187" s="230">
        <v>29843</v>
      </c>
    </row>
    <row r="1188" spans="2:8" x14ac:dyDescent="0.3">
      <c r="B1188" s="229" t="s">
        <v>1604</v>
      </c>
      <c r="C1188" s="88">
        <v>1892</v>
      </c>
      <c r="D1188" s="88">
        <v>1899.6</v>
      </c>
      <c r="E1188" s="88">
        <v>1829.2</v>
      </c>
      <c r="F1188" s="88">
        <v>1838.2</v>
      </c>
      <c r="G1188" s="88">
        <v>1838.2</v>
      </c>
      <c r="H1188" s="230">
        <v>36867</v>
      </c>
    </row>
    <row r="1189" spans="2:8" x14ac:dyDescent="0.3">
      <c r="B1189" s="229" t="s">
        <v>1605</v>
      </c>
      <c r="C1189" s="88">
        <v>1929</v>
      </c>
      <c r="D1189" s="88">
        <v>1929</v>
      </c>
      <c r="E1189" s="88">
        <v>1877</v>
      </c>
      <c r="F1189" s="88">
        <v>1883.05</v>
      </c>
      <c r="G1189" s="88">
        <v>1883.05</v>
      </c>
      <c r="H1189" s="230">
        <v>20664</v>
      </c>
    </row>
    <row r="1190" spans="2:8" x14ac:dyDescent="0.3">
      <c r="B1190" s="229" t="s">
        <v>1606</v>
      </c>
      <c r="C1190" s="88">
        <v>1922.2</v>
      </c>
      <c r="D1190" s="88">
        <v>1930</v>
      </c>
      <c r="E1190" s="88">
        <v>1908.55</v>
      </c>
      <c r="F1190" s="88">
        <v>1924.15</v>
      </c>
      <c r="G1190" s="88">
        <v>1924.15</v>
      </c>
      <c r="H1190" s="230">
        <v>23419</v>
      </c>
    </row>
    <row r="1191" spans="2:8" x14ac:dyDescent="0.3">
      <c r="B1191" s="229" t="s">
        <v>1607</v>
      </c>
      <c r="C1191" s="88">
        <v>1909</v>
      </c>
      <c r="D1191" s="88">
        <v>1925</v>
      </c>
      <c r="E1191" s="88">
        <v>1909</v>
      </c>
      <c r="F1191" s="88">
        <v>1920.2</v>
      </c>
      <c r="G1191" s="88">
        <v>1920.2</v>
      </c>
      <c r="H1191" s="230">
        <v>14102</v>
      </c>
    </row>
    <row r="1192" spans="2:8" x14ac:dyDescent="0.3">
      <c r="B1192" s="229" t="s">
        <v>1608</v>
      </c>
      <c r="C1192" s="88">
        <v>1921.85</v>
      </c>
      <c r="D1192" s="88">
        <v>1928.15</v>
      </c>
      <c r="E1192" s="88">
        <v>1901.65</v>
      </c>
      <c r="F1192" s="88">
        <v>1906.35</v>
      </c>
      <c r="G1192" s="88">
        <v>1906.35</v>
      </c>
      <c r="H1192" s="230">
        <v>11639</v>
      </c>
    </row>
    <row r="1193" spans="2:8" x14ac:dyDescent="0.3">
      <c r="B1193" s="229" t="s">
        <v>1609</v>
      </c>
      <c r="C1193" s="88">
        <v>1922</v>
      </c>
      <c r="D1193" s="88">
        <v>1939</v>
      </c>
      <c r="E1193" s="88">
        <v>1911.3</v>
      </c>
      <c r="F1193" s="88">
        <v>1921.85</v>
      </c>
      <c r="G1193" s="88">
        <v>1921.85</v>
      </c>
      <c r="H1193" s="230">
        <v>30615</v>
      </c>
    </row>
    <row r="1194" spans="2:8" x14ac:dyDescent="0.3">
      <c r="B1194" s="229" t="s">
        <v>1610</v>
      </c>
      <c r="C1194" s="88">
        <v>1934</v>
      </c>
      <c r="D1194" s="88">
        <v>1934</v>
      </c>
      <c r="E1194" s="88">
        <v>1902</v>
      </c>
      <c r="F1194" s="88">
        <v>1919.3</v>
      </c>
      <c r="G1194" s="88">
        <v>1919.3</v>
      </c>
      <c r="H1194" s="230">
        <v>22849</v>
      </c>
    </row>
    <row r="1195" spans="2:8" x14ac:dyDescent="0.3">
      <c r="B1195" s="229" t="s">
        <v>1611</v>
      </c>
      <c r="C1195" s="88">
        <v>1920</v>
      </c>
      <c r="D1195" s="88">
        <v>1960</v>
      </c>
      <c r="E1195" s="88">
        <v>1913.05</v>
      </c>
      <c r="F1195" s="88">
        <v>1934.55</v>
      </c>
      <c r="G1195" s="88">
        <v>1934.55</v>
      </c>
      <c r="H1195" s="230">
        <v>48011</v>
      </c>
    </row>
    <row r="1196" spans="2:8" x14ac:dyDescent="0.3">
      <c r="B1196" s="229" t="s">
        <v>1612</v>
      </c>
      <c r="C1196" s="88">
        <v>1885</v>
      </c>
      <c r="D1196" s="88">
        <v>1941.5</v>
      </c>
      <c r="E1196" s="88">
        <v>1864.8</v>
      </c>
      <c r="F1196" s="88">
        <v>1915.45</v>
      </c>
      <c r="G1196" s="88">
        <v>1915.45</v>
      </c>
      <c r="H1196" s="230">
        <v>104146</v>
      </c>
    </row>
    <row r="1197" spans="2:8" x14ac:dyDescent="0.3">
      <c r="B1197" s="229" t="s">
        <v>1613</v>
      </c>
      <c r="C1197" s="88">
        <v>1779</v>
      </c>
      <c r="D1197" s="88">
        <v>1910</v>
      </c>
      <c r="E1197" s="88">
        <v>1774.75</v>
      </c>
      <c r="F1197" s="88">
        <v>1882.55</v>
      </c>
      <c r="G1197" s="88">
        <v>1882.55</v>
      </c>
      <c r="H1197" s="230">
        <v>115793</v>
      </c>
    </row>
    <row r="1198" spans="2:8" x14ac:dyDescent="0.3">
      <c r="B1198" s="229" t="s">
        <v>1614</v>
      </c>
      <c r="C1198" s="88">
        <v>1797.95</v>
      </c>
      <c r="D1198" s="88">
        <v>1797.95</v>
      </c>
      <c r="E1198" s="88">
        <v>1760.6</v>
      </c>
      <c r="F1198" s="88">
        <v>1770.8</v>
      </c>
      <c r="G1198" s="88">
        <v>1770.8</v>
      </c>
      <c r="H1198" s="230">
        <v>18812</v>
      </c>
    </row>
    <row r="1199" spans="2:8" x14ac:dyDescent="0.3">
      <c r="B1199" s="229" t="s">
        <v>1615</v>
      </c>
      <c r="C1199" s="88">
        <v>1785.05</v>
      </c>
      <c r="D1199" s="88">
        <v>1799.6</v>
      </c>
      <c r="E1199" s="88">
        <v>1760</v>
      </c>
      <c r="F1199" s="88">
        <v>1780.15</v>
      </c>
      <c r="G1199" s="88">
        <v>1780.15</v>
      </c>
      <c r="H1199" s="230">
        <v>28135</v>
      </c>
    </row>
    <row r="1200" spans="2:8" x14ac:dyDescent="0.3">
      <c r="B1200" s="229" t="s">
        <v>1616</v>
      </c>
      <c r="C1200" s="88">
        <v>1743.85</v>
      </c>
      <c r="D1200" s="88">
        <v>1793.9</v>
      </c>
      <c r="E1200" s="88">
        <v>1738.2</v>
      </c>
      <c r="F1200" s="88">
        <v>1778.7</v>
      </c>
      <c r="G1200" s="88">
        <v>1778.7</v>
      </c>
      <c r="H1200" s="230">
        <v>61555</v>
      </c>
    </row>
    <row r="1201" spans="2:8" x14ac:dyDescent="0.3">
      <c r="B1201" s="229" t="s">
        <v>1617</v>
      </c>
      <c r="C1201" s="88">
        <v>1734</v>
      </c>
      <c r="D1201" s="88">
        <v>1746.55</v>
      </c>
      <c r="E1201" s="88">
        <v>1701</v>
      </c>
      <c r="F1201" s="88">
        <v>1726.25</v>
      </c>
      <c r="G1201" s="88">
        <v>1726.25</v>
      </c>
      <c r="H1201" s="230">
        <v>29278</v>
      </c>
    </row>
    <row r="1202" spans="2:8" x14ac:dyDescent="0.3">
      <c r="B1202" s="229" t="s">
        <v>1618</v>
      </c>
      <c r="C1202" s="88">
        <v>1780.25</v>
      </c>
      <c r="D1202" s="88">
        <v>1796.85</v>
      </c>
      <c r="E1202" s="88">
        <v>1733</v>
      </c>
      <c r="F1202" s="88">
        <v>1736.55</v>
      </c>
      <c r="G1202" s="88">
        <v>1736.55</v>
      </c>
      <c r="H1202" s="230">
        <v>32757</v>
      </c>
    </row>
    <row r="1203" spans="2:8" x14ac:dyDescent="0.3">
      <c r="B1203" s="229" t="s">
        <v>1619</v>
      </c>
      <c r="C1203" s="88">
        <v>1999</v>
      </c>
      <c r="D1203" s="88">
        <v>1999</v>
      </c>
      <c r="E1203" s="88">
        <v>1771.35</v>
      </c>
      <c r="F1203" s="88">
        <v>1781.95</v>
      </c>
      <c r="G1203" s="88">
        <v>1781.95</v>
      </c>
      <c r="H1203" s="230">
        <v>36680</v>
      </c>
    </row>
    <row r="1204" spans="2:8" x14ac:dyDescent="0.3">
      <c r="B1204" s="229" t="s">
        <v>1620</v>
      </c>
      <c r="C1204" s="88">
        <v>1827.6</v>
      </c>
      <c r="D1204" s="88">
        <v>1829</v>
      </c>
      <c r="E1204" s="88">
        <v>1715</v>
      </c>
      <c r="F1204" s="88">
        <v>1802.05</v>
      </c>
      <c r="G1204" s="88">
        <v>1802.05</v>
      </c>
      <c r="H1204" s="230">
        <v>30133</v>
      </c>
    </row>
    <row r="1205" spans="2:8" x14ac:dyDescent="0.3">
      <c r="B1205" s="229" t="s">
        <v>1621</v>
      </c>
      <c r="C1205" s="88">
        <v>1842</v>
      </c>
      <c r="D1205" s="88">
        <v>1844</v>
      </c>
      <c r="E1205" s="88">
        <v>1820.1</v>
      </c>
      <c r="F1205" s="88">
        <v>1822.95</v>
      </c>
      <c r="G1205" s="88">
        <v>1822.95</v>
      </c>
      <c r="H1205" s="230">
        <v>15539</v>
      </c>
    </row>
    <row r="1206" spans="2:8" x14ac:dyDescent="0.3">
      <c r="B1206" s="229" t="s">
        <v>1622</v>
      </c>
      <c r="C1206" s="88">
        <v>1842</v>
      </c>
      <c r="D1206" s="88">
        <v>1850</v>
      </c>
      <c r="E1206" s="88">
        <v>1825.2</v>
      </c>
      <c r="F1206" s="88">
        <v>1840.05</v>
      </c>
      <c r="G1206" s="88">
        <v>1840.05</v>
      </c>
      <c r="H1206" s="230">
        <v>28841</v>
      </c>
    </row>
    <row r="1207" spans="2:8" x14ac:dyDescent="0.3">
      <c r="B1207" s="229" t="s">
        <v>1623</v>
      </c>
      <c r="C1207" s="88">
        <v>1845.45</v>
      </c>
      <c r="D1207" s="88">
        <v>1847</v>
      </c>
      <c r="E1207" s="88">
        <v>1818.9</v>
      </c>
      <c r="F1207" s="88">
        <v>1834.05</v>
      </c>
      <c r="G1207" s="88">
        <v>1834.05</v>
      </c>
      <c r="H1207" s="230">
        <v>13945</v>
      </c>
    </row>
    <row r="1208" spans="2:8" x14ac:dyDescent="0.3">
      <c r="B1208" s="229" t="s">
        <v>1624</v>
      </c>
      <c r="C1208" s="88">
        <v>1845</v>
      </c>
      <c r="D1208" s="88">
        <v>1850</v>
      </c>
      <c r="E1208" s="88">
        <v>1813.2</v>
      </c>
      <c r="F1208" s="88">
        <v>1844</v>
      </c>
      <c r="G1208" s="88">
        <v>1844</v>
      </c>
      <c r="H1208" s="230">
        <v>37939</v>
      </c>
    </row>
    <row r="1209" spans="2:8" x14ac:dyDescent="0.3">
      <c r="B1209" s="229" t="s">
        <v>1625</v>
      </c>
      <c r="C1209" s="88">
        <v>1844</v>
      </c>
      <c r="D1209" s="88">
        <v>1861.6</v>
      </c>
      <c r="E1209" s="88">
        <v>1813.05</v>
      </c>
      <c r="F1209" s="88">
        <v>1824.45</v>
      </c>
      <c r="G1209" s="88">
        <v>1824.45</v>
      </c>
      <c r="H1209" s="230">
        <v>38040</v>
      </c>
    </row>
    <row r="1210" spans="2:8" x14ac:dyDescent="0.3">
      <c r="B1210" s="229" t="s">
        <v>1626</v>
      </c>
      <c r="C1210" s="88">
        <v>1850</v>
      </c>
      <c r="D1210" s="88">
        <v>1868</v>
      </c>
      <c r="E1210" s="88">
        <v>1830.6</v>
      </c>
      <c r="F1210" s="88">
        <v>1843.45</v>
      </c>
      <c r="G1210" s="88">
        <v>1843.45</v>
      </c>
      <c r="H1210" s="230">
        <v>53905</v>
      </c>
    </row>
    <row r="1211" spans="2:8" x14ac:dyDescent="0.3">
      <c r="B1211" s="229" t="s">
        <v>1627</v>
      </c>
      <c r="C1211" s="88">
        <v>1805</v>
      </c>
      <c r="D1211" s="88">
        <v>1850</v>
      </c>
      <c r="E1211" s="88">
        <v>1793.5</v>
      </c>
      <c r="F1211" s="88">
        <v>1844.95</v>
      </c>
      <c r="G1211" s="88">
        <v>1844.95</v>
      </c>
      <c r="H1211" s="230">
        <v>59435</v>
      </c>
    </row>
    <row r="1212" spans="2:8" x14ac:dyDescent="0.3">
      <c r="B1212" s="229" t="s">
        <v>1628</v>
      </c>
      <c r="C1212" s="88">
        <v>1844</v>
      </c>
      <c r="D1212" s="88">
        <v>1848.35</v>
      </c>
      <c r="E1212" s="88">
        <v>1755.6</v>
      </c>
      <c r="F1212" s="88">
        <v>1781.9</v>
      </c>
      <c r="G1212" s="88">
        <v>1781.9</v>
      </c>
      <c r="H1212" s="230">
        <v>34069</v>
      </c>
    </row>
    <row r="1213" spans="2:8" x14ac:dyDescent="0.3">
      <c r="B1213" s="229" t="s">
        <v>1629</v>
      </c>
      <c r="C1213" s="88">
        <v>1840</v>
      </c>
      <c r="D1213" s="88">
        <v>1847</v>
      </c>
      <c r="E1213" s="88">
        <v>1818</v>
      </c>
      <c r="F1213" s="88">
        <v>1837.4</v>
      </c>
      <c r="G1213" s="88">
        <v>1837.4</v>
      </c>
      <c r="H1213" s="230">
        <v>26200</v>
      </c>
    </row>
    <row r="1214" spans="2:8" x14ac:dyDescent="0.3">
      <c r="B1214" s="229" t="s">
        <v>1630</v>
      </c>
      <c r="C1214" s="88">
        <v>1839.95</v>
      </c>
      <c r="D1214" s="88">
        <v>1840</v>
      </c>
      <c r="E1214" s="88">
        <v>1817.65</v>
      </c>
      <c r="F1214" s="88">
        <v>1836.8</v>
      </c>
      <c r="G1214" s="88">
        <v>1836.8</v>
      </c>
      <c r="H1214" s="230">
        <v>21376</v>
      </c>
    </row>
    <row r="1215" spans="2:8" x14ac:dyDescent="0.3">
      <c r="B1215" s="229" t="s">
        <v>1631</v>
      </c>
      <c r="C1215" s="88">
        <v>1823</v>
      </c>
      <c r="D1215" s="88">
        <v>1850</v>
      </c>
      <c r="E1215" s="88">
        <v>1812.95</v>
      </c>
      <c r="F1215" s="88">
        <v>1819.95</v>
      </c>
      <c r="G1215" s="88">
        <v>1819.95</v>
      </c>
      <c r="H1215" s="230">
        <v>37787</v>
      </c>
    </row>
    <row r="1216" spans="2:8" x14ac:dyDescent="0.3">
      <c r="B1216" s="229" t="s">
        <v>1632</v>
      </c>
      <c r="C1216" s="88">
        <v>1840.8</v>
      </c>
      <c r="D1216" s="88">
        <v>1867</v>
      </c>
      <c r="E1216" s="88">
        <v>1816.55</v>
      </c>
      <c r="F1216" s="88">
        <v>1823.45</v>
      </c>
      <c r="G1216" s="88">
        <v>1823.45</v>
      </c>
      <c r="H1216" s="230">
        <v>46486</v>
      </c>
    </row>
    <row r="1217" spans="2:8" x14ac:dyDescent="0.3">
      <c r="B1217" s="229" t="s">
        <v>1633</v>
      </c>
      <c r="C1217" s="88">
        <v>1829</v>
      </c>
      <c r="D1217" s="88">
        <v>1864.95</v>
      </c>
      <c r="E1217" s="88">
        <v>1806.6</v>
      </c>
      <c r="F1217" s="88">
        <v>1841.05</v>
      </c>
      <c r="G1217" s="88">
        <v>1841.05</v>
      </c>
      <c r="H1217" s="230">
        <v>83390</v>
      </c>
    </row>
    <row r="1218" spans="2:8" x14ac:dyDescent="0.3">
      <c r="B1218" s="229" t="s">
        <v>1634</v>
      </c>
      <c r="C1218" s="88">
        <v>1875</v>
      </c>
      <c r="D1218" s="88">
        <v>1875</v>
      </c>
      <c r="E1218" s="88">
        <v>1807.15</v>
      </c>
      <c r="F1218" s="88">
        <v>1827.25</v>
      </c>
      <c r="G1218" s="88">
        <v>1827.25</v>
      </c>
      <c r="H1218" s="230">
        <v>115133</v>
      </c>
    </row>
    <row r="1219" spans="2:8" x14ac:dyDescent="0.3">
      <c r="B1219" s="229" t="s">
        <v>1635</v>
      </c>
      <c r="C1219" s="88">
        <v>1926</v>
      </c>
      <c r="D1219" s="88">
        <v>1934</v>
      </c>
      <c r="E1219" s="88">
        <v>1850</v>
      </c>
      <c r="F1219" s="88">
        <v>1869.05</v>
      </c>
      <c r="G1219" s="88">
        <v>1869.05</v>
      </c>
      <c r="H1219" s="230">
        <v>75638</v>
      </c>
    </row>
    <row r="1220" spans="2:8" x14ac:dyDescent="0.3">
      <c r="B1220" s="229" t="s">
        <v>1636</v>
      </c>
      <c r="C1220" s="88">
        <v>1952.55</v>
      </c>
      <c r="D1220" s="88">
        <v>1966.75</v>
      </c>
      <c r="E1220" s="88">
        <v>1912.5</v>
      </c>
      <c r="F1220" s="88">
        <v>1919.95</v>
      </c>
      <c r="G1220" s="88">
        <v>1919.95</v>
      </c>
      <c r="H1220" s="230">
        <v>19542</v>
      </c>
    </row>
    <row r="1221" spans="2:8" x14ac:dyDescent="0.3">
      <c r="B1221" s="229" t="s">
        <v>1637</v>
      </c>
      <c r="C1221" s="88">
        <v>1970</v>
      </c>
      <c r="D1221" s="88">
        <v>1991.35</v>
      </c>
      <c r="E1221" s="88">
        <v>1954</v>
      </c>
      <c r="F1221" s="88">
        <v>1958.4</v>
      </c>
      <c r="G1221" s="88">
        <v>1958.4</v>
      </c>
      <c r="H1221" s="230">
        <v>20350</v>
      </c>
    </row>
    <row r="1222" spans="2:8" x14ac:dyDescent="0.3">
      <c r="B1222" s="229" t="s">
        <v>1638</v>
      </c>
      <c r="C1222" s="88">
        <v>1968.8</v>
      </c>
      <c r="D1222" s="88">
        <v>1982.8</v>
      </c>
      <c r="E1222" s="88">
        <v>1961.05</v>
      </c>
      <c r="F1222" s="88">
        <v>1964.9</v>
      </c>
      <c r="G1222" s="88">
        <v>1964.9</v>
      </c>
      <c r="H1222" s="230">
        <v>11770</v>
      </c>
    </row>
    <row r="1223" spans="2:8" x14ac:dyDescent="0.3">
      <c r="B1223" s="229" t="s">
        <v>1639</v>
      </c>
      <c r="C1223" s="88">
        <v>1985</v>
      </c>
      <c r="D1223" s="88">
        <v>2009.65</v>
      </c>
      <c r="E1223" s="88">
        <v>1961.25</v>
      </c>
      <c r="F1223" s="88">
        <v>1967.3</v>
      </c>
      <c r="G1223" s="88">
        <v>1967.3</v>
      </c>
      <c r="H1223" s="230">
        <v>22543</v>
      </c>
    </row>
    <row r="1224" spans="2:8" x14ac:dyDescent="0.3">
      <c r="B1224" s="229" t="s">
        <v>1640</v>
      </c>
      <c r="C1224" s="88">
        <v>1990</v>
      </c>
      <c r="D1224" s="88">
        <v>1991.2</v>
      </c>
      <c r="E1224" s="88">
        <v>1977</v>
      </c>
      <c r="F1224" s="88">
        <v>1988.05</v>
      </c>
      <c r="G1224" s="88">
        <v>1988.05</v>
      </c>
      <c r="H1224" s="230">
        <v>9914</v>
      </c>
    </row>
    <row r="1225" spans="2:8" x14ac:dyDescent="0.3">
      <c r="B1225" s="229" t="s">
        <v>1641</v>
      </c>
      <c r="C1225" s="88">
        <v>1975</v>
      </c>
      <c r="D1225" s="88">
        <v>1995.35</v>
      </c>
      <c r="E1225" s="88">
        <v>1963.3</v>
      </c>
      <c r="F1225" s="88">
        <v>1979</v>
      </c>
      <c r="G1225" s="88">
        <v>1979</v>
      </c>
      <c r="H1225" s="230">
        <v>19584</v>
      </c>
    </row>
    <row r="1226" spans="2:8" x14ac:dyDescent="0.3">
      <c r="B1226" s="229" t="s">
        <v>1642</v>
      </c>
      <c r="C1226" s="88">
        <v>1959</v>
      </c>
      <c r="D1226" s="88">
        <v>1982</v>
      </c>
      <c r="E1226" s="88">
        <v>1937</v>
      </c>
      <c r="F1226" s="88">
        <v>1976.3</v>
      </c>
      <c r="G1226" s="88">
        <v>1976.3</v>
      </c>
      <c r="H1226" s="230">
        <v>20028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K23" sqref="K23"/>
    </sheetView>
  </sheetViews>
  <sheetFormatPr defaultRowHeight="14.4" x14ac:dyDescent="0.3"/>
  <cols>
    <col min="1" max="1" width="1.88671875" customWidth="1"/>
  </cols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9"/>
  <sheetViews>
    <sheetView workbookViewId="0">
      <selection activeCell="G26" sqref="G26"/>
    </sheetView>
  </sheetViews>
  <sheetFormatPr defaultRowHeight="14.4" x14ac:dyDescent="0.3"/>
  <cols>
    <col min="2" max="2" width="25.77734375" bestFit="1" customWidth="1"/>
  </cols>
  <sheetData>
    <row r="1" spans="2:14" x14ac:dyDescent="0.3">
      <c r="C1" s="41">
        <v>41334</v>
      </c>
      <c r="D1" s="41">
        <v>41699</v>
      </c>
      <c r="E1" s="41">
        <v>42064</v>
      </c>
      <c r="F1" s="41">
        <v>42430</v>
      </c>
      <c r="G1" s="41">
        <v>42795</v>
      </c>
      <c r="H1" s="41">
        <v>43160</v>
      </c>
      <c r="I1" s="41">
        <v>43525</v>
      </c>
      <c r="J1" s="41">
        <v>43891</v>
      </c>
      <c r="K1" s="41">
        <v>44256</v>
      </c>
      <c r="L1" s="41">
        <v>44621</v>
      </c>
      <c r="M1" s="41">
        <v>44986</v>
      </c>
      <c r="N1" s="41">
        <v>45352</v>
      </c>
    </row>
    <row r="2" spans="2:14" x14ac:dyDescent="0.3">
      <c r="B2" t="s">
        <v>111</v>
      </c>
      <c r="C2">
        <v>25</v>
      </c>
      <c r="D2">
        <v>27</v>
      </c>
      <c r="E2">
        <v>76</v>
      </c>
      <c r="F2">
        <v>127</v>
      </c>
      <c r="G2">
        <v>150</v>
      </c>
      <c r="H2">
        <v>239</v>
      </c>
      <c r="I2">
        <v>-82</v>
      </c>
      <c r="J2">
        <v>1</v>
      </c>
      <c r="K2">
        <v>158</v>
      </c>
      <c r="L2">
        <v>-17</v>
      </c>
      <c r="M2">
        <v>-380</v>
      </c>
      <c r="N2" s="39">
        <v>-2036</v>
      </c>
    </row>
    <row r="3" spans="2:14" x14ac:dyDescent="0.3">
      <c r="B3" t="s">
        <v>112</v>
      </c>
      <c r="C3">
        <v>23</v>
      </c>
      <c r="D3">
        <v>114</v>
      </c>
      <c r="E3">
        <v>92</v>
      </c>
      <c r="F3">
        <v>128</v>
      </c>
      <c r="G3">
        <v>187</v>
      </c>
      <c r="H3">
        <v>170</v>
      </c>
      <c r="I3">
        <v>226</v>
      </c>
      <c r="J3">
        <v>25</v>
      </c>
      <c r="K3">
        <v>83</v>
      </c>
      <c r="L3">
        <v>26</v>
      </c>
      <c r="M3">
        <v>43</v>
      </c>
      <c r="N3">
        <v>376</v>
      </c>
    </row>
    <row r="4" spans="2:14" x14ac:dyDescent="0.3">
      <c r="B4" t="s">
        <v>69</v>
      </c>
      <c r="C4">
        <v>-63</v>
      </c>
      <c r="D4">
        <v>-90</v>
      </c>
      <c r="E4">
        <v>-26</v>
      </c>
      <c r="F4">
        <v>-35</v>
      </c>
      <c r="G4">
        <v>-24</v>
      </c>
      <c r="H4">
        <v>82</v>
      </c>
      <c r="I4">
        <v>-359</v>
      </c>
      <c r="J4">
        <v>196</v>
      </c>
      <c r="K4">
        <v>22</v>
      </c>
      <c r="L4">
        <v>36</v>
      </c>
      <c r="M4">
        <v>-169</v>
      </c>
      <c r="N4">
        <v>-969</v>
      </c>
    </row>
    <row r="5" spans="2:14" x14ac:dyDescent="0.3">
      <c r="B5" t="s">
        <v>45</v>
      </c>
      <c r="C5">
        <v>14</v>
      </c>
      <c r="D5">
        <v>8</v>
      </c>
      <c r="E5">
        <v>-12</v>
      </c>
      <c r="F5">
        <v>-11</v>
      </c>
      <c r="G5">
        <v>50</v>
      </c>
      <c r="H5">
        <v>-9</v>
      </c>
      <c r="I5">
        <v>10</v>
      </c>
      <c r="J5">
        <v>-71</v>
      </c>
      <c r="K5">
        <v>38</v>
      </c>
      <c r="L5">
        <v>-64</v>
      </c>
      <c r="M5">
        <v>-354</v>
      </c>
      <c r="N5" s="39">
        <v>-3091</v>
      </c>
    </row>
    <row r="6" spans="2:14" x14ac:dyDescent="0.3">
      <c r="B6" t="s">
        <v>113</v>
      </c>
      <c r="C6">
        <v>53</v>
      </c>
      <c r="D6">
        <v>32</v>
      </c>
      <c r="E6">
        <v>-2</v>
      </c>
      <c r="F6">
        <v>61</v>
      </c>
      <c r="G6">
        <v>-56</v>
      </c>
      <c r="H6">
        <v>-2</v>
      </c>
      <c r="I6">
        <v>57</v>
      </c>
      <c r="J6">
        <v>-89</v>
      </c>
      <c r="K6">
        <v>18</v>
      </c>
      <c r="L6">
        <v>19</v>
      </c>
      <c r="M6">
        <v>177</v>
      </c>
      <c r="N6" s="39">
        <v>1536</v>
      </c>
    </row>
    <row r="7" spans="2:14" x14ac:dyDescent="0.3">
      <c r="B7" t="s">
        <v>114</v>
      </c>
      <c r="C7">
        <v>4</v>
      </c>
      <c r="D7">
        <v>0</v>
      </c>
      <c r="E7">
        <v>8</v>
      </c>
      <c r="F7">
        <v>-2</v>
      </c>
      <c r="G7">
        <v>-1</v>
      </c>
      <c r="H7">
        <v>15</v>
      </c>
      <c r="I7">
        <v>1</v>
      </c>
      <c r="J7">
        <v>-1</v>
      </c>
      <c r="K7">
        <v>0</v>
      </c>
      <c r="L7">
        <v>0</v>
      </c>
      <c r="M7">
        <v>0</v>
      </c>
      <c r="N7">
        <v>0</v>
      </c>
    </row>
    <row r="8" spans="2:14" x14ac:dyDescent="0.3">
      <c r="B8" t="s">
        <v>115</v>
      </c>
      <c r="C8">
        <v>-6</v>
      </c>
      <c r="D8">
        <v>-34</v>
      </c>
      <c r="E8">
        <v>19</v>
      </c>
      <c r="F8">
        <v>-12</v>
      </c>
      <c r="G8">
        <v>1</v>
      </c>
      <c r="H8">
        <v>18</v>
      </c>
      <c r="I8">
        <v>8</v>
      </c>
      <c r="J8">
        <v>-49</v>
      </c>
      <c r="K8">
        <v>1</v>
      </c>
      <c r="L8">
        <v>-63</v>
      </c>
      <c r="M8">
        <v>-88</v>
      </c>
      <c r="N8">
        <v>134</v>
      </c>
    </row>
    <row r="9" spans="2:14" x14ac:dyDescent="0.3">
      <c r="B9" t="s">
        <v>116</v>
      </c>
      <c r="C9">
        <v>2</v>
      </c>
      <c r="D9">
        <v>-84</v>
      </c>
      <c r="E9">
        <v>-14</v>
      </c>
      <c r="F9">
        <v>1</v>
      </c>
      <c r="G9">
        <v>-30</v>
      </c>
      <c r="H9">
        <v>103</v>
      </c>
      <c r="I9">
        <v>-284</v>
      </c>
      <c r="J9">
        <v>-14</v>
      </c>
      <c r="K9">
        <v>79</v>
      </c>
      <c r="L9">
        <v>-73</v>
      </c>
      <c r="M9">
        <v>-435</v>
      </c>
      <c r="N9" s="39">
        <v>-2389</v>
      </c>
    </row>
    <row r="10" spans="2:14" x14ac:dyDescent="0.3">
      <c r="B10" t="s">
        <v>117</v>
      </c>
      <c r="C10">
        <v>0</v>
      </c>
      <c r="D10">
        <v>-3</v>
      </c>
      <c r="E10">
        <v>-2</v>
      </c>
      <c r="F10">
        <v>-2</v>
      </c>
      <c r="G10">
        <v>-6</v>
      </c>
      <c r="H10">
        <v>-33</v>
      </c>
      <c r="I10">
        <v>-24</v>
      </c>
      <c r="J10">
        <v>-11</v>
      </c>
      <c r="K10">
        <v>-5</v>
      </c>
      <c r="L10">
        <v>29</v>
      </c>
      <c r="M10">
        <v>11</v>
      </c>
      <c r="N10">
        <v>-23</v>
      </c>
    </row>
    <row r="11" spans="2:14" x14ac:dyDescent="0.3">
      <c r="B11" t="s">
        <v>118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2:14" x14ac:dyDescent="0.3">
      <c r="B12" t="s">
        <v>119</v>
      </c>
      <c r="C12">
        <v>0</v>
      </c>
      <c r="D12">
        <v>-74</v>
      </c>
      <c r="E12">
        <v>-29</v>
      </c>
      <c r="F12">
        <v>-50</v>
      </c>
      <c r="G12">
        <v>-140</v>
      </c>
      <c r="H12">
        <v>-213</v>
      </c>
      <c r="I12">
        <v>-104</v>
      </c>
      <c r="J12">
        <v>71</v>
      </c>
      <c r="K12">
        <v>-167</v>
      </c>
      <c r="L12">
        <v>-828</v>
      </c>
      <c r="M12">
        <v>-581</v>
      </c>
      <c r="N12">
        <v>430</v>
      </c>
    </row>
    <row r="13" spans="2:14" x14ac:dyDescent="0.3">
      <c r="B13" t="s">
        <v>120</v>
      </c>
      <c r="C13">
        <v>-23</v>
      </c>
      <c r="D13">
        <v>-56</v>
      </c>
      <c r="E13">
        <v>-39</v>
      </c>
      <c r="F13">
        <v>-46</v>
      </c>
      <c r="G13">
        <v>-52</v>
      </c>
      <c r="H13">
        <v>-68</v>
      </c>
      <c r="I13">
        <v>-80</v>
      </c>
      <c r="J13">
        <v>-93</v>
      </c>
      <c r="K13">
        <v>-83</v>
      </c>
      <c r="L13">
        <v>-117</v>
      </c>
      <c r="M13">
        <v>-249</v>
      </c>
      <c r="N13">
        <v>-408</v>
      </c>
    </row>
    <row r="14" spans="2:14" x14ac:dyDescent="0.3">
      <c r="B14" t="s">
        <v>121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2:14" x14ac:dyDescent="0.3">
      <c r="B15" t="s">
        <v>122</v>
      </c>
      <c r="C15">
        <v>0</v>
      </c>
      <c r="D15">
        <v>0</v>
      </c>
      <c r="E15">
        <v>0</v>
      </c>
      <c r="F15">
        <v>0</v>
      </c>
      <c r="G15">
        <v>0</v>
      </c>
      <c r="H15">
        <v>-485</v>
      </c>
      <c r="I15">
        <v>-776</v>
      </c>
      <c r="J15">
        <v>-727</v>
      </c>
      <c r="K15">
        <v>-555</v>
      </c>
      <c r="L15" s="39">
        <v>-2370</v>
      </c>
      <c r="M15" s="39">
        <v>-3963</v>
      </c>
      <c r="N15" s="39">
        <v>-3100</v>
      </c>
    </row>
    <row r="16" spans="2:14" x14ac:dyDescent="0.3">
      <c r="B16" t="s">
        <v>123</v>
      </c>
      <c r="C16">
        <v>16</v>
      </c>
      <c r="D16">
        <v>0</v>
      </c>
      <c r="E16">
        <v>0</v>
      </c>
      <c r="F16">
        <v>0</v>
      </c>
      <c r="G16">
        <v>0</v>
      </c>
      <c r="H16">
        <v>412</v>
      </c>
      <c r="I16">
        <v>771</v>
      </c>
      <c r="J16">
        <v>767</v>
      </c>
      <c r="K16">
        <v>571</v>
      </c>
      <c r="L16" s="39">
        <v>2014</v>
      </c>
      <c r="M16" s="39">
        <v>4122</v>
      </c>
      <c r="N16" s="39">
        <v>3051</v>
      </c>
    </row>
    <row r="17" spans="2:14" x14ac:dyDescent="0.3">
      <c r="B17" t="s">
        <v>124</v>
      </c>
      <c r="C17">
        <v>5</v>
      </c>
      <c r="D17">
        <v>4</v>
      </c>
      <c r="E17">
        <v>3</v>
      </c>
      <c r="F17">
        <v>4</v>
      </c>
      <c r="G17">
        <v>6</v>
      </c>
      <c r="H17">
        <v>16</v>
      </c>
      <c r="I17">
        <v>21</v>
      </c>
      <c r="J17">
        <v>21</v>
      </c>
      <c r="K17">
        <v>10</v>
      </c>
      <c r="L17">
        <v>24</v>
      </c>
      <c r="M17">
        <v>52</v>
      </c>
      <c r="N17">
        <v>44</v>
      </c>
    </row>
    <row r="18" spans="2:14" x14ac:dyDescent="0.3">
      <c r="B18" t="s">
        <v>125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2:14" x14ac:dyDescent="0.3">
      <c r="B19" t="s">
        <v>126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-240</v>
      </c>
      <c r="N19">
        <v>0</v>
      </c>
    </row>
    <row r="20" spans="2:14" x14ac:dyDescent="0.3">
      <c r="B20" t="s">
        <v>127</v>
      </c>
      <c r="C20">
        <v>2</v>
      </c>
      <c r="D20">
        <v>-22</v>
      </c>
      <c r="E20">
        <v>7</v>
      </c>
      <c r="F20">
        <v>-8</v>
      </c>
      <c r="G20">
        <v>-94</v>
      </c>
      <c r="H20">
        <v>-88</v>
      </c>
      <c r="I20">
        <v>-39</v>
      </c>
      <c r="J20">
        <v>103</v>
      </c>
      <c r="K20">
        <v>-111</v>
      </c>
      <c r="L20">
        <v>-379</v>
      </c>
      <c r="M20">
        <v>-303</v>
      </c>
      <c r="N20">
        <v>844</v>
      </c>
    </row>
    <row r="21" spans="2:14" x14ac:dyDescent="0.3">
      <c r="B21" t="s">
        <v>128</v>
      </c>
      <c r="C21">
        <v>8</v>
      </c>
      <c r="D21">
        <v>15</v>
      </c>
      <c r="E21">
        <v>-40</v>
      </c>
      <c r="F21">
        <v>-41</v>
      </c>
      <c r="G21">
        <v>-28</v>
      </c>
      <c r="H21">
        <v>157</v>
      </c>
      <c r="I21">
        <v>-11</v>
      </c>
      <c r="J21">
        <v>-22</v>
      </c>
      <c r="K21">
        <v>-3</v>
      </c>
      <c r="L21">
        <v>839</v>
      </c>
      <c r="M21">
        <v>999</v>
      </c>
      <c r="N21" s="39">
        <v>1713</v>
      </c>
    </row>
    <row r="22" spans="2:14" x14ac:dyDescent="0.3">
      <c r="B22" t="s">
        <v>129</v>
      </c>
      <c r="C22">
        <v>39</v>
      </c>
      <c r="D22">
        <v>0</v>
      </c>
      <c r="E22">
        <v>25</v>
      </c>
      <c r="F22">
        <v>0</v>
      </c>
      <c r="G22">
        <v>100</v>
      </c>
      <c r="H22">
        <v>468</v>
      </c>
      <c r="I22">
        <v>7</v>
      </c>
      <c r="J22">
        <v>3</v>
      </c>
      <c r="K22">
        <v>6</v>
      </c>
      <c r="L22">
        <v>511</v>
      </c>
      <c r="M22" s="39">
        <v>1021</v>
      </c>
      <c r="N22">
        <v>10</v>
      </c>
    </row>
    <row r="23" spans="2:14" x14ac:dyDescent="0.3">
      <c r="B23" t="s">
        <v>130</v>
      </c>
      <c r="C23">
        <v>5</v>
      </c>
      <c r="D23">
        <v>61</v>
      </c>
      <c r="E23">
        <v>0</v>
      </c>
      <c r="F23">
        <v>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s="39">
        <v>1917</v>
      </c>
    </row>
    <row r="24" spans="2:14" x14ac:dyDescent="0.3">
      <c r="B24" t="s">
        <v>131</v>
      </c>
      <c r="C24">
        <v>0</v>
      </c>
      <c r="D24">
        <v>0</v>
      </c>
      <c r="E24">
        <v>-16</v>
      </c>
      <c r="F24">
        <v>0</v>
      </c>
      <c r="G24">
        <v>0</v>
      </c>
      <c r="H24">
        <v>0</v>
      </c>
      <c r="I24">
        <v>-1</v>
      </c>
      <c r="J24">
        <v>-1</v>
      </c>
      <c r="K24">
        <v>0</v>
      </c>
      <c r="L24">
        <v>0</v>
      </c>
      <c r="M24">
        <v>0</v>
      </c>
      <c r="N24">
        <v>-191</v>
      </c>
    </row>
    <row r="25" spans="2:14" x14ac:dyDescent="0.3">
      <c r="B25" t="s">
        <v>132</v>
      </c>
      <c r="C25">
        <v>-36</v>
      </c>
      <c r="D25">
        <v>-46</v>
      </c>
      <c r="E25">
        <v>-48</v>
      </c>
      <c r="F25">
        <v>-49</v>
      </c>
      <c r="G25">
        <v>-32</v>
      </c>
      <c r="H25">
        <v>-14</v>
      </c>
      <c r="I25">
        <v>-17</v>
      </c>
      <c r="J25">
        <v>-7</v>
      </c>
      <c r="K25">
        <v>-3</v>
      </c>
      <c r="L25">
        <v>-3</v>
      </c>
      <c r="M25">
        <v>-15</v>
      </c>
      <c r="N25">
        <v>-18</v>
      </c>
    </row>
    <row r="26" spans="2:14" x14ac:dyDescent="0.3">
      <c r="B26" t="s">
        <v>133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-11</v>
      </c>
      <c r="K26">
        <v>0</v>
      </c>
      <c r="L26">
        <v>0</v>
      </c>
      <c r="M26">
        <v>0</v>
      </c>
      <c r="N26">
        <v>0</v>
      </c>
    </row>
    <row r="27" spans="2:14" x14ac:dyDescent="0.3">
      <c r="B27" t="s">
        <v>134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-6</v>
      </c>
      <c r="K27">
        <v>-6</v>
      </c>
      <c r="L27">
        <v>-6</v>
      </c>
      <c r="M27">
        <v>-7</v>
      </c>
      <c r="N27">
        <v>-6</v>
      </c>
    </row>
    <row r="28" spans="2:14" x14ac:dyDescent="0.3">
      <c r="B28" t="s">
        <v>135</v>
      </c>
      <c r="C28">
        <v>0</v>
      </c>
      <c r="D28">
        <v>0</v>
      </c>
      <c r="E28">
        <v>0</v>
      </c>
      <c r="F28">
        <v>0</v>
      </c>
      <c r="G28">
        <v>-96</v>
      </c>
      <c r="H28">
        <v>-297</v>
      </c>
      <c r="I28">
        <v>0</v>
      </c>
      <c r="J28">
        <v>0</v>
      </c>
      <c r="K28">
        <v>0</v>
      </c>
      <c r="L28">
        <v>338</v>
      </c>
      <c r="M28">
        <v>0</v>
      </c>
      <c r="N28">
        <v>0</v>
      </c>
    </row>
    <row r="29" spans="2:14" x14ac:dyDescent="0.3">
      <c r="B29" t="s">
        <v>35</v>
      </c>
      <c r="C29">
        <v>34</v>
      </c>
      <c r="D29">
        <v>-32</v>
      </c>
      <c r="E29">
        <v>8</v>
      </c>
      <c r="F29">
        <v>37</v>
      </c>
      <c r="G29">
        <v>-18</v>
      </c>
      <c r="H29">
        <v>183</v>
      </c>
      <c r="I29">
        <v>-197</v>
      </c>
      <c r="J29">
        <v>50</v>
      </c>
      <c r="K29">
        <v>-13</v>
      </c>
      <c r="L29">
        <v>-6</v>
      </c>
      <c r="M29">
        <v>38</v>
      </c>
      <c r="N29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33"/>
  <sheetViews>
    <sheetView showGridLines="0" workbookViewId="0">
      <selection activeCell="M27" sqref="M27"/>
    </sheetView>
  </sheetViews>
  <sheetFormatPr defaultRowHeight="14.4" x14ac:dyDescent="0.3"/>
  <cols>
    <col min="1" max="1" width="1.88671875" customWidth="1"/>
    <col min="6" max="6" width="13.5546875" bestFit="1" customWidth="1"/>
  </cols>
  <sheetData>
    <row r="6" spans="2:8" x14ac:dyDescent="0.3">
      <c r="B6" s="78" t="s">
        <v>381</v>
      </c>
    </row>
    <row r="7" spans="2:8" x14ac:dyDescent="0.3">
      <c r="B7" s="78"/>
    </row>
    <row r="8" spans="2:8" x14ac:dyDescent="0.3">
      <c r="B8" t="s">
        <v>380</v>
      </c>
      <c r="D8" t="s">
        <v>379</v>
      </c>
    </row>
    <row r="9" spans="2:8" x14ac:dyDescent="0.3">
      <c r="B9">
        <v>2000</v>
      </c>
      <c r="D9" s="38">
        <v>-0.14649999999999999</v>
      </c>
      <c r="F9" t="s">
        <v>382</v>
      </c>
      <c r="H9" s="130">
        <f>AVERAGE(D9:D32)</f>
        <v>0.15609166666666666</v>
      </c>
    </row>
    <row r="10" spans="2:8" ht="16.2" x14ac:dyDescent="0.3">
      <c r="B10">
        <v>2001</v>
      </c>
      <c r="D10" s="38">
        <v>-0.1618</v>
      </c>
      <c r="F10" t="s">
        <v>383</v>
      </c>
      <c r="H10" s="70" t="s">
        <v>384</v>
      </c>
    </row>
    <row r="11" spans="2:8" x14ac:dyDescent="0.3">
      <c r="B11">
        <v>2002</v>
      </c>
      <c r="D11" s="38">
        <v>3.2500000000000001E-2</v>
      </c>
      <c r="F11" s="132" t="s">
        <v>385</v>
      </c>
      <c r="G11" s="132"/>
      <c r="H11" s="133">
        <f>SUM(H9:H10)</f>
        <v>0.15609166666666666</v>
      </c>
    </row>
    <row r="12" spans="2:8" x14ac:dyDescent="0.3">
      <c r="B12">
        <v>2003</v>
      </c>
      <c r="D12" s="38">
        <v>0.71900000000000008</v>
      </c>
    </row>
    <row r="13" spans="2:8" x14ac:dyDescent="0.3">
      <c r="B13">
        <v>2004</v>
      </c>
      <c r="D13" s="38">
        <v>0.10679999999999999</v>
      </c>
    </row>
    <row r="14" spans="2:8" x14ac:dyDescent="0.3">
      <c r="B14">
        <v>2005</v>
      </c>
      <c r="D14" s="38">
        <v>0.36340000000000006</v>
      </c>
    </row>
    <row r="15" spans="2:8" x14ac:dyDescent="0.3">
      <c r="B15">
        <v>2006</v>
      </c>
      <c r="D15" s="38">
        <v>0.39829999999999999</v>
      </c>
    </row>
    <row r="16" spans="2:8" x14ac:dyDescent="0.3">
      <c r="B16">
        <v>2007</v>
      </c>
      <c r="D16" s="38">
        <v>0.54770000000000008</v>
      </c>
    </row>
    <row r="17" spans="2:7" x14ac:dyDescent="0.3">
      <c r="B17">
        <v>2008</v>
      </c>
      <c r="D17" s="38">
        <v>-0.51790000000000003</v>
      </c>
    </row>
    <row r="18" spans="2:7" x14ac:dyDescent="0.3">
      <c r="B18">
        <v>2009</v>
      </c>
      <c r="D18" s="38">
        <v>0.75760000000000005</v>
      </c>
    </row>
    <row r="19" spans="2:7" x14ac:dyDescent="0.3">
      <c r="B19">
        <v>2010</v>
      </c>
      <c r="D19" s="38">
        <v>0.17949999999999999</v>
      </c>
    </row>
    <row r="20" spans="2:7" x14ac:dyDescent="0.3">
      <c r="B20">
        <v>2011</v>
      </c>
      <c r="D20" s="38">
        <v>-0.2462</v>
      </c>
      <c r="G20" s="106"/>
    </row>
    <row r="21" spans="2:7" x14ac:dyDescent="0.3">
      <c r="B21">
        <v>2012</v>
      </c>
      <c r="D21" s="38">
        <v>0.27699999999999997</v>
      </c>
    </row>
    <row r="22" spans="2:7" x14ac:dyDescent="0.3">
      <c r="B22">
        <v>2013</v>
      </c>
      <c r="D22" s="38">
        <v>6.7599999999999993E-2</v>
      </c>
    </row>
    <row r="23" spans="2:7" x14ac:dyDescent="0.3">
      <c r="B23">
        <v>2014</v>
      </c>
      <c r="D23" s="38">
        <v>0.31390000000000001</v>
      </c>
    </row>
    <row r="24" spans="2:7" x14ac:dyDescent="0.3">
      <c r="B24">
        <v>2015</v>
      </c>
      <c r="D24" s="38">
        <v>-4.0599999999999997E-2</v>
      </c>
    </row>
    <row r="25" spans="2:7" x14ac:dyDescent="0.3">
      <c r="B25">
        <v>2016</v>
      </c>
      <c r="D25" s="38">
        <v>3.0099999999999998E-2</v>
      </c>
    </row>
    <row r="26" spans="2:7" x14ac:dyDescent="0.3">
      <c r="B26">
        <v>2017</v>
      </c>
      <c r="D26" s="38">
        <v>0.28649999999999998</v>
      </c>
    </row>
    <row r="27" spans="2:7" x14ac:dyDescent="0.3">
      <c r="B27">
        <v>2018</v>
      </c>
      <c r="D27" s="38">
        <v>3.15E-2</v>
      </c>
    </row>
    <row r="28" spans="2:7" x14ac:dyDescent="0.3">
      <c r="B28">
        <v>2019</v>
      </c>
      <c r="D28" s="38">
        <v>0.1202</v>
      </c>
    </row>
    <row r="29" spans="2:7" x14ac:dyDescent="0.3">
      <c r="B29">
        <v>2020</v>
      </c>
      <c r="D29" s="38">
        <v>0.14899999999999999</v>
      </c>
    </row>
    <row r="30" spans="2:7" x14ac:dyDescent="0.3">
      <c r="B30">
        <v>2021</v>
      </c>
      <c r="D30" s="38">
        <v>0.2412</v>
      </c>
    </row>
    <row r="31" spans="2:7" x14ac:dyDescent="0.3">
      <c r="B31">
        <v>2022</v>
      </c>
      <c r="D31" s="38">
        <v>4.3200000000000002E-2</v>
      </c>
    </row>
    <row r="32" spans="2:7" x14ac:dyDescent="0.3">
      <c r="B32">
        <v>2023</v>
      </c>
      <c r="D32" s="38">
        <v>0.19420000000000001</v>
      </c>
    </row>
    <row r="33" spans="2:2" x14ac:dyDescent="0.3">
      <c r="B3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Profit &amp; Loss</vt:lpstr>
      <vt:lpstr>Quarters</vt:lpstr>
      <vt:lpstr>Balance Sheet</vt:lpstr>
      <vt:lpstr>Cash Flow</vt:lpstr>
      <vt:lpstr>Data Sheet</vt:lpstr>
      <vt:lpstr>Historical FS</vt:lpstr>
      <vt:lpstr>Ratio Analysis</vt:lpstr>
      <vt:lpstr>Forecast</vt:lpstr>
      <vt:lpstr>Common size statement</vt:lpstr>
      <vt:lpstr>WACC</vt:lpstr>
      <vt:lpstr>Beta - Regression</vt:lpstr>
      <vt:lpstr>Intrisic growth</vt:lpstr>
      <vt:lpstr>DCF</vt:lpstr>
      <vt:lpstr>Sheet1</vt:lpstr>
      <vt:lpstr>Beta - comps</vt:lpstr>
      <vt:lpstr>Data Room</vt:lpstr>
      <vt:lpstr>Relative Valuation</vt:lpstr>
      <vt:lpstr>Football Field </vt:lpstr>
      <vt:lpstr>RV data</vt:lpstr>
      <vt:lpstr>Var Calculation</vt:lpstr>
      <vt:lpstr>Sheet4</vt:lpstr>
      <vt:lpstr>Cash Flow data</vt:lpstr>
      <vt:lpstr>Sheet2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DELL</cp:lastModifiedBy>
  <cp:lastPrinted>2024-11-07T17:13:06Z</cp:lastPrinted>
  <dcterms:created xsi:type="dcterms:W3CDTF">2012-08-17T09:55:37Z</dcterms:created>
  <dcterms:modified xsi:type="dcterms:W3CDTF">2025-05-20T20:45:26Z</dcterms:modified>
</cp:coreProperties>
</file>