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esktop\Financial Model\Oracle Financial model\"/>
    </mc:Choice>
  </mc:AlternateContent>
  <bookViews>
    <workbookView xWindow="0" yWindow="0" windowWidth="23040" windowHeight="9192" firstSheet="5" activeTab="5"/>
  </bookViews>
  <sheets>
    <sheet name="Profit &amp; Loss" sheetId="1" r:id="rId1"/>
    <sheet name="Quarters" sheetId="3" r:id="rId2"/>
    <sheet name="Balance Sheet" sheetId="2" r:id="rId3"/>
    <sheet name="Cash Flow" sheetId="4" r:id="rId4"/>
    <sheet name="Data Sheet" sheetId="6" r:id="rId5"/>
    <sheet name="Historical FS" sheetId="7" r:id="rId6"/>
    <sheet name="Ratio Analysis" sheetId="9" r:id="rId7"/>
    <sheet name="Forecast" sheetId="11" r:id="rId8"/>
    <sheet name="Common size statement" sheetId="13" r:id="rId9"/>
    <sheet name="WACC" sheetId="16" r:id="rId10"/>
    <sheet name="Dupont Report" sheetId="29" r:id="rId11"/>
    <sheet name="Beta - Regression" sheetId="14" r:id="rId12"/>
    <sheet name="Intrisic growth" sheetId="20" r:id="rId13"/>
    <sheet name="DCF" sheetId="21" r:id="rId14"/>
    <sheet name="Comp Valuation" sheetId="22" r:id="rId15"/>
    <sheet name="Football Field " sheetId="24" r:id="rId16"/>
    <sheet name="Data Room" sheetId="28" r:id="rId17"/>
    <sheet name="Sheet3" sheetId="27" r:id="rId18"/>
    <sheet name="Sheet2" sheetId="18" r:id="rId19"/>
    <sheet name="Cash Flow data" sheetId="8" r:id="rId20"/>
    <sheet name="Sheet4" sheetId="26" r:id="rId21"/>
  </sheets>
  <definedNames>
    <definedName name="_xlnm._FilterDatabase" localSheetId="11" hidden="1">'Beta - Regression'!$B$9:$D$9</definedName>
    <definedName name="UPDATE">'Data Sheet'!$E$1</definedName>
  </definedNames>
  <calcPr calcId="162913"/>
  <extLst>
    <ext xmlns:x14="http://schemas.microsoft.com/office/spreadsheetml/2009/9/main" uri="{79F54976-1DA5-4618-B147-4CDE4B953A38}">
      <x14:workbookPr defaultImageDpi="330"/>
    </ext>
  </extLst>
</workbook>
</file>

<file path=xl/calcChain.xml><?xml version="1.0" encoding="utf-8"?>
<calcChain xmlns="http://schemas.openxmlformats.org/spreadsheetml/2006/main">
  <c r="O39" i="22" l="1"/>
  <c r="P39" i="22"/>
  <c r="Q39" i="22"/>
  <c r="G25" i="20"/>
  <c r="D9" i="9"/>
  <c r="D25" i="21" l="1"/>
  <c r="D26" i="21"/>
  <c r="E14" i="16"/>
  <c r="C10" i="7"/>
  <c r="B2" i="29" l="1"/>
  <c r="B4" i="29"/>
  <c r="B2" i="7" l="1"/>
  <c r="B92" i="29"/>
  <c r="B91" i="29"/>
  <c r="B81" i="29"/>
  <c r="D58" i="29"/>
  <c r="B73" i="29"/>
  <c r="B72" i="29"/>
  <c r="E69" i="29"/>
  <c r="E81" i="29" s="1"/>
  <c r="F69" i="29"/>
  <c r="F81" i="29" s="1"/>
  <c r="G69" i="29"/>
  <c r="G72" i="29" s="1"/>
  <c r="H69" i="29"/>
  <c r="H81" i="29" s="1"/>
  <c r="I69" i="29"/>
  <c r="I81" i="29" s="1"/>
  <c r="D69" i="29"/>
  <c r="D72" i="29" s="1"/>
  <c r="B68" i="29"/>
  <c r="B90" i="29" s="1"/>
  <c r="E65" i="29"/>
  <c r="E68" i="29" s="1"/>
  <c r="F65" i="29"/>
  <c r="F87" i="29" s="1"/>
  <c r="G65" i="29"/>
  <c r="G68" i="29" s="1"/>
  <c r="G90" i="29" s="1"/>
  <c r="H65" i="29"/>
  <c r="H68" i="29" s="1"/>
  <c r="H90" i="29" s="1"/>
  <c r="I65" i="29"/>
  <c r="I68" i="29" s="1"/>
  <c r="D65" i="29"/>
  <c r="D87" i="29" s="1"/>
  <c r="B64" i="29"/>
  <c r="B80" i="29" s="1"/>
  <c r="B86" i="29" s="1"/>
  <c r="E59" i="29"/>
  <c r="E73" i="29" s="1"/>
  <c r="F59" i="29"/>
  <c r="F73" i="29" s="1"/>
  <c r="G59" i="29"/>
  <c r="G73" i="29" s="1"/>
  <c r="H59" i="29"/>
  <c r="H73" i="29" s="1"/>
  <c r="I59" i="29"/>
  <c r="I73" i="29" s="1"/>
  <c r="D59" i="29"/>
  <c r="D73" i="29" s="1"/>
  <c r="E58" i="29"/>
  <c r="E64" i="29" s="1"/>
  <c r="F58" i="29"/>
  <c r="F64" i="29" s="1"/>
  <c r="F80" i="29" s="1"/>
  <c r="G58" i="29"/>
  <c r="H58" i="29"/>
  <c r="H64" i="29" s="1"/>
  <c r="I58" i="29"/>
  <c r="I64" i="29" s="1"/>
  <c r="D57" i="29"/>
  <c r="D63" i="29" s="1"/>
  <c r="D79" i="29" s="1"/>
  <c r="D85" i="29" s="1"/>
  <c r="E57" i="29"/>
  <c r="E63" i="29" s="1"/>
  <c r="E79" i="29" s="1"/>
  <c r="E85" i="29" s="1"/>
  <c r="F57" i="29"/>
  <c r="F63" i="29" s="1"/>
  <c r="F79" i="29" s="1"/>
  <c r="F85" i="29" s="1"/>
  <c r="G57" i="29"/>
  <c r="G63" i="29" s="1"/>
  <c r="G79" i="29" s="1"/>
  <c r="G85" i="29" s="1"/>
  <c r="H57" i="29"/>
  <c r="H63" i="29" s="1"/>
  <c r="H79" i="29" s="1"/>
  <c r="H85" i="29" s="1"/>
  <c r="I57" i="29"/>
  <c r="I63" i="29" s="1"/>
  <c r="I79" i="29" s="1"/>
  <c r="I85" i="29" s="1"/>
  <c r="D64" i="29" l="1"/>
  <c r="D80" i="29" s="1"/>
  <c r="D74" i="29"/>
  <c r="G60" i="29"/>
  <c r="F72" i="29"/>
  <c r="F74" i="29" s="1"/>
  <c r="F91" i="29"/>
  <c r="F86" i="29"/>
  <c r="G64" i="29"/>
  <c r="G86" i="29" s="1"/>
  <c r="E72" i="29"/>
  <c r="E74" i="29" s="1"/>
  <c r="D81" i="29"/>
  <c r="I87" i="29"/>
  <c r="E91" i="29"/>
  <c r="G81" i="29"/>
  <c r="H87" i="29"/>
  <c r="D91" i="29"/>
  <c r="F82" i="29"/>
  <c r="I72" i="29"/>
  <c r="I74" i="29" s="1"/>
  <c r="E87" i="29"/>
  <c r="I91" i="29"/>
  <c r="E66" i="29"/>
  <c r="E86" i="29"/>
  <c r="E80" i="29"/>
  <c r="E82" i="29" s="1"/>
  <c r="F88" i="29"/>
  <c r="E90" i="29"/>
  <c r="E92" i="29" s="1"/>
  <c r="E70" i="29"/>
  <c r="G74" i="29"/>
  <c r="I66" i="29"/>
  <c r="I80" i="29"/>
  <c r="I82" i="29" s="1"/>
  <c r="I86" i="29"/>
  <c r="H66" i="29"/>
  <c r="H86" i="29"/>
  <c r="H80" i="29"/>
  <c r="H82" i="29" s="1"/>
  <c r="I90" i="29"/>
  <c r="I70" i="29"/>
  <c r="F68" i="29"/>
  <c r="H91" i="29"/>
  <c r="H92" i="29" s="1"/>
  <c r="I60" i="29"/>
  <c r="E60" i="29"/>
  <c r="D66" i="29"/>
  <c r="F66" i="29"/>
  <c r="H72" i="29"/>
  <c r="H74" i="29" s="1"/>
  <c r="D86" i="29"/>
  <c r="D88" i="29" s="1"/>
  <c r="G87" i="29"/>
  <c r="G91" i="29"/>
  <c r="G92" i="29" s="1"/>
  <c r="D68" i="29"/>
  <c r="F60" i="29"/>
  <c r="H60" i="29"/>
  <c r="D60" i="29"/>
  <c r="G70" i="29"/>
  <c r="H70" i="29"/>
  <c r="D82" i="29" l="1"/>
  <c r="G80" i="29"/>
  <c r="G82" i="29" s="1"/>
  <c r="I76" i="29"/>
  <c r="G88" i="29"/>
  <c r="G94" i="29" s="1"/>
  <c r="I92" i="29"/>
  <c r="I88" i="29"/>
  <c r="E76" i="29"/>
  <c r="E88" i="29"/>
  <c r="E94" i="29" s="1"/>
  <c r="G66" i="29"/>
  <c r="G76" i="29" s="1"/>
  <c r="H88" i="29"/>
  <c r="H94" i="29" s="1"/>
  <c r="F70" i="29"/>
  <c r="F76" i="29" s="1"/>
  <c r="F90" i="29"/>
  <c r="F92" i="29" s="1"/>
  <c r="F94" i="29" s="1"/>
  <c r="D90" i="29"/>
  <c r="D92" i="29" s="1"/>
  <c r="D94" i="29" s="1"/>
  <c r="D70" i="29"/>
  <c r="D76" i="29" s="1"/>
  <c r="H76" i="29"/>
  <c r="M9" i="14"/>
  <c r="I94" i="29" l="1"/>
  <c r="B2" i="24"/>
  <c r="Q37" i="22" l="1"/>
  <c r="P37" i="22"/>
  <c r="O37" i="22"/>
  <c r="Q34" i="22"/>
  <c r="Q32" i="22"/>
  <c r="P35" i="22"/>
  <c r="Q35" i="22"/>
  <c r="Q33" i="22"/>
  <c r="O35" i="22"/>
  <c r="P34" i="22"/>
  <c r="O34" i="22"/>
  <c r="P33" i="22"/>
  <c r="O33" i="22"/>
  <c r="O32" i="22"/>
  <c r="P32" i="22"/>
  <c r="B21" i="22"/>
  <c r="D21" i="22"/>
  <c r="E21" i="22"/>
  <c r="F21" i="22"/>
  <c r="H21" i="22" s="1"/>
  <c r="G21" i="22"/>
  <c r="K21" i="22"/>
  <c r="L21" i="22"/>
  <c r="M21" i="22"/>
  <c r="Q21" i="22"/>
  <c r="O13" i="22"/>
  <c r="P13" i="22"/>
  <c r="O14" i="22"/>
  <c r="P14" i="22"/>
  <c r="O15" i="22"/>
  <c r="P15" i="22"/>
  <c r="O16" i="22"/>
  <c r="P16" i="22"/>
  <c r="O17" i="22"/>
  <c r="P17" i="22"/>
  <c r="O18" i="22"/>
  <c r="P18" i="22"/>
  <c r="O19" i="22"/>
  <c r="P19" i="22"/>
  <c r="O20" i="22"/>
  <c r="P20" i="22"/>
  <c r="D20" i="22"/>
  <c r="D19" i="22"/>
  <c r="D18" i="22"/>
  <c r="D17" i="22"/>
  <c r="D16" i="22"/>
  <c r="D15" i="22"/>
  <c r="D14" i="22"/>
  <c r="D13" i="22"/>
  <c r="B2" i="22"/>
  <c r="M14" i="22"/>
  <c r="M15" i="22"/>
  <c r="M16" i="22"/>
  <c r="M17" i="22"/>
  <c r="M18" i="22"/>
  <c r="M19" i="22"/>
  <c r="M12" i="22"/>
  <c r="M20" i="22"/>
  <c r="L14" i="22"/>
  <c r="L15" i="22"/>
  <c r="L16" i="22"/>
  <c r="L17" i="22"/>
  <c r="L18" i="22"/>
  <c r="L19" i="22"/>
  <c r="L12" i="22"/>
  <c r="L20" i="22"/>
  <c r="K14" i="22"/>
  <c r="K15" i="22"/>
  <c r="K16" i="22"/>
  <c r="K17" i="22"/>
  <c r="K18" i="22"/>
  <c r="K19" i="22"/>
  <c r="K12" i="22"/>
  <c r="K20" i="22"/>
  <c r="L13" i="22"/>
  <c r="M13" i="22"/>
  <c r="K13" i="22"/>
  <c r="G14" i="22"/>
  <c r="G15" i="22"/>
  <c r="G16" i="22"/>
  <c r="G17" i="22"/>
  <c r="G18" i="22"/>
  <c r="G19" i="22"/>
  <c r="G12" i="22"/>
  <c r="G20" i="22"/>
  <c r="G13" i="22"/>
  <c r="I4" i="26"/>
  <c r="I5" i="26"/>
  <c r="I6" i="26"/>
  <c r="I7" i="26"/>
  <c r="I8" i="26"/>
  <c r="I9" i="26"/>
  <c r="I10" i="26"/>
  <c r="I11" i="26"/>
  <c r="I12" i="26"/>
  <c r="I3" i="26"/>
  <c r="E14" i="22"/>
  <c r="E15" i="22"/>
  <c r="E16" i="22"/>
  <c r="E17" i="22"/>
  <c r="E18" i="22"/>
  <c r="E19" i="22"/>
  <c r="E12" i="22"/>
  <c r="E20" i="22"/>
  <c r="E13" i="22"/>
  <c r="B14" i="22"/>
  <c r="B15" i="22"/>
  <c r="B16" i="22"/>
  <c r="B17" i="22"/>
  <c r="B18" i="22"/>
  <c r="B19" i="22"/>
  <c r="B12" i="22"/>
  <c r="B20" i="22"/>
  <c r="B13" i="22"/>
  <c r="F16" i="26"/>
  <c r="J16" i="26"/>
  <c r="F17" i="26"/>
  <c r="J17" i="26"/>
  <c r="F18" i="26"/>
  <c r="J18" i="26"/>
  <c r="F19" i="26"/>
  <c r="J19" i="26"/>
  <c r="F20" i="26"/>
  <c r="J20" i="26"/>
  <c r="F21" i="26"/>
  <c r="J21" i="26"/>
  <c r="F22" i="26"/>
  <c r="J22" i="26"/>
  <c r="F23" i="26"/>
  <c r="J23" i="26"/>
  <c r="F24" i="26"/>
  <c r="J24" i="26"/>
  <c r="F25" i="26"/>
  <c r="J25" i="26"/>
  <c r="F26" i="26"/>
  <c r="J26" i="26"/>
  <c r="F27" i="26"/>
  <c r="J27" i="26"/>
  <c r="F28" i="26"/>
  <c r="J28" i="26"/>
  <c r="F29" i="26"/>
  <c r="J29" i="26"/>
  <c r="F30" i="26"/>
  <c r="J30" i="26"/>
  <c r="F4" i="26"/>
  <c r="J4" i="26" s="1"/>
  <c r="F5" i="26"/>
  <c r="J5" i="26" s="1"/>
  <c r="F6" i="26"/>
  <c r="J6" i="26" s="1"/>
  <c r="F7" i="26"/>
  <c r="J7" i="26" s="1"/>
  <c r="F8" i="26"/>
  <c r="J8" i="26" s="1"/>
  <c r="F9" i="26"/>
  <c r="J9" i="26" s="1"/>
  <c r="F10" i="26"/>
  <c r="J10" i="26" s="1"/>
  <c r="F11" i="26"/>
  <c r="J11" i="26" s="1"/>
  <c r="F12" i="26"/>
  <c r="J12" i="26" s="1"/>
  <c r="F3" i="26"/>
  <c r="J3" i="26" s="1"/>
  <c r="O21" i="22" l="1"/>
  <c r="P21" i="22"/>
  <c r="M10" i="14"/>
  <c r="D24" i="21" l="1"/>
  <c r="D18" i="21" l="1"/>
  <c r="F8" i="21"/>
  <c r="G8" i="21"/>
  <c r="H8" i="21"/>
  <c r="I8" i="21"/>
  <c r="J8" i="21"/>
  <c r="E12" i="21"/>
  <c r="F11" i="21"/>
  <c r="H54" i="20"/>
  <c r="H56" i="20"/>
  <c r="K59" i="20"/>
  <c r="E10" i="21"/>
  <c r="E8" i="21"/>
  <c r="H63" i="20"/>
  <c r="H61" i="20"/>
  <c r="I61" i="20"/>
  <c r="J61" i="20"/>
  <c r="K61" i="20"/>
  <c r="G61" i="20"/>
  <c r="H52" i="20"/>
  <c r="G52" i="20"/>
  <c r="H45" i="20"/>
  <c r="I45" i="20"/>
  <c r="J45" i="20"/>
  <c r="K45" i="20"/>
  <c r="G45" i="20"/>
  <c r="G50" i="20"/>
  <c r="I48" i="20"/>
  <c r="J48" i="20"/>
  <c r="K48" i="20"/>
  <c r="H48" i="20"/>
  <c r="H47" i="20"/>
  <c r="I47" i="20"/>
  <c r="J47" i="20"/>
  <c r="K47" i="20"/>
  <c r="G47" i="20"/>
  <c r="H40" i="20"/>
  <c r="I40" i="20"/>
  <c r="J40" i="20"/>
  <c r="K40" i="20"/>
  <c r="G40" i="20"/>
  <c r="H36" i="20"/>
  <c r="I36" i="20"/>
  <c r="J36" i="20"/>
  <c r="K36" i="20"/>
  <c r="G36" i="20"/>
  <c r="B36" i="20"/>
  <c r="G35" i="20"/>
  <c r="G37" i="20" s="1"/>
  <c r="G39" i="20" s="1"/>
  <c r="G42" i="20" s="1"/>
  <c r="G26" i="20"/>
  <c r="H26" i="20"/>
  <c r="I26" i="20"/>
  <c r="J26" i="20"/>
  <c r="K26" i="20"/>
  <c r="G27" i="20"/>
  <c r="H27" i="20"/>
  <c r="I27" i="20"/>
  <c r="J27" i="20"/>
  <c r="K27" i="20"/>
  <c r="G28" i="20"/>
  <c r="H28" i="20"/>
  <c r="I28" i="20"/>
  <c r="J28" i="20"/>
  <c r="K28" i="20"/>
  <c r="G29" i="20"/>
  <c r="H29" i="20"/>
  <c r="I29" i="20"/>
  <c r="J29" i="20"/>
  <c r="K29" i="20"/>
  <c r="G30" i="20"/>
  <c r="H30" i="20"/>
  <c r="I30" i="20"/>
  <c r="J30" i="20"/>
  <c r="K30" i="20"/>
  <c r="G31" i="20"/>
  <c r="H31" i="20"/>
  <c r="I31" i="20"/>
  <c r="J31" i="20"/>
  <c r="K31" i="20"/>
  <c r="G32" i="20"/>
  <c r="H32" i="20"/>
  <c r="I32" i="20"/>
  <c r="J32" i="20"/>
  <c r="K32" i="20"/>
  <c r="H25" i="20"/>
  <c r="I25" i="20"/>
  <c r="J25" i="20"/>
  <c r="K25" i="20"/>
  <c r="B26" i="20"/>
  <c r="B27" i="20"/>
  <c r="B28" i="20"/>
  <c r="B29" i="20"/>
  <c r="B30" i="20"/>
  <c r="B31" i="20"/>
  <c r="B32" i="20"/>
  <c r="B25" i="20"/>
  <c r="H22" i="20"/>
  <c r="I22" i="20"/>
  <c r="J22" i="20"/>
  <c r="K22" i="20"/>
  <c r="G22" i="20"/>
  <c r="H20" i="20"/>
  <c r="I20" i="20"/>
  <c r="J20" i="20"/>
  <c r="K20" i="20"/>
  <c r="G20" i="20"/>
  <c r="H17" i="20"/>
  <c r="I17" i="20"/>
  <c r="J17" i="20"/>
  <c r="K17" i="20"/>
  <c r="H18" i="20"/>
  <c r="I18" i="20"/>
  <c r="J18" i="20"/>
  <c r="K18" i="20"/>
  <c r="H19" i="20"/>
  <c r="I19" i="20"/>
  <c r="J19" i="20"/>
  <c r="K19" i="20"/>
  <c r="G18" i="20"/>
  <c r="G19" i="20"/>
  <c r="G17" i="20"/>
  <c r="B18" i="20"/>
  <c r="B19" i="20"/>
  <c r="B17" i="20"/>
  <c r="H13" i="20"/>
  <c r="I13" i="20"/>
  <c r="J13" i="20"/>
  <c r="K13" i="20"/>
  <c r="G13" i="20"/>
  <c r="H12" i="20"/>
  <c r="I12" i="20"/>
  <c r="J12" i="20"/>
  <c r="K12" i="20"/>
  <c r="G12" i="20"/>
  <c r="G10" i="20"/>
  <c r="H10" i="20"/>
  <c r="I10" i="20"/>
  <c r="J10" i="20"/>
  <c r="K10" i="20"/>
  <c r="G11" i="20"/>
  <c r="H11" i="20"/>
  <c r="I11" i="20"/>
  <c r="J11" i="20"/>
  <c r="K11" i="20"/>
  <c r="H9" i="20"/>
  <c r="I9" i="20"/>
  <c r="J9" i="20"/>
  <c r="K9" i="20"/>
  <c r="G9" i="20"/>
  <c r="B12" i="20"/>
  <c r="B10" i="20"/>
  <c r="B11" i="20"/>
  <c r="B9" i="20"/>
  <c r="H6" i="20"/>
  <c r="I6" i="20"/>
  <c r="J6" i="20"/>
  <c r="K6" i="20"/>
  <c r="G6" i="20"/>
  <c r="C25" i="28"/>
  <c r="D25" i="28"/>
  <c r="E25" i="28"/>
  <c r="F25" i="28"/>
  <c r="G25" i="28"/>
  <c r="H25" i="28"/>
  <c r="I25" i="28"/>
  <c r="J14" i="20" l="1"/>
  <c r="K14" i="20"/>
  <c r="G14" i="20"/>
  <c r="H14" i="20"/>
  <c r="I14" i="20"/>
  <c r="D11" i="14" l="1"/>
  <c r="E25" i="16" l="1"/>
  <c r="K26" i="16"/>
  <c r="J19" i="16"/>
  <c r="H11" i="18"/>
  <c r="H9" i="18"/>
  <c r="E26" i="16"/>
  <c r="C36" i="16"/>
  <c r="C34" i="16"/>
  <c r="J20" i="16"/>
  <c r="K15" i="16"/>
  <c r="K16" i="16"/>
  <c r="K17" i="16"/>
  <c r="K13" i="16"/>
  <c r="J13" i="16"/>
  <c r="I16" i="16"/>
  <c r="I15" i="16"/>
  <c r="I14" i="16"/>
  <c r="I13" i="16"/>
  <c r="H15" i="16"/>
  <c r="H14" i="16"/>
  <c r="K14" i="16" s="1"/>
  <c r="H16" i="16"/>
  <c r="H17" i="16"/>
  <c r="H13" i="16"/>
  <c r="F15" i="16"/>
  <c r="F16" i="16"/>
  <c r="F17" i="16"/>
  <c r="F14" i="16"/>
  <c r="F13" i="16"/>
  <c r="E15" i="16"/>
  <c r="E16" i="16"/>
  <c r="E17" i="16"/>
  <c r="E13" i="16"/>
  <c r="B15" i="16"/>
  <c r="B16" i="16"/>
  <c r="B17" i="16"/>
  <c r="B14" i="16"/>
  <c r="J15" i="14"/>
  <c r="M12" i="14"/>
  <c r="K20" i="16" l="1"/>
  <c r="K33" i="16" s="1"/>
  <c r="K19" i="16"/>
  <c r="G115" i="14"/>
  <c r="D12" i="14" l="1"/>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70" i="14"/>
  <c r="D71" i="14"/>
  <c r="D72" i="14"/>
  <c r="D73" i="14"/>
  <c r="D74" i="14"/>
  <c r="D75" i="14"/>
  <c r="D76" i="14"/>
  <c r="D77" i="14"/>
  <c r="D78" i="14"/>
  <c r="D79" i="14"/>
  <c r="D80" i="14"/>
  <c r="D81" i="14"/>
  <c r="D82" i="14"/>
  <c r="D83" i="14"/>
  <c r="D84" i="14"/>
  <c r="D85" i="14"/>
  <c r="D86" i="14"/>
  <c r="D87" i="14"/>
  <c r="D88" i="14"/>
  <c r="D89" i="14"/>
  <c r="D90" i="14"/>
  <c r="D91" i="14"/>
  <c r="D92" i="14"/>
  <c r="D93" i="14"/>
  <c r="D94" i="14"/>
  <c r="D95" i="14"/>
  <c r="D96" i="14"/>
  <c r="D97" i="14"/>
  <c r="D98" i="14"/>
  <c r="D99" i="14"/>
  <c r="D100" i="14"/>
  <c r="D101" i="14"/>
  <c r="D102" i="14"/>
  <c r="D103" i="14"/>
  <c r="D104" i="14"/>
  <c r="D105" i="14"/>
  <c r="D106" i="14"/>
  <c r="D107" i="14"/>
  <c r="D108" i="14"/>
  <c r="D109" i="14"/>
  <c r="D110" i="14"/>
  <c r="D111" i="14"/>
  <c r="D112" i="14"/>
  <c r="D113" i="14"/>
  <c r="D114" i="14"/>
  <c r="D115" i="14"/>
  <c r="G12" i="14"/>
  <c r="G13" i="14"/>
  <c r="G14" i="14"/>
  <c r="G15" i="14"/>
  <c r="G16" i="14"/>
  <c r="G17" i="14"/>
  <c r="G18" i="14"/>
  <c r="G19" i="14"/>
  <c r="G20" i="14"/>
  <c r="G21" i="14"/>
  <c r="G22" i="14"/>
  <c r="G23" i="14"/>
  <c r="G24" i="14"/>
  <c r="G25" i="14"/>
  <c r="G26" i="14"/>
  <c r="G27" i="14"/>
  <c r="G28" i="14"/>
  <c r="G29" i="14"/>
  <c r="G30" i="14"/>
  <c r="G31" i="14"/>
  <c r="G32" i="14"/>
  <c r="G33" i="14"/>
  <c r="G34" i="14"/>
  <c r="G35" i="14"/>
  <c r="G36" i="14"/>
  <c r="G37" i="14"/>
  <c r="G38" i="14"/>
  <c r="G39" i="14"/>
  <c r="G40" i="14"/>
  <c r="G41" i="14"/>
  <c r="G42" i="14"/>
  <c r="G43" i="14"/>
  <c r="G44" i="14"/>
  <c r="G45" i="14"/>
  <c r="G46" i="14"/>
  <c r="G47" i="14"/>
  <c r="G48" i="14"/>
  <c r="G49" i="14"/>
  <c r="G50" i="14"/>
  <c r="G51" i="14"/>
  <c r="G52" i="14"/>
  <c r="G53" i="14"/>
  <c r="G54" i="14"/>
  <c r="G55" i="14"/>
  <c r="G56" i="14"/>
  <c r="G57" i="14"/>
  <c r="G58" i="14"/>
  <c r="G59" i="14"/>
  <c r="G60" i="14"/>
  <c r="G61" i="14"/>
  <c r="G62" i="14"/>
  <c r="G63" i="14"/>
  <c r="G64" i="14"/>
  <c r="G65" i="14"/>
  <c r="G66" i="14"/>
  <c r="G67" i="14"/>
  <c r="G68" i="14"/>
  <c r="G69" i="14"/>
  <c r="G70" i="14"/>
  <c r="G71" i="14"/>
  <c r="G72" i="14"/>
  <c r="G73" i="14"/>
  <c r="G74" i="14"/>
  <c r="G75" i="14"/>
  <c r="G76" i="14"/>
  <c r="G77" i="14"/>
  <c r="G78" i="14"/>
  <c r="G79" i="14"/>
  <c r="G80" i="14"/>
  <c r="G81" i="14"/>
  <c r="G82" i="14"/>
  <c r="G83" i="14"/>
  <c r="G84" i="14"/>
  <c r="G85" i="14"/>
  <c r="G86" i="14"/>
  <c r="G87" i="14"/>
  <c r="G88" i="14"/>
  <c r="G89" i="14"/>
  <c r="G90" i="14"/>
  <c r="G91" i="14"/>
  <c r="G92" i="14"/>
  <c r="G93" i="14"/>
  <c r="G94" i="14"/>
  <c r="G95" i="14"/>
  <c r="G96" i="14"/>
  <c r="G97" i="14"/>
  <c r="G98" i="14"/>
  <c r="G99" i="14"/>
  <c r="G100" i="14"/>
  <c r="G101" i="14"/>
  <c r="G102" i="14"/>
  <c r="G103" i="14"/>
  <c r="G104" i="14"/>
  <c r="G105" i="14"/>
  <c r="G106" i="14"/>
  <c r="G107" i="14"/>
  <c r="G108" i="14"/>
  <c r="G109" i="14"/>
  <c r="G110" i="14"/>
  <c r="G111" i="14"/>
  <c r="G112" i="14"/>
  <c r="G113" i="14"/>
  <c r="G114" i="14"/>
  <c r="G11" i="14"/>
  <c r="B2" i="11" l="1"/>
  <c r="G6" i="11"/>
  <c r="L6" i="11"/>
  <c r="B6" i="11"/>
  <c r="D18" i="11"/>
  <c r="D8" i="11" a="1"/>
  <c r="D8" i="11"/>
  <c r="D9" i="11"/>
  <c r="D10" i="11"/>
  <c r="D11" i="11"/>
  <c r="D12" i="11"/>
  <c r="D13" i="11"/>
  <c r="D14" i="11"/>
  <c r="D15" i="11"/>
  <c r="D16" i="11"/>
  <c r="D17" i="11"/>
  <c r="D11" i="13"/>
  <c r="E11" i="13"/>
  <c r="F11" i="13"/>
  <c r="G11" i="13"/>
  <c r="H11" i="13"/>
  <c r="I11" i="13"/>
  <c r="J11" i="13"/>
  <c r="K11" i="13"/>
  <c r="L11" i="13"/>
  <c r="D12" i="13"/>
  <c r="E12" i="13"/>
  <c r="F12" i="13"/>
  <c r="G12" i="13"/>
  <c r="H12" i="13"/>
  <c r="I12" i="13"/>
  <c r="J12" i="13"/>
  <c r="K12" i="13"/>
  <c r="L12" i="13"/>
  <c r="D13" i="13"/>
  <c r="E13" i="13"/>
  <c r="F13" i="13"/>
  <c r="G13" i="13"/>
  <c r="H13" i="13"/>
  <c r="I13" i="13"/>
  <c r="J13" i="13"/>
  <c r="K13" i="13"/>
  <c r="L13" i="13"/>
  <c r="D14" i="13"/>
  <c r="E14" i="13"/>
  <c r="F14" i="13"/>
  <c r="G14" i="13"/>
  <c r="H14" i="13"/>
  <c r="I14" i="13"/>
  <c r="J14" i="13"/>
  <c r="K14" i="13"/>
  <c r="L14" i="13"/>
  <c r="D15" i="13"/>
  <c r="E15" i="13"/>
  <c r="F15" i="13"/>
  <c r="G15" i="13"/>
  <c r="H15" i="13"/>
  <c r="I15" i="13"/>
  <c r="J15" i="13"/>
  <c r="K15" i="13"/>
  <c r="L15" i="13"/>
  <c r="D16" i="13"/>
  <c r="E16" i="13"/>
  <c r="F16" i="13"/>
  <c r="G16" i="13"/>
  <c r="H16" i="13"/>
  <c r="I16" i="13"/>
  <c r="J16" i="13"/>
  <c r="K16" i="13"/>
  <c r="L16" i="13"/>
  <c r="D17" i="13"/>
  <c r="E17" i="13"/>
  <c r="F17" i="13"/>
  <c r="G17" i="13"/>
  <c r="H17" i="13"/>
  <c r="I17" i="13"/>
  <c r="J17" i="13"/>
  <c r="K17" i="13"/>
  <c r="L17" i="13"/>
  <c r="D18" i="13"/>
  <c r="E18" i="13"/>
  <c r="F18" i="13"/>
  <c r="G18" i="13"/>
  <c r="H18" i="13"/>
  <c r="I18" i="13"/>
  <c r="J18" i="13"/>
  <c r="K18" i="13"/>
  <c r="L18" i="13"/>
  <c r="D19" i="13"/>
  <c r="E19" i="13"/>
  <c r="F19" i="13"/>
  <c r="G19" i="13"/>
  <c r="H19" i="13"/>
  <c r="I19" i="13"/>
  <c r="J19" i="13"/>
  <c r="K19" i="13"/>
  <c r="L19" i="13"/>
  <c r="D20" i="13"/>
  <c r="E20" i="13"/>
  <c r="F20" i="13"/>
  <c r="G20" i="13"/>
  <c r="H20" i="13"/>
  <c r="I20" i="13"/>
  <c r="J20" i="13"/>
  <c r="K20" i="13"/>
  <c r="L20" i="13"/>
  <c r="D21" i="13"/>
  <c r="E21" i="13"/>
  <c r="F21" i="13"/>
  <c r="G21" i="13"/>
  <c r="H21" i="13"/>
  <c r="I21" i="13"/>
  <c r="J21" i="13"/>
  <c r="K21" i="13"/>
  <c r="L21" i="13"/>
  <c r="C21" i="13"/>
  <c r="C20" i="13"/>
  <c r="C19" i="13"/>
  <c r="C18" i="13"/>
  <c r="C17" i="13"/>
  <c r="C16" i="13"/>
  <c r="C15" i="13"/>
  <c r="C14" i="13"/>
  <c r="C13" i="13"/>
  <c r="C12" i="13"/>
  <c r="C11" i="13"/>
  <c r="B35" i="6"/>
  <c r="C10" i="13" s="1"/>
  <c r="D10" i="13"/>
  <c r="E10" i="13"/>
  <c r="F10" i="13"/>
  <c r="G10" i="13"/>
  <c r="H10" i="13"/>
  <c r="I10" i="13"/>
  <c r="J10" i="13"/>
  <c r="K10" i="13"/>
  <c r="L10" i="13"/>
  <c r="C36" i="6"/>
  <c r="D36" i="6"/>
  <c r="E36" i="6"/>
  <c r="F36" i="6"/>
  <c r="G36" i="6"/>
  <c r="H36" i="6"/>
  <c r="I36" i="6"/>
  <c r="J36" i="6"/>
  <c r="K36" i="6"/>
  <c r="C35" i="6"/>
  <c r="D35" i="6"/>
  <c r="E35" i="6"/>
  <c r="F35" i="6"/>
  <c r="G35" i="6"/>
  <c r="H35" i="6"/>
  <c r="I35" i="6"/>
  <c r="J35" i="6"/>
  <c r="K35" i="6"/>
  <c r="B36" i="6"/>
  <c r="D21" i="11" l="1"/>
  <c r="D22" i="11"/>
  <c r="D19" i="11"/>
  <c r="D20" i="11"/>
  <c r="C37" i="6" l="1"/>
  <c r="D37" i="6"/>
  <c r="B11" i="13"/>
  <c r="B12" i="13"/>
  <c r="B13" i="13"/>
  <c r="B14" i="13"/>
  <c r="B15" i="13"/>
  <c r="B16" i="13"/>
  <c r="B17" i="13"/>
  <c r="B18" i="13"/>
  <c r="B19" i="13"/>
  <c r="B20" i="13"/>
  <c r="B21" i="13"/>
  <c r="B2" i="21" l="1"/>
  <c r="B2" i="20"/>
  <c r="B2" i="14"/>
  <c r="B2" i="16"/>
  <c r="B2" i="13"/>
  <c r="B2" i="9"/>
  <c r="F17" i="22" l="1"/>
  <c r="F12" i="22"/>
  <c r="Q12" i="22" s="1"/>
  <c r="F18" i="22"/>
  <c r="F16" i="22"/>
  <c r="F14" i="22"/>
  <c r="F13" i="22"/>
  <c r="F20" i="22"/>
  <c r="H20" i="22" s="1"/>
  <c r="F19" i="22"/>
  <c r="F15" i="22"/>
  <c r="Q27" i="22" l="1"/>
  <c r="Q25" i="22"/>
  <c r="Q23" i="22"/>
  <c r="Q24" i="22"/>
  <c r="Q28" i="22"/>
  <c r="H18" i="22"/>
  <c r="Q18" i="22"/>
  <c r="H12" i="22"/>
  <c r="H15" i="22"/>
  <c r="Q15" i="22"/>
  <c r="H14" i="22"/>
  <c r="Q14" i="22"/>
  <c r="Q20" i="22"/>
  <c r="H13" i="22"/>
  <c r="Q13" i="22"/>
  <c r="H19" i="22"/>
  <c r="Q19" i="22"/>
  <c r="H16" i="22"/>
  <c r="Q16" i="22"/>
  <c r="H17" i="22"/>
  <c r="Q17" i="22"/>
  <c r="D37" i="21"/>
  <c r="F13" i="21"/>
  <c r="G13" i="21" s="1"/>
  <c r="H13" i="21" s="1"/>
  <c r="I13" i="21" s="1"/>
  <c r="J13" i="21" s="1"/>
  <c r="O12" i="22" l="1"/>
  <c r="P12" i="22"/>
  <c r="O22" i="22"/>
  <c r="Q26" i="22"/>
  <c r="F9" i="21"/>
  <c r="G9" i="21" s="1"/>
  <c r="H9" i="21" s="1"/>
  <c r="I9" i="21" s="1"/>
  <c r="J9" i="21" s="1"/>
  <c r="P28" i="22" l="1"/>
  <c r="P24" i="22"/>
  <c r="P27" i="22"/>
  <c r="P25" i="22"/>
  <c r="P23" i="22"/>
  <c r="O23" i="22"/>
  <c r="O24" i="22"/>
  <c r="O28" i="22"/>
  <c r="O25" i="22"/>
  <c r="O27" i="22"/>
  <c r="P26" i="22"/>
  <c r="O26" i="22"/>
  <c r="E6" i="21"/>
  <c r="F6" i="21" s="1"/>
  <c r="G6" i="21" s="1"/>
  <c r="H6" i="21" s="1"/>
  <c r="I6" i="21" s="1"/>
  <c r="J6" i="21" s="1"/>
  <c r="I35" i="20" l="1"/>
  <c r="I37" i="20" s="1"/>
  <c r="H35" i="20"/>
  <c r="H37" i="20" s="1"/>
  <c r="J35" i="20"/>
  <c r="J37" i="20" s="1"/>
  <c r="K35" i="20"/>
  <c r="K37" i="20" s="1"/>
  <c r="E27" i="16"/>
  <c r="K44" i="16" s="1"/>
  <c r="C35" i="16"/>
  <c r="J54" i="20" l="1"/>
  <c r="K54" i="20"/>
  <c r="J39" i="20"/>
  <c r="K39" i="20"/>
  <c r="H39" i="20"/>
  <c r="I39" i="20"/>
  <c r="I17" i="16"/>
  <c r="K35" i="16"/>
  <c r="I54" i="20" l="1"/>
  <c r="D36" i="16"/>
  <c r="G20" i="16"/>
  <c r="G19" i="16"/>
  <c r="I19" i="16" l="1"/>
  <c r="D35" i="16"/>
  <c r="H20" i="16"/>
  <c r="I20" i="16"/>
  <c r="H19" i="16"/>
  <c r="D34" i="16"/>
  <c r="J9" i="14"/>
  <c r="E34" i="16" l="1"/>
  <c r="E35" i="16" s="1"/>
  <c r="K42" i="16" s="1"/>
  <c r="D38" i="16"/>
  <c r="K45" i="16" l="1"/>
  <c r="E38" i="16"/>
  <c r="K34" i="16" s="1"/>
  <c r="K36" i="16" s="1"/>
  <c r="K27" i="16" s="1"/>
  <c r="K28" i="16" s="1"/>
  <c r="B6" i="13" l="1"/>
  <c r="C8" i="13"/>
  <c r="D8" i="13"/>
  <c r="E8" i="13"/>
  <c r="F8" i="13"/>
  <c r="G8" i="13"/>
  <c r="H8" i="13"/>
  <c r="I8" i="13"/>
  <c r="J8" i="13"/>
  <c r="K8" i="13"/>
  <c r="L8" i="13"/>
  <c r="B23" i="13"/>
  <c r="C74" i="6"/>
  <c r="D74" i="6"/>
  <c r="E74" i="6"/>
  <c r="F74" i="6"/>
  <c r="G74" i="6"/>
  <c r="H74" i="6"/>
  <c r="I74" i="6"/>
  <c r="J74" i="6"/>
  <c r="K74" i="6"/>
  <c r="B74" i="6"/>
  <c r="C76" i="6"/>
  <c r="D40" i="13" s="1"/>
  <c r="D76" i="6"/>
  <c r="E36" i="13" s="1"/>
  <c r="E76" i="6"/>
  <c r="F35" i="13" s="1"/>
  <c r="F76" i="6"/>
  <c r="G34" i="13" s="1"/>
  <c r="G76" i="6"/>
  <c r="H34" i="13" s="1"/>
  <c r="H76" i="6"/>
  <c r="I36" i="13" s="1"/>
  <c r="I76" i="6"/>
  <c r="J35" i="13" s="1"/>
  <c r="J76" i="6"/>
  <c r="K34" i="13" s="1"/>
  <c r="K76" i="6"/>
  <c r="L33" i="13" s="1"/>
  <c r="B76" i="6"/>
  <c r="C40" i="13" s="1"/>
  <c r="C29" i="13"/>
  <c r="D29" i="13"/>
  <c r="E29" i="13"/>
  <c r="F29" i="13"/>
  <c r="G29" i="13"/>
  <c r="H29" i="13"/>
  <c r="I29" i="13"/>
  <c r="J29" i="13"/>
  <c r="K29" i="13"/>
  <c r="L29" i="13"/>
  <c r="C30" i="13"/>
  <c r="D30" i="13"/>
  <c r="E30" i="13"/>
  <c r="F30" i="13"/>
  <c r="G30" i="13"/>
  <c r="H30" i="13"/>
  <c r="I30" i="13"/>
  <c r="J30" i="13"/>
  <c r="K30" i="13"/>
  <c r="L30" i="13"/>
  <c r="C31" i="13"/>
  <c r="D31" i="13"/>
  <c r="E31" i="13"/>
  <c r="F31" i="13"/>
  <c r="G31" i="13"/>
  <c r="H31" i="13"/>
  <c r="I31" i="13"/>
  <c r="J31" i="13"/>
  <c r="K31" i="13"/>
  <c r="L31" i="13"/>
  <c r="D28" i="13"/>
  <c r="E28" i="13"/>
  <c r="F28" i="13"/>
  <c r="G28" i="13"/>
  <c r="H28" i="13"/>
  <c r="I28" i="13"/>
  <c r="J28" i="13"/>
  <c r="K28" i="13"/>
  <c r="L28" i="13"/>
  <c r="C34" i="6"/>
  <c r="C28" i="13"/>
  <c r="D27" i="13"/>
  <c r="E27" i="13"/>
  <c r="F27" i="13"/>
  <c r="G27" i="13"/>
  <c r="H27" i="13"/>
  <c r="I27" i="13"/>
  <c r="J27" i="13"/>
  <c r="K27" i="13"/>
  <c r="L27" i="13"/>
  <c r="C27" i="13"/>
  <c r="B28" i="13"/>
  <c r="B29" i="13"/>
  <c r="B30" i="13"/>
  <c r="B31" i="13"/>
  <c r="B34" i="13"/>
  <c r="B35" i="13"/>
  <c r="B36" i="13"/>
  <c r="B37" i="13"/>
  <c r="B38" i="13"/>
  <c r="B39" i="13"/>
  <c r="B40" i="13"/>
  <c r="C37" i="13" l="1"/>
  <c r="L37" i="13"/>
  <c r="H37" i="13"/>
  <c r="D37" i="13"/>
  <c r="K37" i="13"/>
  <c r="G37" i="13"/>
  <c r="J38" i="13"/>
  <c r="C36" i="13"/>
  <c r="I39" i="13"/>
  <c r="E35" i="13"/>
  <c r="J37" i="13"/>
  <c r="F37" i="13"/>
  <c r="G39" i="13"/>
  <c r="G38" i="13"/>
  <c r="K35" i="13"/>
  <c r="J34" i="13"/>
  <c r="C39" i="13"/>
  <c r="E39" i="13"/>
  <c r="F38" i="13"/>
  <c r="I35" i="13"/>
  <c r="F34" i="13"/>
  <c r="K39" i="13"/>
  <c r="K38" i="13"/>
  <c r="G35" i="13"/>
  <c r="H33" i="13"/>
  <c r="D33" i="13"/>
  <c r="L40" i="13"/>
  <c r="H40" i="13"/>
  <c r="L36" i="13"/>
  <c r="H36" i="13"/>
  <c r="D36" i="13"/>
  <c r="K33" i="13"/>
  <c r="G33" i="13"/>
  <c r="C34" i="13"/>
  <c r="C38" i="13"/>
  <c r="K40" i="13"/>
  <c r="G40" i="13"/>
  <c r="L39" i="13"/>
  <c r="H39" i="13"/>
  <c r="D39" i="13"/>
  <c r="I38" i="13"/>
  <c r="E38" i="13"/>
  <c r="K36" i="13"/>
  <c r="G36" i="13"/>
  <c r="L35" i="13"/>
  <c r="H35" i="13"/>
  <c r="D35" i="13"/>
  <c r="I34" i="13"/>
  <c r="E34" i="13"/>
  <c r="J33" i="13"/>
  <c r="F33" i="13"/>
  <c r="J40" i="13"/>
  <c r="F40" i="13"/>
  <c r="L38" i="13"/>
  <c r="H38" i="13"/>
  <c r="D38" i="13"/>
  <c r="I37" i="13"/>
  <c r="E37" i="13"/>
  <c r="J36" i="13"/>
  <c r="F36" i="13"/>
  <c r="L34" i="13"/>
  <c r="D34" i="13"/>
  <c r="C33" i="13"/>
  <c r="I33" i="13"/>
  <c r="E33" i="13"/>
  <c r="C35" i="13"/>
  <c r="I40" i="13"/>
  <c r="E40" i="13"/>
  <c r="J39" i="13"/>
  <c r="F39" i="13"/>
  <c r="C32" i="6"/>
  <c r="D32" i="6"/>
  <c r="E32" i="6"/>
  <c r="F32" i="6"/>
  <c r="G32" i="6"/>
  <c r="H32" i="6"/>
  <c r="I32" i="6"/>
  <c r="J32" i="6"/>
  <c r="K32" i="6"/>
  <c r="B32" i="6"/>
  <c r="K41" i="16" l="1"/>
  <c r="K47" i="16" s="1"/>
  <c r="D20" i="21" s="1"/>
  <c r="D28" i="21" l="1"/>
  <c r="F14" i="21"/>
  <c r="H14" i="21"/>
  <c r="G14" i="21"/>
  <c r="I14" i="21"/>
  <c r="J14" i="21"/>
  <c r="D25" i="13"/>
  <c r="E25" i="13"/>
  <c r="F25" i="13"/>
  <c r="G25" i="13"/>
  <c r="H25" i="13"/>
  <c r="I25" i="13"/>
  <c r="J25" i="13"/>
  <c r="K25" i="13"/>
  <c r="L25" i="13"/>
  <c r="C25" i="13"/>
  <c r="M9" i="11" l="1"/>
  <c r="M10" i="11" s="1"/>
  <c r="M11" i="11" s="1"/>
  <c r="M12" i="11" s="1"/>
  <c r="M13" i="11" s="1"/>
  <c r="M14" i="11" s="1"/>
  <c r="M15" i="11" s="1"/>
  <c r="M16" i="11" s="1"/>
  <c r="M17" i="11" s="1"/>
  <c r="M18" i="11" s="1"/>
  <c r="M19" i="11" s="1"/>
  <c r="M20" i="11" s="1"/>
  <c r="M21" i="11" s="1"/>
  <c r="M22" i="11" s="1"/>
  <c r="L9" i="11"/>
  <c r="L10" i="11" s="1"/>
  <c r="L11" i="11" s="1"/>
  <c r="L12" i="11" s="1"/>
  <c r="L13" i="11" s="1"/>
  <c r="L14" i="11" s="1"/>
  <c r="L15" i="11" s="1"/>
  <c r="L16" i="11" s="1"/>
  <c r="L17" i="11" s="1"/>
  <c r="L18" i="11" s="1"/>
  <c r="H9" i="11"/>
  <c r="H10" i="11" s="1"/>
  <c r="H11" i="11" s="1"/>
  <c r="H12" i="11" s="1"/>
  <c r="H13" i="11" s="1"/>
  <c r="H14" i="11" s="1"/>
  <c r="H15" i="11" s="1"/>
  <c r="H16" i="11" s="1"/>
  <c r="H17" i="11" s="1"/>
  <c r="H18" i="11" s="1"/>
  <c r="H19" i="11" s="1"/>
  <c r="H20" i="11" s="1"/>
  <c r="H21" i="11" s="1"/>
  <c r="H22" i="11" s="1"/>
  <c r="G9" i="11"/>
  <c r="G10" i="11" s="1"/>
  <c r="G11" i="11" s="1"/>
  <c r="G12" i="11" s="1"/>
  <c r="G13" i="11" s="1"/>
  <c r="G14" i="11" s="1"/>
  <c r="G15" i="11" s="1"/>
  <c r="G16" i="11" s="1"/>
  <c r="G17" i="11" s="1"/>
  <c r="G18" i="11" s="1"/>
  <c r="E10" i="11"/>
  <c r="E11" i="11"/>
  <c r="E12" i="11"/>
  <c r="E13" i="11"/>
  <c r="E14" i="11"/>
  <c r="E15" i="11"/>
  <c r="E16" i="11"/>
  <c r="E17" i="11"/>
  <c r="E9" i="11"/>
  <c r="C9" i="11"/>
  <c r="C10" i="11" s="1"/>
  <c r="C11" i="11" s="1"/>
  <c r="C12" i="11" s="1"/>
  <c r="C13" i="11" s="1"/>
  <c r="C14" i="11" s="1"/>
  <c r="C15" i="11" s="1"/>
  <c r="C16" i="11" s="1"/>
  <c r="C17" i="11" s="1"/>
  <c r="C18" i="11" s="1"/>
  <c r="C19" i="11" s="1"/>
  <c r="C20" i="11" s="1"/>
  <c r="C21" i="11" s="1"/>
  <c r="C22" i="11" s="1"/>
  <c r="B9" i="11"/>
  <c r="B10" i="11" s="1"/>
  <c r="B11" i="11" s="1"/>
  <c r="B12" i="11" s="1"/>
  <c r="B13" i="11" s="1"/>
  <c r="B14" i="11" s="1"/>
  <c r="B15" i="11" s="1"/>
  <c r="B16" i="11" s="1"/>
  <c r="B17" i="11" s="1"/>
  <c r="B18" i="11" s="1"/>
  <c r="B19" i="11" l="1"/>
  <c r="E18" i="11"/>
  <c r="L19" i="11"/>
  <c r="G19" i="11"/>
  <c r="B6" i="9"/>
  <c r="L7" i="9"/>
  <c r="K7" i="9"/>
  <c r="J7" i="9"/>
  <c r="I7" i="9"/>
  <c r="H7" i="9"/>
  <c r="G7" i="9"/>
  <c r="F7" i="9"/>
  <c r="E7" i="9"/>
  <c r="D7" i="9"/>
  <c r="C7" i="9"/>
  <c r="I19" i="7"/>
  <c r="D77" i="7"/>
  <c r="E77" i="7"/>
  <c r="F77" i="7"/>
  <c r="G77" i="7"/>
  <c r="H77" i="7"/>
  <c r="I77" i="7"/>
  <c r="J77" i="7"/>
  <c r="K77" i="7"/>
  <c r="L77" i="7"/>
  <c r="C77" i="7"/>
  <c r="D75" i="7"/>
  <c r="E75" i="7"/>
  <c r="F75" i="7"/>
  <c r="G75" i="7"/>
  <c r="H75" i="7"/>
  <c r="I75" i="7"/>
  <c r="J75" i="7"/>
  <c r="K75" i="7"/>
  <c r="L75" i="7"/>
  <c r="C75" i="7"/>
  <c r="D73" i="7"/>
  <c r="E73" i="7"/>
  <c r="F73" i="7"/>
  <c r="G73" i="7"/>
  <c r="H73" i="7"/>
  <c r="I73" i="7"/>
  <c r="J73" i="7"/>
  <c r="K73" i="7"/>
  <c r="L73" i="7"/>
  <c r="C73" i="7"/>
  <c r="B20" i="11" l="1"/>
  <c r="E19" i="11"/>
  <c r="L20" i="11"/>
  <c r="G20" i="11"/>
  <c r="D40" i="7"/>
  <c r="E40" i="7"/>
  <c r="F40" i="7"/>
  <c r="G40" i="7"/>
  <c r="H40" i="7"/>
  <c r="I40" i="7"/>
  <c r="J40" i="7"/>
  <c r="K40" i="7"/>
  <c r="L40" i="7"/>
  <c r="C40" i="7"/>
  <c r="C45" i="7" s="1"/>
  <c r="B21" i="11" l="1"/>
  <c r="E20" i="11"/>
  <c r="L21" i="11"/>
  <c r="G21" i="11"/>
  <c r="L79" i="7"/>
  <c r="H13" i="7"/>
  <c r="D60" i="7"/>
  <c r="E60" i="7"/>
  <c r="F60" i="7"/>
  <c r="G60" i="7"/>
  <c r="H60" i="7"/>
  <c r="I60" i="7"/>
  <c r="J60" i="7"/>
  <c r="K60" i="7"/>
  <c r="L60" i="7"/>
  <c r="C60" i="7"/>
  <c r="D63" i="7"/>
  <c r="E63" i="7"/>
  <c r="F63" i="7"/>
  <c r="G63" i="7"/>
  <c r="H63" i="7"/>
  <c r="I63" i="7"/>
  <c r="J63" i="7"/>
  <c r="K63" i="7"/>
  <c r="L63" i="7"/>
  <c r="D64" i="7"/>
  <c r="E64" i="7"/>
  <c r="F64" i="7"/>
  <c r="G64" i="7"/>
  <c r="H64" i="7"/>
  <c r="I64" i="7"/>
  <c r="J64" i="7"/>
  <c r="K64" i="7"/>
  <c r="L64" i="7"/>
  <c r="D65" i="7"/>
  <c r="E65" i="7"/>
  <c r="F65" i="7"/>
  <c r="G65" i="7"/>
  <c r="H65" i="7"/>
  <c r="I65" i="7"/>
  <c r="J65" i="7"/>
  <c r="K65" i="7"/>
  <c r="L65" i="7"/>
  <c r="C64" i="7"/>
  <c r="C65" i="7"/>
  <c r="C63" i="7"/>
  <c r="C58" i="7"/>
  <c r="D58" i="7"/>
  <c r="E58" i="7"/>
  <c r="F58" i="7"/>
  <c r="G58" i="7"/>
  <c r="H58" i="7"/>
  <c r="I58" i="7"/>
  <c r="J58" i="7"/>
  <c r="K58" i="7"/>
  <c r="L58" i="7"/>
  <c r="C59" i="7"/>
  <c r="D59" i="7"/>
  <c r="E59" i="7"/>
  <c r="F59" i="7"/>
  <c r="G59" i="7"/>
  <c r="H59" i="7"/>
  <c r="I59" i="7"/>
  <c r="J59" i="7"/>
  <c r="K59" i="7"/>
  <c r="L59" i="7"/>
  <c r="C57" i="7"/>
  <c r="D57" i="7"/>
  <c r="E57" i="7"/>
  <c r="F57" i="7"/>
  <c r="G57" i="7"/>
  <c r="H57" i="7"/>
  <c r="I57" i="7"/>
  <c r="J57" i="7"/>
  <c r="K57" i="7"/>
  <c r="L57" i="7"/>
  <c r="C52" i="7"/>
  <c r="D52" i="7"/>
  <c r="E52" i="7"/>
  <c r="F52" i="7"/>
  <c r="G52" i="7"/>
  <c r="H52" i="7"/>
  <c r="I52" i="7"/>
  <c r="J52" i="7"/>
  <c r="K52" i="7"/>
  <c r="L52" i="7"/>
  <c r="C53" i="7"/>
  <c r="C44" i="9" s="1"/>
  <c r="D53" i="7"/>
  <c r="D44" i="9" s="1"/>
  <c r="E53" i="7"/>
  <c r="E44" i="9" s="1"/>
  <c r="F53" i="7"/>
  <c r="F44" i="9" s="1"/>
  <c r="G53" i="7"/>
  <c r="G44" i="9" s="1"/>
  <c r="H53" i="7"/>
  <c r="H44" i="9" s="1"/>
  <c r="I53" i="7"/>
  <c r="I44" i="9" s="1"/>
  <c r="J53" i="7"/>
  <c r="J44" i="9" s="1"/>
  <c r="K53" i="7"/>
  <c r="K44" i="9" s="1"/>
  <c r="L53" i="7"/>
  <c r="C54" i="7"/>
  <c r="D54" i="7"/>
  <c r="E54" i="7"/>
  <c r="F54" i="7"/>
  <c r="G54" i="7"/>
  <c r="H54" i="7"/>
  <c r="I54" i="7"/>
  <c r="J54" i="7"/>
  <c r="K54" i="7"/>
  <c r="L54" i="7"/>
  <c r="C55" i="7"/>
  <c r="D55" i="7"/>
  <c r="E55" i="7"/>
  <c r="F55" i="7"/>
  <c r="G55" i="7"/>
  <c r="H55" i="7"/>
  <c r="I55" i="7"/>
  <c r="J55" i="7"/>
  <c r="K55" i="7"/>
  <c r="L55" i="7"/>
  <c r="D51" i="7"/>
  <c r="E51" i="7"/>
  <c r="F51" i="7"/>
  <c r="G51" i="7"/>
  <c r="H51" i="7"/>
  <c r="I51" i="7"/>
  <c r="J51" i="7"/>
  <c r="K51" i="7"/>
  <c r="L51" i="7"/>
  <c r="C51" i="7"/>
  <c r="D45" i="7"/>
  <c r="D13" i="9" s="1"/>
  <c r="E45" i="7"/>
  <c r="E13" i="9" s="1"/>
  <c r="F45" i="7"/>
  <c r="G45" i="7"/>
  <c r="G13" i="9" s="1"/>
  <c r="H45" i="7"/>
  <c r="I45" i="7"/>
  <c r="I13" i="9" s="1"/>
  <c r="J45" i="7"/>
  <c r="K45" i="7"/>
  <c r="K13" i="9" s="1"/>
  <c r="L45" i="7"/>
  <c r="C34" i="7"/>
  <c r="L13" i="9" l="1"/>
  <c r="H13" i="9"/>
  <c r="O13" i="9"/>
  <c r="J13" i="9"/>
  <c r="F13" i="9"/>
  <c r="N13" i="9" s="1"/>
  <c r="B22" i="11"/>
  <c r="E21" i="11"/>
  <c r="L44" i="9"/>
  <c r="N44" i="9" s="1"/>
  <c r="D38" i="21"/>
  <c r="L22" i="11"/>
  <c r="G22" i="11"/>
  <c r="O44" i="9"/>
  <c r="J61" i="7"/>
  <c r="F61" i="7"/>
  <c r="I61" i="7"/>
  <c r="E61" i="7"/>
  <c r="C61" i="7"/>
  <c r="J66" i="7"/>
  <c r="F66" i="7"/>
  <c r="H79" i="7"/>
  <c r="D79" i="7"/>
  <c r="L66" i="7"/>
  <c r="H66" i="7"/>
  <c r="D66" i="7"/>
  <c r="K79" i="7"/>
  <c r="L61" i="7"/>
  <c r="H61" i="7"/>
  <c r="D61" i="7"/>
  <c r="C66" i="7"/>
  <c r="C68" i="7" s="1"/>
  <c r="C43" i="9" s="1"/>
  <c r="I66" i="7"/>
  <c r="E66" i="7"/>
  <c r="K66" i="7"/>
  <c r="G66" i="7"/>
  <c r="J79" i="7"/>
  <c r="K61" i="7"/>
  <c r="G61" i="7"/>
  <c r="I79" i="7"/>
  <c r="E79" i="7"/>
  <c r="D34" i="7"/>
  <c r="E34" i="7"/>
  <c r="F34" i="7"/>
  <c r="G34" i="7"/>
  <c r="H34" i="7"/>
  <c r="I34" i="7"/>
  <c r="J34" i="7"/>
  <c r="K34" i="7"/>
  <c r="L34" i="7"/>
  <c r="E22" i="11" l="1"/>
  <c r="J68" i="7"/>
  <c r="J43" i="9" s="1"/>
  <c r="E68" i="7"/>
  <c r="C70" i="7"/>
  <c r="F68" i="7"/>
  <c r="I68" i="7"/>
  <c r="H68" i="7"/>
  <c r="D68" i="7"/>
  <c r="K68" i="7"/>
  <c r="G68" i="7"/>
  <c r="F79" i="7"/>
  <c r="G79" i="7"/>
  <c r="L68" i="7"/>
  <c r="C79" i="7"/>
  <c r="D28" i="7"/>
  <c r="E28" i="7"/>
  <c r="F28" i="7"/>
  <c r="G28" i="7"/>
  <c r="H28" i="7"/>
  <c r="I28" i="7"/>
  <c r="J28" i="7"/>
  <c r="K28" i="7"/>
  <c r="L28" i="7"/>
  <c r="C28" i="7"/>
  <c r="D25" i="7"/>
  <c r="E25" i="7"/>
  <c r="F25" i="7"/>
  <c r="G25" i="7"/>
  <c r="H25" i="7"/>
  <c r="I25" i="7"/>
  <c r="J25" i="7"/>
  <c r="K25" i="7"/>
  <c r="L25" i="7"/>
  <c r="C25" i="7"/>
  <c r="D19" i="7"/>
  <c r="E19" i="7"/>
  <c r="F19" i="7"/>
  <c r="G19" i="7"/>
  <c r="H19" i="7"/>
  <c r="J19" i="7"/>
  <c r="K19" i="7"/>
  <c r="L19" i="7"/>
  <c r="C19" i="7"/>
  <c r="J70" i="7" l="1"/>
  <c r="G70" i="7"/>
  <c r="G43" i="9"/>
  <c r="E70" i="7"/>
  <c r="E43" i="9"/>
  <c r="L70" i="7"/>
  <c r="L43" i="9"/>
  <c r="K70" i="7"/>
  <c r="K43" i="9"/>
  <c r="F70" i="7"/>
  <c r="F43" i="9"/>
  <c r="H70" i="7"/>
  <c r="H43" i="9"/>
  <c r="I70" i="7"/>
  <c r="I43" i="9"/>
  <c r="D70" i="7"/>
  <c r="D43" i="9"/>
  <c r="D13" i="7"/>
  <c r="E13" i="7"/>
  <c r="F13" i="7"/>
  <c r="G13" i="7"/>
  <c r="I13" i="7"/>
  <c r="J13" i="7"/>
  <c r="K13" i="7"/>
  <c r="L13" i="7"/>
  <c r="C13" i="7"/>
  <c r="D10" i="7"/>
  <c r="E10" i="7"/>
  <c r="F10" i="7"/>
  <c r="G10" i="7"/>
  <c r="H10" i="7"/>
  <c r="I10" i="7"/>
  <c r="J10" i="7"/>
  <c r="K10" i="7"/>
  <c r="L10" i="7"/>
  <c r="C7" i="7"/>
  <c r="D7" i="7"/>
  <c r="E7" i="7"/>
  <c r="F7" i="7"/>
  <c r="G7" i="7"/>
  <c r="H7" i="7"/>
  <c r="I7" i="7"/>
  <c r="J7" i="7"/>
  <c r="K7" i="7"/>
  <c r="L7" i="7"/>
  <c r="B6" i="7"/>
  <c r="C31" i="9" l="1"/>
  <c r="C37" i="9" s="1"/>
  <c r="C42" i="9"/>
  <c r="L35" i="9"/>
  <c r="L31" i="9"/>
  <c r="L37" i="9" s="1"/>
  <c r="L33" i="9"/>
  <c r="L39" i="9" s="1"/>
  <c r="L34" i="9"/>
  <c r="L32" i="9"/>
  <c r="L38" i="9" s="1"/>
  <c r="L42" i="9"/>
  <c r="D29" i="7"/>
  <c r="D22" i="9" s="1"/>
  <c r="D35" i="9"/>
  <c r="D31" i="9"/>
  <c r="D37" i="9" s="1"/>
  <c r="D33" i="9"/>
  <c r="D39" i="9" s="1"/>
  <c r="D34" i="9"/>
  <c r="D32" i="9"/>
  <c r="D38" i="9" s="1"/>
  <c r="D42" i="9"/>
  <c r="J20" i="7"/>
  <c r="J21" i="9" s="1"/>
  <c r="J33" i="9"/>
  <c r="J39" i="9" s="1"/>
  <c r="J35" i="9"/>
  <c r="J31" i="9"/>
  <c r="J37" i="9" s="1"/>
  <c r="J34" i="9"/>
  <c r="J32" i="9"/>
  <c r="J38" i="9" s="1"/>
  <c r="J42" i="9"/>
  <c r="H29" i="7"/>
  <c r="H22" i="9" s="1"/>
  <c r="H35" i="9"/>
  <c r="H31" i="9"/>
  <c r="H37" i="9" s="1"/>
  <c r="H33" i="9"/>
  <c r="H39" i="9" s="1"/>
  <c r="H34" i="9"/>
  <c r="H32" i="9"/>
  <c r="H38" i="9" s="1"/>
  <c r="H42" i="9"/>
  <c r="K32" i="9"/>
  <c r="K38" i="9" s="1"/>
  <c r="K34" i="9"/>
  <c r="K35" i="9"/>
  <c r="K31" i="9"/>
  <c r="K37" i="9" s="1"/>
  <c r="K33" i="9"/>
  <c r="K39" i="9" s="1"/>
  <c r="K42" i="9"/>
  <c r="G32" i="9"/>
  <c r="G38" i="9" s="1"/>
  <c r="G34" i="9"/>
  <c r="G31" i="9"/>
  <c r="G37" i="9" s="1"/>
  <c r="G35" i="9"/>
  <c r="G33" i="9"/>
  <c r="G39" i="9" s="1"/>
  <c r="G42" i="9"/>
  <c r="F20" i="7"/>
  <c r="F21" i="9" s="1"/>
  <c r="F33" i="9"/>
  <c r="F39" i="9" s="1"/>
  <c r="F35" i="9"/>
  <c r="F31" i="9"/>
  <c r="F37" i="9" s="1"/>
  <c r="F32" i="9"/>
  <c r="F38" i="9" s="1"/>
  <c r="F34" i="9"/>
  <c r="F42" i="9"/>
  <c r="C26" i="7"/>
  <c r="C32" i="9"/>
  <c r="C34" i="9"/>
  <c r="C35" i="9"/>
  <c r="C33" i="9"/>
  <c r="I20" i="7"/>
  <c r="I21" i="9" s="1"/>
  <c r="I34" i="9"/>
  <c r="I32" i="9"/>
  <c r="I38" i="9" s="1"/>
  <c r="I33" i="9"/>
  <c r="I39" i="9" s="1"/>
  <c r="I31" i="9"/>
  <c r="I37" i="9" s="1"/>
  <c r="I35" i="9"/>
  <c r="I42" i="9"/>
  <c r="E34" i="9"/>
  <c r="E32" i="9"/>
  <c r="E38" i="9" s="1"/>
  <c r="E33" i="9"/>
  <c r="E39" i="9" s="1"/>
  <c r="E35" i="9"/>
  <c r="E31" i="9"/>
  <c r="E37" i="9" s="1"/>
  <c r="E42" i="9"/>
  <c r="L29" i="7"/>
  <c r="L22" i="9" s="1"/>
  <c r="E16" i="7"/>
  <c r="E17" i="7" s="1"/>
  <c r="E15" i="9" s="1"/>
  <c r="K14" i="7"/>
  <c r="H14" i="7"/>
  <c r="D14" i="7"/>
  <c r="L14" i="7"/>
  <c r="G14" i="7"/>
  <c r="J16" i="7"/>
  <c r="C14" i="7"/>
  <c r="I14" i="7"/>
  <c r="E14" i="7"/>
  <c r="F16" i="7"/>
  <c r="F17" i="7" s="1"/>
  <c r="F15" i="9" s="1"/>
  <c r="J26" i="7"/>
  <c r="D20" i="7"/>
  <c r="D21" i="9" s="1"/>
  <c r="L11" i="7"/>
  <c r="L9" i="9" s="1"/>
  <c r="H11" i="7"/>
  <c r="H9" i="9" s="1"/>
  <c r="I16" i="7"/>
  <c r="I17" i="7" s="1"/>
  <c r="I15" i="9" s="1"/>
  <c r="D26" i="7"/>
  <c r="C20" i="7"/>
  <c r="C21" i="9" s="1"/>
  <c r="J14" i="7"/>
  <c r="F14" i="7"/>
  <c r="L16" i="7"/>
  <c r="L17" i="7" s="1"/>
  <c r="L15" i="9" s="1"/>
  <c r="H16" i="7"/>
  <c r="H17" i="7" s="1"/>
  <c r="H15" i="9" s="1"/>
  <c r="D16" i="7"/>
  <c r="D17" i="7" s="1"/>
  <c r="D15" i="9" s="1"/>
  <c r="H26" i="7"/>
  <c r="E29" i="7"/>
  <c r="E22" i="9" s="1"/>
  <c r="H20" i="7"/>
  <c r="H21" i="9" s="1"/>
  <c r="E26" i="7"/>
  <c r="J29" i="7"/>
  <c r="J22" i="9" s="1"/>
  <c r="I11" i="7"/>
  <c r="I9" i="9" s="1"/>
  <c r="E11" i="7"/>
  <c r="E9" i="9" s="1"/>
  <c r="I26" i="7"/>
  <c r="C29" i="7"/>
  <c r="C22" i="9" s="1"/>
  <c r="E20" i="7"/>
  <c r="E21" i="9" s="1"/>
  <c r="C16" i="7"/>
  <c r="L20" i="7"/>
  <c r="L21" i="9" s="1"/>
  <c r="K20" i="7"/>
  <c r="K21" i="9" s="1"/>
  <c r="K26" i="7"/>
  <c r="K29" i="7"/>
  <c r="K22" i="9" s="1"/>
  <c r="G20" i="7"/>
  <c r="G21" i="9" s="1"/>
  <c r="G29" i="7"/>
  <c r="G22" i="9" s="1"/>
  <c r="G26" i="7"/>
  <c r="K11" i="7"/>
  <c r="K9" i="9" s="1"/>
  <c r="G11" i="7"/>
  <c r="G9" i="9" s="1"/>
  <c r="D11" i="7"/>
  <c r="J11" i="7"/>
  <c r="J9" i="9" s="1"/>
  <c r="F11" i="7"/>
  <c r="F9" i="9" s="1"/>
  <c r="K16" i="7"/>
  <c r="K17" i="7" s="1"/>
  <c r="K15" i="9" s="1"/>
  <c r="G16" i="7"/>
  <c r="G17" i="7" s="1"/>
  <c r="G15" i="9" s="1"/>
  <c r="L26" i="7"/>
  <c r="I29" i="7"/>
  <c r="I22" i="9" s="1"/>
  <c r="F29" i="7"/>
  <c r="F22" i="9" s="1"/>
  <c r="F26" i="7"/>
  <c r="C6" i="3"/>
  <c r="D6" i="3"/>
  <c r="E6" i="3"/>
  <c r="F6" i="3"/>
  <c r="G6" i="3"/>
  <c r="H6" i="3"/>
  <c r="I6" i="3"/>
  <c r="J6" i="3"/>
  <c r="K6" i="3"/>
  <c r="B6" i="3"/>
  <c r="C5" i="1"/>
  <c r="D5" i="1"/>
  <c r="E5" i="1"/>
  <c r="F5" i="1"/>
  <c r="G5" i="1"/>
  <c r="H5" i="1"/>
  <c r="I5" i="1"/>
  <c r="J5" i="1"/>
  <c r="K5" i="1"/>
  <c r="B5" i="1"/>
  <c r="B6" i="6"/>
  <c r="D40" i="21" s="1"/>
  <c r="C17" i="2"/>
  <c r="D17" i="2"/>
  <c r="E17" i="2"/>
  <c r="F17" i="2"/>
  <c r="G17" i="2"/>
  <c r="H17" i="2"/>
  <c r="I17" i="2"/>
  <c r="J17" i="2"/>
  <c r="K17" i="2"/>
  <c r="C18" i="2"/>
  <c r="D18" i="2"/>
  <c r="E18" i="2"/>
  <c r="F18" i="2"/>
  <c r="G18" i="2"/>
  <c r="H18" i="2"/>
  <c r="I18" i="2"/>
  <c r="J18" i="2"/>
  <c r="K18" i="2"/>
  <c r="B17" i="2"/>
  <c r="C4" i="2"/>
  <c r="D4" i="2"/>
  <c r="E4" i="2"/>
  <c r="E5" i="2"/>
  <c r="F4" i="2"/>
  <c r="G4" i="2"/>
  <c r="H4" i="2"/>
  <c r="I4" i="2"/>
  <c r="I5" i="2"/>
  <c r="J4" i="2"/>
  <c r="J5" i="2"/>
  <c r="K4" i="2"/>
  <c r="C5" i="2"/>
  <c r="D5" i="2"/>
  <c r="F5" i="2"/>
  <c r="G5" i="2"/>
  <c r="H5" i="2"/>
  <c r="K5" i="2"/>
  <c r="C6" i="2"/>
  <c r="D6" i="2"/>
  <c r="E6" i="2"/>
  <c r="F6" i="2"/>
  <c r="G6" i="2"/>
  <c r="H6" i="2"/>
  <c r="I6" i="2"/>
  <c r="J6" i="2"/>
  <c r="K6" i="2"/>
  <c r="C7" i="2"/>
  <c r="D7" i="2"/>
  <c r="E7" i="2"/>
  <c r="F7" i="2"/>
  <c r="G7" i="2"/>
  <c r="H7" i="2"/>
  <c r="I7" i="2"/>
  <c r="J7" i="2"/>
  <c r="K7" i="2"/>
  <c r="C8" i="2"/>
  <c r="D8" i="2"/>
  <c r="E8" i="2"/>
  <c r="F8" i="2"/>
  <c r="G8" i="2"/>
  <c r="H8" i="2"/>
  <c r="I8" i="2"/>
  <c r="J8" i="2"/>
  <c r="K8" i="2"/>
  <c r="C10" i="2"/>
  <c r="D10" i="2"/>
  <c r="E10" i="2"/>
  <c r="F10" i="2"/>
  <c r="G10" i="2"/>
  <c r="H10" i="2"/>
  <c r="I10" i="2"/>
  <c r="J10" i="2"/>
  <c r="K10" i="2"/>
  <c r="C11" i="2"/>
  <c r="D11" i="2"/>
  <c r="E11" i="2"/>
  <c r="F11" i="2"/>
  <c r="G11" i="2"/>
  <c r="H11" i="2"/>
  <c r="I11" i="2"/>
  <c r="J11" i="2"/>
  <c r="K11" i="2"/>
  <c r="C12" i="2"/>
  <c r="D12" i="2"/>
  <c r="E12" i="2"/>
  <c r="F12" i="2"/>
  <c r="G12" i="2"/>
  <c r="H12" i="2"/>
  <c r="I12" i="2"/>
  <c r="J12" i="2"/>
  <c r="K12" i="2"/>
  <c r="C13" i="2"/>
  <c r="D13" i="2"/>
  <c r="E13" i="2"/>
  <c r="F13" i="2"/>
  <c r="G13" i="2"/>
  <c r="H13" i="2"/>
  <c r="I13" i="2"/>
  <c r="J13" i="2"/>
  <c r="K13" i="2"/>
  <c r="C14" i="2"/>
  <c r="D14" i="2"/>
  <c r="E14" i="2"/>
  <c r="F14" i="2"/>
  <c r="G14" i="2"/>
  <c r="H14" i="2"/>
  <c r="I14" i="2"/>
  <c r="J14" i="2"/>
  <c r="K14" i="2"/>
  <c r="B14" i="2"/>
  <c r="B5" i="2"/>
  <c r="B4" i="2"/>
  <c r="C4" i="4"/>
  <c r="D4" i="4"/>
  <c r="E4" i="4"/>
  <c r="F4" i="4"/>
  <c r="G4" i="4"/>
  <c r="H4" i="4"/>
  <c r="I4" i="4"/>
  <c r="J4" i="4"/>
  <c r="K4" i="4"/>
  <c r="C5" i="4"/>
  <c r="D5" i="4"/>
  <c r="E5" i="4"/>
  <c r="F5" i="4"/>
  <c r="G5" i="4"/>
  <c r="H5" i="4"/>
  <c r="I5" i="4"/>
  <c r="J5" i="4"/>
  <c r="K5" i="4"/>
  <c r="C6" i="4"/>
  <c r="D6" i="4"/>
  <c r="E6" i="4"/>
  <c r="F6" i="4"/>
  <c r="G6" i="4"/>
  <c r="H6" i="4"/>
  <c r="I6" i="4"/>
  <c r="J6" i="4"/>
  <c r="K6" i="4"/>
  <c r="C7" i="4"/>
  <c r="D7" i="4"/>
  <c r="E7" i="4"/>
  <c r="F7" i="4"/>
  <c r="G7" i="4"/>
  <c r="H7" i="4"/>
  <c r="I7" i="4"/>
  <c r="J7" i="4"/>
  <c r="K7" i="4"/>
  <c r="C4" i="3"/>
  <c r="D4" i="3"/>
  <c r="E4" i="3"/>
  <c r="F4" i="3"/>
  <c r="G4" i="3"/>
  <c r="H4" i="3"/>
  <c r="I4" i="3"/>
  <c r="J4" i="3"/>
  <c r="K4" i="3"/>
  <c r="C5" i="3"/>
  <c r="D5" i="3"/>
  <c r="E5" i="3"/>
  <c r="F5" i="3"/>
  <c r="G5" i="3"/>
  <c r="H5" i="3"/>
  <c r="I5" i="3"/>
  <c r="J5" i="3"/>
  <c r="K5" i="3"/>
  <c r="C7" i="3"/>
  <c r="D7" i="3"/>
  <c r="E7" i="3"/>
  <c r="F7" i="3"/>
  <c r="G7" i="3"/>
  <c r="H7" i="3"/>
  <c r="I7" i="3"/>
  <c r="J7" i="3"/>
  <c r="K7"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G11" i="3"/>
  <c r="H11" i="3"/>
  <c r="I11" i="3"/>
  <c r="J11" i="3"/>
  <c r="K11" i="3"/>
  <c r="C12" i="3"/>
  <c r="D12" i="3"/>
  <c r="E12" i="3"/>
  <c r="F12" i="3"/>
  <c r="G12" i="3"/>
  <c r="H12" i="3"/>
  <c r="I12" i="3"/>
  <c r="J12" i="3"/>
  <c r="K12" i="3"/>
  <c r="B5" i="3"/>
  <c r="C18" i="1"/>
  <c r="D18" i="1"/>
  <c r="E18" i="1"/>
  <c r="F18" i="1"/>
  <c r="G18" i="1"/>
  <c r="H18" i="1"/>
  <c r="I18" i="1"/>
  <c r="J18" i="1"/>
  <c r="K18" i="1"/>
  <c r="B18" i="1"/>
  <c r="C4" i="1"/>
  <c r="D4" i="1"/>
  <c r="E4" i="1"/>
  <c r="F4" i="1"/>
  <c r="G4" i="1"/>
  <c r="H4" i="1"/>
  <c r="I4" i="1"/>
  <c r="J4" i="1"/>
  <c r="K4" i="1"/>
  <c r="C7" i="1"/>
  <c r="D7" i="1"/>
  <c r="E7" i="1"/>
  <c r="F7" i="1"/>
  <c r="G7" i="1"/>
  <c r="H7" i="1"/>
  <c r="I7" i="1"/>
  <c r="J7" i="1"/>
  <c r="K7" i="1"/>
  <c r="C8" i="1"/>
  <c r="D8" i="1"/>
  <c r="E8" i="1"/>
  <c r="F8" i="1"/>
  <c r="G8" i="1"/>
  <c r="H8" i="1"/>
  <c r="I8" i="1"/>
  <c r="J8" i="1"/>
  <c r="K8" i="1"/>
  <c r="C9" i="1"/>
  <c r="D9" i="1"/>
  <c r="E9" i="1"/>
  <c r="F9" i="1"/>
  <c r="G9" i="1"/>
  <c r="H9" i="1"/>
  <c r="I9" i="1"/>
  <c r="J9" i="1"/>
  <c r="K9" i="1"/>
  <c r="C10" i="1"/>
  <c r="D10" i="1"/>
  <c r="E10" i="1"/>
  <c r="F10" i="1"/>
  <c r="G10" i="1"/>
  <c r="H10" i="1"/>
  <c r="I10" i="1"/>
  <c r="J10" i="1"/>
  <c r="K10" i="1"/>
  <c r="C11" i="1"/>
  <c r="D11" i="1"/>
  <c r="E11" i="1"/>
  <c r="E26" i="1" s="1"/>
  <c r="F11" i="1"/>
  <c r="G11" i="1"/>
  <c r="H11" i="1"/>
  <c r="I11" i="1"/>
  <c r="I26" i="1" s="1"/>
  <c r="J11" i="1"/>
  <c r="K11" i="1"/>
  <c r="C12" i="1"/>
  <c r="C13" i="1" s="1"/>
  <c r="D12" i="1"/>
  <c r="E12" i="1"/>
  <c r="F12" i="1"/>
  <c r="F13" i="1" s="1"/>
  <c r="G12" i="1"/>
  <c r="H12" i="1"/>
  <c r="H13" i="1" s="1"/>
  <c r="I12" i="1"/>
  <c r="I13" i="1" s="1"/>
  <c r="J12" i="1"/>
  <c r="J13" i="1" s="1"/>
  <c r="K12" i="1"/>
  <c r="K13" i="1" s="1"/>
  <c r="C15" i="1"/>
  <c r="C14" i="1" s="1"/>
  <c r="D15" i="1"/>
  <c r="E15" i="1"/>
  <c r="F15" i="1"/>
  <c r="G15" i="1"/>
  <c r="H15" i="1"/>
  <c r="I15" i="1"/>
  <c r="J15" i="1"/>
  <c r="K15" i="1"/>
  <c r="K14" i="1" s="1"/>
  <c r="B15" i="1"/>
  <c r="B7" i="1"/>
  <c r="B4" i="1"/>
  <c r="A1" i="1"/>
  <c r="A1" i="3" s="1"/>
  <c r="E1" i="6"/>
  <c r="H1" i="1" s="1"/>
  <c r="C3" i="4"/>
  <c r="D3" i="4"/>
  <c r="E3" i="4"/>
  <c r="F3" i="4"/>
  <c r="G3" i="4"/>
  <c r="H3" i="4"/>
  <c r="I3" i="4"/>
  <c r="J3" i="4"/>
  <c r="K3" i="4"/>
  <c r="C3" i="2"/>
  <c r="D3" i="2"/>
  <c r="E3" i="2"/>
  <c r="F3" i="2"/>
  <c r="G3" i="2"/>
  <c r="H3" i="2"/>
  <c r="I3" i="2"/>
  <c r="J3" i="2"/>
  <c r="K3" i="2"/>
  <c r="C3" i="3"/>
  <c r="D3" i="3"/>
  <c r="E3" i="3"/>
  <c r="F3" i="3"/>
  <c r="G3" i="3"/>
  <c r="H3" i="3"/>
  <c r="I3" i="3"/>
  <c r="J3" i="3"/>
  <c r="K3" i="3"/>
  <c r="C3" i="1"/>
  <c r="D3" i="1"/>
  <c r="E3" i="1"/>
  <c r="F3" i="1"/>
  <c r="G3" i="1"/>
  <c r="H3" i="1"/>
  <c r="I3" i="1"/>
  <c r="J3" i="1"/>
  <c r="K3" i="1"/>
  <c r="B7" i="4"/>
  <c r="B6" i="4"/>
  <c r="B5" i="4"/>
  <c r="B4" i="4"/>
  <c r="B3" i="4"/>
  <c r="B18" i="2"/>
  <c r="B13" i="2"/>
  <c r="B12" i="2"/>
  <c r="B11" i="2"/>
  <c r="B10" i="2"/>
  <c r="B8" i="2"/>
  <c r="B7" i="2"/>
  <c r="B6" i="2"/>
  <c r="B3" i="2"/>
  <c r="B12" i="3"/>
  <c r="B11" i="3"/>
  <c r="B10" i="3"/>
  <c r="B9" i="3"/>
  <c r="B8" i="3"/>
  <c r="B7" i="3"/>
  <c r="B4" i="3"/>
  <c r="B3" i="3"/>
  <c r="L15" i="1"/>
  <c r="B12" i="1"/>
  <c r="B13" i="1" s="1"/>
  <c r="B11" i="1"/>
  <c r="B10" i="1"/>
  <c r="B9" i="1"/>
  <c r="B8" i="1"/>
  <c r="B3" i="1"/>
  <c r="D23" i="2" l="1"/>
  <c r="J6" i="1"/>
  <c r="J19" i="1" s="1"/>
  <c r="B14" i="1"/>
  <c r="F14" i="1"/>
  <c r="H26" i="1"/>
  <c r="D26" i="1"/>
  <c r="H14" i="3"/>
  <c r="D14" i="3"/>
  <c r="C23" i="2"/>
  <c r="K16" i="3"/>
  <c r="I21" i="2"/>
  <c r="E20" i="2"/>
  <c r="L12" i="1"/>
  <c r="L13" i="1" s="1"/>
  <c r="L14" i="1" s="1"/>
  <c r="L25" i="1" s="1"/>
  <c r="J16" i="3"/>
  <c r="F16" i="3"/>
  <c r="D20" i="2"/>
  <c r="G6" i="1"/>
  <c r="G19" i="1" s="1"/>
  <c r="J23" i="1"/>
  <c r="G16" i="3"/>
  <c r="E1" i="3"/>
  <c r="K26" i="1"/>
  <c r="G26" i="1"/>
  <c r="C26" i="1"/>
  <c r="J40" i="9"/>
  <c r="K40" i="9"/>
  <c r="B26" i="1"/>
  <c r="B14" i="3"/>
  <c r="E21" i="2"/>
  <c r="D40" i="9"/>
  <c r="A1" i="2"/>
  <c r="A1" i="4" s="1"/>
  <c r="E1" i="2"/>
  <c r="I16" i="3"/>
  <c r="E16" i="3"/>
  <c r="J21" i="2"/>
  <c r="B21" i="2"/>
  <c r="I6" i="1"/>
  <c r="I19" i="1" s="1"/>
  <c r="J26" i="1"/>
  <c r="F26" i="1"/>
  <c r="H16" i="3"/>
  <c r="D16" i="3"/>
  <c r="D17" i="3" s="1"/>
  <c r="H16" i="2"/>
  <c r="L10" i="1"/>
  <c r="L5" i="1"/>
  <c r="I14" i="3"/>
  <c r="E14" i="3"/>
  <c r="J16" i="2"/>
  <c r="F16" i="2"/>
  <c r="H21" i="2"/>
  <c r="D21" i="2"/>
  <c r="D6" i="1"/>
  <c r="D19" i="1" s="1"/>
  <c r="C17" i="7"/>
  <c r="C15" i="9" s="1"/>
  <c r="C22" i="7"/>
  <c r="O9" i="9"/>
  <c r="N9" i="9"/>
  <c r="O35" i="9"/>
  <c r="N35" i="9"/>
  <c r="L4" i="1"/>
  <c r="L23" i="1" s="1"/>
  <c r="B20" i="2"/>
  <c r="N42" i="9"/>
  <c r="O34" i="9"/>
  <c r="N34" i="9"/>
  <c r="E40" i="9"/>
  <c r="H40" i="9"/>
  <c r="F21" i="2"/>
  <c r="B6" i="1"/>
  <c r="B19" i="1" s="1"/>
  <c r="E6" i="1"/>
  <c r="E19" i="1" s="1"/>
  <c r="K21" i="2"/>
  <c r="G21" i="2"/>
  <c r="C6" i="1"/>
  <c r="C19" i="1" s="1"/>
  <c r="L11" i="1"/>
  <c r="J14" i="3"/>
  <c r="F14" i="3"/>
  <c r="K16" i="2"/>
  <c r="C16" i="2"/>
  <c r="D16" i="2"/>
  <c r="H23" i="2"/>
  <c r="F23" i="2"/>
  <c r="L6" i="1"/>
  <c r="G14" i="3"/>
  <c r="I40" i="9"/>
  <c r="C39" i="9"/>
  <c r="O42" i="9" s="1"/>
  <c r="O33" i="9"/>
  <c r="N33" i="9"/>
  <c r="C38" i="9"/>
  <c r="F40" i="9"/>
  <c r="G40" i="9"/>
  <c r="L40" i="9"/>
  <c r="E22" i="7"/>
  <c r="I23" i="1"/>
  <c r="K20" i="2"/>
  <c r="K6" i="1"/>
  <c r="K19" i="1" s="1"/>
  <c r="F20" i="2"/>
  <c r="E23" i="2"/>
  <c r="H23" i="1"/>
  <c r="C20" i="2"/>
  <c r="G20" i="2"/>
  <c r="C21" i="2"/>
  <c r="G23" i="2"/>
  <c r="J20" i="2"/>
  <c r="J14" i="1"/>
  <c r="K14" i="3"/>
  <c r="C14" i="3"/>
  <c r="I16" i="2"/>
  <c r="J22" i="7"/>
  <c r="J17" i="7"/>
  <c r="J15" i="9" s="1"/>
  <c r="F22" i="7"/>
  <c r="F10" i="9" s="1"/>
  <c r="K22" i="7"/>
  <c r="D22" i="7"/>
  <c r="D10" i="9" s="1"/>
  <c r="H22" i="7"/>
  <c r="H10" i="9" s="1"/>
  <c r="L22" i="7"/>
  <c r="L10" i="9" s="1"/>
  <c r="G22" i="7"/>
  <c r="I22" i="7"/>
  <c r="B16" i="2"/>
  <c r="B23" i="2"/>
  <c r="H14" i="1"/>
  <c r="G16" i="2"/>
  <c r="G24" i="2"/>
  <c r="E24" i="2"/>
  <c r="G13" i="1"/>
  <c r="G14" i="1" s="1"/>
  <c r="D13" i="1"/>
  <c r="E13" i="1" s="1"/>
  <c r="E14" i="1" s="1"/>
  <c r="L9" i="1"/>
  <c r="M9" i="1" s="1"/>
  <c r="L8" i="1"/>
  <c r="N8" i="1" s="1"/>
  <c r="L7" i="1"/>
  <c r="E16" i="2"/>
  <c r="J23" i="2"/>
  <c r="J24" i="2"/>
  <c r="D24" i="2"/>
  <c r="K24" i="2"/>
  <c r="I24" i="2"/>
  <c r="K23" i="2"/>
  <c r="I14" i="1"/>
  <c r="C24" i="2"/>
  <c r="I23" i="2"/>
  <c r="H24" i="2"/>
  <c r="F24" i="2"/>
  <c r="I20" i="2"/>
  <c r="H20" i="2"/>
  <c r="K23" i="1"/>
  <c r="H6" i="1"/>
  <c r="H19" i="1" s="1"/>
  <c r="F6" i="1"/>
  <c r="F19" i="1" s="1"/>
  <c r="E1" i="4"/>
  <c r="I10" i="9" l="1"/>
  <c r="J10" i="9"/>
  <c r="E31" i="7"/>
  <c r="E10" i="9"/>
  <c r="G10" i="9"/>
  <c r="K10" i="9"/>
  <c r="N9" i="1"/>
  <c r="L19" i="1"/>
  <c r="L24" i="1" s="1"/>
  <c r="N11" i="1"/>
  <c r="I25" i="1"/>
  <c r="K25" i="1"/>
  <c r="M25" i="1" s="1"/>
  <c r="M14" i="1" s="1"/>
  <c r="M11" i="1"/>
  <c r="K24" i="1"/>
  <c r="M24" i="1" s="1"/>
  <c r="I8" i="11" a="1"/>
  <c r="L25" i="9"/>
  <c r="L17" i="9"/>
  <c r="L23" i="9" s="1"/>
  <c r="L29" i="9"/>
  <c r="I25" i="9"/>
  <c r="I17" i="9"/>
  <c r="I23" i="9" s="1"/>
  <c r="I29" i="9"/>
  <c r="F23" i="7"/>
  <c r="F16" i="9" s="1"/>
  <c r="F17" i="9"/>
  <c r="F23" i="9" s="1"/>
  <c r="F25" i="9"/>
  <c r="O39" i="9"/>
  <c r="N39" i="9"/>
  <c r="H17" i="9"/>
  <c r="H23" i="9" s="1"/>
  <c r="H29" i="9"/>
  <c r="H25" i="9"/>
  <c r="N38" i="9"/>
  <c r="O38" i="9"/>
  <c r="C40" i="9"/>
  <c r="N37" i="9"/>
  <c r="O37" i="9"/>
  <c r="J24" i="1"/>
  <c r="G25" i="9"/>
  <c r="G17" i="9"/>
  <c r="G23" i="9" s="1"/>
  <c r="D17" i="9"/>
  <c r="D23" i="9" s="1"/>
  <c r="D25" i="9"/>
  <c r="M23" i="1"/>
  <c r="M4" i="1" s="1"/>
  <c r="M8" i="1"/>
  <c r="C25" i="9"/>
  <c r="C17" i="9"/>
  <c r="K25" i="9"/>
  <c r="K29" i="9"/>
  <c r="K17" i="9"/>
  <c r="K23" i="9" s="1"/>
  <c r="J23" i="7"/>
  <c r="J16" i="9" s="1"/>
  <c r="J29" i="9"/>
  <c r="J17" i="9"/>
  <c r="J23" i="9" s="1"/>
  <c r="J25" i="9"/>
  <c r="E23" i="7"/>
  <c r="E16" i="9" s="1"/>
  <c r="E25" i="9"/>
  <c r="E17" i="9"/>
  <c r="E23" i="9" s="1"/>
  <c r="J31" i="7"/>
  <c r="D14" i="1"/>
  <c r="H25" i="1" s="1"/>
  <c r="H24" i="1"/>
  <c r="J25" i="1"/>
  <c r="F31" i="7"/>
  <c r="E37" i="7"/>
  <c r="E32" i="7"/>
  <c r="E18" i="9" s="1"/>
  <c r="E35" i="7"/>
  <c r="L23" i="7"/>
  <c r="L16" i="9" s="1"/>
  <c r="L31" i="7"/>
  <c r="D23" i="7"/>
  <c r="D16" i="9" s="1"/>
  <c r="D31" i="7"/>
  <c r="G23" i="7"/>
  <c r="G16" i="9" s="1"/>
  <c r="G31" i="7"/>
  <c r="H23" i="7"/>
  <c r="H16" i="9" s="1"/>
  <c r="H31" i="7"/>
  <c r="K23" i="7"/>
  <c r="K16" i="9" s="1"/>
  <c r="K31" i="7"/>
  <c r="I23" i="7"/>
  <c r="I16" i="9" s="1"/>
  <c r="I31" i="7"/>
  <c r="C23" i="7"/>
  <c r="C16" i="9" s="1"/>
  <c r="C31" i="7"/>
  <c r="N23" i="1"/>
  <c r="N4" i="1" s="1"/>
  <c r="I24" i="1"/>
  <c r="E11" i="9" l="1"/>
  <c r="D11" i="9"/>
  <c r="M6" i="1"/>
  <c r="O32" i="9"/>
  <c r="N32" i="9"/>
  <c r="O43" i="9"/>
  <c r="N43" i="9"/>
  <c r="G11" i="9"/>
  <c r="M10" i="1"/>
  <c r="M12" i="1" s="1"/>
  <c r="M13" i="1" s="1"/>
  <c r="M15" i="1" s="1"/>
  <c r="K11" i="9"/>
  <c r="I50" i="20"/>
  <c r="I52" i="20" s="1"/>
  <c r="I56" i="20" s="1"/>
  <c r="I63" i="20" s="1"/>
  <c r="I42" i="20"/>
  <c r="I64" i="20" s="1"/>
  <c r="K50" i="20"/>
  <c r="K52" i="20" s="1"/>
  <c r="K56" i="20" s="1"/>
  <c r="K63" i="20" s="1"/>
  <c r="K42" i="20"/>
  <c r="K64" i="20" s="1"/>
  <c r="I11" i="9"/>
  <c r="I8" i="11"/>
  <c r="I10" i="11"/>
  <c r="I13" i="11"/>
  <c r="I16" i="11"/>
  <c r="I12" i="11"/>
  <c r="I9" i="11"/>
  <c r="I15" i="11"/>
  <c r="I11" i="11"/>
  <c r="I14" i="11"/>
  <c r="I17" i="11"/>
  <c r="N10" i="9"/>
  <c r="O10" i="9"/>
  <c r="L11" i="9"/>
  <c r="E27" i="9"/>
  <c r="F37" i="7"/>
  <c r="F38" i="7" s="1"/>
  <c r="F19" i="9" s="1"/>
  <c r="F11" i="9"/>
  <c r="J32" i="7"/>
  <c r="J18" i="9" s="1"/>
  <c r="J11" i="9"/>
  <c r="C23" i="9"/>
  <c r="N17" i="9"/>
  <c r="O17" i="9"/>
  <c r="N40" i="9"/>
  <c r="O40" i="9"/>
  <c r="O16" i="9"/>
  <c r="N16" i="9"/>
  <c r="N24" i="1"/>
  <c r="N6" i="1" s="1"/>
  <c r="H11" i="9"/>
  <c r="O25" i="9"/>
  <c r="N25" i="9"/>
  <c r="J37" i="7"/>
  <c r="J35" i="7"/>
  <c r="N25" i="1"/>
  <c r="N14" i="1" s="1"/>
  <c r="F35" i="7"/>
  <c r="F32" i="7"/>
  <c r="F18" i="9" s="1"/>
  <c r="E38" i="7"/>
  <c r="E19" i="9" s="1"/>
  <c r="E42" i="7"/>
  <c r="C37" i="7"/>
  <c r="C27" i="9" s="1"/>
  <c r="C32" i="7"/>
  <c r="C18" i="9" s="1"/>
  <c r="C35" i="7"/>
  <c r="K37" i="7"/>
  <c r="K32" i="7"/>
  <c r="K18" i="9" s="1"/>
  <c r="K35" i="7"/>
  <c r="G37" i="7"/>
  <c r="G32" i="7"/>
  <c r="G18" i="9" s="1"/>
  <c r="G35" i="7"/>
  <c r="L37" i="7"/>
  <c r="L32" i="7"/>
  <c r="L18" i="9" s="1"/>
  <c r="L35" i="7"/>
  <c r="I37" i="7"/>
  <c r="I32" i="7"/>
  <c r="I18" i="9" s="1"/>
  <c r="I35" i="7"/>
  <c r="H37" i="7"/>
  <c r="H32" i="7"/>
  <c r="H18" i="9" s="1"/>
  <c r="H35" i="7"/>
  <c r="D37" i="7"/>
  <c r="D32" i="7"/>
  <c r="D18" i="9" s="1"/>
  <c r="D35" i="7"/>
  <c r="M5" i="1"/>
  <c r="I18" i="11" l="1"/>
  <c r="J18" i="11" s="1"/>
  <c r="E12" i="9"/>
  <c r="D12" i="9"/>
  <c r="J16" i="11"/>
  <c r="O21" i="9"/>
  <c r="N21" i="9"/>
  <c r="J14" i="11"/>
  <c r="J17" i="11"/>
  <c r="J9" i="11"/>
  <c r="J11" i="11"/>
  <c r="J10" i="11"/>
  <c r="J12" i="11"/>
  <c r="I19" i="11"/>
  <c r="I22" i="11"/>
  <c r="I20" i="11"/>
  <c r="I21" i="11"/>
  <c r="K66" i="20"/>
  <c r="I66" i="20"/>
  <c r="H50" i="20"/>
  <c r="H42" i="20"/>
  <c r="H64" i="20" s="1"/>
  <c r="H66" i="20" s="1"/>
  <c r="J50" i="20"/>
  <c r="J52" i="20" s="1"/>
  <c r="J56" i="20" s="1"/>
  <c r="J63" i="20" s="1"/>
  <c r="J42" i="20"/>
  <c r="J64" i="20" s="1"/>
  <c r="J15" i="11"/>
  <c r="J13" i="11"/>
  <c r="L27" i="9"/>
  <c r="L12" i="9"/>
  <c r="O18" i="9"/>
  <c r="N18" i="9"/>
  <c r="J38" i="7"/>
  <c r="J19" i="9" s="1"/>
  <c r="J27" i="9"/>
  <c r="J12" i="9"/>
  <c r="I12" i="9"/>
  <c r="I27" i="9"/>
  <c r="H12" i="9"/>
  <c r="H27" i="9"/>
  <c r="K27" i="9"/>
  <c r="K12" i="9"/>
  <c r="O23" i="9"/>
  <c r="N23" i="9"/>
  <c r="F27" i="9"/>
  <c r="F12" i="9"/>
  <c r="F42" i="7"/>
  <c r="F46" i="7" s="1"/>
  <c r="F48" i="7" s="1"/>
  <c r="F26" i="9" s="1"/>
  <c r="D27" i="9"/>
  <c r="G27" i="9"/>
  <c r="G12" i="9"/>
  <c r="O11" i="9"/>
  <c r="N11" i="9"/>
  <c r="J42" i="7"/>
  <c r="J46" i="7" s="1"/>
  <c r="J48" i="7" s="1"/>
  <c r="J26" i="9" s="1"/>
  <c r="H42" i="7"/>
  <c r="H38" i="7"/>
  <c r="H19" i="9" s="1"/>
  <c r="L42" i="7"/>
  <c r="L38" i="7"/>
  <c r="L19" i="9" s="1"/>
  <c r="F43" i="7"/>
  <c r="D42" i="7"/>
  <c r="D38" i="7"/>
  <c r="D19" i="9" s="1"/>
  <c r="C38" i="7"/>
  <c r="C19" i="9" s="1"/>
  <c r="C42" i="7"/>
  <c r="C48" i="7" s="1"/>
  <c r="C26" i="9" s="1"/>
  <c r="C28" i="9" s="1"/>
  <c r="K38" i="7"/>
  <c r="K19" i="9" s="1"/>
  <c r="K42" i="7"/>
  <c r="E46" i="7"/>
  <c r="E48" i="7" s="1"/>
  <c r="E26" i="9" s="1"/>
  <c r="E28" i="9" s="1"/>
  <c r="I38" i="7"/>
  <c r="I19" i="9" s="1"/>
  <c r="I42" i="7"/>
  <c r="G38" i="7"/>
  <c r="G19" i="9" s="1"/>
  <c r="G42" i="7"/>
  <c r="N10" i="1"/>
  <c r="N12" i="1" s="1"/>
  <c r="N13" i="1" s="1"/>
  <c r="N15" i="1" s="1"/>
  <c r="N5" i="1"/>
  <c r="K69" i="20" l="1"/>
  <c r="N12" i="9"/>
  <c r="O15" i="9"/>
  <c r="N15" i="9"/>
  <c r="O22" i="9"/>
  <c r="N22" i="9"/>
  <c r="J28" i="9"/>
  <c r="J43" i="7"/>
  <c r="N8" i="11" a="1"/>
  <c r="N13" i="11" s="1"/>
  <c r="J20" i="11"/>
  <c r="J66" i="20"/>
  <c r="K68" i="20" s="1"/>
  <c r="J22" i="11"/>
  <c r="K58" i="20"/>
  <c r="E11" i="21"/>
  <c r="N27" i="9"/>
  <c r="J21" i="11"/>
  <c r="J19" i="11"/>
  <c r="F28" i="9"/>
  <c r="O27" i="9"/>
  <c r="O19" i="9"/>
  <c r="N19" i="9"/>
  <c r="O12" i="9"/>
  <c r="G43" i="7"/>
  <c r="G46" i="7"/>
  <c r="G48" i="7" s="1"/>
  <c r="G26" i="9" s="1"/>
  <c r="G28" i="9" s="1"/>
  <c r="D43" i="7"/>
  <c r="D46" i="7"/>
  <c r="D48" i="7" s="1"/>
  <c r="D26" i="9" s="1"/>
  <c r="D28" i="9" s="1"/>
  <c r="K43" i="7"/>
  <c r="K46" i="7"/>
  <c r="K48" i="7" s="1"/>
  <c r="K26" i="9" s="1"/>
  <c r="K28" i="9" s="1"/>
  <c r="H43" i="7"/>
  <c r="H46" i="7"/>
  <c r="H48" i="7" s="1"/>
  <c r="H26" i="9" s="1"/>
  <c r="H28" i="9" s="1"/>
  <c r="C46" i="7"/>
  <c r="L43" i="7"/>
  <c r="L46" i="7"/>
  <c r="L48" i="7" s="1"/>
  <c r="L26" i="9" s="1"/>
  <c r="L28" i="9" s="1"/>
  <c r="I43" i="7"/>
  <c r="I46" i="7"/>
  <c r="I48" i="7" s="1"/>
  <c r="I26" i="9" s="1"/>
  <c r="I28" i="9" s="1"/>
  <c r="E43" i="7"/>
  <c r="O29" i="9" l="1"/>
  <c r="N29" i="9"/>
  <c r="N14" i="11"/>
  <c r="O15" i="11" s="1"/>
  <c r="N8" i="11"/>
  <c r="N15" i="11"/>
  <c r="N17" i="11"/>
  <c r="N10" i="11"/>
  <c r="N12" i="11"/>
  <c r="O13" i="11" s="1"/>
  <c r="N9" i="11"/>
  <c r="N11" i="11"/>
  <c r="N16" i="11"/>
  <c r="O26" i="9"/>
  <c r="N26" i="9"/>
  <c r="O14" i="11" l="1"/>
  <c r="N21" i="11"/>
  <c r="O9" i="11"/>
  <c r="N31" i="9"/>
  <c r="O31" i="9"/>
  <c r="O17" i="11"/>
  <c r="O11" i="11"/>
  <c r="N22" i="11"/>
  <c r="O22" i="11" s="1"/>
  <c r="N20" i="11"/>
  <c r="O10" i="11"/>
  <c r="N18" i="11"/>
  <c r="O18" i="11" s="1"/>
  <c r="N19" i="11"/>
  <c r="O16" i="11"/>
  <c r="O12" i="11"/>
  <c r="F10" i="21"/>
  <c r="O28" i="9"/>
  <c r="N28" i="9"/>
  <c r="O21" i="11" l="1"/>
  <c r="O20" i="11"/>
  <c r="O19" i="11"/>
  <c r="G10" i="21"/>
  <c r="H10" i="21" l="1"/>
  <c r="G11" i="21"/>
  <c r="F12" i="21"/>
  <c r="F16" i="21" s="1"/>
  <c r="I10" i="21" l="1"/>
  <c r="J10" i="21"/>
  <c r="J12" i="21" s="1"/>
  <c r="H11" i="21"/>
  <c r="G12" i="21"/>
  <c r="G16" i="21" s="1"/>
  <c r="J16" i="21" l="1"/>
  <c r="I11" i="21"/>
  <c r="I12" i="21" s="1"/>
  <c r="I16" i="21" s="1"/>
  <c r="H12" i="21"/>
  <c r="H16" i="21" s="1"/>
  <c r="D33" i="21" s="1"/>
  <c r="D34" i="21" l="1"/>
  <c r="D35" i="21" l="1"/>
  <c r="D39" i="21" l="1"/>
  <c r="D42" i="21" s="1"/>
  <c r="F23" i="21" s="1"/>
  <c r="D45" i="21" l="1"/>
</calcChain>
</file>

<file path=xl/sharedStrings.xml><?xml version="1.0" encoding="utf-8"?>
<sst xmlns="http://schemas.openxmlformats.org/spreadsheetml/2006/main" count="634" uniqueCount="436">
  <si>
    <t>COMPANY NAME</t>
  </si>
  <si>
    <t>SCREENER.IN</t>
  </si>
  <si>
    <t>Narration</t>
  </si>
  <si>
    <t>Trailing</t>
  </si>
  <si>
    <t>Best Case</t>
  </si>
  <si>
    <t>Worst Case</t>
  </si>
  <si>
    <t>Sales</t>
  </si>
  <si>
    <t>Expenses</t>
  </si>
  <si>
    <t>Operating Profit</t>
  </si>
  <si>
    <t>Other Income</t>
  </si>
  <si>
    <t>Depreciation</t>
  </si>
  <si>
    <t>Interest</t>
  </si>
  <si>
    <t>Profit before tax</t>
  </si>
  <si>
    <t>Tax</t>
  </si>
  <si>
    <t>Net profit</t>
  </si>
  <si>
    <t>RATIOS:</t>
  </si>
  <si>
    <t>Price to earning</t>
  </si>
  <si>
    <t>Dividend Payout</t>
  </si>
  <si>
    <t>OPM</t>
  </si>
  <si>
    <t>TRENDS:</t>
  </si>
  <si>
    <t>BEST</t>
  </si>
  <si>
    <t>WORST</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</si>
  <si>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</si>
  <si>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</si>
  <si>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</si>
  <si>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</si>
  <si>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</si>
  <si>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</si>
  <si>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</si>
  <si>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</si>
  <si>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</si>
  <si>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</si>
  <si>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</si>
  <si>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</si>
  <si>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</si>
  <si>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</si>
  <si>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</si>
  <si>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</si>
  <si>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</si>
  <si>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</si>
  <si>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</si>
  <si>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</si>
  <si>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</si>
  <si>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</si>
  <si>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</si>
  <si>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</si>
  <si>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</si>
  <si>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</si>
  <si>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EPS</t>
  </si>
  <si>
    <t>Price</t>
  </si>
  <si>
    <t>Return on Equity</t>
  </si>
  <si>
    <t>Return on Capital Emp</t>
  </si>
  <si>
    <t>LATEST VERSION</t>
  </si>
  <si>
    <t>CURRENT VERSION</t>
  </si>
  <si>
    <t>ORACLE FINANCIAL SERVICES SOFTWARE LTD</t>
  </si>
  <si>
    <t>META</t>
  </si>
  <si>
    <t>10 YEARS</t>
  </si>
  <si>
    <t>7 YEARS</t>
  </si>
  <si>
    <t>5 YEARS</t>
  </si>
  <si>
    <t>3 YEARS</t>
  </si>
  <si>
    <t>RECENT</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</si>
  <si>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</si>
  <si>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</si>
  <si>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</si>
  <si>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</si>
  <si>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</si>
  <si>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</si>
  <si>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</si>
  <si>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</si>
  <si>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</si>
  <si>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</si>
  <si>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</si>
  <si>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</si>
  <si>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</si>
  <si>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</si>
  <si>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</si>
  <si>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</si>
  <si>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</si>
  <si>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</si>
  <si>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</si>
  <si>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</si>
  <si>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 xml:space="preserve">Year </t>
  </si>
  <si>
    <t>#</t>
  </si>
  <si>
    <t>Income Statement</t>
  </si>
  <si>
    <t>COGS</t>
  </si>
  <si>
    <t>COGS % Sales</t>
  </si>
  <si>
    <t xml:space="preserve">Gross Profit </t>
  </si>
  <si>
    <t>Gross Margins</t>
  </si>
  <si>
    <t>Selling &amp; General Exp.</t>
  </si>
  <si>
    <t>S&amp;G Exp. % Sales</t>
  </si>
  <si>
    <t>EBIDTA</t>
  </si>
  <si>
    <t>EBIDTA Margin</t>
  </si>
  <si>
    <t>Interest % sales</t>
  </si>
  <si>
    <t xml:space="preserve">Depreciation </t>
  </si>
  <si>
    <t>Depreciation % sales</t>
  </si>
  <si>
    <t>Earning before Tax</t>
  </si>
  <si>
    <t>EBT % sales</t>
  </si>
  <si>
    <t>Effective Tax Rate</t>
  </si>
  <si>
    <t>Net Profit</t>
  </si>
  <si>
    <t xml:space="preserve">Net Margin </t>
  </si>
  <si>
    <t>No. of Equity Share</t>
  </si>
  <si>
    <t>Earning Per Share</t>
  </si>
  <si>
    <t>EPS Growth</t>
  </si>
  <si>
    <t>Divident Per Share</t>
  </si>
  <si>
    <t>Divident Payout Ratio</t>
  </si>
  <si>
    <t>Retained Earnings</t>
  </si>
  <si>
    <t>Balance Sheet</t>
  </si>
  <si>
    <t>Total Non Current Assets</t>
  </si>
  <si>
    <t>Total Current Assets</t>
  </si>
  <si>
    <t>Total Assets</t>
  </si>
  <si>
    <t>Check</t>
  </si>
  <si>
    <t>Cash from Operating Activity -</t>
  </si>
  <si>
    <t>Profit from operations</t>
  </si>
  <si>
    <t>Payables</t>
  </si>
  <si>
    <t>Loans Advances</t>
  </si>
  <si>
    <t>Other WC items</t>
  </si>
  <si>
    <t>Working capital changes</t>
  </si>
  <si>
    <t>Direct taxes</t>
  </si>
  <si>
    <t>Exceptional CF items</t>
  </si>
  <si>
    <t>Cash from Investing Activity -</t>
  </si>
  <si>
    <t>Fixed assets purchased</t>
  </si>
  <si>
    <t>Fixed assets sold</t>
  </si>
  <si>
    <t>Investments purchased</t>
  </si>
  <si>
    <t>Investments sold</t>
  </si>
  <si>
    <t>Interest received</t>
  </si>
  <si>
    <t>Dividends received</t>
  </si>
  <si>
    <t>Acquisition of companies</t>
  </si>
  <si>
    <t>Other investing items</t>
  </si>
  <si>
    <t>Cash from Financing Activity -</t>
  </si>
  <si>
    <t>Proceeds from shares</t>
  </si>
  <si>
    <t>Proceeds from borrowings</t>
  </si>
  <si>
    <t>Repayment of borrowings</t>
  </si>
  <si>
    <t>Interest paid fin</t>
  </si>
  <si>
    <t>Dividends paid</t>
  </si>
  <si>
    <t>Financial liabilities</t>
  </si>
  <si>
    <t>Other financing items</t>
  </si>
  <si>
    <t>Cash Flow Statements</t>
  </si>
  <si>
    <t>Cash from Operating Activities</t>
  </si>
  <si>
    <t>Cash from Investing Activities</t>
  </si>
  <si>
    <t>Cash from Financing Activities</t>
  </si>
  <si>
    <t>Avenue Supermarts Limited (DMart) is a national supermarket chain, with a focus on value-retailing. We offer a wide range of products with a focus on the Foods, Non-Foods (FMCG) and General Merchandise</t>
  </si>
  <si>
    <t>&amp; Apparel product categories.[</t>
  </si>
  <si>
    <r>
      <t>Avenue Supermarts Limited</t>
    </r>
    <r>
      <rPr>
        <sz val="10"/>
        <color rgb="FF202122"/>
        <rFont val="Arial"/>
        <family val="2"/>
      </rPr>
      <t xml:space="preserve"> is an Indian </t>
    </r>
    <r>
      <rPr>
        <sz val="10"/>
        <color theme="1"/>
        <rFont val="Arial"/>
        <family val="2"/>
      </rPr>
      <t>retail</t>
    </r>
    <r>
      <rPr>
        <sz val="10"/>
        <color rgb="FF202122"/>
        <rFont val="Arial"/>
        <family val="2"/>
      </rPr>
      <t> corporation that operates a chain of </t>
    </r>
    <r>
      <rPr>
        <sz val="10"/>
        <color theme="1"/>
        <rFont val="Arial"/>
        <family val="2"/>
      </rPr>
      <t>supermarkets</t>
    </r>
    <r>
      <rPr>
        <sz val="10"/>
        <color rgb="FF202122"/>
        <rFont val="Arial"/>
        <family val="2"/>
      </rPr>
      <t> and </t>
    </r>
    <r>
      <rPr>
        <sz val="10"/>
        <color theme="1"/>
        <rFont val="Arial"/>
        <family val="2"/>
      </rPr>
      <t>hypermarkets</t>
    </r>
    <r>
      <rPr>
        <sz val="10"/>
        <color rgb="FF202122"/>
        <rFont val="Arial"/>
        <family val="2"/>
      </rPr>
      <t>. The company was founded by </t>
    </r>
    <r>
      <rPr>
        <sz val="10"/>
        <color theme="1"/>
        <rFont val="Arial"/>
        <family val="2"/>
      </rPr>
      <t>Radhakishan Damani</t>
    </r>
    <r>
      <rPr>
        <sz val="10"/>
        <color rgb="FF202122"/>
        <rFont val="Arial"/>
        <family val="2"/>
      </rPr>
      <t> and is based in </t>
    </r>
    <r>
      <rPr>
        <sz val="10"/>
        <color theme="1"/>
        <rFont val="Arial"/>
        <family val="2"/>
      </rPr>
      <t>Mumbai</t>
    </r>
    <r>
      <rPr>
        <sz val="10"/>
        <color rgb="FF202122"/>
        <rFont val="Arial"/>
        <family val="2"/>
      </rPr>
      <t>. As of September 2024, DMart has 377 stores across 12 </t>
    </r>
    <r>
      <rPr>
        <sz val="10"/>
        <color theme="1"/>
        <rFont val="Arial"/>
        <family val="2"/>
      </rPr>
      <t>states and union territories</t>
    </r>
    <r>
      <rPr>
        <sz val="10"/>
        <color rgb="FF202122"/>
        <rFont val="Arial"/>
        <family val="2"/>
      </rPr>
      <t> in India</t>
    </r>
  </si>
  <si>
    <t>SalesGrowth</t>
  </si>
  <si>
    <t>EBITDA Growth</t>
  </si>
  <si>
    <t>EBIT Growth</t>
  </si>
  <si>
    <t>Net Profit Growth</t>
  </si>
  <si>
    <t>Dividend Growth</t>
  </si>
  <si>
    <t>Gross Margin</t>
  </si>
  <si>
    <t>EBITDA Margin</t>
  </si>
  <si>
    <t>EBIT Margin</t>
  </si>
  <si>
    <t>EBT Margin</t>
  </si>
  <si>
    <t>Net Profit Margin</t>
  </si>
  <si>
    <t>SalesExpenses%Sales</t>
  </si>
  <si>
    <t>Depreciation%Sales</t>
  </si>
  <si>
    <t>OperatingIncome%Sales</t>
  </si>
  <si>
    <t>Return on Capital Employed</t>
  </si>
  <si>
    <t>Retained Earnings%</t>
  </si>
  <si>
    <t>Return on Equity%</t>
  </si>
  <si>
    <t>Self Sustained Growth Rate</t>
  </si>
  <si>
    <t>Interest Coverage Ratio</t>
  </si>
  <si>
    <t>Debtor Turnover Ratio</t>
  </si>
  <si>
    <t>Creditor Turnover Ratio</t>
  </si>
  <si>
    <t>Fixed Asset Turnover</t>
  </si>
  <si>
    <t>Capital Turnover Ratio</t>
  </si>
  <si>
    <t>Payable Days</t>
  </si>
  <si>
    <t>Inventory Days</t>
  </si>
  <si>
    <t>Cash Conversion Cycle (in days)</t>
  </si>
  <si>
    <t>CFO/Sales</t>
  </si>
  <si>
    <t>CFO/Total Assets</t>
  </si>
  <si>
    <t>CFO/Total Debt</t>
  </si>
  <si>
    <t>Mean</t>
  </si>
  <si>
    <t>Median</t>
  </si>
  <si>
    <t>Trend</t>
  </si>
  <si>
    <t>Year Wight</t>
  </si>
  <si>
    <t xml:space="preserve">Particulars </t>
  </si>
  <si>
    <t>Total Liabilities</t>
  </si>
  <si>
    <t>EBITDA</t>
  </si>
  <si>
    <t>Other</t>
  </si>
  <si>
    <t>Date</t>
  </si>
  <si>
    <t xml:space="preserve">Closing Price </t>
  </si>
  <si>
    <t>Avenue Supermart Weekly Returns</t>
  </si>
  <si>
    <t>Return</t>
  </si>
  <si>
    <t>Nifty Returns</t>
  </si>
  <si>
    <t>Beta 1</t>
  </si>
  <si>
    <t>Beta 2</t>
  </si>
  <si>
    <t xml:space="preserve">Beta 3 </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</si>
  <si>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</si>
  <si>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</si>
  <si>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</si>
  <si>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</si>
  <si>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</si>
  <si>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</si>
  <si>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</si>
  <si>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</si>
  <si>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</si>
  <si>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</si>
  <si>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</si>
  <si>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</si>
  <si>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</si>
  <si>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</si>
  <si>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</si>
  <si>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</si>
  <si>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</si>
  <si>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</si>
  <si>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</si>
  <si>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</si>
  <si>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</si>
  <si>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</si>
  <si>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</si>
  <si>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</si>
  <si>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Beta Drifting</t>
  </si>
  <si>
    <t>Levered Raw Beta</t>
  </si>
  <si>
    <t>Raw Beta Weight</t>
  </si>
  <si>
    <t>Market Beta Weight</t>
  </si>
  <si>
    <t>Market Beta</t>
  </si>
  <si>
    <t>Adjusted Beta</t>
  </si>
  <si>
    <t>Regression Beta - 2  Years Weekly</t>
  </si>
  <si>
    <t>Weighted Average Cost of Capital</t>
  </si>
  <si>
    <t>All figures are in INR untill stated otherwise</t>
  </si>
  <si>
    <t xml:space="preserve">Name of the Companies </t>
  </si>
  <si>
    <t>Contry</t>
  </si>
  <si>
    <t>Total Debt</t>
  </si>
  <si>
    <t>Total Equity</t>
  </si>
  <si>
    <r>
      <t xml:space="preserve">Tax Rate </t>
    </r>
    <r>
      <rPr>
        <vertAlign val="superscript"/>
        <sz val="11"/>
        <color theme="1"/>
        <rFont val="Calibri"/>
        <family val="2"/>
        <scheme val="minor"/>
      </rPr>
      <t>1</t>
    </r>
  </si>
  <si>
    <t>Equity</t>
  </si>
  <si>
    <t>Capital</t>
  </si>
  <si>
    <t>Debt/</t>
  </si>
  <si>
    <r>
      <t xml:space="preserve">Beta </t>
    </r>
    <r>
      <rPr>
        <vertAlign val="superscript"/>
        <sz val="11"/>
        <color theme="1"/>
        <rFont val="Calibri"/>
        <family val="2"/>
        <scheme val="minor"/>
      </rPr>
      <t>2</t>
    </r>
  </si>
  <si>
    <r>
      <t xml:space="preserve">Beta </t>
    </r>
    <r>
      <rPr>
        <vertAlign val="superscript"/>
        <sz val="11"/>
        <color theme="1"/>
        <rFont val="Calibri"/>
        <family val="2"/>
        <scheme val="minor"/>
      </rPr>
      <t>3</t>
    </r>
  </si>
  <si>
    <t>Peer comps</t>
  </si>
  <si>
    <t>Unlevered</t>
  </si>
  <si>
    <t>Levered</t>
  </si>
  <si>
    <t>India</t>
  </si>
  <si>
    <t>Average</t>
  </si>
  <si>
    <t>Cost of Debt</t>
  </si>
  <si>
    <t>Pre- Tax cost of Debt</t>
  </si>
  <si>
    <t>Tax Rate</t>
  </si>
  <si>
    <t>Post Tax Cost of Ddebt</t>
  </si>
  <si>
    <t>Cost of Equity</t>
  </si>
  <si>
    <t>Risk Free Rate</t>
  </si>
  <si>
    <t xml:space="preserve">Equity Risk Premium </t>
  </si>
  <si>
    <r>
      <t xml:space="preserve">Levered Beta </t>
    </r>
    <r>
      <rPr>
        <vertAlign val="superscript"/>
        <sz val="11"/>
        <color theme="1"/>
        <rFont val="Calibri"/>
        <family val="2"/>
        <scheme val="minor"/>
      </rPr>
      <t>4</t>
    </r>
  </si>
  <si>
    <t>Capital  Structure</t>
  </si>
  <si>
    <t>Current</t>
  </si>
  <si>
    <t>Target</t>
  </si>
  <si>
    <t>Total Capital</t>
  </si>
  <si>
    <t>Levered Beta</t>
  </si>
  <si>
    <t>Comp Median Unlevered Beta</t>
  </si>
  <si>
    <t>Target Debt/ Equity</t>
  </si>
  <si>
    <t>Debt/Equity</t>
  </si>
  <si>
    <t>Weighted Average  Cost of Capital</t>
  </si>
  <si>
    <t>Total Weight</t>
  </si>
  <si>
    <t>1. Tax Rate considered as Marginal Tax Rate for the country</t>
  </si>
  <si>
    <t>2. Levered Beta is based on 5 year monthly data</t>
  </si>
  <si>
    <t>3. Unlevered Beta = Levered Beta/(1+(1-Tax Rate) x Debt/Equity)</t>
  </si>
  <si>
    <t>4. Levered Beta = Unlevered Beta*(1+(1-Tax Rate) x Debt/Equity)</t>
  </si>
  <si>
    <t>Name</t>
  </si>
  <si>
    <t>CMP Rs.</t>
  </si>
  <si>
    <t xml:space="preserve">Mar Cap Rs.Cr. </t>
  </si>
  <si>
    <t>Debt Rs.Cr.</t>
  </si>
  <si>
    <t>Annual</t>
  </si>
  <si>
    <t>Year</t>
  </si>
  <si>
    <t>Returns of Markets</t>
  </si>
  <si>
    <t>Average Return</t>
  </si>
  <si>
    <t>Divident Yield</t>
  </si>
  <si>
    <t>Total Market Return</t>
  </si>
  <si>
    <t>Equity Weight</t>
  </si>
  <si>
    <t xml:space="preserve">Debt Weight </t>
  </si>
  <si>
    <t>WACC</t>
  </si>
  <si>
    <t>Equity Capital</t>
  </si>
  <si>
    <t>Borrowings -</t>
  </si>
  <si>
    <t>Lease Liabilities</t>
  </si>
  <si>
    <t>Other Borrowings</t>
  </si>
  <si>
    <t>Other Liabilities -</t>
  </si>
  <si>
    <t>Trade Payables</t>
  </si>
  <si>
    <t>Other liability items</t>
  </si>
  <si>
    <t>Fixed Assets -</t>
  </si>
  <si>
    <t>Land</t>
  </si>
  <si>
    <t>Building</t>
  </si>
  <si>
    <t>Equipments</t>
  </si>
  <si>
    <t>Computers</t>
  </si>
  <si>
    <t>Furniture n fittings</t>
  </si>
  <si>
    <t>Vehicles</t>
  </si>
  <si>
    <t>Intangible Assets</t>
  </si>
  <si>
    <t>Other fixed assets</t>
  </si>
  <si>
    <t>Gross Block</t>
  </si>
  <si>
    <t>Accumulated Depreciation</t>
  </si>
  <si>
    <t>CWIP</t>
  </si>
  <si>
    <t>Other Assets -</t>
  </si>
  <si>
    <t>Cash Equivalents</t>
  </si>
  <si>
    <t>Loans n Advances</t>
  </si>
  <si>
    <t>Other asset items</t>
  </si>
  <si>
    <t>Calculation of ROIC</t>
  </si>
  <si>
    <t>Currents Assets</t>
  </si>
  <si>
    <t>Total Current Liabilities</t>
  </si>
  <si>
    <t>Current Liabilities</t>
  </si>
  <si>
    <t>o</t>
  </si>
  <si>
    <t>Net  Working Capital</t>
  </si>
  <si>
    <t>Non Current Assets</t>
  </si>
  <si>
    <t>Net Non Current Assets</t>
  </si>
  <si>
    <t>Invested Capital</t>
  </si>
  <si>
    <t>EBIT</t>
  </si>
  <si>
    <t>ROIC</t>
  </si>
  <si>
    <t>Net Capex</t>
  </si>
  <si>
    <t>Change in Working Capital</t>
  </si>
  <si>
    <t>Marginal Tax Rate</t>
  </si>
  <si>
    <t>Reinvestment</t>
  </si>
  <si>
    <t>EBIT(1-T)</t>
  </si>
  <si>
    <t>Reinvestment Rate</t>
  </si>
  <si>
    <t xml:space="preserve">4 Year Average </t>
  </si>
  <si>
    <t xml:space="preserve">4  Year Median </t>
  </si>
  <si>
    <t>Calculation of Growth Rate</t>
  </si>
  <si>
    <t>Intrinsic  Growth</t>
  </si>
  <si>
    <t>Calculation of PV of FCFF</t>
  </si>
  <si>
    <t>Tax  Rate</t>
  </si>
  <si>
    <t>EBIT (1-T)</t>
  </si>
  <si>
    <t>Less:  Reinvestment Rate</t>
  </si>
  <si>
    <t>Free Cash Flow to Firm (FCFF)</t>
  </si>
  <si>
    <t>Mid Year Convention</t>
  </si>
  <si>
    <t>Discounting Factor</t>
  </si>
  <si>
    <t>PV of FCFF</t>
  </si>
  <si>
    <t>Expected Growth</t>
  </si>
  <si>
    <t>Terminal Growth</t>
  </si>
  <si>
    <t>Calculation of Terminal Value</t>
  </si>
  <si>
    <t>FCFF (n+1)</t>
  </si>
  <si>
    <t>Terminal Growth Rate</t>
  </si>
  <si>
    <t>Terminal value</t>
  </si>
  <si>
    <t>PV of Termminal Value</t>
  </si>
  <si>
    <t>Value of Operating Assets</t>
  </si>
  <si>
    <t>Add: Cash</t>
  </si>
  <si>
    <t>Less: Debt</t>
  </si>
  <si>
    <t>Calculation of Equity Value per Share</t>
  </si>
  <si>
    <t>Value of Equity</t>
  </si>
  <si>
    <t>No. of Shares</t>
  </si>
  <si>
    <t>Share Price</t>
  </si>
  <si>
    <t xml:space="preserve">Discount/Premium </t>
  </si>
  <si>
    <t xml:space="preserve">Comparable company Valuation </t>
  </si>
  <si>
    <t>Share Outstanding</t>
  </si>
  <si>
    <t>Equity Value</t>
  </si>
  <si>
    <t>Net Debt</t>
  </si>
  <si>
    <t>S.No.</t>
  </si>
  <si>
    <t>Enterprise value</t>
  </si>
  <si>
    <t xml:space="preserve">Company </t>
  </si>
  <si>
    <t>Ticker</t>
  </si>
  <si>
    <t>EV/Revenue</t>
  </si>
  <si>
    <t>EV/EBITDA</t>
  </si>
  <si>
    <t>Net Income</t>
  </si>
  <si>
    <t>Revenue</t>
  </si>
  <si>
    <t>P/E</t>
  </si>
  <si>
    <t>Market Data</t>
  </si>
  <si>
    <t>Financials</t>
  </si>
  <si>
    <t>Valuation</t>
  </si>
  <si>
    <t>High</t>
  </si>
  <si>
    <t>75th Percentile</t>
  </si>
  <si>
    <t>25th Percentile</t>
  </si>
  <si>
    <t>Low</t>
  </si>
  <si>
    <t>Implied Enterprise Value</t>
  </si>
  <si>
    <t>Implied Market Value</t>
  </si>
  <si>
    <t xml:space="preserve">Share Outstanding </t>
  </si>
  <si>
    <t>Implied Value Per Share</t>
  </si>
  <si>
    <t>Source: The Valuation School, Screener.in</t>
  </si>
  <si>
    <t>Amount in Crores</t>
  </si>
  <si>
    <t>Fixed Assets Net Block</t>
  </si>
  <si>
    <t>Value Per Share</t>
  </si>
  <si>
    <t>Football Field  Analysis</t>
  </si>
  <si>
    <t>Comps</t>
  </si>
  <si>
    <t>DCF Bear</t>
  </si>
  <si>
    <t>DCF Base</t>
  </si>
  <si>
    <t>DCF Bull</t>
  </si>
  <si>
    <t xml:space="preserve">52W H/L </t>
  </si>
  <si>
    <t>Open Low</t>
  </si>
  <si>
    <t>Open High</t>
  </si>
  <si>
    <t>BSE Code: 532466</t>
  </si>
  <si>
    <t>NSE Code: OFSS</t>
  </si>
  <si>
    <t>Debt / Eq</t>
  </si>
  <si>
    <t>TCS</t>
  </si>
  <si>
    <t>Infosys</t>
  </si>
  <si>
    <t>HCL Technologies</t>
  </si>
  <si>
    <t>Wipro</t>
  </si>
  <si>
    <t>Tech Mahindra</t>
  </si>
  <si>
    <t>LTIMindtree</t>
  </si>
  <si>
    <t>Persistent Sys</t>
  </si>
  <si>
    <t>Oracle Fin.Serv.</t>
  </si>
  <si>
    <r>
      <t xml:space="preserve">1.39% </t>
    </r>
    <r>
      <rPr>
        <vertAlign val="superscript"/>
        <sz val="11"/>
        <color theme="1"/>
        <rFont val="Calibri"/>
        <family val="2"/>
        <scheme val="minor"/>
      </rPr>
      <t>1</t>
    </r>
  </si>
  <si>
    <t>Advance from Customers</t>
  </si>
  <si>
    <t>Receivables over 6m</t>
  </si>
  <si>
    <t>Receivables under 6m</t>
  </si>
  <si>
    <t>Prov for Doubtful</t>
  </si>
  <si>
    <t>Trade receivables -</t>
  </si>
  <si>
    <t>vg</t>
  </si>
  <si>
    <t>Other operating items</t>
  </si>
  <si>
    <t>No. Eq. Shares Cr.</t>
  </si>
  <si>
    <t>Cash End Rs.Cr.</t>
  </si>
  <si>
    <t>EV Rs.Cr.</t>
  </si>
  <si>
    <t>Sales Rs.Cr.</t>
  </si>
  <si>
    <t>NP 12M Rs.Cr.</t>
  </si>
  <si>
    <t>PB Fintech.</t>
  </si>
  <si>
    <t>Hexaware Tech.</t>
  </si>
  <si>
    <t>Coforge</t>
  </si>
  <si>
    <t>L&amp;T Technology</t>
  </si>
  <si>
    <t>Mphasis</t>
  </si>
  <si>
    <t>Tata Elxsi</t>
  </si>
  <si>
    <t>KPIT Technologi.</t>
  </si>
  <si>
    <t>Inventurus Knowl</t>
  </si>
  <si>
    <t>Tata Technolog.</t>
  </si>
  <si>
    <t>Firstsour.Solu.</t>
  </si>
  <si>
    <t>Affle India</t>
  </si>
  <si>
    <t>Zensar Tech.</t>
  </si>
  <si>
    <t>BLS Internat.</t>
  </si>
  <si>
    <t>Newgen Software</t>
  </si>
  <si>
    <t>Cyient</t>
  </si>
  <si>
    <t>eClerx Services</t>
  </si>
  <si>
    <t>Birlasoft Ltd</t>
  </si>
  <si>
    <t>Market Cap</t>
  </si>
  <si>
    <t>EV</t>
  </si>
  <si>
    <t xml:space="preserve"> EBITDA</t>
  </si>
  <si>
    <t>Debt</t>
  </si>
  <si>
    <t>Oracle  Comparable  Valuation</t>
  </si>
  <si>
    <t>Sensitivity Analysis</t>
  </si>
  <si>
    <t xml:space="preserve">About the Company  </t>
  </si>
  <si>
    <t>Oracle Financial Services Software Ltd provides financial software, custom application development, consulting, IT infrastructure management, and outsourced business processing services to the financial services industry. The company was incorporated in 1989 and is based in Mumbai, India. Oracle Financial Services Software Limited is a subsidiary of Oracle Global (Mauritius) Limited.</t>
  </si>
  <si>
    <t>Retuen on Equity (ROE)</t>
  </si>
  <si>
    <t xml:space="preserve">52 Week (High - 13220 INR &amp; Low - 7022 </t>
  </si>
  <si>
    <t xml:space="preserve">Average ShareHolder Equity </t>
  </si>
  <si>
    <t xml:space="preserve">Return on Equity </t>
  </si>
  <si>
    <t>ROE - Dupont Equation</t>
  </si>
  <si>
    <t>Net Profit Margin (A)</t>
  </si>
  <si>
    <t>Asset Turnover Ratio (B)</t>
  </si>
  <si>
    <t>Equity Multiplier  (C)</t>
  </si>
  <si>
    <t>Return  on Equity (A*B*C)</t>
  </si>
  <si>
    <t>Return on Asset</t>
  </si>
  <si>
    <t>Average Total Asset</t>
  </si>
  <si>
    <t>ROA - Dupont Equation</t>
  </si>
  <si>
    <t>Return  on  Asset(A*B)</t>
  </si>
  <si>
    <t>Financial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</si>
</sst>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0">
    <numFmt numFmtId="43" formatCode="_(* #,##0.00_);_(* \(#,##0.00\);_(* &quot;-&quot;??_);_(@_)"/>
    <numFmt numFmtId="164" formatCode="_ * #,##0.00_ ;_ * \-#,##0.00_ ;_ * &quot;-&quot;??_ ;_ @_ "/>
    <numFmt numFmtId="165" formatCode="[$-409]mmm\-yy;@"/>
    <numFmt numFmtId="166" formatCode="[$₹-4009]\ #,##0.00"/>
    <numFmt numFmtId="167" formatCode="0.0%"/>
    <numFmt numFmtId="168" formatCode="&quot;₹&quot;\ #,##0.00;\(&quot;₹&quot;\ #,##0.00\)"/>
    <numFmt numFmtId="169" formatCode="&quot;₹&quot;\ #,##0.00;\(&quot;₹&quot;\ #,##0.00\);\-"/>
    <numFmt numFmtId="170" formatCode="0.00&quot;x&quot;"/>
    <numFmt numFmtId="171" formatCode="0&quot;A&quot;"/>
    <numFmt numFmtId="172" formatCode="0&quot;E&quot;"/>
    <numFmt numFmtId="173" formatCode="dd/mm/yy;@"/>
    <numFmt numFmtId="174" formatCode="#,##0.0;\(#,##0.0\);\-"/>
    <numFmt numFmtId="175" formatCode="mmm\-yy&quot;A&quot;"/>
    <numFmt numFmtId="176" formatCode="mmm\-yy&quot;F&quot;"/>
    <numFmt numFmtId="177" formatCode="0.000"/>
    <numFmt numFmtId="178" formatCode="0.0\x"/>
    <numFmt numFmtId="179" formatCode="#,##0.0"/>
    <numFmt numFmtId="180" formatCode="#,##0.0_);\(#,##0.0\)"/>
    <numFmt numFmtId="181" formatCode="0.0"/>
    <numFmt numFmtId="182" formatCode="0.00\x"/>
  </numFmts>
  <fonts count="29"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b/>
      <sz val="11"/>
      <color rgb="FFFF0000"/>
      <name val="Calibri"/>
      <family val="2"/>
      <scheme val="minor"/>
    </font>
    <font>
      <sz val="11"/>
      <name val="Calibri"/>
      <family val="2"/>
      <scheme val="minor"/>
    </font>
    <font>
      <i/>
      <sz val="11"/>
      <color theme="0" tint="-0.499984740745262"/>
      <name val="Calibri"/>
      <family val="2"/>
      <scheme val="minor"/>
    </font>
    <font>
      <i/>
      <sz val="11"/>
      <color theme="1"/>
      <name val="Calibri"/>
      <family val="2"/>
      <scheme val="minor"/>
    </font>
    <font>
      <sz val="11"/>
      <color rgb="FF22222F"/>
      <name val="Arial"/>
      <family val="2"/>
    </font>
    <font>
      <sz val="9"/>
      <color rgb="FF606F7B"/>
      <name val="Arial"/>
      <family val="2"/>
    </font>
    <font>
      <b/>
      <sz val="10"/>
      <color rgb="FF202122"/>
      <name val="Arial"/>
      <family val="2"/>
    </font>
    <font>
      <sz val="10"/>
      <color rgb="FF202122"/>
      <name val="Arial"/>
      <family val="2"/>
    </font>
    <font>
      <sz val="10"/>
      <color theme="1"/>
      <name val="Arial"/>
      <family val="2"/>
    </font>
    <font>
      <sz val="11"/>
      <color rgb="FFFF0000"/>
      <name val="Calibri"/>
      <family val="2"/>
      <scheme val="minor"/>
    </font>
    <font>
      <vertAlign val="superscript"/>
      <sz val="11"/>
      <color theme="1"/>
      <name val="Calibri"/>
      <family val="2"/>
      <scheme val="minor"/>
    </font>
    <font>
      <sz val="11"/>
      <color rgb="FF3333FF"/>
      <name val="Calibri"/>
      <family val="2"/>
      <scheme val="minor"/>
    </font>
    <font>
      <i/>
      <sz val="9"/>
      <color theme="1"/>
      <name val="Calibri"/>
      <family val="2"/>
      <scheme val="minor"/>
    </font>
    <font>
      <i/>
      <sz val="8"/>
      <color theme="1"/>
      <name val="Calibri"/>
      <family val="2"/>
      <scheme val="minor"/>
    </font>
    <font>
      <sz val="11"/>
      <color theme="7" tint="-0.249977111117893"/>
      <name val="Calibri"/>
      <family val="2"/>
      <scheme val="minor"/>
    </font>
    <font>
      <b/>
      <sz val="14"/>
      <color rgb="FF005400"/>
      <name val="Calibri"/>
      <family val="2"/>
      <scheme val="minor"/>
    </font>
    <font>
      <sz val="8"/>
      <color theme="1"/>
      <name val="Calibri"/>
      <family val="2"/>
      <scheme val="minor"/>
    </font>
    <font>
      <b/>
      <sz val="14"/>
      <color theme="0"/>
      <name val="Calibri"/>
      <family val="2"/>
      <scheme val="minor"/>
    </font>
    <font>
      <b/>
      <sz val="14"/>
      <color theme="1"/>
      <name val="Calibri"/>
      <family val="2"/>
      <scheme val="minor"/>
    </font>
    <font>
      <sz val="11"/>
      <color rgb="FF005400"/>
      <name val="Calibri"/>
      <family val="2"/>
      <scheme val="minor"/>
    </font>
    <font>
      <b/>
      <sz val="20"/>
      <color theme="1"/>
      <name val="Calibri"/>
      <family val="2"/>
      <scheme val="minor"/>
    </font>
    <font>
      <sz val="10"/>
      <name val="Arial"/>
      <family val="2"/>
    </font>
    <font>
      <sz val="10"/>
      <color rgb="FF606F7B"/>
      <name val="Arial"/>
      <family val="2"/>
    </font>
  </fonts>
  <fills count="14">
    <fill>
      <patternFill patternType="none"/>
    </fill>
    <fill>
      <patternFill patternType="gray125"/>
    </fill>
    <fill>
      <patternFill patternType="solid">
        <fgColor theme="4" tint="0.39997558519241921"/>
        <bgColor indexed="65"/>
      </patternFill>
    </fill>
    <fill>
      <patternFill patternType="solid">
        <fgColor theme="6" tint="0.39997558519241921"/>
        <bgColor indexed="65"/>
      </patternFill>
    </fill>
    <fill>
      <patternFill patternType="solid">
        <fgColor theme="9"/>
      </patternFill>
    </fill>
    <fill>
      <patternFill patternType="solid">
        <fgColor rgb="FF0275D8"/>
        <bgColor indexed="64"/>
      </patternFill>
    </fill>
    <fill>
      <patternFill patternType="solid">
        <fgColor theme="7" tint="-0.249977111117893"/>
        <bgColor indexed="64"/>
      </patternFill>
    </fill>
    <fill>
      <patternFill patternType="solid">
        <fgColor theme="0"/>
        <bgColor indexed="64"/>
      </patternFill>
    </fill>
    <fill>
      <patternFill patternType="solid">
        <fgColor rgb="FFFFFFFF"/>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7" tint="0.79998168889431442"/>
        <bgColor indexed="64"/>
      </patternFill>
    </fill>
  </fills>
  <borders count="27">
    <border>
      <left/>
      <right/>
      <top/>
      <bottom/>
      <diagonal/>
    </border>
    <border>
      <left/>
      <right/>
      <top style="hair">
        <color auto="1"/>
      </top>
      <bottom style="hair">
        <color auto="1"/>
      </bottom>
      <diagonal/>
    </border>
    <border>
      <left/>
      <right/>
      <top style="hair">
        <color auto="1"/>
      </top>
      <bottom/>
      <diagonal/>
    </border>
    <border>
      <left/>
      <right/>
      <top/>
      <bottom style="hair">
        <color auto="1"/>
      </bottom>
      <diagonal/>
    </border>
    <border>
      <left/>
      <right/>
      <top/>
      <bottom style="thin">
        <color theme="7" tint="-0.24994659260841701"/>
      </bottom>
      <diagonal/>
    </border>
    <border>
      <left/>
      <right/>
      <top/>
      <bottom style="thin">
        <color auto="1"/>
      </bottom>
      <diagonal/>
    </border>
    <border>
      <left/>
      <right/>
      <top/>
      <bottom style="medium">
        <color indexed="64"/>
      </bottom>
      <diagonal/>
    </border>
    <border>
      <left/>
      <right/>
      <top style="medium">
        <color indexed="64"/>
      </top>
      <bottom style="thin">
        <color indexed="64"/>
      </bottom>
      <diagonal/>
    </border>
    <border>
      <left/>
      <right/>
      <top style="thin">
        <color auto="1"/>
      </top>
      <bottom/>
      <diagonal/>
    </border>
    <border>
      <left/>
      <right/>
      <top style="thin">
        <color auto="1"/>
      </top>
      <bottom style="thin">
        <color auto="1"/>
      </bottom>
      <diagonal/>
    </border>
    <border>
      <left/>
      <right/>
      <top style="dotted">
        <color auto="1"/>
      </top>
      <bottom style="medium">
        <color auto="1"/>
      </bottom>
      <diagonal/>
    </border>
    <border>
      <left/>
      <right/>
      <top style="medium">
        <color auto="1"/>
      </top>
      <bottom/>
      <diagonal/>
    </border>
    <border>
      <left/>
      <right/>
      <top style="thick">
        <color theme="7" tint="-0.24994659260841701"/>
      </top>
      <bottom style="thick">
        <color theme="7" tint="-0.24994659260841701"/>
      </bottom>
      <diagonal/>
    </border>
    <border>
      <left/>
      <right/>
      <top style="hair">
        <color theme="7" tint="-0.24994659260841701"/>
      </top>
      <bottom style="hair">
        <color theme="7" tint="-0.24994659260841701"/>
      </bottom>
      <diagonal/>
    </border>
    <border>
      <left/>
      <right/>
      <top style="hair">
        <color rgb="FF002060"/>
      </top>
      <bottom style="hair">
        <color rgb="FF002060"/>
      </bottom>
      <diagonal/>
    </border>
    <border>
      <left/>
      <right/>
      <top style="medium">
        <color rgb="FF002060"/>
      </top>
      <bottom style="thick">
        <color rgb="FF002060"/>
      </bottom>
      <diagonal/>
    </border>
    <border>
      <left/>
      <right/>
      <top style="thin">
        <color rgb="FF002060"/>
      </top>
      <bottom style="medium">
        <color rgb="FF002060"/>
      </bottom>
      <diagonal/>
    </border>
    <border>
      <left/>
      <right/>
      <top/>
      <bottom style="thin">
        <color theme="0"/>
      </bottom>
      <diagonal/>
    </border>
    <border>
      <left/>
      <right/>
      <top style="thin">
        <color rgb="FF002060"/>
      </top>
      <bottom style="thin">
        <color rgb="FF002060"/>
      </bottom>
      <diagonal/>
    </border>
    <border>
      <left/>
      <right/>
      <top/>
      <bottom style="medium">
        <color rgb="FF005400"/>
      </bottom>
      <diagonal/>
    </border>
    <border>
      <left/>
      <right/>
      <top/>
      <bottom style="medium">
        <color theme="1"/>
      </bottom>
      <diagonal/>
    </border>
    <border>
      <left/>
      <right/>
      <top style="medium">
        <color auto="1"/>
      </top>
      <bottom style="medium">
        <color auto="1"/>
      </bottom>
      <diagonal/>
    </border>
    <border>
      <left/>
      <right/>
      <top style="hair">
        <color theme="7" tint="-0.24994659260841701"/>
      </top>
      <bottom/>
      <diagonal/>
    </border>
    <border>
      <left/>
      <right/>
      <top/>
      <bottom style="hair">
        <color theme="7" tint="-0.24994659260841701"/>
      </bottom>
      <diagonal/>
    </border>
    <border>
      <left/>
      <right/>
      <top style="hair">
        <color theme="7" tint="-0.24994659260841701"/>
      </top>
      <bottom style="medium">
        <color auto="1"/>
      </bottom>
      <diagonal/>
    </border>
    <border>
      <left/>
      <right/>
      <top style="thin">
        <color theme="7" tint="-0.24994659260841701"/>
      </top>
      <bottom/>
      <diagonal/>
    </border>
    <border>
      <left/>
      <right/>
      <top/>
      <bottom style="thin">
        <color theme="1"/>
      </bottom>
      <diagonal/>
    </border>
  </borders>
  <cellStyleXfs count="7">
    <xf numFmtId="0" fontId="0" fillId="0" borderId="0"/>
    <xf numFmtId="164" fontId="3" fillId="0" borderId="0" applyFont="0" applyFill="0" applyBorder="0" applyAlignment="0" applyProtection="0"/>
    <xf numFmtId="0" fontId="4" fillId="0" borderId="0" applyNumberFormat="0" applyFill="0" applyBorder="0" applyAlignment="0" applyProtection="0">
      <alignment vertical="top"/>
      <protection locked="0"/>
    </xf>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9" fontId="3" fillId="0" borderId="0" applyFont="0" applyFill="0" applyBorder="0" applyAlignment="0" applyProtection="0"/>
  </cellStyleXfs>
  <cellXfs count="280">
    <xf numFmtId="0" fontId="0" fillId="0" borderId="0" xfId="0"/>
    <xf numFmtId="164" fontId="1" fillId="0" borderId="0" xfId="1" applyFont="1" applyBorder="1"/>
    <xf numFmtId="0" fontId="1" fillId="0" borderId="0" xfId="0" applyFont="1" applyFill="1" applyBorder="1"/>
    <xf numFmtId="0" fontId="6" fillId="0" borderId="0" xfId="0" applyFont="1" applyFill="1" applyBorder="1" applyAlignment="1"/>
    <xf numFmtId="0" fontId="1" fillId="0" borderId="0" xfId="0" applyFont="1" applyFill="1" applyBorder="1" applyAlignment="1"/>
    <xf numFmtId="164" fontId="0" fillId="0" borderId="0" xfId="1" applyFont="1" applyBorder="1"/>
    <xf numFmtId="0" fontId="0" fillId="0" borderId="0" xfId="0" applyFont="1" applyBorder="1"/>
    <xf numFmtId="10" fontId="0" fillId="0" borderId="0" xfId="0" applyNumberFormat="1" applyFont="1" applyBorder="1"/>
    <xf numFmtId="0" fontId="1" fillId="0" borderId="0" xfId="0" applyFont="1" applyBorder="1"/>
    <xf numFmtId="164" fontId="3" fillId="0" borderId="0" xfId="1" applyFont="1" applyBorder="1"/>
    <xf numFmtId="9" fontId="3" fillId="0" borderId="0" xfId="1" applyNumberFormat="1" applyFont="1" applyBorder="1"/>
    <xf numFmtId="0" fontId="0" fillId="0" borderId="0" xfId="0" applyBorder="1"/>
    <xf numFmtId="164" fontId="2" fillId="2" borderId="0" xfId="3" applyNumberFormat="1" applyFont="1" applyBorder="1"/>
    <xf numFmtId="164" fontId="2" fillId="3" borderId="0" xfId="4" applyNumberFormat="1" applyFont="1" applyBorder="1"/>
    <xf numFmtId="9" fontId="1" fillId="0" borderId="0" xfId="6" applyFont="1" applyBorder="1"/>
    <xf numFmtId="0" fontId="2" fillId="5" borderId="0" xfId="0" applyFont="1" applyFill="1" applyBorder="1"/>
    <xf numFmtId="165" fontId="2" fillId="5" borderId="0" xfId="0" applyNumberFormat="1" applyFont="1" applyFill="1" applyBorder="1" applyAlignment="1">
      <alignment horizontal="center"/>
    </xf>
    <xf numFmtId="0" fontId="2" fillId="5" borderId="0" xfId="0" applyFont="1" applyFill="1" applyBorder="1" applyAlignment="1">
      <alignment horizontal="center"/>
    </xf>
    <xf numFmtId="0" fontId="0" fillId="0" borderId="0" xfId="0" applyFill="1" applyBorder="1"/>
    <xf numFmtId="164" fontId="0" fillId="0" borderId="0" xfId="1" applyNumberFormat="1" applyFont="1" applyBorder="1" applyAlignment="1">
      <alignment horizontal="center"/>
    </xf>
    <xf numFmtId="164" fontId="1" fillId="0" borderId="0" xfId="1" applyNumberFormat="1" applyFont="1" applyBorder="1" applyAlignment="1">
      <alignment horizontal="center"/>
    </xf>
    <xf numFmtId="164" fontId="0" fillId="0" borderId="0" xfId="1" applyNumberFormat="1" applyFont="1" applyBorder="1"/>
    <xf numFmtId="10" fontId="1" fillId="0" borderId="0" xfId="0" applyNumberFormat="1" applyFont="1" applyBorder="1"/>
    <xf numFmtId="165" fontId="2" fillId="5" borderId="0" xfId="1" applyNumberFormat="1" applyFont="1" applyFill="1" applyBorder="1"/>
    <xf numFmtId="165" fontId="7" fillId="0" borderId="0" xfId="1" applyNumberFormat="1" applyFont="1" applyFill="1" applyBorder="1"/>
    <xf numFmtId="0" fontId="0" fillId="0" borderId="0" xfId="0" applyFont="1" applyFill="1" applyBorder="1"/>
    <xf numFmtId="0" fontId="7" fillId="0" borderId="0" xfId="0" applyFont="1" applyFill="1" applyBorder="1"/>
    <xf numFmtId="43" fontId="0" fillId="0" borderId="0" xfId="1" applyNumberFormat="1" applyFont="1" applyBorder="1"/>
    <xf numFmtId="17" fontId="0" fillId="0" borderId="0" xfId="0" applyNumberFormat="1"/>
    <xf numFmtId="0" fontId="2" fillId="6" borderId="0" xfId="0" applyFont="1" applyFill="1"/>
    <xf numFmtId="17" fontId="2" fillId="6" borderId="0" xfId="0" applyNumberFormat="1" applyFont="1" applyFill="1"/>
    <xf numFmtId="166" fontId="0" fillId="0" borderId="0" xfId="0" applyNumberFormat="1"/>
    <xf numFmtId="0" fontId="8" fillId="0" borderId="0" xfId="0" applyFont="1"/>
    <xf numFmtId="10" fontId="8" fillId="0" borderId="0" xfId="6" applyNumberFormat="1" applyFont="1"/>
    <xf numFmtId="0" fontId="2" fillId="7" borderId="0" xfId="0" applyFont="1" applyFill="1"/>
    <xf numFmtId="17" fontId="2" fillId="7" borderId="0" xfId="0" applyNumberFormat="1" applyFont="1" applyFill="1"/>
    <xf numFmtId="0" fontId="9" fillId="0" borderId="0" xfId="0" applyFont="1"/>
    <xf numFmtId="167" fontId="8" fillId="0" borderId="0" xfId="6" applyNumberFormat="1" applyFont="1"/>
    <xf numFmtId="10" fontId="0" fillId="0" borderId="0" xfId="6" applyNumberFormat="1" applyFont="1"/>
    <xf numFmtId="3" fontId="0" fillId="0" borderId="0" xfId="0" applyNumberFormat="1"/>
    <xf numFmtId="0" fontId="1" fillId="7" borderId="0" xfId="0" applyFont="1" applyFill="1"/>
    <xf numFmtId="17" fontId="10" fillId="8" borderId="0" xfId="0" applyNumberFormat="1" applyFont="1" applyFill="1" applyAlignment="1">
      <alignment horizontal="right" vertical="center" wrapText="1"/>
    </xf>
    <xf numFmtId="168" fontId="0" fillId="0" borderId="0" xfId="0" applyNumberFormat="1"/>
    <xf numFmtId="0" fontId="1" fillId="0" borderId="1" xfId="0" applyFont="1" applyBorder="1"/>
    <xf numFmtId="168" fontId="1" fillId="0" borderId="1" xfId="0" applyNumberFormat="1" applyFont="1" applyBorder="1"/>
    <xf numFmtId="164" fontId="1" fillId="0" borderId="1" xfId="1" applyFont="1" applyBorder="1"/>
    <xf numFmtId="166" fontId="1" fillId="0" borderId="1" xfId="0" applyNumberFormat="1" applyFont="1" applyBorder="1"/>
    <xf numFmtId="164" fontId="1" fillId="0" borderId="1" xfId="1" applyFont="1" applyFill="1" applyBorder="1"/>
    <xf numFmtId="4" fontId="0" fillId="0" borderId="0" xfId="0" applyNumberFormat="1"/>
    <xf numFmtId="169" fontId="0" fillId="0" borderId="0" xfId="0" applyNumberFormat="1"/>
    <xf numFmtId="0" fontId="0" fillId="0" borderId="0" xfId="0" applyFont="1"/>
    <xf numFmtId="169" fontId="0" fillId="0" borderId="0" xfId="0" applyNumberFormat="1" applyFont="1"/>
    <xf numFmtId="169" fontId="1" fillId="0" borderId="1" xfId="0" applyNumberFormat="1" applyFont="1" applyBorder="1"/>
    <xf numFmtId="0" fontId="11" fillId="0" borderId="0" xfId="0" applyFont="1"/>
    <xf numFmtId="0" fontId="4" fillId="0" borderId="0" xfId="2" applyAlignment="1" applyProtection="1"/>
    <xf numFmtId="0" fontId="12" fillId="0" borderId="0" xfId="0" applyFont="1"/>
    <xf numFmtId="0" fontId="0" fillId="0" borderId="2" xfId="0" applyBorder="1"/>
    <xf numFmtId="10" fontId="0" fillId="0" borderId="2" xfId="6" applyNumberFormat="1" applyFont="1" applyBorder="1"/>
    <xf numFmtId="10" fontId="0" fillId="0" borderId="0" xfId="6" applyNumberFormat="1" applyFont="1" applyBorder="1"/>
    <xf numFmtId="0" fontId="0" fillId="0" borderId="3" xfId="0" applyBorder="1"/>
    <xf numFmtId="10" fontId="0" fillId="0" borderId="3" xfId="6" applyNumberFormat="1" applyFont="1" applyBorder="1"/>
    <xf numFmtId="170" fontId="0" fillId="0" borderId="3" xfId="0" applyNumberFormat="1" applyBorder="1"/>
    <xf numFmtId="170" fontId="0" fillId="0" borderId="2" xfId="0" applyNumberFormat="1" applyBorder="1"/>
    <xf numFmtId="170" fontId="0" fillId="0" borderId="0" xfId="0" applyNumberFormat="1" applyBorder="1"/>
    <xf numFmtId="1" fontId="0" fillId="0" borderId="2" xfId="0" applyNumberFormat="1" applyBorder="1"/>
    <xf numFmtId="1" fontId="0" fillId="0" borderId="0" xfId="0" applyNumberFormat="1" applyBorder="1"/>
    <xf numFmtId="1" fontId="0" fillId="0" borderId="3" xfId="0" applyNumberFormat="1" applyBorder="1"/>
    <xf numFmtId="10" fontId="0" fillId="0" borderId="0" xfId="6" applyNumberFormat="1" applyFont="1" applyAlignment="1">
      <alignment horizontal="right"/>
    </xf>
    <xf numFmtId="0" fontId="0" fillId="0" borderId="0" xfId="0" applyAlignment="1">
      <alignment horizontal="left"/>
    </xf>
    <xf numFmtId="0" fontId="2" fillId="6" borderId="0" xfId="0" applyFont="1" applyFill="1" applyAlignment="1">
      <alignment horizontal="left"/>
    </xf>
    <xf numFmtId="0" fontId="0" fillId="0" borderId="0" xfId="0" applyAlignment="1">
      <alignment horizontal="right"/>
    </xf>
    <xf numFmtId="0" fontId="2" fillId="6" borderId="0" xfId="0" applyFont="1" applyFill="1" applyAlignment="1">
      <alignment horizontal="right"/>
    </xf>
    <xf numFmtId="171" fontId="0" fillId="0" borderId="0" xfId="0" applyNumberFormat="1" applyAlignment="1">
      <alignment horizontal="right"/>
    </xf>
    <xf numFmtId="2" fontId="0" fillId="0" borderId="0" xfId="0" applyNumberFormat="1" applyAlignment="1">
      <alignment horizontal="right"/>
    </xf>
    <xf numFmtId="0" fontId="0" fillId="9" borderId="0" xfId="0" applyFill="1" applyAlignment="1">
      <alignment horizontal="left"/>
    </xf>
    <xf numFmtId="172" fontId="0" fillId="9" borderId="0" xfId="0" applyNumberFormat="1" applyFill="1" applyAlignment="1">
      <alignment horizontal="right"/>
    </xf>
    <xf numFmtId="10" fontId="0" fillId="9" borderId="0" xfId="6" applyNumberFormat="1" applyFont="1" applyFill="1" applyAlignment="1">
      <alignment horizontal="right"/>
    </xf>
    <xf numFmtId="0" fontId="1" fillId="0" borderId="0" xfId="0" applyFont="1"/>
    <xf numFmtId="2" fontId="0" fillId="9" borderId="0" xfId="0" applyNumberFormat="1" applyFill="1" applyAlignment="1">
      <alignment horizontal="right"/>
    </xf>
    <xf numFmtId="0" fontId="2" fillId="0" borderId="0" xfId="0" applyFont="1" applyFill="1" applyAlignment="1">
      <alignment horizontal="center" wrapText="1"/>
    </xf>
    <xf numFmtId="0" fontId="1" fillId="0" borderId="4" xfId="0" applyFont="1" applyBorder="1"/>
    <xf numFmtId="17" fontId="1" fillId="0" borderId="4" xfId="0" applyNumberFormat="1" applyFont="1" applyBorder="1"/>
    <xf numFmtId="17" fontId="1" fillId="0" borderId="0" xfId="0" applyNumberFormat="1" applyFont="1" applyBorder="1"/>
    <xf numFmtId="10" fontId="1" fillId="0" borderId="0" xfId="6" applyNumberFormat="1" applyFont="1"/>
    <xf numFmtId="4" fontId="0" fillId="0" borderId="0" xfId="0" applyNumberFormat="1" applyFont="1" applyAlignment="1">
      <alignment horizontal="right" vertical="center"/>
    </xf>
    <xf numFmtId="173" fontId="0" fillId="0" borderId="0" xfId="0" applyNumberFormat="1" applyFont="1"/>
    <xf numFmtId="15" fontId="0" fillId="0" borderId="0" xfId="0" applyNumberFormat="1" applyAlignment="1">
      <alignment wrapText="1"/>
    </xf>
    <xf numFmtId="0" fontId="0" fillId="0" borderId="0" xfId="0" applyFont="1" applyAlignment="1">
      <alignment horizontal="right"/>
    </xf>
    <xf numFmtId="0" fontId="1" fillId="0" borderId="5" xfId="0" applyFont="1" applyBorder="1"/>
    <xf numFmtId="0" fontId="1" fillId="0" borderId="5" xfId="0" applyFont="1" applyBorder="1" applyAlignment="1">
      <alignment horizontal="right"/>
    </xf>
    <xf numFmtId="2" fontId="0" fillId="0" borderId="0" xfId="0" applyNumberFormat="1" applyFont="1"/>
    <xf numFmtId="0" fontId="0" fillId="0" borderId="0" xfId="0" applyFill="1" applyBorder="1" applyAlignment="1"/>
    <xf numFmtId="0" fontId="0" fillId="0" borderId="6" xfId="0" applyFill="1" applyBorder="1" applyAlignment="1"/>
    <xf numFmtId="0" fontId="9" fillId="0" borderId="7" xfId="0" applyFont="1" applyFill="1" applyBorder="1" applyAlignment="1">
      <alignment horizontal="center"/>
    </xf>
    <xf numFmtId="0" fontId="9" fillId="0" borderId="7" xfId="0" applyFont="1" applyFill="1" applyBorder="1" applyAlignment="1">
      <alignment horizontal="centerContinuous"/>
    </xf>
    <xf numFmtId="10" fontId="0" fillId="0" borderId="0" xfId="0" applyNumberFormat="1" applyAlignment="1">
      <alignment wrapText="1"/>
    </xf>
    <xf numFmtId="15" fontId="0" fillId="10" borderId="0" xfId="0" applyNumberFormat="1" applyFill="1" applyAlignment="1">
      <alignment wrapText="1"/>
    </xf>
    <xf numFmtId="2" fontId="0" fillId="10" borderId="0" xfId="0" applyNumberFormat="1" applyFill="1" applyAlignment="1">
      <alignment wrapText="1"/>
    </xf>
    <xf numFmtId="0" fontId="0" fillId="0" borderId="0" xfId="0" applyAlignment="1">
      <alignment wrapText="1"/>
    </xf>
    <xf numFmtId="0" fontId="0" fillId="0" borderId="8" xfId="0" applyBorder="1"/>
    <xf numFmtId="0" fontId="0" fillId="0" borderId="8" xfId="0" applyBorder="1" applyAlignment="1"/>
    <xf numFmtId="0" fontId="0" fillId="0" borderId="5" xfId="0" applyBorder="1"/>
    <xf numFmtId="0" fontId="17" fillId="0" borderId="0" xfId="0" applyFont="1"/>
    <xf numFmtId="10" fontId="17" fillId="0" borderId="0" xfId="0" applyNumberFormat="1" applyFont="1" applyAlignment="1">
      <alignment wrapText="1"/>
    </xf>
    <xf numFmtId="10" fontId="17" fillId="0" borderId="0" xfId="0" applyNumberFormat="1" applyFont="1"/>
    <xf numFmtId="10" fontId="0" fillId="11" borderId="0" xfId="6" applyNumberFormat="1" applyFont="1" applyFill="1"/>
    <xf numFmtId="0" fontId="1" fillId="0" borderId="8" xfId="0" applyFont="1" applyBorder="1"/>
    <xf numFmtId="10" fontId="0" fillId="0" borderId="8" xfId="0" applyNumberFormat="1" applyBorder="1"/>
    <xf numFmtId="10" fontId="0" fillId="0" borderId="5" xfId="0" applyNumberFormat="1" applyBorder="1"/>
    <xf numFmtId="10" fontId="0" fillId="0" borderId="8" xfId="6" applyNumberFormat="1" applyFont="1" applyBorder="1"/>
    <xf numFmtId="10" fontId="0" fillId="0" borderId="5" xfId="6" applyNumberFormat="1" applyFont="1" applyBorder="1"/>
    <xf numFmtId="10" fontId="0" fillId="11" borderId="2" xfId="0" applyNumberFormat="1" applyFill="1" applyBorder="1"/>
    <xf numFmtId="0" fontId="1" fillId="0" borderId="5" xfId="0" applyFont="1" applyBorder="1" applyAlignment="1">
      <alignment horizontal="left"/>
    </xf>
    <xf numFmtId="10" fontId="0" fillId="11" borderId="0" xfId="0" applyNumberFormat="1" applyFill="1"/>
    <xf numFmtId="4" fontId="17" fillId="0" borderId="0" xfId="0" applyNumberFormat="1" applyFont="1"/>
    <xf numFmtId="4" fontId="0" fillId="0" borderId="2" xfId="0" applyNumberFormat="1" applyBorder="1"/>
    <xf numFmtId="0" fontId="1" fillId="0" borderId="0" xfId="0" applyFont="1" applyAlignment="1">
      <alignment horizontal="right"/>
    </xf>
    <xf numFmtId="10" fontId="0" fillId="0" borderId="0" xfId="0" applyNumberFormat="1" applyFont="1"/>
    <xf numFmtId="0" fontId="18" fillId="0" borderId="0" xfId="0" applyFont="1" applyAlignment="1">
      <alignment vertical="center"/>
    </xf>
    <xf numFmtId="0" fontId="0" fillId="0" borderId="0" xfId="0" applyAlignment="1">
      <alignment vertical="top" wrapText="1"/>
    </xf>
    <xf numFmtId="0" fontId="0" fillId="6" borderId="0" xfId="0" applyFill="1"/>
    <xf numFmtId="10" fontId="0" fillId="0" borderId="0" xfId="0" applyNumberFormat="1" applyAlignment="1">
      <alignment horizontal="right"/>
    </xf>
    <xf numFmtId="9" fontId="0" fillId="0" borderId="0" xfId="0" applyNumberFormat="1" applyAlignment="1">
      <alignment horizontal="right"/>
    </xf>
    <xf numFmtId="0" fontId="1" fillId="11" borderId="0" xfId="0" applyFont="1" applyFill="1"/>
    <xf numFmtId="10" fontId="17" fillId="0" borderId="0" xfId="6" applyNumberFormat="1" applyFont="1"/>
    <xf numFmtId="0" fontId="19" fillId="0" borderId="0" xfId="0" applyFont="1"/>
    <xf numFmtId="0" fontId="0" fillId="0" borderId="0" xfId="0" applyAlignment="1">
      <alignment horizontal="right" wrapText="1"/>
    </xf>
    <xf numFmtId="0" fontId="0" fillId="0" borderId="8" xfId="0" applyBorder="1" applyAlignment="1">
      <alignment horizontal="right"/>
    </xf>
    <xf numFmtId="0" fontId="0" fillId="0" borderId="5" xfId="0" applyBorder="1" applyAlignment="1">
      <alignment horizontal="right"/>
    </xf>
    <xf numFmtId="2" fontId="0" fillId="11" borderId="0" xfId="0" applyNumberFormat="1" applyFill="1" applyAlignment="1">
      <alignment horizontal="right"/>
    </xf>
    <xf numFmtId="2" fontId="0" fillId="0" borderId="8" xfId="0" applyNumberFormat="1" applyBorder="1" applyAlignment="1">
      <alignment horizontal="right"/>
    </xf>
    <xf numFmtId="2" fontId="0" fillId="0" borderId="5" xfId="0" applyNumberFormat="1" applyBorder="1" applyAlignment="1">
      <alignment horizontal="right"/>
    </xf>
    <xf numFmtId="10" fontId="17" fillId="0" borderId="0" xfId="0" applyNumberFormat="1" applyFont="1" applyAlignment="1">
      <alignment horizontal="right"/>
    </xf>
    <xf numFmtId="167" fontId="17" fillId="0" borderId="0" xfId="0" applyNumberFormat="1" applyFont="1" applyAlignment="1">
      <alignment horizontal="right"/>
    </xf>
    <xf numFmtId="10" fontId="0" fillId="11" borderId="2" xfId="0" applyNumberFormat="1" applyFill="1" applyBorder="1" applyAlignment="1">
      <alignment horizontal="right"/>
    </xf>
    <xf numFmtId="2" fontId="0" fillId="0" borderId="2" xfId="0" applyNumberFormat="1" applyBorder="1" applyAlignment="1">
      <alignment horizontal="right"/>
    </xf>
    <xf numFmtId="10" fontId="0" fillId="0" borderId="0" xfId="0" applyNumberFormat="1" applyBorder="1" applyAlignment="1">
      <alignment horizontal="right"/>
    </xf>
    <xf numFmtId="10" fontId="0" fillId="0" borderId="0" xfId="6" applyNumberFormat="1" applyFont="1" applyBorder="1" applyAlignment="1">
      <alignment horizontal="right"/>
    </xf>
    <xf numFmtId="0" fontId="0" fillId="0" borderId="2" xfId="0" applyBorder="1" applyAlignment="1">
      <alignment horizontal="right"/>
    </xf>
    <xf numFmtId="0" fontId="0" fillId="0" borderId="0" xfId="0" applyBorder="1" applyAlignment="1">
      <alignment horizontal="right"/>
    </xf>
    <xf numFmtId="0" fontId="1" fillId="0" borderId="9" xfId="0" applyFont="1" applyBorder="1"/>
    <xf numFmtId="174" fontId="0" fillId="0" borderId="0" xfId="0" applyNumberFormat="1" applyBorder="1"/>
    <xf numFmtId="0" fontId="1" fillId="0" borderId="10" xfId="0" applyFont="1" applyBorder="1"/>
    <xf numFmtId="0" fontId="0" fillId="0" borderId="1" xfId="0" applyBorder="1"/>
    <xf numFmtId="0" fontId="1" fillId="0" borderId="11" xfId="0" applyFont="1" applyBorder="1"/>
    <xf numFmtId="0" fontId="1" fillId="0" borderId="12" xfId="0" applyFont="1" applyBorder="1"/>
    <xf numFmtId="10" fontId="1" fillId="0" borderId="12" xfId="6" applyNumberFormat="1" applyFont="1" applyBorder="1"/>
    <xf numFmtId="174" fontId="0" fillId="0" borderId="0" xfId="0" applyNumberFormat="1"/>
    <xf numFmtId="174" fontId="1" fillId="0" borderId="0" xfId="0" applyNumberFormat="1" applyFont="1" applyBorder="1"/>
    <xf numFmtId="174" fontId="1" fillId="0" borderId="10" xfId="0" applyNumberFormat="1" applyFont="1" applyBorder="1"/>
    <xf numFmtId="174" fontId="0" fillId="0" borderId="1" xfId="0" applyNumberFormat="1" applyBorder="1"/>
    <xf numFmtId="174" fontId="1" fillId="0" borderId="11" xfId="0" applyNumberFormat="1" applyFont="1" applyBorder="1"/>
    <xf numFmtId="174" fontId="1" fillId="0" borderId="0" xfId="0" applyNumberFormat="1" applyFont="1"/>
    <xf numFmtId="0" fontId="0" fillId="0" borderId="13" xfId="0" applyBorder="1"/>
    <xf numFmtId="174" fontId="0" fillId="0" borderId="13" xfId="0" applyNumberFormat="1" applyBorder="1"/>
    <xf numFmtId="0" fontId="0" fillId="0" borderId="14" xfId="0" applyBorder="1"/>
    <xf numFmtId="174" fontId="0" fillId="0" borderId="14" xfId="0" applyNumberFormat="1" applyBorder="1"/>
    <xf numFmtId="0" fontId="1" fillId="0" borderId="15" xfId="0" applyFont="1" applyBorder="1"/>
    <xf numFmtId="10" fontId="1" fillId="0" borderId="15" xfId="6" applyNumberFormat="1" applyFont="1" applyBorder="1"/>
    <xf numFmtId="10" fontId="1" fillId="11" borderId="0" xfId="0" applyNumberFormat="1" applyFont="1" applyFill="1"/>
    <xf numFmtId="0" fontId="0" fillId="0" borderId="14" xfId="0" applyFont="1" applyBorder="1"/>
    <xf numFmtId="10" fontId="0" fillId="0" borderId="14" xfId="0" applyNumberFormat="1" applyBorder="1"/>
    <xf numFmtId="10" fontId="1" fillId="0" borderId="15" xfId="0" applyNumberFormat="1" applyFont="1" applyBorder="1"/>
    <xf numFmtId="164" fontId="0" fillId="0" borderId="0" xfId="0" applyNumberFormat="1" applyFont="1" applyBorder="1"/>
    <xf numFmtId="167" fontId="0" fillId="0" borderId="0" xfId="6" applyNumberFormat="1" applyFont="1" applyBorder="1"/>
    <xf numFmtId="9" fontId="20" fillId="0" borderId="14" xfId="0" applyNumberFormat="1" applyFont="1" applyFill="1" applyBorder="1"/>
    <xf numFmtId="10" fontId="0" fillId="0" borderId="0" xfId="0" applyNumberFormat="1"/>
    <xf numFmtId="0" fontId="1" fillId="10" borderId="0" xfId="0" applyFont="1" applyFill="1"/>
    <xf numFmtId="0" fontId="1" fillId="10" borderId="0" xfId="0" applyFont="1" applyFill="1" applyAlignment="1">
      <alignment horizontal="right"/>
    </xf>
    <xf numFmtId="10" fontId="1" fillId="10" borderId="0" xfId="0" applyNumberFormat="1" applyFont="1" applyFill="1" applyAlignment="1">
      <alignment horizontal="right"/>
    </xf>
    <xf numFmtId="0" fontId="0" fillId="10" borderId="0" xfId="0" applyFill="1"/>
    <xf numFmtId="10" fontId="0" fillId="10" borderId="0" xfId="0" applyNumberFormat="1" applyFill="1"/>
    <xf numFmtId="10" fontId="0" fillId="0" borderId="13" xfId="0" applyNumberFormat="1" applyBorder="1"/>
    <xf numFmtId="0" fontId="0" fillId="11" borderId="13" xfId="0" applyFill="1" applyBorder="1"/>
    <xf numFmtId="10" fontId="20" fillId="11" borderId="13" xfId="0" applyNumberFormat="1" applyFont="1" applyFill="1" applyBorder="1"/>
    <xf numFmtId="10" fontId="0" fillId="11" borderId="13" xfId="0" applyNumberFormat="1" applyFill="1" applyBorder="1"/>
    <xf numFmtId="177" fontId="0" fillId="0" borderId="0" xfId="0" applyNumberFormat="1"/>
    <xf numFmtId="0" fontId="1" fillId="0" borderId="16" xfId="0" applyFont="1" applyBorder="1"/>
    <xf numFmtId="2" fontId="0" fillId="0" borderId="0" xfId="0" applyNumberFormat="1"/>
    <xf numFmtId="2" fontId="1" fillId="0" borderId="0" xfId="0" applyNumberFormat="1" applyFont="1"/>
    <xf numFmtId="2" fontId="1" fillId="0" borderId="16" xfId="0" applyNumberFormat="1" applyFont="1" applyBorder="1"/>
    <xf numFmtId="170" fontId="0" fillId="0" borderId="0" xfId="6" applyNumberFormat="1" applyFont="1"/>
    <xf numFmtId="2" fontId="0" fillId="11" borderId="13" xfId="0" applyNumberFormat="1" applyFill="1" applyBorder="1"/>
    <xf numFmtId="2" fontId="0" fillId="0" borderId="13" xfId="0" applyNumberFormat="1" applyBorder="1"/>
    <xf numFmtId="2" fontId="1" fillId="0" borderId="9" xfId="0" applyNumberFormat="1" applyFont="1" applyBorder="1"/>
    <xf numFmtId="0" fontId="0" fillId="7" borderId="0" xfId="0" applyFill="1"/>
    <xf numFmtId="0" fontId="0" fillId="0" borderId="0" xfId="0" applyFill="1" applyAlignment="1"/>
    <xf numFmtId="0" fontId="2" fillId="0" borderId="0" xfId="0" applyFont="1" applyFill="1" applyAlignment="1">
      <alignment horizontal="left" vertical="center" wrapText="1"/>
    </xf>
    <xf numFmtId="0" fontId="0" fillId="0" borderId="0" xfId="0" applyFill="1"/>
    <xf numFmtId="0" fontId="0" fillId="0" borderId="0" xfId="0" applyFill="1" applyAlignment="1">
      <alignment horizontal="right"/>
    </xf>
    <xf numFmtId="0" fontId="15" fillId="0" borderId="0" xfId="0" applyFont="1" applyFill="1"/>
    <xf numFmtId="0" fontId="15" fillId="0" borderId="0" xfId="0" applyFont="1" applyFill="1" applyAlignment="1">
      <alignment horizontal="right"/>
    </xf>
    <xf numFmtId="173" fontId="0" fillId="0" borderId="0" xfId="0" applyNumberFormat="1" applyFont="1" applyFill="1"/>
    <xf numFmtId="0" fontId="1" fillId="0" borderId="5" xfId="0" applyFont="1" applyBorder="1" applyAlignment="1">
      <alignment horizontal="center"/>
    </xf>
    <xf numFmtId="0" fontId="2" fillId="0" borderId="0" xfId="0" applyFont="1" applyFill="1"/>
    <xf numFmtId="0" fontId="2" fillId="0" borderId="0" xfId="0" applyFont="1" applyFill="1" applyAlignment="1">
      <alignment wrapText="1"/>
    </xf>
    <xf numFmtId="178" fontId="0" fillId="0" borderId="0" xfId="0" applyNumberFormat="1"/>
    <xf numFmtId="1" fontId="0" fillId="0" borderId="14" xfId="0" applyNumberFormat="1" applyBorder="1"/>
    <xf numFmtId="3" fontId="0" fillId="0" borderId="14" xfId="0" applyNumberFormat="1" applyBorder="1"/>
    <xf numFmtId="3" fontId="0" fillId="0" borderId="0" xfId="0" applyNumberFormat="1" applyBorder="1"/>
    <xf numFmtId="9" fontId="0" fillId="0" borderId="0" xfId="0" applyNumberFormat="1"/>
    <xf numFmtId="2" fontId="5" fillId="0" borderId="0" xfId="0" applyNumberFormat="1" applyFont="1"/>
    <xf numFmtId="10" fontId="1" fillId="0" borderId="0" xfId="0" applyNumberFormat="1" applyFont="1"/>
    <xf numFmtId="179" fontId="0" fillId="0" borderId="0" xfId="0" applyNumberFormat="1"/>
    <xf numFmtId="10" fontId="1" fillId="0" borderId="0" xfId="0" applyNumberFormat="1" applyFont="1" applyAlignment="1">
      <alignment horizontal="left"/>
    </xf>
    <xf numFmtId="178" fontId="0" fillId="0" borderId="14" xfId="0" applyNumberFormat="1" applyFill="1" applyBorder="1"/>
    <xf numFmtId="0" fontId="0" fillId="0" borderId="0" xfId="0" applyFill="1" applyBorder="1" applyAlignment="1">
      <alignment horizontal="left"/>
    </xf>
    <xf numFmtId="14" fontId="0" fillId="0" borderId="0" xfId="0" applyNumberFormat="1"/>
    <xf numFmtId="0" fontId="22" fillId="0" borderId="0" xfId="0" applyFont="1" applyFill="1" applyAlignment="1"/>
    <xf numFmtId="0" fontId="22" fillId="0" borderId="19" xfId="0" applyFont="1" applyFill="1" applyBorder="1" applyAlignment="1"/>
    <xf numFmtId="0" fontId="0" fillId="0" borderId="19" xfId="0" applyFill="1" applyBorder="1" applyAlignment="1">
      <alignment horizontal="left"/>
    </xf>
    <xf numFmtId="0" fontId="21" fillId="0" borderId="0" xfId="0" applyFont="1" applyFill="1" applyBorder="1" applyAlignment="1"/>
    <xf numFmtId="0" fontId="0" fillId="7" borderId="19" xfId="0" applyFill="1" applyBorder="1"/>
    <xf numFmtId="0" fontId="0" fillId="7" borderId="0" xfId="0" applyFill="1" applyBorder="1"/>
    <xf numFmtId="0" fontId="0" fillId="0" borderId="19" xfId="0" applyFill="1" applyBorder="1"/>
    <xf numFmtId="0" fontId="1" fillId="10" borderId="18" xfId="0" applyFont="1" applyFill="1" applyBorder="1"/>
    <xf numFmtId="3" fontId="1" fillId="10" borderId="18" xfId="0" applyNumberFormat="1" applyFont="1" applyFill="1" applyBorder="1"/>
    <xf numFmtId="2" fontId="0" fillId="0" borderId="0" xfId="0" applyNumberFormat="1" applyFill="1"/>
    <xf numFmtId="0" fontId="24" fillId="0" borderId="0" xfId="0" applyFont="1" applyFill="1" applyBorder="1" applyAlignment="1">
      <alignment vertical="top"/>
    </xf>
    <xf numFmtId="0" fontId="22" fillId="0" borderId="20" xfId="0" applyNumberFormat="1" applyFont="1" applyFill="1" applyBorder="1" applyAlignment="1"/>
    <xf numFmtId="0" fontId="0" fillId="0" borderId="20" xfId="0" applyNumberFormat="1" applyFill="1" applyBorder="1" applyAlignment="1">
      <alignment horizontal="left"/>
    </xf>
    <xf numFmtId="0" fontId="0" fillId="12" borderId="0" xfId="0" applyFill="1"/>
    <xf numFmtId="0" fontId="1" fillId="12" borderId="0" xfId="0" applyFont="1" applyFill="1"/>
    <xf numFmtId="0" fontId="22" fillId="0" borderId="20" xfId="0" applyFont="1" applyFill="1" applyBorder="1" applyAlignment="1"/>
    <xf numFmtId="0" fontId="0" fillId="0" borderId="20" xfId="0" applyFill="1" applyBorder="1" applyAlignment="1">
      <alignment horizontal="left"/>
    </xf>
    <xf numFmtId="0" fontId="0" fillId="7" borderId="20" xfId="0" applyFill="1" applyBorder="1"/>
    <xf numFmtId="175" fontId="2" fillId="6" borderId="0" xfId="0" applyNumberFormat="1" applyFont="1" applyFill="1"/>
    <xf numFmtId="176" fontId="2" fillId="6" borderId="0" xfId="0" applyNumberFormat="1" applyFont="1" applyFill="1"/>
    <xf numFmtId="0" fontId="23" fillId="6" borderId="0" xfId="0" applyFont="1" applyFill="1"/>
    <xf numFmtId="0" fontId="23" fillId="6" borderId="0" xfId="0" applyFont="1" applyFill="1" applyAlignment="1">
      <alignment horizontal="right"/>
    </xf>
    <xf numFmtId="9" fontId="25" fillId="0" borderId="0" xfId="0" applyNumberFormat="1" applyFont="1"/>
    <xf numFmtId="167" fontId="1" fillId="11" borderId="0" xfId="0" applyNumberFormat="1" applyFont="1" applyFill="1" applyAlignment="1">
      <alignment horizontal="right"/>
    </xf>
    <xf numFmtId="3" fontId="1" fillId="0" borderId="0" xfId="0" applyNumberFormat="1" applyFont="1"/>
    <xf numFmtId="0" fontId="5" fillId="6" borderId="0" xfId="0" applyFont="1" applyFill="1"/>
    <xf numFmtId="17" fontId="5" fillId="6" borderId="0" xfId="0" applyNumberFormat="1" applyFont="1" applyFill="1"/>
    <xf numFmtId="3" fontId="0" fillId="0" borderId="13" xfId="0" applyNumberFormat="1" applyBorder="1"/>
    <xf numFmtId="3" fontId="0" fillId="0" borderId="22" xfId="0" applyNumberFormat="1" applyBorder="1"/>
    <xf numFmtId="0" fontId="1" fillId="0" borderId="21" xfId="0" applyFont="1" applyBorder="1"/>
    <xf numFmtId="3" fontId="1" fillId="0" borderId="21" xfId="0" applyNumberFormat="1" applyFont="1" applyBorder="1"/>
    <xf numFmtId="0" fontId="0" fillId="0" borderId="23" xfId="0" applyBorder="1"/>
    <xf numFmtId="0" fontId="1" fillId="0" borderId="6" xfId="0" applyFont="1" applyBorder="1"/>
    <xf numFmtId="0" fontId="0" fillId="0" borderId="24" xfId="0" applyBorder="1"/>
    <xf numFmtId="0" fontId="1" fillId="0" borderId="25" xfId="0" applyFont="1" applyBorder="1"/>
    <xf numFmtId="0" fontId="0" fillId="0" borderId="25" xfId="0" applyBorder="1"/>
    <xf numFmtId="174" fontId="1" fillId="0" borderId="25" xfId="0" applyNumberFormat="1" applyFont="1" applyBorder="1"/>
    <xf numFmtId="174" fontId="1" fillId="0" borderId="1" xfId="0" applyNumberFormat="1" applyFont="1" applyBorder="1"/>
    <xf numFmtId="180" fontId="0" fillId="0" borderId="0" xfId="0" applyNumberFormat="1"/>
    <xf numFmtId="0" fontId="2" fillId="6" borderId="0" xfId="0" applyFont="1" applyFill="1" applyAlignment="1">
      <alignment wrapText="1"/>
    </xf>
    <xf numFmtId="0" fontId="0" fillId="0" borderId="14" xfId="0" applyFill="1" applyBorder="1"/>
    <xf numFmtId="3" fontId="0" fillId="0" borderId="14" xfId="0" applyNumberFormat="1" applyFill="1" applyBorder="1"/>
    <xf numFmtId="3" fontId="0" fillId="0" borderId="14" xfId="0" applyNumberFormat="1" applyFill="1" applyBorder="1" applyAlignment="1">
      <alignment wrapText="1"/>
    </xf>
    <xf numFmtId="0" fontId="0" fillId="13" borderId="14" xfId="0" applyFill="1" applyBorder="1"/>
    <xf numFmtId="3" fontId="0" fillId="13" borderId="14" xfId="0" applyNumberFormat="1" applyFill="1" applyBorder="1"/>
    <xf numFmtId="3" fontId="0" fillId="13" borderId="14" xfId="0" applyNumberFormat="1" applyFill="1" applyBorder="1" applyAlignment="1">
      <alignment wrapText="1"/>
    </xf>
    <xf numFmtId="178" fontId="0" fillId="13" borderId="14" xfId="0" applyNumberFormat="1" applyFill="1" applyBorder="1"/>
    <xf numFmtId="0" fontId="1" fillId="13" borderId="14" xfId="0" applyFont="1" applyFill="1" applyBorder="1"/>
    <xf numFmtId="178" fontId="1" fillId="13" borderId="14" xfId="0" applyNumberFormat="1" applyFont="1" applyFill="1" applyBorder="1"/>
    <xf numFmtId="0" fontId="2" fillId="6" borderId="14" xfId="0" applyFont="1" applyFill="1" applyBorder="1"/>
    <xf numFmtId="2" fontId="0" fillId="10" borderId="0" xfId="0" applyNumberFormat="1" applyFill="1"/>
    <xf numFmtId="0" fontId="26" fillId="0" borderId="0" xfId="0" applyFont="1"/>
    <xf numFmtId="0" fontId="0" fillId="0" borderId="26" xfId="0" applyBorder="1"/>
    <xf numFmtId="0" fontId="0" fillId="13" borderId="0" xfId="0" applyFill="1"/>
    <xf numFmtId="10" fontId="1" fillId="13" borderId="0" xfId="6" applyNumberFormat="1" applyFont="1" applyFill="1"/>
    <xf numFmtId="181" fontId="0" fillId="0" borderId="0" xfId="0" applyNumberFormat="1"/>
    <xf numFmtId="17" fontId="1" fillId="0" borderId="0" xfId="0" applyNumberFormat="1" applyFont="1"/>
    <xf numFmtId="182" fontId="1" fillId="13" borderId="0" xfId="6" applyNumberFormat="1" applyFont="1" applyFill="1"/>
    <xf numFmtId="0" fontId="1" fillId="0" borderId="0" xfId="0" applyFont="1" applyAlignment="1">
      <alignment horizontal="left"/>
    </xf>
    <xf numFmtId="0" fontId="24" fillId="0" borderId="0" xfId="0" applyFont="1" applyAlignment="1">
      <alignment vertical="top"/>
    </xf>
    <xf numFmtId="164" fontId="4" fillId="0" borderId="0" xfId="2" applyNumberFormat="1" applyBorder="1" applyAlignment="1" applyProtection="1">
      <alignment horizontal="center"/>
    </xf>
    <xf numFmtId="164" fontId="2" fillId="4" borderId="0" xfId="5" applyNumberFormat="1" applyFont="1" applyBorder="1" applyAlignment="1">
      <alignment horizontal="center"/>
    </xf>
    <xf numFmtId="0" fontId="2" fillId="6" borderId="0" xfId="0" applyFont="1" applyFill="1" applyAlignment="1">
      <alignment horizontal="center"/>
    </xf>
    <xf numFmtId="0" fontId="24" fillId="0" borderId="0" xfId="0" applyFont="1" applyFill="1" applyBorder="1" applyAlignment="1">
      <alignment horizontal="left" vertical="top"/>
    </xf>
    <xf numFmtId="0" fontId="0" fillId="0" borderId="0" xfId="0" applyFont="1" applyFill="1" applyBorder="1" applyAlignment="1">
      <alignment horizontal="left" vertical="top"/>
    </xf>
    <xf numFmtId="0" fontId="1" fillId="0" borderId="0" xfId="0" applyFont="1" applyAlignment="1">
      <alignment horizontal="center"/>
    </xf>
    <xf numFmtId="0" fontId="2" fillId="6" borderId="0" xfId="0" applyFont="1" applyFill="1" applyAlignment="1">
      <alignment horizontal="center" wrapText="1"/>
    </xf>
    <xf numFmtId="0" fontId="27" fillId="0" borderId="0" xfId="0" applyFont="1" applyAlignment="1">
      <alignment horizontal="left" vertical="top" wrapText="1"/>
    </xf>
    <xf numFmtId="0" fontId="28" fillId="0" borderId="0" xfId="0" applyFont="1" applyAlignment="1">
      <alignment horizontal="left" vertical="top" wrapText="1"/>
    </xf>
    <xf numFmtId="0" fontId="2" fillId="6" borderId="0" xfId="0" applyFont="1" applyFill="1" applyAlignment="1">
      <alignment horizontal="left"/>
    </xf>
    <xf numFmtId="0" fontId="2" fillId="0" borderId="0" xfId="0" applyFont="1" applyFill="1" applyAlignment="1">
      <alignment horizontal="left"/>
    </xf>
    <xf numFmtId="0" fontId="2" fillId="6" borderId="17" xfId="0" applyFont="1" applyFill="1" applyBorder="1" applyAlignment="1">
      <alignment horizontal="center"/>
    </xf>
  </cellXfs>
  <cellStyles count="7">
    <cellStyle name="60% - Accent1" xfId="3" builtinId="32"/>
    <cellStyle name="60% - Accent3" xfId="4" builtinId="40"/>
    <cellStyle name="Accent6" xfId="5" builtinId="49"/>
    <cellStyle name="Comma" xfId="1" builtinId="3"/>
    <cellStyle name="Hyperlink" xfId="2" builtinId="8"/>
    <cellStyle name="Normal" xfId="0" builtinId="0"/>
    <cellStyle name="Percent" xfId="6" builtinId="5"/>
  </cellStyles>
  <dxfs count="31">
    <dxf>
      <font>
        <b/>
        <i val="0"/>
        <color theme="0"/>
      </font>
      <fill>
        <patternFill>
          <bgColor theme="5"/>
        </patternFill>
      </fill>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style="thin">
          <color theme="4"/>
        </right>
        <top/>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dxf>
  </dxfs>
  <tableStyles count="0" defaultTableStyle="TableStyleMedium9" defaultPivotStyle="PivotStyleLight16"/>
  <colors>
    <mruColors>
      <color rgb="FF005400"/>
      <color rgb="FFA3E5C1"/>
      <color rgb="FF00CC00"/>
      <color rgb="FF006600"/>
      <color rgb="FF3333FF"/>
      <color rgb="FF027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582264922787071E-2"/>
          <c:y val="5.7865126161668987E-2"/>
          <c:w val="0.85687934477991234"/>
          <c:h val="0.78012365823023844"/>
        </c:manualLayout>
      </c:layout>
      <c:barChart>
        <c:barDir val="col"/>
        <c:grouping val="clustered"/>
        <c:varyColors val="0"/>
        <c:ser>
          <c:idx val="0"/>
          <c:order val="0"/>
          <c:spPr>
            <a:solidFill>
              <a:schemeClr val="accent4">
                <a:lumMod val="75000"/>
              </a:schemeClr>
            </a:solidFill>
            <a:ln>
              <a:solidFill>
                <a:schemeClr val="accent1"/>
              </a:solidFill>
            </a:ln>
            <a:effectLst/>
          </c:spPr>
          <c:invertIfNegative val="0"/>
          <c:dPt>
            <c:idx val="0"/>
            <c:invertIfNegative val="0"/>
            <c:bubble3D val="0"/>
            <c:spPr>
              <a:solidFill>
                <a:schemeClr val="accent4">
                  <a:lumMod val="20000"/>
                  <a:lumOff val="80000"/>
                </a:schemeClr>
              </a:solidFill>
              <a:ln>
                <a:solidFill>
                  <a:schemeClr val="accent1"/>
                </a:solidFill>
              </a:ln>
              <a:effectLst/>
            </c:spPr>
            <c:extLst>
              <c:ext xmlns:c16="http://schemas.microsoft.com/office/drawing/2014/chart" uri="{C3380CC4-5D6E-409C-BE32-E72D297353CC}">
                <c16:uniqueId val="{00000004-E80C-4E04-BC63-02B57D1AA1DD}"/>
              </c:ext>
            </c:extLst>
          </c:dPt>
          <c:dPt>
            <c:idx val="1"/>
            <c:invertIfNegative val="0"/>
            <c:bubble3D val="0"/>
            <c:spPr>
              <a:solidFill>
                <a:schemeClr val="accent4">
                  <a:lumMod val="40000"/>
                  <a:lumOff val="60000"/>
                </a:schemeClr>
              </a:solidFill>
              <a:ln>
                <a:solidFill>
                  <a:schemeClr val="accent1"/>
                </a:solidFill>
              </a:ln>
              <a:effectLst/>
            </c:spPr>
            <c:extLst>
              <c:ext xmlns:c16="http://schemas.microsoft.com/office/drawing/2014/chart" uri="{C3380CC4-5D6E-409C-BE32-E72D297353CC}">
                <c16:uniqueId val="{00000003-E80C-4E04-BC63-02B57D1AA1DD}"/>
              </c:ext>
            </c:extLst>
          </c:dPt>
          <c:dPt>
            <c:idx val="2"/>
            <c:invertIfNegative val="0"/>
            <c:bubble3D val="0"/>
            <c:spPr>
              <a:solidFill>
                <a:schemeClr val="accent4">
                  <a:lumMod val="60000"/>
                  <a:lumOff val="40000"/>
                </a:schemeClr>
              </a:solidFill>
              <a:ln>
                <a:solidFill>
                  <a:schemeClr val="accent1"/>
                </a:solidFill>
              </a:ln>
              <a:effectLst/>
            </c:spPr>
            <c:extLst>
              <c:ext xmlns:c16="http://schemas.microsoft.com/office/drawing/2014/chart" uri="{C3380CC4-5D6E-409C-BE32-E72D297353CC}">
                <c16:uniqueId val="{00000002-E80C-4E04-BC63-02B57D1AA1DD}"/>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'Dupont Report'!$F$85:$I$85</c:f>
              <c:numCache>
                <c:formatCode>mmm\-yy</c:formatCode>
                <c:ptCount val="4"/>
                <c:pt idx="0">
                  <c:v>44286</c:v>
                </c:pt>
                <c:pt idx="1">
                  <c:v>44651</c:v>
                </c:pt>
                <c:pt idx="2">
                  <c:v>45016</c:v>
                </c:pt>
                <c:pt idx="3">
                  <c:v>45382</c:v>
                </c:pt>
              </c:numCache>
            </c:numRef>
          </c:cat>
          <c:val>
            <c:numRef>
              <c:f>'Dupont Report'!$F$87:$I$87</c:f>
              <c:numCache>
                <c:formatCode>0.0</c:formatCode>
                <c:ptCount val="4"/>
                <c:pt idx="0">
                  <c:v>4983.9399999999996</c:v>
                </c:pt>
                <c:pt idx="1">
                  <c:v>5221.46</c:v>
                </c:pt>
                <c:pt idx="2">
                  <c:v>5698.31</c:v>
                </c:pt>
                <c:pt idx="3">
                  <c:v>6372.96</c:v>
                </c:pt>
              </c:numCache>
            </c:numRef>
          </c:val>
          <c:extLst>
            <c:ext xmlns:c16="http://schemas.microsoft.com/office/drawing/2014/chart" uri="{C3380CC4-5D6E-409C-BE32-E72D297353CC}">
              <c16:uniqueId val="{00000000-E80C-4E04-BC63-02B57D1AA1DD}"/>
            </c:ext>
          </c:extLst>
        </c:ser>
        <c:dLbls>
          <c:showLegendKey val="0"/>
          <c:showVal val="0"/>
          <c:showCatName val="0"/>
          <c:showSerName val="0"/>
          <c:showPercent val="0"/>
          <c:showBubbleSize val="0"/>
        </c:dLbls>
        <c:gapWidth val="219"/>
        <c:overlap val="-27"/>
        <c:axId val="688231407"/>
        <c:axId val="688248047"/>
      </c:barChart>
      <c:catAx>
        <c:axId val="68823140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688248047"/>
        <c:crosses val="autoZero"/>
        <c:auto val="0"/>
        <c:lblAlgn val="ctr"/>
        <c:lblOffset val="100"/>
        <c:noMultiLvlLbl val="0"/>
      </c:catAx>
      <c:valAx>
        <c:axId val="688248047"/>
        <c:scaling>
          <c:orientation val="minMax"/>
        </c:scaling>
        <c:delete val="1"/>
        <c:axPos val="l"/>
        <c:numFmt formatCode="0.0" sourceLinked="1"/>
        <c:majorTickMark val="none"/>
        <c:minorTickMark val="none"/>
        <c:tickLblPos val="nextTo"/>
        <c:crossAx val="68823140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582217898153661E-2"/>
          <c:y val="6.6713720943519544E-2"/>
          <c:w val="0.85687934477991234"/>
          <c:h val="0.78012365823023844"/>
        </c:manualLayout>
      </c:layout>
      <c:barChart>
        <c:barDir val="col"/>
        <c:grouping val="clustered"/>
        <c:varyColors val="0"/>
        <c:ser>
          <c:idx val="0"/>
          <c:order val="0"/>
          <c:spPr>
            <a:solidFill>
              <a:schemeClr val="accent4">
                <a:lumMod val="75000"/>
              </a:schemeClr>
            </a:solidFill>
            <a:ln>
              <a:solidFill>
                <a:schemeClr val="accent1"/>
              </a:solidFill>
            </a:ln>
            <a:effectLst/>
          </c:spPr>
          <c:invertIfNegative val="0"/>
          <c:dPt>
            <c:idx val="0"/>
            <c:invertIfNegative val="0"/>
            <c:bubble3D val="0"/>
            <c:spPr>
              <a:solidFill>
                <a:schemeClr val="accent4">
                  <a:lumMod val="20000"/>
                  <a:lumOff val="80000"/>
                </a:schemeClr>
              </a:solidFill>
              <a:ln>
                <a:solidFill>
                  <a:schemeClr val="accent1"/>
                </a:solidFill>
              </a:ln>
              <a:effectLst/>
            </c:spPr>
            <c:extLst>
              <c:ext xmlns:c16="http://schemas.microsoft.com/office/drawing/2014/chart" uri="{C3380CC4-5D6E-409C-BE32-E72D297353CC}">
                <c16:uniqueId val="{00000001-D4B4-4871-8349-6626C8DDC19E}"/>
              </c:ext>
            </c:extLst>
          </c:dPt>
          <c:dPt>
            <c:idx val="1"/>
            <c:invertIfNegative val="0"/>
            <c:bubble3D val="0"/>
            <c:spPr>
              <a:solidFill>
                <a:schemeClr val="accent4">
                  <a:lumMod val="40000"/>
                  <a:lumOff val="60000"/>
                </a:schemeClr>
              </a:solidFill>
              <a:ln>
                <a:solidFill>
                  <a:schemeClr val="accent1"/>
                </a:solidFill>
              </a:ln>
              <a:effectLst/>
            </c:spPr>
            <c:extLst>
              <c:ext xmlns:c16="http://schemas.microsoft.com/office/drawing/2014/chart" uri="{C3380CC4-5D6E-409C-BE32-E72D297353CC}">
                <c16:uniqueId val="{00000003-D4B4-4871-8349-6626C8DDC19E}"/>
              </c:ext>
            </c:extLst>
          </c:dPt>
          <c:dPt>
            <c:idx val="2"/>
            <c:invertIfNegative val="0"/>
            <c:bubble3D val="0"/>
            <c:spPr>
              <a:solidFill>
                <a:schemeClr val="accent4">
                  <a:lumMod val="60000"/>
                  <a:lumOff val="40000"/>
                </a:schemeClr>
              </a:solidFill>
              <a:ln>
                <a:solidFill>
                  <a:schemeClr val="accent1"/>
                </a:solidFill>
              </a:ln>
              <a:effectLst/>
            </c:spPr>
            <c:extLst>
              <c:ext xmlns:c16="http://schemas.microsoft.com/office/drawing/2014/chart" uri="{C3380CC4-5D6E-409C-BE32-E72D297353CC}">
                <c16:uniqueId val="{00000005-D4B4-4871-8349-6626C8DDC19E}"/>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'Dupont Report'!$F$85:$I$85</c:f>
              <c:numCache>
                <c:formatCode>mmm\-yy</c:formatCode>
                <c:ptCount val="4"/>
                <c:pt idx="0">
                  <c:v>44286</c:v>
                </c:pt>
                <c:pt idx="1">
                  <c:v>44651</c:v>
                </c:pt>
                <c:pt idx="2">
                  <c:v>45016</c:v>
                </c:pt>
                <c:pt idx="3">
                  <c:v>45382</c:v>
                </c:pt>
              </c:numCache>
            </c:numRef>
          </c:cat>
          <c:val>
            <c:numRef>
              <c:f>'Dupont Report'!$F$86:$I$86</c:f>
              <c:numCache>
                <c:formatCode>0.0</c:formatCode>
                <c:ptCount val="4"/>
                <c:pt idx="0">
                  <c:v>1761.86</c:v>
                </c:pt>
                <c:pt idx="1">
                  <c:v>1888.83</c:v>
                </c:pt>
                <c:pt idx="2">
                  <c:v>1806.14</c:v>
                </c:pt>
                <c:pt idx="3">
                  <c:v>2219.36</c:v>
                </c:pt>
              </c:numCache>
            </c:numRef>
          </c:val>
          <c:extLst>
            <c:ext xmlns:c16="http://schemas.microsoft.com/office/drawing/2014/chart" uri="{C3380CC4-5D6E-409C-BE32-E72D297353CC}">
              <c16:uniqueId val="{00000006-D4B4-4871-8349-6626C8DDC19E}"/>
            </c:ext>
          </c:extLst>
        </c:ser>
        <c:dLbls>
          <c:showLegendKey val="0"/>
          <c:showVal val="0"/>
          <c:showCatName val="0"/>
          <c:showSerName val="0"/>
          <c:showPercent val="0"/>
          <c:showBubbleSize val="0"/>
        </c:dLbls>
        <c:gapWidth val="219"/>
        <c:overlap val="-27"/>
        <c:axId val="688231407"/>
        <c:axId val="688248047"/>
      </c:barChart>
      <c:catAx>
        <c:axId val="68823140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688248047"/>
        <c:crosses val="autoZero"/>
        <c:auto val="0"/>
        <c:lblAlgn val="ctr"/>
        <c:lblOffset val="100"/>
        <c:noMultiLvlLbl val="0"/>
      </c:catAx>
      <c:valAx>
        <c:axId val="688248047"/>
        <c:scaling>
          <c:orientation val="minMax"/>
        </c:scaling>
        <c:delete val="1"/>
        <c:axPos val="l"/>
        <c:numFmt formatCode="0.0" sourceLinked="1"/>
        <c:majorTickMark val="none"/>
        <c:minorTickMark val="none"/>
        <c:tickLblPos val="nextTo"/>
        <c:crossAx val="68823140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582264922787071E-2"/>
          <c:y val="5.7865126161668987E-2"/>
          <c:w val="0.85687934477991234"/>
          <c:h val="0.78012365823023844"/>
        </c:manualLayout>
      </c:layout>
      <c:barChart>
        <c:barDir val="col"/>
        <c:grouping val="clustered"/>
        <c:varyColors val="0"/>
        <c:ser>
          <c:idx val="0"/>
          <c:order val="0"/>
          <c:spPr>
            <a:solidFill>
              <a:schemeClr val="accent4">
                <a:lumMod val="75000"/>
              </a:schemeClr>
            </a:solidFill>
            <a:ln>
              <a:solidFill>
                <a:schemeClr val="accent1"/>
              </a:solidFill>
            </a:ln>
            <a:effectLst/>
          </c:spPr>
          <c:invertIfNegative val="0"/>
          <c:dPt>
            <c:idx val="0"/>
            <c:invertIfNegative val="0"/>
            <c:bubble3D val="0"/>
            <c:spPr>
              <a:solidFill>
                <a:schemeClr val="accent4">
                  <a:lumMod val="20000"/>
                  <a:lumOff val="80000"/>
                </a:schemeClr>
              </a:solidFill>
              <a:ln>
                <a:solidFill>
                  <a:schemeClr val="accent1"/>
                </a:solidFill>
              </a:ln>
              <a:effectLst/>
            </c:spPr>
            <c:extLst>
              <c:ext xmlns:c16="http://schemas.microsoft.com/office/drawing/2014/chart" uri="{C3380CC4-5D6E-409C-BE32-E72D297353CC}">
                <c16:uniqueId val="{00000001-BBE4-40D0-8644-82F522622234}"/>
              </c:ext>
            </c:extLst>
          </c:dPt>
          <c:dPt>
            <c:idx val="1"/>
            <c:invertIfNegative val="0"/>
            <c:bubble3D val="0"/>
            <c:spPr>
              <a:solidFill>
                <a:schemeClr val="accent4">
                  <a:lumMod val="40000"/>
                  <a:lumOff val="60000"/>
                </a:schemeClr>
              </a:solidFill>
              <a:ln>
                <a:solidFill>
                  <a:schemeClr val="accent1"/>
                </a:solidFill>
              </a:ln>
              <a:effectLst/>
            </c:spPr>
            <c:extLst>
              <c:ext xmlns:c16="http://schemas.microsoft.com/office/drawing/2014/chart" uri="{C3380CC4-5D6E-409C-BE32-E72D297353CC}">
                <c16:uniqueId val="{00000003-BBE4-40D0-8644-82F522622234}"/>
              </c:ext>
            </c:extLst>
          </c:dPt>
          <c:dPt>
            <c:idx val="2"/>
            <c:invertIfNegative val="0"/>
            <c:bubble3D val="0"/>
            <c:spPr>
              <a:solidFill>
                <a:schemeClr val="accent4">
                  <a:lumMod val="60000"/>
                  <a:lumOff val="40000"/>
                </a:schemeClr>
              </a:solidFill>
              <a:ln>
                <a:solidFill>
                  <a:schemeClr val="accent1"/>
                </a:solidFill>
              </a:ln>
              <a:effectLst/>
            </c:spPr>
            <c:extLst>
              <c:ext xmlns:c16="http://schemas.microsoft.com/office/drawing/2014/chart" uri="{C3380CC4-5D6E-409C-BE32-E72D297353CC}">
                <c16:uniqueId val="{00000005-BBE4-40D0-8644-82F522622234}"/>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'Dupont Report'!$F$63:$I$63</c:f>
              <c:numCache>
                <c:formatCode>mmm\-yy</c:formatCode>
                <c:ptCount val="4"/>
                <c:pt idx="0">
                  <c:v>44286</c:v>
                </c:pt>
                <c:pt idx="1">
                  <c:v>44651</c:v>
                </c:pt>
                <c:pt idx="2">
                  <c:v>45016</c:v>
                </c:pt>
                <c:pt idx="3">
                  <c:v>45382</c:v>
                </c:pt>
              </c:numCache>
            </c:numRef>
          </c:cat>
          <c:val>
            <c:numRef>
              <c:f>'Dupont Report'!$F$69:$I$69</c:f>
              <c:numCache>
                <c:formatCode>0.0</c:formatCode>
                <c:ptCount val="4"/>
                <c:pt idx="0">
                  <c:v>8152.57</c:v>
                </c:pt>
                <c:pt idx="1">
                  <c:v>8592.43</c:v>
                </c:pt>
                <c:pt idx="2">
                  <c:v>9118.77</c:v>
                </c:pt>
                <c:pt idx="3">
                  <c:v>9749.43</c:v>
                </c:pt>
              </c:numCache>
            </c:numRef>
          </c:val>
          <c:extLst>
            <c:ext xmlns:c16="http://schemas.microsoft.com/office/drawing/2014/chart" uri="{C3380CC4-5D6E-409C-BE32-E72D297353CC}">
              <c16:uniqueId val="{00000006-BBE4-40D0-8644-82F522622234}"/>
            </c:ext>
          </c:extLst>
        </c:ser>
        <c:dLbls>
          <c:showLegendKey val="0"/>
          <c:showVal val="0"/>
          <c:showCatName val="0"/>
          <c:showSerName val="0"/>
          <c:showPercent val="0"/>
          <c:showBubbleSize val="0"/>
        </c:dLbls>
        <c:gapWidth val="219"/>
        <c:overlap val="-27"/>
        <c:axId val="688231407"/>
        <c:axId val="688248047"/>
      </c:barChart>
      <c:catAx>
        <c:axId val="68823140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688248047"/>
        <c:crosses val="autoZero"/>
        <c:auto val="0"/>
        <c:lblAlgn val="ctr"/>
        <c:lblOffset val="100"/>
        <c:noMultiLvlLbl val="0"/>
      </c:catAx>
      <c:valAx>
        <c:axId val="688248047"/>
        <c:scaling>
          <c:orientation val="minMax"/>
        </c:scaling>
        <c:delete val="1"/>
        <c:axPos val="l"/>
        <c:numFmt formatCode="0.0" sourceLinked="1"/>
        <c:majorTickMark val="none"/>
        <c:minorTickMark val="none"/>
        <c:tickLblPos val="nextTo"/>
        <c:crossAx val="68823140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582264922787071E-2"/>
          <c:y val="5.7865126161668987E-2"/>
          <c:w val="0.85687934477991234"/>
          <c:h val="0.78012365823023844"/>
        </c:manualLayout>
      </c:layout>
      <c:barChart>
        <c:barDir val="col"/>
        <c:grouping val="clustered"/>
        <c:varyColors val="0"/>
        <c:ser>
          <c:idx val="0"/>
          <c:order val="0"/>
          <c:spPr>
            <a:solidFill>
              <a:schemeClr val="accent4">
                <a:lumMod val="75000"/>
              </a:schemeClr>
            </a:solidFill>
            <a:ln>
              <a:solidFill>
                <a:schemeClr val="accent1"/>
              </a:solidFill>
            </a:ln>
            <a:effectLst/>
          </c:spPr>
          <c:invertIfNegative val="0"/>
          <c:dPt>
            <c:idx val="0"/>
            <c:invertIfNegative val="0"/>
            <c:bubble3D val="0"/>
            <c:spPr>
              <a:solidFill>
                <a:schemeClr val="accent4">
                  <a:lumMod val="20000"/>
                  <a:lumOff val="80000"/>
                </a:schemeClr>
              </a:solidFill>
              <a:ln>
                <a:solidFill>
                  <a:schemeClr val="accent1"/>
                </a:solidFill>
              </a:ln>
              <a:effectLst/>
            </c:spPr>
            <c:extLst>
              <c:ext xmlns:c16="http://schemas.microsoft.com/office/drawing/2014/chart" uri="{C3380CC4-5D6E-409C-BE32-E72D297353CC}">
                <c16:uniqueId val="{00000001-2772-41BB-94D8-F3ADAFF3DE9B}"/>
              </c:ext>
            </c:extLst>
          </c:dPt>
          <c:dPt>
            <c:idx val="1"/>
            <c:invertIfNegative val="0"/>
            <c:bubble3D val="0"/>
            <c:spPr>
              <a:solidFill>
                <a:schemeClr val="accent4">
                  <a:lumMod val="40000"/>
                  <a:lumOff val="60000"/>
                </a:schemeClr>
              </a:solidFill>
              <a:ln>
                <a:solidFill>
                  <a:schemeClr val="accent1"/>
                </a:solidFill>
              </a:ln>
              <a:effectLst/>
            </c:spPr>
            <c:extLst>
              <c:ext xmlns:c16="http://schemas.microsoft.com/office/drawing/2014/chart" uri="{C3380CC4-5D6E-409C-BE32-E72D297353CC}">
                <c16:uniqueId val="{00000003-2772-41BB-94D8-F3ADAFF3DE9B}"/>
              </c:ext>
            </c:extLst>
          </c:dPt>
          <c:dPt>
            <c:idx val="2"/>
            <c:invertIfNegative val="0"/>
            <c:bubble3D val="0"/>
            <c:spPr>
              <a:solidFill>
                <a:schemeClr val="accent4">
                  <a:lumMod val="60000"/>
                  <a:lumOff val="40000"/>
                </a:schemeClr>
              </a:solidFill>
              <a:ln>
                <a:solidFill>
                  <a:schemeClr val="accent1"/>
                </a:solidFill>
              </a:ln>
              <a:effectLst/>
            </c:spPr>
            <c:extLst>
              <c:ext xmlns:c16="http://schemas.microsoft.com/office/drawing/2014/chart" uri="{C3380CC4-5D6E-409C-BE32-E72D297353CC}">
                <c16:uniqueId val="{00000005-2772-41BB-94D8-F3ADAFF3DE9B}"/>
              </c:ext>
            </c:extLst>
          </c:dPt>
          <c:dLbls>
            <c:dLbl>
              <c:idx val="0"/>
              <c:layout/>
              <c:tx>
                <c:rich>
                  <a:bodyPr/>
                  <a:lstStyle/>
                  <a:p>
                    <a:fld id="{815D3D4E-F8AE-427F-B54D-638867E0B53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1-2772-41BB-94D8-F3ADAFF3DE9B}"/>
                </c:ext>
              </c:extLst>
            </c:dLbl>
            <c:dLbl>
              <c:idx val="1"/>
              <c:layout/>
              <c:tx>
                <c:rich>
                  <a:bodyPr/>
                  <a:lstStyle/>
                  <a:p>
                    <a:fld id="{C4588E65-5661-481A-8963-4A94EFFF95E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2772-41BB-94D8-F3ADAFF3DE9B}"/>
                </c:ext>
              </c:extLst>
            </c:dLbl>
            <c:dLbl>
              <c:idx val="2"/>
              <c:layout/>
              <c:tx>
                <c:rich>
                  <a:bodyPr/>
                  <a:lstStyle/>
                  <a:p>
                    <a:fld id="{3D043A0D-CF49-4E06-86A2-E2BC8E31DA5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2772-41BB-94D8-F3ADAFF3DE9B}"/>
                </c:ext>
              </c:extLst>
            </c:dLbl>
            <c:dLbl>
              <c:idx val="3"/>
              <c:layout/>
              <c:tx>
                <c:rich>
                  <a:bodyPr/>
                  <a:lstStyle/>
                  <a:p>
                    <a:fld id="{E3FC46EC-5037-46E5-BEBD-6E47BF81F3F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6-9C6E-4DCA-9311-3EE176DD2791}"/>
                </c:ext>
              </c:extLst>
            </c:dLbl>
            <c:numFmt formatCode="#,"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numRef>
              <c:f>'Dupont Report'!$F$63:$I$63</c:f>
              <c:numCache>
                <c:formatCode>mmm\-yy</c:formatCode>
                <c:ptCount val="4"/>
                <c:pt idx="0">
                  <c:v>44286</c:v>
                </c:pt>
                <c:pt idx="1">
                  <c:v>44651</c:v>
                </c:pt>
                <c:pt idx="2">
                  <c:v>45016</c:v>
                </c:pt>
                <c:pt idx="3">
                  <c:v>45382</c:v>
                </c:pt>
              </c:numCache>
            </c:numRef>
          </c:cat>
          <c:val>
            <c:numRef>
              <c:f>'Dupont Report'!$F$76:$I$76</c:f>
              <c:numCache>
                <c:formatCode>0.00%</c:formatCode>
                <c:ptCount val="4"/>
                <c:pt idx="0">
                  <c:v>0.26260456762567685</c:v>
                </c:pt>
                <c:pt idx="1">
                  <c:v>0.27082989806760027</c:v>
                </c:pt>
                <c:pt idx="2">
                  <c:v>0.24812001153957117</c:v>
                </c:pt>
                <c:pt idx="3">
                  <c:v>0.28977623998302626</c:v>
                </c:pt>
              </c:numCache>
            </c:numRef>
          </c:val>
          <c:extLst>
            <c:ext xmlns:c15="http://schemas.microsoft.com/office/drawing/2012/chart" uri="{02D57815-91ED-43cb-92C2-25804820EDAC}">
              <c15:datalabelsRange>
                <c15:f>'Dupont Report'!$F$94:$I$94</c15:f>
                <c15:dlblRangeCache>
                  <c:ptCount val="4"/>
                  <c:pt idx="0">
                    <c:v>21.61%</c:v>
                  </c:pt>
                  <c:pt idx="1">
                    <c:v>21.98%</c:v>
                  </c:pt>
                  <c:pt idx="2">
                    <c:v>19.81%</c:v>
                  </c:pt>
                  <c:pt idx="3">
                    <c:v>22.76%</c:v>
                  </c:pt>
                </c15:dlblRangeCache>
              </c15:datalabelsRange>
            </c:ext>
            <c:ext xmlns:c16="http://schemas.microsoft.com/office/drawing/2014/chart" uri="{C3380CC4-5D6E-409C-BE32-E72D297353CC}">
              <c16:uniqueId val="{00000006-2772-41BB-94D8-F3ADAFF3DE9B}"/>
            </c:ext>
          </c:extLst>
        </c:ser>
        <c:dLbls>
          <c:showLegendKey val="0"/>
          <c:showVal val="0"/>
          <c:showCatName val="0"/>
          <c:showSerName val="0"/>
          <c:showPercent val="0"/>
          <c:showBubbleSize val="0"/>
        </c:dLbls>
        <c:gapWidth val="219"/>
        <c:overlap val="-27"/>
        <c:axId val="688231407"/>
        <c:axId val="688248047"/>
      </c:barChart>
      <c:catAx>
        <c:axId val="68823140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688248047"/>
        <c:crosses val="autoZero"/>
        <c:auto val="0"/>
        <c:lblAlgn val="ctr"/>
        <c:lblOffset val="100"/>
        <c:noMultiLvlLbl val="0"/>
      </c:catAx>
      <c:valAx>
        <c:axId val="688248047"/>
        <c:scaling>
          <c:orientation val="minMax"/>
        </c:scaling>
        <c:delete val="1"/>
        <c:axPos val="l"/>
        <c:numFmt formatCode="0.00%" sourceLinked="1"/>
        <c:majorTickMark val="none"/>
        <c:minorTickMark val="none"/>
        <c:tickLblPos val="nextTo"/>
        <c:crossAx val="68823140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582264922787071E-2"/>
          <c:y val="5.7865126161668987E-2"/>
          <c:w val="0.85687934477991234"/>
          <c:h val="0.78012365823023844"/>
        </c:manualLayout>
      </c:layout>
      <c:barChart>
        <c:barDir val="col"/>
        <c:grouping val="clustered"/>
        <c:varyColors val="0"/>
        <c:ser>
          <c:idx val="0"/>
          <c:order val="0"/>
          <c:spPr>
            <a:solidFill>
              <a:schemeClr val="accent4">
                <a:lumMod val="75000"/>
              </a:schemeClr>
            </a:solidFill>
            <a:ln>
              <a:solidFill>
                <a:schemeClr val="accent1"/>
              </a:solidFill>
            </a:ln>
            <a:effectLst/>
          </c:spPr>
          <c:invertIfNegative val="0"/>
          <c:dPt>
            <c:idx val="0"/>
            <c:invertIfNegative val="0"/>
            <c:bubble3D val="0"/>
            <c:spPr>
              <a:solidFill>
                <a:schemeClr val="accent4">
                  <a:lumMod val="20000"/>
                  <a:lumOff val="80000"/>
                </a:schemeClr>
              </a:solidFill>
              <a:ln>
                <a:solidFill>
                  <a:schemeClr val="accent1"/>
                </a:solidFill>
              </a:ln>
              <a:effectLst/>
            </c:spPr>
            <c:extLst>
              <c:ext xmlns:c16="http://schemas.microsoft.com/office/drawing/2014/chart" uri="{C3380CC4-5D6E-409C-BE32-E72D297353CC}">
                <c16:uniqueId val="{00000001-11A7-4C0F-9077-B2A65C1D48EE}"/>
              </c:ext>
            </c:extLst>
          </c:dPt>
          <c:dPt>
            <c:idx val="1"/>
            <c:invertIfNegative val="0"/>
            <c:bubble3D val="0"/>
            <c:spPr>
              <a:solidFill>
                <a:schemeClr val="accent4">
                  <a:lumMod val="40000"/>
                  <a:lumOff val="60000"/>
                </a:schemeClr>
              </a:solidFill>
              <a:ln>
                <a:solidFill>
                  <a:schemeClr val="accent1"/>
                </a:solidFill>
              </a:ln>
              <a:effectLst/>
            </c:spPr>
            <c:extLst>
              <c:ext xmlns:c16="http://schemas.microsoft.com/office/drawing/2014/chart" uri="{C3380CC4-5D6E-409C-BE32-E72D297353CC}">
                <c16:uniqueId val="{00000003-11A7-4C0F-9077-B2A65C1D48EE}"/>
              </c:ext>
            </c:extLst>
          </c:dPt>
          <c:dPt>
            <c:idx val="2"/>
            <c:invertIfNegative val="0"/>
            <c:bubble3D val="0"/>
            <c:spPr>
              <a:solidFill>
                <a:schemeClr val="accent4">
                  <a:lumMod val="60000"/>
                  <a:lumOff val="40000"/>
                </a:schemeClr>
              </a:solidFill>
              <a:ln>
                <a:solidFill>
                  <a:schemeClr val="accent1"/>
                </a:solidFill>
              </a:ln>
              <a:effectLst/>
            </c:spPr>
            <c:extLst>
              <c:ext xmlns:c16="http://schemas.microsoft.com/office/drawing/2014/chart" uri="{C3380CC4-5D6E-409C-BE32-E72D297353CC}">
                <c16:uniqueId val="{00000005-11A7-4C0F-9077-B2A65C1D48EE}"/>
              </c:ext>
            </c:extLst>
          </c:dPt>
          <c:dLbls>
            <c:dLbl>
              <c:idx val="0"/>
              <c:layout/>
              <c:tx>
                <c:rich>
                  <a:bodyPr/>
                  <a:lstStyle/>
                  <a:p>
                    <a:fld id="{D6FC7A39-6271-4145-8AFB-E9EA6DC9898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1-11A7-4C0F-9077-B2A65C1D48EE}"/>
                </c:ext>
              </c:extLst>
            </c:dLbl>
            <c:dLbl>
              <c:idx val="1"/>
              <c:layout/>
              <c:tx>
                <c:rich>
                  <a:bodyPr/>
                  <a:lstStyle/>
                  <a:p>
                    <a:fld id="{2C3EAEA6-6F6B-4187-B312-6CE1E6819BF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11A7-4C0F-9077-B2A65C1D48EE}"/>
                </c:ext>
              </c:extLst>
            </c:dLbl>
            <c:dLbl>
              <c:idx val="2"/>
              <c:layout/>
              <c:tx>
                <c:rich>
                  <a:bodyPr rot="0" spcFirstLastPara="1" vertOverflow="ellipsis" vert="horz" wrap="square" lIns="38100" tIns="19050" rIns="38100" bIns="19050" anchor="ctr" anchorCtr="0">
                    <a:spAutoFit/>
                  </a:bodyPr>
                  <a:lstStyle/>
                  <a:p>
                    <a:pPr algn="l">
                      <a:defRPr sz="700" b="0" i="0" u="none" strike="noStrike" kern="1200" baseline="0">
                        <a:solidFill>
                          <a:schemeClr val="tx1">
                            <a:lumMod val="75000"/>
                            <a:lumOff val="25000"/>
                          </a:schemeClr>
                        </a:solidFill>
                        <a:latin typeface="+mn-lt"/>
                        <a:ea typeface="+mn-ea"/>
                        <a:cs typeface="+mn-cs"/>
                      </a:defRPr>
                    </a:pPr>
                    <a:fld id="{F65AC2AB-AFEA-49A2-B658-479C3CF4C5DC}" type="CELLRANGE">
                      <a:rPr lang="en-US"/>
                      <a:pPr algn="l">
                        <a:defRPr sz="700"/>
                      </a:pPr>
                      <a:t>[CELLRANGE]</a:t>
                    </a:fld>
                    <a:endParaRPr lang="en-US"/>
                  </a:p>
                </c:rich>
              </c:tx>
              <c:numFmt formatCode="#,###" sourceLinked="0"/>
              <c:spPr>
                <a:noFill/>
                <a:ln>
                  <a:noFill/>
                </a:ln>
                <a:effectLst/>
              </c:spPr>
              <c:txPr>
                <a:bodyPr rot="0" spcFirstLastPara="1" vertOverflow="ellipsis" vert="horz" wrap="square" lIns="38100" tIns="19050" rIns="38100" bIns="19050" anchor="ctr" anchorCtr="0">
                  <a:spAutoFit/>
                </a:bodyPr>
                <a:lstStyle/>
                <a:p>
                  <a:pPr algn="l">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5-11A7-4C0F-9077-B2A65C1D48EE}"/>
                </c:ext>
              </c:extLst>
            </c:dLbl>
            <c:dLbl>
              <c:idx val="3"/>
              <c:layout/>
              <c:tx>
                <c:rich>
                  <a:bodyPr/>
                  <a:lstStyle/>
                  <a:p>
                    <a:fld id="{DE58997F-3FAE-435F-8ACC-1935C4208A0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6-E5AE-4619-876A-6BFC7D15E9D8}"/>
                </c:ext>
              </c:extLst>
            </c:dLbl>
            <c:numFmt formatCode="#,###"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numRef>
              <c:f>'Dupont Report'!$F$79:$I$79</c:f>
              <c:numCache>
                <c:formatCode>mmm\-yy</c:formatCode>
                <c:ptCount val="4"/>
                <c:pt idx="0">
                  <c:v>44286</c:v>
                </c:pt>
                <c:pt idx="1">
                  <c:v>44651</c:v>
                </c:pt>
                <c:pt idx="2">
                  <c:v>45016</c:v>
                </c:pt>
                <c:pt idx="3">
                  <c:v>45382</c:v>
                </c:pt>
              </c:numCache>
            </c:numRef>
          </c:cat>
          <c:val>
            <c:numRef>
              <c:f>'Dupont Report'!$F$82:$I$82</c:f>
              <c:numCache>
                <c:formatCode>0.00%</c:formatCode>
                <c:ptCount val="4"/>
                <c:pt idx="0">
                  <c:v>0.21611099322054272</c:v>
                </c:pt>
                <c:pt idx="1">
                  <c:v>0.21982489237619623</c:v>
                </c:pt>
                <c:pt idx="2">
                  <c:v>0.19806837983631564</c:v>
                </c:pt>
                <c:pt idx="3">
                  <c:v>0.22763997484981174</c:v>
                </c:pt>
              </c:numCache>
            </c:numRef>
          </c:val>
          <c:extLst>
            <c:ext xmlns:c15="http://schemas.microsoft.com/office/drawing/2012/chart" uri="{02D57815-91ED-43cb-92C2-25804820EDAC}">
              <c15:datalabelsRange>
                <c15:f>'Dupont Report'!$F$82:$I$82</c15:f>
                <c15:dlblRangeCache>
                  <c:ptCount val="4"/>
                  <c:pt idx="0">
                    <c:v>21.61%</c:v>
                  </c:pt>
                  <c:pt idx="1">
                    <c:v>21.98%</c:v>
                  </c:pt>
                  <c:pt idx="2">
                    <c:v>19.81%</c:v>
                  </c:pt>
                  <c:pt idx="3">
                    <c:v>22.76%</c:v>
                  </c:pt>
                </c15:dlblRangeCache>
              </c15:datalabelsRange>
            </c:ext>
            <c:ext xmlns:c16="http://schemas.microsoft.com/office/drawing/2014/chart" uri="{C3380CC4-5D6E-409C-BE32-E72D297353CC}">
              <c16:uniqueId val="{00000006-11A7-4C0F-9077-B2A65C1D48EE}"/>
            </c:ext>
          </c:extLst>
        </c:ser>
        <c:dLbls>
          <c:showLegendKey val="0"/>
          <c:showVal val="0"/>
          <c:showCatName val="0"/>
          <c:showSerName val="0"/>
          <c:showPercent val="0"/>
          <c:showBubbleSize val="0"/>
        </c:dLbls>
        <c:gapWidth val="219"/>
        <c:overlap val="-27"/>
        <c:axId val="688231407"/>
        <c:axId val="688248047"/>
      </c:barChart>
      <c:catAx>
        <c:axId val="68823140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688248047"/>
        <c:crosses val="autoZero"/>
        <c:auto val="0"/>
        <c:lblAlgn val="ctr"/>
        <c:lblOffset val="100"/>
        <c:noMultiLvlLbl val="0"/>
      </c:catAx>
      <c:valAx>
        <c:axId val="688248047"/>
        <c:scaling>
          <c:orientation val="minMax"/>
        </c:scaling>
        <c:delete val="1"/>
        <c:axPos val="l"/>
        <c:numFmt formatCode="0.00%" sourceLinked="1"/>
        <c:majorTickMark val="none"/>
        <c:minorTickMark val="none"/>
        <c:tickLblPos val="nextTo"/>
        <c:crossAx val="68823140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582264922787071E-2"/>
          <c:y val="5.7865126161668987E-2"/>
          <c:w val="0.85687934477991234"/>
          <c:h val="0.78012365823023844"/>
        </c:manualLayout>
      </c:layout>
      <c:barChart>
        <c:barDir val="col"/>
        <c:grouping val="clustered"/>
        <c:varyColors val="0"/>
        <c:ser>
          <c:idx val="0"/>
          <c:order val="0"/>
          <c:spPr>
            <a:solidFill>
              <a:schemeClr val="accent4">
                <a:lumMod val="75000"/>
              </a:schemeClr>
            </a:solidFill>
            <a:ln>
              <a:solidFill>
                <a:schemeClr val="accent1"/>
              </a:solidFill>
            </a:ln>
            <a:effectLst/>
          </c:spPr>
          <c:invertIfNegative val="0"/>
          <c:dPt>
            <c:idx val="0"/>
            <c:invertIfNegative val="0"/>
            <c:bubble3D val="0"/>
            <c:spPr>
              <a:solidFill>
                <a:schemeClr val="accent4">
                  <a:lumMod val="20000"/>
                  <a:lumOff val="80000"/>
                </a:schemeClr>
              </a:solidFill>
              <a:ln>
                <a:solidFill>
                  <a:schemeClr val="accent1"/>
                </a:solidFill>
              </a:ln>
              <a:effectLst/>
            </c:spPr>
            <c:extLst>
              <c:ext xmlns:c16="http://schemas.microsoft.com/office/drawing/2014/chart" uri="{C3380CC4-5D6E-409C-BE32-E72D297353CC}">
                <c16:uniqueId val="{00000001-DADF-4559-A9D2-D5A27CA774B6}"/>
              </c:ext>
            </c:extLst>
          </c:dPt>
          <c:dPt>
            <c:idx val="1"/>
            <c:invertIfNegative val="0"/>
            <c:bubble3D val="0"/>
            <c:spPr>
              <a:solidFill>
                <a:schemeClr val="accent4">
                  <a:lumMod val="40000"/>
                  <a:lumOff val="60000"/>
                </a:schemeClr>
              </a:solidFill>
              <a:ln>
                <a:solidFill>
                  <a:schemeClr val="accent1"/>
                </a:solidFill>
              </a:ln>
              <a:effectLst/>
            </c:spPr>
            <c:extLst>
              <c:ext xmlns:c16="http://schemas.microsoft.com/office/drawing/2014/chart" uri="{C3380CC4-5D6E-409C-BE32-E72D297353CC}">
                <c16:uniqueId val="{00000003-DADF-4559-A9D2-D5A27CA774B6}"/>
              </c:ext>
            </c:extLst>
          </c:dPt>
          <c:dPt>
            <c:idx val="2"/>
            <c:invertIfNegative val="0"/>
            <c:bubble3D val="0"/>
            <c:spPr>
              <a:solidFill>
                <a:schemeClr val="accent4">
                  <a:lumMod val="60000"/>
                  <a:lumOff val="40000"/>
                </a:schemeClr>
              </a:solidFill>
              <a:ln>
                <a:solidFill>
                  <a:schemeClr val="accent1"/>
                </a:solidFill>
              </a:ln>
              <a:effectLst/>
            </c:spPr>
            <c:extLst>
              <c:ext xmlns:c16="http://schemas.microsoft.com/office/drawing/2014/chart" uri="{C3380CC4-5D6E-409C-BE32-E72D297353CC}">
                <c16:uniqueId val="{00000005-DADF-4559-A9D2-D5A27CA774B6}"/>
              </c:ext>
            </c:extLst>
          </c:dPt>
          <c:dLbls>
            <c:numFmt formatCode="0.00\x"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'Dupont Report'!$F$63:$I$63</c:f>
              <c:numCache>
                <c:formatCode>mmm\-yy</c:formatCode>
                <c:ptCount val="4"/>
                <c:pt idx="0">
                  <c:v>44286</c:v>
                </c:pt>
                <c:pt idx="1">
                  <c:v>44651</c:v>
                </c:pt>
                <c:pt idx="2">
                  <c:v>45016</c:v>
                </c:pt>
                <c:pt idx="3">
                  <c:v>45382</c:v>
                </c:pt>
              </c:numCache>
            </c:numRef>
          </c:cat>
          <c:val>
            <c:numRef>
              <c:f>'Dupont Report'!$F$74:$I$74</c:f>
              <c:numCache>
                <c:formatCode>0.00\x</c:formatCode>
                <c:ptCount val="4"/>
                <c:pt idx="0">
                  <c:v>1.2151374796454111</c:v>
                </c:pt>
                <c:pt idx="1">
                  <c:v>1.2320256142972057</c:v>
                </c:pt>
                <c:pt idx="2">
                  <c:v>1.2526987485060379</c:v>
                </c:pt>
                <c:pt idx="3">
                  <c:v>1.272958495862643</c:v>
                </c:pt>
              </c:numCache>
            </c:numRef>
          </c:val>
          <c:extLst>
            <c:ext xmlns:c16="http://schemas.microsoft.com/office/drawing/2014/chart" uri="{C3380CC4-5D6E-409C-BE32-E72D297353CC}">
              <c16:uniqueId val="{00000006-DADF-4559-A9D2-D5A27CA774B6}"/>
            </c:ext>
          </c:extLst>
        </c:ser>
        <c:dLbls>
          <c:showLegendKey val="0"/>
          <c:showVal val="0"/>
          <c:showCatName val="0"/>
          <c:showSerName val="0"/>
          <c:showPercent val="0"/>
          <c:showBubbleSize val="0"/>
        </c:dLbls>
        <c:gapWidth val="219"/>
        <c:overlap val="-27"/>
        <c:axId val="688231407"/>
        <c:axId val="688248047"/>
      </c:barChart>
      <c:catAx>
        <c:axId val="68823140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688248047"/>
        <c:crosses val="autoZero"/>
        <c:auto val="0"/>
        <c:lblAlgn val="ctr"/>
        <c:lblOffset val="100"/>
        <c:noMultiLvlLbl val="0"/>
      </c:catAx>
      <c:valAx>
        <c:axId val="688248047"/>
        <c:scaling>
          <c:orientation val="minMax"/>
        </c:scaling>
        <c:delete val="1"/>
        <c:axPos val="l"/>
        <c:numFmt formatCode="0.00\x" sourceLinked="1"/>
        <c:majorTickMark val="none"/>
        <c:minorTickMark val="none"/>
        <c:tickLblPos val="nextTo"/>
        <c:crossAx val="68823140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2"/>
                </a:solidFill>
                <a:latin typeface="+mn-lt"/>
                <a:ea typeface="+mn-ea"/>
                <a:cs typeface="+mn-cs"/>
              </a:defRPr>
            </a:pPr>
            <a:r>
              <a:rPr lang="en-US" sz="1200" b="1">
                <a:solidFill>
                  <a:schemeClr val="tx2"/>
                </a:solidFill>
              </a:rPr>
              <a:t>Football</a:t>
            </a:r>
            <a:r>
              <a:rPr lang="en-US" sz="1200" b="1" baseline="0">
                <a:solidFill>
                  <a:schemeClr val="tx2"/>
                </a:solidFill>
              </a:rPr>
              <a:t> Field Analysis - Valuation Summary (Rs)</a:t>
            </a:r>
            <a:endParaRPr lang="en-US" sz="1200" b="1">
              <a:solidFill>
                <a:schemeClr val="tx2"/>
              </a:solidFill>
            </a:endParaRPr>
          </a:p>
        </c:rich>
      </c:tx>
      <c:layout>
        <c:manualLayout>
          <c:xMode val="edge"/>
          <c:yMode val="edge"/>
          <c:x val="0.12847341337907375"/>
          <c:y val="2.354048964218455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mn-lt"/>
              <a:ea typeface="+mn-ea"/>
              <a:cs typeface="+mn-cs"/>
            </a:defRPr>
          </a:pPr>
          <a:endParaRPr lang="en-US"/>
        </a:p>
      </c:txPr>
    </c:title>
    <c:autoTitleDeleted val="0"/>
    <c:plotArea>
      <c:layout/>
      <c:stockChart>
        <c:ser>
          <c:idx val="3"/>
          <c:order val="3"/>
          <c:spPr>
            <a:ln w="28575" cap="rnd">
              <a:noFill/>
              <a:round/>
            </a:ln>
            <a:effectLst/>
          </c:spPr>
          <c:marker>
            <c:symbol val="none"/>
          </c:marker>
          <c:dLbls>
            <c:numFmt formatCode="[$₹-43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'Football Field '!$K$8:$K$12</c:f>
              <c:strCache>
                <c:ptCount val="5"/>
                <c:pt idx="0">
                  <c:v>Comps</c:v>
                </c:pt>
                <c:pt idx="1">
                  <c:v>DCF Bear</c:v>
                </c:pt>
                <c:pt idx="2">
                  <c:v>DCF Base</c:v>
                </c:pt>
                <c:pt idx="3">
                  <c:v>DCF Bull</c:v>
                </c:pt>
                <c:pt idx="4">
                  <c:v>52W H/L </c:v>
                </c:pt>
              </c:strCache>
            </c:strRef>
          </c:cat>
          <c:val>
            <c:numRef>
              <c:f>'Football Field '!$P$8:$P$12</c:f>
              <c:numCache>
                <c:formatCode>0.00</c:formatCode>
                <c:ptCount val="5"/>
                <c:pt idx="0" formatCode="#,##0.00">
                  <c:v>8059</c:v>
                </c:pt>
                <c:pt idx="1">
                  <c:v>1243.6539128024408</c:v>
                </c:pt>
                <c:pt idx="2" formatCode="#,##0.00">
                  <c:v>1366.75</c:v>
                </c:pt>
                <c:pt idx="3" formatCode="#,##0.00">
                  <c:v>1598.61</c:v>
                </c:pt>
                <c:pt idx="4" formatCode="#,##0.00">
                  <c:v>13200</c:v>
                </c:pt>
              </c:numCache>
            </c:numRef>
          </c:val>
          <c:smooth val="0"/>
          <c:extLst>
            <c:ext xmlns:c16="http://schemas.microsoft.com/office/drawing/2014/chart" uri="{C3380CC4-5D6E-409C-BE32-E72D297353CC}">
              <c16:uniqueId val="{00000003-886C-4FFC-A255-F611D41BBEC7}"/>
            </c:ext>
          </c:extLst>
        </c:ser>
        <c:dLbls>
          <c:showLegendKey val="0"/>
          <c:showVal val="0"/>
          <c:showCatName val="0"/>
          <c:showSerName val="0"/>
          <c:showPercent val="0"/>
          <c:showBubbleSize val="0"/>
        </c:dLbls>
        <c:axId val="239952000"/>
        <c:axId val="239952416"/>
      </c:stockChart>
      <c:stockChart>
        <c:ser>
          <c:idx val="0"/>
          <c:order val="0"/>
          <c:spPr>
            <a:ln w="38100" cap="rnd">
              <a:noFill/>
              <a:round/>
            </a:ln>
            <a:effectLst/>
          </c:spPr>
          <c:marker>
            <c:symbol val="none"/>
          </c:marker>
          <c:cat>
            <c:strRef>
              <c:f>'Football Field '!$K$8:$K$12</c:f>
              <c:strCache>
                <c:ptCount val="5"/>
                <c:pt idx="0">
                  <c:v>Comps</c:v>
                </c:pt>
                <c:pt idx="1">
                  <c:v>DCF Bear</c:v>
                </c:pt>
                <c:pt idx="2">
                  <c:v>DCF Base</c:v>
                </c:pt>
                <c:pt idx="3">
                  <c:v>DCF Bull</c:v>
                </c:pt>
                <c:pt idx="4">
                  <c:v>52W H/L </c:v>
                </c:pt>
              </c:strCache>
            </c:strRef>
          </c:cat>
          <c:val>
            <c:numRef>
              <c:f>'Football Field '!$M$8:$M$12</c:f>
              <c:numCache>
                <c:formatCode>#,##0.00</c:formatCode>
                <c:ptCount val="5"/>
                <c:pt idx="0">
                  <c:v>4011</c:v>
                </c:pt>
                <c:pt idx="1">
                  <c:v>1154.92</c:v>
                </c:pt>
                <c:pt idx="2">
                  <c:v>1218.6300000000001</c:v>
                </c:pt>
                <c:pt idx="3">
                  <c:v>1314.64</c:v>
                </c:pt>
                <c:pt idx="4">
                  <c:v>7052</c:v>
                </c:pt>
              </c:numCache>
            </c:numRef>
          </c:val>
          <c:smooth val="0"/>
          <c:extLst>
            <c:ext xmlns:c16="http://schemas.microsoft.com/office/drawing/2014/chart" uri="{C3380CC4-5D6E-409C-BE32-E72D297353CC}">
              <c16:uniqueId val="{00000000-886C-4FFC-A255-F611D41BBEC7}"/>
            </c:ext>
          </c:extLst>
        </c:ser>
        <c:ser>
          <c:idx val="1"/>
          <c:order val="1"/>
          <c:spPr>
            <a:ln w="38100" cap="rnd">
              <a:noFill/>
              <a:round/>
            </a:ln>
            <a:effectLst/>
          </c:spPr>
          <c:marker>
            <c:symbol val="none"/>
          </c:marker>
          <c:dLbls>
            <c:numFmt formatCode="[$₹-43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'Football Field '!$K$8:$K$12</c:f>
              <c:strCache>
                <c:ptCount val="5"/>
                <c:pt idx="0">
                  <c:v>Comps</c:v>
                </c:pt>
                <c:pt idx="1">
                  <c:v>DCF Bear</c:v>
                </c:pt>
                <c:pt idx="2">
                  <c:v>DCF Base</c:v>
                </c:pt>
                <c:pt idx="3">
                  <c:v>DCF Bull</c:v>
                </c:pt>
                <c:pt idx="4">
                  <c:v>52W H/L </c:v>
                </c:pt>
              </c:strCache>
            </c:strRef>
          </c:cat>
          <c:val>
            <c:numRef>
              <c:f>'Football Field '!$N$8:$N$12</c:f>
              <c:numCache>
                <c:formatCode>#,##0.00</c:formatCode>
                <c:ptCount val="5"/>
                <c:pt idx="0">
                  <c:v>4011</c:v>
                </c:pt>
                <c:pt idx="1">
                  <c:v>1154.92</c:v>
                </c:pt>
                <c:pt idx="2">
                  <c:v>1218.6300000000001</c:v>
                </c:pt>
                <c:pt idx="3">
                  <c:v>1314.64</c:v>
                </c:pt>
                <c:pt idx="4">
                  <c:v>7052</c:v>
                </c:pt>
              </c:numCache>
            </c:numRef>
          </c:val>
          <c:smooth val="0"/>
          <c:extLst>
            <c:ext xmlns:c16="http://schemas.microsoft.com/office/drawing/2014/chart" uri="{C3380CC4-5D6E-409C-BE32-E72D297353CC}">
              <c16:uniqueId val="{00000001-886C-4FFC-A255-F611D41BBEC7}"/>
            </c:ext>
          </c:extLst>
        </c:ser>
        <c:ser>
          <c:idx val="2"/>
          <c:order val="2"/>
          <c:spPr>
            <a:ln w="38100" cap="rnd">
              <a:noFill/>
              <a:round/>
            </a:ln>
            <a:effectLst/>
          </c:spPr>
          <c:marker>
            <c:symbol val="none"/>
          </c:marker>
          <c:cat>
            <c:strRef>
              <c:f>'Football Field '!$K$8:$K$12</c:f>
              <c:strCache>
                <c:ptCount val="5"/>
                <c:pt idx="0">
                  <c:v>Comps</c:v>
                </c:pt>
                <c:pt idx="1">
                  <c:v>DCF Bear</c:v>
                </c:pt>
                <c:pt idx="2">
                  <c:v>DCF Base</c:v>
                </c:pt>
                <c:pt idx="3">
                  <c:v>DCF Bull</c:v>
                </c:pt>
                <c:pt idx="4">
                  <c:v>52W H/L </c:v>
                </c:pt>
              </c:strCache>
            </c:strRef>
          </c:cat>
          <c:val>
            <c:numRef>
              <c:f>'Football Field '!$O$8:$O$12</c:f>
              <c:numCache>
                <c:formatCode>0.00</c:formatCode>
                <c:ptCount val="5"/>
                <c:pt idx="0" formatCode="#,##0.00">
                  <c:v>8059</c:v>
                </c:pt>
                <c:pt idx="1">
                  <c:v>1243.6539128024408</c:v>
                </c:pt>
                <c:pt idx="2" formatCode="#,##0.00">
                  <c:v>1366.75</c:v>
                </c:pt>
                <c:pt idx="3" formatCode="#,##0.00">
                  <c:v>1598.61</c:v>
                </c:pt>
                <c:pt idx="4" formatCode="#,##0.00">
                  <c:v>13200</c:v>
                </c:pt>
              </c:numCache>
            </c:numRef>
          </c:val>
          <c:smooth val="0"/>
          <c:extLst>
            <c:ext xmlns:c16="http://schemas.microsoft.com/office/drawing/2014/chart" uri="{C3380CC4-5D6E-409C-BE32-E72D297353CC}">
              <c16:uniqueId val="{00000002-886C-4FFC-A255-F611D41BBEC7}"/>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accent4">
                  <a:lumMod val="75000"/>
                </a:schemeClr>
              </a:solidFill>
              <a:ln w="9525" cap="flat" cmpd="sng" algn="ctr">
                <a:solidFill>
                  <a:srgbClr val="002060"/>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239952000"/>
        <c:axId val="239952416"/>
      </c:stockChart>
      <c:catAx>
        <c:axId val="23995200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952416"/>
        <c:crosses val="autoZero"/>
        <c:auto val="1"/>
        <c:lblAlgn val="ctr"/>
        <c:lblOffset val="100"/>
        <c:noMultiLvlLbl val="0"/>
      </c:catAx>
      <c:valAx>
        <c:axId val="239952416"/>
        <c:scaling>
          <c:orientation val="minMax"/>
        </c:scaling>
        <c:delete val="0"/>
        <c:axPos val="l"/>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952000"/>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2.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8</xdr:col>
      <xdr:colOff>591768</xdr:colOff>
      <xdr:row>0</xdr:row>
      <xdr:rowOff>72958</xdr:rowOff>
    </xdr:from>
    <xdr:to>
      <xdr:col>11</xdr:col>
      <xdr:colOff>648512</xdr:colOff>
      <xdr:row>3</xdr:row>
      <xdr:rowOff>113490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09300" y="72958"/>
          <a:ext cx="2342744" cy="8592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129540</xdr:colOff>
      <xdr:row>0</xdr:row>
      <xdr:rowOff>30481</xdr:rowOff>
    </xdr:from>
    <xdr:to>
      <xdr:col>14</xdr:col>
      <xdr:colOff>388620</xdr:colOff>
      <xdr:row>3</xdr:row>
      <xdr:rowOff>83821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91500" y="30481"/>
          <a:ext cx="1912620" cy="8153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708660</xdr:colOff>
      <xdr:row>0</xdr:row>
      <xdr:rowOff>152399</xdr:rowOff>
    </xdr:from>
    <xdr:to>
      <xdr:col>15</xdr:col>
      <xdr:colOff>38100</xdr:colOff>
      <xdr:row>3</xdr:row>
      <xdr:rowOff>121920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18960" y="152399"/>
          <a:ext cx="2225040" cy="82296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22860</xdr:colOff>
      <xdr:row>0</xdr:row>
      <xdr:rowOff>144779</xdr:rowOff>
    </xdr:from>
    <xdr:to>
      <xdr:col>11</xdr:col>
      <xdr:colOff>502920</xdr:colOff>
      <xdr:row>3</xdr:row>
      <xdr:rowOff>99060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95800" y="144779"/>
          <a:ext cx="2674620" cy="78486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53340</xdr:colOff>
      <xdr:row>0</xdr:row>
      <xdr:rowOff>99061</xdr:rowOff>
    </xdr:from>
    <xdr:to>
      <xdr:col>10</xdr:col>
      <xdr:colOff>1089660</xdr:colOff>
      <xdr:row>3</xdr:row>
      <xdr:rowOff>106681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97880" y="99061"/>
          <a:ext cx="2339340" cy="8305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345786</xdr:colOff>
      <xdr:row>1</xdr:row>
      <xdr:rowOff>218094</xdr:rowOff>
    </xdr:from>
    <xdr:to>
      <xdr:col>8</xdr:col>
      <xdr:colOff>480874</xdr:colOff>
      <xdr:row>4</xdr:row>
      <xdr:rowOff>172374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99922" y="403045"/>
          <a:ext cx="1955010" cy="768067"/>
        </a:xfrm>
        <a:prstGeom prst="rect">
          <a:avLst/>
        </a:prstGeom>
      </xdr:spPr>
    </xdr:pic>
    <xdr:clientData/>
  </xdr:twoCellAnchor>
  <xdr:twoCellAnchor>
    <xdr:from>
      <xdr:col>0</xdr:col>
      <xdr:colOff>7398</xdr:colOff>
      <xdr:row>14</xdr:row>
      <xdr:rowOff>14796</xdr:rowOff>
    </xdr:from>
    <xdr:to>
      <xdr:col>1</xdr:col>
      <xdr:colOff>1775534</xdr:colOff>
      <xdr:row>22</xdr:row>
      <xdr:rowOff>133165</xdr:rowOff>
    </xdr:to>
    <xdr:grpSp>
      <xdr:nvGrpSpPr>
        <xdr:cNvPr id="26" name="Group 25"/>
        <xdr:cNvGrpSpPr/>
      </xdr:nvGrpSpPr>
      <xdr:grpSpPr>
        <a:xfrm>
          <a:off x="7398" y="2633709"/>
          <a:ext cx="1901301" cy="1597980"/>
          <a:chOff x="244137" y="2803864"/>
          <a:chExt cx="1782931" cy="1634971"/>
        </a:xfrm>
      </xdr:grpSpPr>
      <xdr:grpSp>
        <xdr:nvGrpSpPr>
          <xdr:cNvPr id="10" name="Group 9"/>
          <xdr:cNvGrpSpPr/>
        </xdr:nvGrpSpPr>
        <xdr:grpSpPr>
          <a:xfrm>
            <a:off x="244137" y="2803864"/>
            <a:ext cx="1782931" cy="1634971"/>
            <a:chOff x="244137" y="2803864"/>
            <a:chExt cx="1649766" cy="1634971"/>
          </a:xfrm>
        </xdr:grpSpPr>
        <xdr:graphicFrame macro="">
          <xdr:nvGraphicFramePr>
            <xdr:cNvPr id="3" name="Chart 2"/>
            <xdr:cNvGraphicFramePr/>
          </xdr:nvGraphicFramePr>
          <xdr:xfrm>
            <a:off x="244137" y="2922234"/>
            <a:ext cx="1649766" cy="1516601"/>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TextBox 5"/>
            <xdr:cNvSpPr txBox="1"/>
          </xdr:nvSpPr>
          <xdr:spPr>
            <a:xfrm>
              <a:off x="550615" y="2803864"/>
              <a:ext cx="1298899" cy="2737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1">
                  <a:latin typeface="+mn-lt"/>
                </a:rPr>
                <a:t>Revenues (INR Crs.)</a:t>
              </a:r>
            </a:p>
            <a:p>
              <a:endParaRPr lang="en-US" sz="1050"/>
            </a:p>
          </xdr:txBody>
        </xdr:sp>
      </xdr:grpSp>
      <xdr:cxnSp macro="">
        <xdr:nvCxnSpPr>
          <xdr:cNvPr id="8" name="Straight Connector 7"/>
          <xdr:cNvCxnSpPr/>
        </xdr:nvCxnSpPr>
        <xdr:spPr>
          <a:xfrm>
            <a:off x="451282" y="2818660"/>
            <a:ext cx="1442621" cy="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2</xdr:col>
      <xdr:colOff>59711</xdr:colOff>
      <xdr:row>14</xdr:row>
      <xdr:rowOff>118370</xdr:rowOff>
    </xdr:from>
    <xdr:to>
      <xdr:col>5</xdr:col>
      <xdr:colOff>109128</xdr:colOff>
      <xdr:row>22</xdr:row>
      <xdr:rowOff>73981</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429086</xdr:colOff>
      <xdr:row>14</xdr:row>
      <xdr:rowOff>0</xdr:rowOff>
    </xdr:from>
    <xdr:to>
      <xdr:col>4</xdr:col>
      <xdr:colOff>399494</xdr:colOff>
      <xdr:row>15</xdr:row>
      <xdr:rowOff>88777</xdr:rowOff>
    </xdr:to>
    <xdr:sp macro="" textlink="">
      <xdr:nvSpPr>
        <xdr:cNvPr id="29" name="TextBox 28"/>
        <xdr:cNvSpPr txBox="1"/>
      </xdr:nvSpPr>
      <xdr:spPr>
        <a:xfrm>
          <a:off x="2663300" y="2789068"/>
          <a:ext cx="1183689" cy="2737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1">
              <a:latin typeface="+mn-lt"/>
            </a:rPr>
            <a:t>Net</a:t>
          </a:r>
          <a:r>
            <a:rPr lang="en-US" sz="900" b="1" baseline="0">
              <a:latin typeface="+mn-lt"/>
            </a:rPr>
            <a:t> Profit</a:t>
          </a:r>
          <a:r>
            <a:rPr lang="en-US" sz="900" b="1">
              <a:latin typeface="+mn-lt"/>
            </a:rPr>
            <a:t> (INR Crs.)</a:t>
          </a:r>
        </a:p>
        <a:p>
          <a:endParaRPr lang="en-US" sz="1050"/>
        </a:p>
      </xdr:txBody>
    </xdr:sp>
    <xdr:clientData/>
  </xdr:twoCellAnchor>
  <xdr:twoCellAnchor>
    <xdr:from>
      <xdr:col>5</xdr:col>
      <xdr:colOff>554855</xdr:colOff>
      <xdr:row>15</xdr:row>
      <xdr:rowOff>59184</xdr:rowOff>
    </xdr:from>
    <xdr:to>
      <xdr:col>9</xdr:col>
      <xdr:colOff>0</xdr:colOff>
      <xdr:row>22</xdr:row>
      <xdr:rowOff>73981</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88776</xdr:colOff>
      <xdr:row>14</xdr:row>
      <xdr:rowOff>44389</xdr:rowOff>
    </xdr:from>
    <xdr:to>
      <xdr:col>8</xdr:col>
      <xdr:colOff>521679</xdr:colOff>
      <xdr:row>15</xdr:row>
      <xdr:rowOff>118370</xdr:rowOff>
    </xdr:to>
    <xdr:sp macro="" textlink="">
      <xdr:nvSpPr>
        <xdr:cNvPr id="31" name="TextBox 30"/>
        <xdr:cNvSpPr txBox="1"/>
      </xdr:nvSpPr>
      <xdr:spPr>
        <a:xfrm>
          <a:off x="4749553" y="2663302"/>
          <a:ext cx="1646184" cy="2589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1">
              <a:latin typeface="+mn-lt"/>
            </a:rPr>
            <a:t>Average Total</a:t>
          </a:r>
          <a:r>
            <a:rPr lang="en-US" sz="900" b="1" baseline="0">
              <a:latin typeface="+mn-lt"/>
            </a:rPr>
            <a:t>  Asset</a:t>
          </a:r>
          <a:r>
            <a:rPr lang="en-US" sz="900" b="1">
              <a:latin typeface="+mn-lt"/>
            </a:rPr>
            <a:t> (INR Crs.)</a:t>
          </a:r>
        </a:p>
        <a:p>
          <a:endParaRPr lang="en-US" sz="900"/>
        </a:p>
      </xdr:txBody>
    </xdr:sp>
    <xdr:clientData/>
  </xdr:twoCellAnchor>
  <xdr:twoCellAnchor>
    <xdr:from>
      <xdr:col>2</xdr:col>
      <xdr:colOff>287461</xdr:colOff>
      <xdr:row>14</xdr:row>
      <xdr:rowOff>7399</xdr:rowOff>
    </xdr:from>
    <xdr:to>
      <xdr:col>4</xdr:col>
      <xdr:colOff>516801</xdr:colOff>
      <xdr:row>14</xdr:row>
      <xdr:rowOff>7399</xdr:rowOff>
    </xdr:to>
    <xdr:cxnSp macro="">
      <xdr:nvCxnSpPr>
        <xdr:cNvPr id="32" name="Straight Connector 31"/>
        <xdr:cNvCxnSpPr/>
      </xdr:nvCxnSpPr>
      <xdr:spPr>
        <a:xfrm>
          <a:off x="2521675" y="2626312"/>
          <a:ext cx="144262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161694</xdr:colOff>
      <xdr:row>14</xdr:row>
      <xdr:rowOff>44388</xdr:rowOff>
    </xdr:from>
    <xdr:to>
      <xdr:col>8</xdr:col>
      <xdr:colOff>391034</xdr:colOff>
      <xdr:row>14</xdr:row>
      <xdr:rowOff>44388</xdr:rowOff>
    </xdr:to>
    <xdr:cxnSp macro="">
      <xdr:nvCxnSpPr>
        <xdr:cNvPr id="33" name="Straight Connector 32"/>
        <xdr:cNvCxnSpPr/>
      </xdr:nvCxnSpPr>
      <xdr:spPr>
        <a:xfrm>
          <a:off x="4822471" y="2833456"/>
          <a:ext cx="144262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22194</xdr:colOff>
      <xdr:row>24</xdr:row>
      <xdr:rowOff>44389</xdr:rowOff>
    </xdr:from>
    <xdr:to>
      <xdr:col>1</xdr:col>
      <xdr:colOff>1923495</xdr:colOff>
      <xdr:row>33</xdr:row>
      <xdr:rowOff>125767</xdr:rowOff>
    </xdr:to>
    <xdr:grpSp>
      <xdr:nvGrpSpPr>
        <xdr:cNvPr id="34" name="Group 33"/>
        <xdr:cNvGrpSpPr/>
      </xdr:nvGrpSpPr>
      <xdr:grpSpPr>
        <a:xfrm>
          <a:off x="22194" y="4512816"/>
          <a:ext cx="2034466" cy="1745941"/>
          <a:chOff x="244137" y="2803864"/>
          <a:chExt cx="1782931" cy="1634971"/>
        </a:xfrm>
      </xdr:grpSpPr>
      <xdr:grpSp>
        <xdr:nvGrpSpPr>
          <xdr:cNvPr id="35" name="Group 34"/>
          <xdr:cNvGrpSpPr/>
        </xdr:nvGrpSpPr>
        <xdr:grpSpPr>
          <a:xfrm>
            <a:off x="244137" y="2803864"/>
            <a:ext cx="1782931" cy="1634971"/>
            <a:chOff x="244137" y="2803864"/>
            <a:chExt cx="1649766" cy="1634971"/>
          </a:xfrm>
        </xdr:grpSpPr>
        <xdr:graphicFrame macro="">
          <xdr:nvGraphicFramePr>
            <xdr:cNvPr id="37" name="Chart 36"/>
            <xdr:cNvGraphicFramePr/>
          </xdr:nvGraphicFramePr>
          <xdr:xfrm>
            <a:off x="244137" y="2922234"/>
            <a:ext cx="1649766" cy="1516601"/>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38" name="TextBox 37"/>
            <xdr:cNvSpPr txBox="1"/>
          </xdr:nvSpPr>
          <xdr:spPr>
            <a:xfrm>
              <a:off x="550615" y="2803864"/>
              <a:ext cx="1298899" cy="2737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1">
                  <a:latin typeface="+mn-lt"/>
                </a:rPr>
                <a:t>Return on Equity (%)</a:t>
              </a:r>
              <a:endParaRPr lang="en-US" sz="1050"/>
            </a:p>
          </xdr:txBody>
        </xdr:sp>
      </xdr:grpSp>
      <xdr:cxnSp macro="">
        <xdr:nvCxnSpPr>
          <xdr:cNvPr id="36" name="Straight Connector 35"/>
          <xdr:cNvCxnSpPr/>
        </xdr:nvCxnSpPr>
        <xdr:spPr>
          <a:xfrm>
            <a:off x="451282" y="2818660"/>
            <a:ext cx="1442621" cy="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2012272</xdr:colOff>
      <xdr:row>24</xdr:row>
      <xdr:rowOff>7398</xdr:rowOff>
    </xdr:from>
    <xdr:to>
      <xdr:col>5</xdr:col>
      <xdr:colOff>103573</xdr:colOff>
      <xdr:row>33</xdr:row>
      <xdr:rowOff>73981</xdr:rowOff>
    </xdr:to>
    <xdr:grpSp>
      <xdr:nvGrpSpPr>
        <xdr:cNvPr id="39" name="Group 38"/>
        <xdr:cNvGrpSpPr/>
      </xdr:nvGrpSpPr>
      <xdr:grpSpPr>
        <a:xfrm>
          <a:off x="2145437" y="4475825"/>
          <a:ext cx="2012272" cy="1731146"/>
          <a:chOff x="244137" y="2803864"/>
          <a:chExt cx="1782931" cy="1634971"/>
        </a:xfrm>
      </xdr:grpSpPr>
      <xdr:grpSp>
        <xdr:nvGrpSpPr>
          <xdr:cNvPr id="40" name="Group 39"/>
          <xdr:cNvGrpSpPr/>
        </xdr:nvGrpSpPr>
        <xdr:grpSpPr>
          <a:xfrm>
            <a:off x="244137" y="2803864"/>
            <a:ext cx="1782931" cy="1634971"/>
            <a:chOff x="244137" y="2803864"/>
            <a:chExt cx="1649766" cy="1634971"/>
          </a:xfrm>
        </xdr:grpSpPr>
        <xdr:graphicFrame macro="">
          <xdr:nvGraphicFramePr>
            <xdr:cNvPr id="42" name="Chart 41"/>
            <xdr:cNvGraphicFramePr/>
          </xdr:nvGraphicFramePr>
          <xdr:xfrm>
            <a:off x="244137" y="2922234"/>
            <a:ext cx="1649766" cy="1516601"/>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43" name="TextBox 42"/>
            <xdr:cNvSpPr txBox="1"/>
          </xdr:nvSpPr>
          <xdr:spPr>
            <a:xfrm>
              <a:off x="550615" y="2803864"/>
              <a:ext cx="1298899" cy="2737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1">
                  <a:latin typeface="+mn-lt"/>
                </a:rPr>
                <a:t>Return</a:t>
              </a:r>
              <a:r>
                <a:rPr lang="en-US" sz="900" b="1" baseline="0">
                  <a:latin typeface="+mn-lt"/>
                </a:rPr>
                <a:t> on Asset</a:t>
              </a:r>
              <a:r>
                <a:rPr lang="en-US" sz="900" b="1">
                  <a:latin typeface="+mn-lt"/>
                </a:rPr>
                <a:t> (%)</a:t>
              </a:r>
            </a:p>
            <a:p>
              <a:endParaRPr lang="en-US" sz="1050"/>
            </a:p>
          </xdr:txBody>
        </xdr:sp>
      </xdr:grpSp>
      <xdr:cxnSp macro="">
        <xdr:nvCxnSpPr>
          <xdr:cNvPr id="41" name="Straight Connector 40"/>
          <xdr:cNvCxnSpPr/>
        </xdr:nvCxnSpPr>
        <xdr:spPr>
          <a:xfrm>
            <a:off x="451282" y="2818660"/>
            <a:ext cx="1442621" cy="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5</xdr:col>
      <xdr:colOff>436485</xdr:colOff>
      <xdr:row>24</xdr:row>
      <xdr:rowOff>29592</xdr:rowOff>
    </xdr:from>
    <xdr:to>
      <xdr:col>8</xdr:col>
      <xdr:colOff>584447</xdr:colOff>
      <xdr:row>33</xdr:row>
      <xdr:rowOff>103573</xdr:rowOff>
    </xdr:to>
    <xdr:grpSp>
      <xdr:nvGrpSpPr>
        <xdr:cNvPr id="44" name="Group 43"/>
        <xdr:cNvGrpSpPr/>
      </xdr:nvGrpSpPr>
      <xdr:grpSpPr>
        <a:xfrm>
          <a:off x="4490621" y="4498019"/>
          <a:ext cx="1967884" cy="1738544"/>
          <a:chOff x="244137" y="2803864"/>
          <a:chExt cx="1782931" cy="1634971"/>
        </a:xfrm>
      </xdr:grpSpPr>
      <xdr:grpSp>
        <xdr:nvGrpSpPr>
          <xdr:cNvPr id="45" name="Group 44"/>
          <xdr:cNvGrpSpPr/>
        </xdr:nvGrpSpPr>
        <xdr:grpSpPr>
          <a:xfrm>
            <a:off x="244137" y="2803864"/>
            <a:ext cx="1782931" cy="1634971"/>
            <a:chOff x="244137" y="2803864"/>
            <a:chExt cx="1649766" cy="1634971"/>
          </a:xfrm>
        </xdr:grpSpPr>
        <xdr:graphicFrame macro="">
          <xdr:nvGraphicFramePr>
            <xdr:cNvPr id="47" name="Chart 46"/>
            <xdr:cNvGraphicFramePr/>
          </xdr:nvGraphicFramePr>
          <xdr:xfrm>
            <a:off x="244137" y="2922234"/>
            <a:ext cx="1649766" cy="1516601"/>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48" name="TextBox 47"/>
            <xdr:cNvSpPr txBox="1"/>
          </xdr:nvSpPr>
          <xdr:spPr>
            <a:xfrm>
              <a:off x="550615" y="2803864"/>
              <a:ext cx="1298899" cy="2737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1">
                  <a:latin typeface="+mn-lt"/>
                </a:rPr>
                <a:t>Financial</a:t>
              </a:r>
              <a:r>
                <a:rPr lang="en-US" sz="900" b="1" baseline="0">
                  <a:latin typeface="+mn-lt"/>
                </a:rPr>
                <a:t> Leverage</a:t>
              </a:r>
              <a:endParaRPr lang="en-US" sz="900" b="1">
                <a:latin typeface="+mn-lt"/>
              </a:endParaRPr>
            </a:p>
            <a:p>
              <a:endParaRPr lang="en-US" sz="1050"/>
            </a:p>
          </xdr:txBody>
        </xdr:sp>
      </xdr:grpSp>
      <xdr:cxnSp macro="">
        <xdr:nvCxnSpPr>
          <xdr:cNvPr id="46" name="Straight Connector 45"/>
          <xdr:cNvCxnSpPr/>
        </xdr:nvCxnSpPr>
        <xdr:spPr>
          <a:xfrm>
            <a:off x="451282" y="2818660"/>
            <a:ext cx="1442621" cy="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oneCellAnchor>
    <xdr:from>
      <xdr:col>0</xdr:col>
      <xdr:colOff>125767</xdr:colOff>
      <xdr:row>34</xdr:row>
      <xdr:rowOff>7398</xdr:rowOff>
    </xdr:from>
    <xdr:ext cx="6036816" cy="2715087"/>
    <xdr:sp macro="" textlink="">
      <xdr:nvSpPr>
        <xdr:cNvPr id="49" name="TextBox 48"/>
        <xdr:cNvSpPr txBox="1"/>
      </xdr:nvSpPr>
      <xdr:spPr>
        <a:xfrm>
          <a:off x="125767" y="6325340"/>
          <a:ext cx="6036816" cy="27150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Recent</a:t>
          </a:r>
          <a:r>
            <a:rPr lang="en-US" sz="1100" b="1" i="0" baseline="0">
              <a:solidFill>
                <a:schemeClr val="tx1"/>
              </a:solidFill>
              <a:effectLst/>
              <a:latin typeface="+mn-lt"/>
              <a:ea typeface="+mn-ea"/>
              <a:cs typeface="+mn-cs"/>
            </a:rPr>
            <a:t> Updates</a:t>
          </a: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a:solidFill>
                <a:schemeClr val="tx1"/>
              </a:solidFill>
              <a:effectLst/>
              <a:latin typeface="+mn-lt"/>
              <a:ea typeface="+mn-ea"/>
              <a:cs typeface="+mn-cs"/>
            </a:rPr>
            <a:t>Oracle Financial Services Software Faces Q3 FY24-25 Decline Amid Strong Management Efficiency</a:t>
          </a: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b="0" i="0">
            <a:solidFill>
              <a:schemeClr val="tx1"/>
            </a:solidFill>
            <a:effectLst/>
            <a:latin typeface="+mn-lt"/>
            <a:ea typeface="+mn-ea"/>
            <a:cs typeface="+mn-cs"/>
          </a:endParaRP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a:solidFill>
                <a:schemeClr val="tx1"/>
              </a:solidFill>
              <a:effectLst/>
              <a:latin typeface="+mn-lt"/>
              <a:ea typeface="+mn-ea"/>
              <a:cs typeface="+mn-cs"/>
            </a:rPr>
            <a:t>Oracle Financial Services Software has recently experienced an evaluation adjustment, highlighting its current market position amid a challenging financial performance in Q3 FY24-25. Despite a decline in profit figures, the company showcases strong management efficiency and a conservative leverage approach, while maintaining a market-beating stock performance over the past year.</a:t>
          </a: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b="0" i="0">
            <a:solidFill>
              <a:schemeClr val="tx1"/>
            </a:solidFill>
            <a:effectLst/>
            <a:latin typeface="+mn-lt"/>
            <a:ea typeface="+mn-ea"/>
            <a:cs typeface="+mn-cs"/>
          </a:endParaRP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a:solidFill>
                <a:schemeClr val="tx1"/>
              </a:solidFill>
              <a:effectLst/>
              <a:latin typeface="+mn-lt"/>
              <a:ea typeface="+mn-ea"/>
              <a:cs typeface="+mn-cs"/>
            </a:rPr>
            <a:t>Oracle AI Service Improves the Speed and Accuracy of Financial Crime Investigations</a:t>
          </a: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b="0" i="0">
            <a:solidFill>
              <a:schemeClr val="tx1"/>
            </a:solidFill>
            <a:effectLst/>
            <a:latin typeface="+mn-lt"/>
            <a:ea typeface="+mn-ea"/>
            <a:cs typeface="+mn-cs"/>
          </a:endParaRP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a:solidFill>
                <a:schemeClr val="tx1"/>
              </a:solidFill>
              <a:effectLst/>
              <a:latin typeface="+mn-lt"/>
              <a:ea typeface="+mn-ea"/>
              <a:cs typeface="+mn-cs"/>
            </a:rPr>
            <a:t>The stock has demonstrated a market-beating performance over the past year, achieving a return of 32.11%, significantly outpacing the broader market</a:t>
          </a:r>
          <a:endParaRPr lang="en-US" sz="1100" b="1" i="0">
            <a:solidFill>
              <a:schemeClr val="tx1"/>
            </a:solidFill>
            <a:effectLst/>
            <a:latin typeface="+mn-lt"/>
            <a:ea typeface="+mn-ea"/>
            <a:cs typeface="+mn-cs"/>
          </a:endParaRPr>
        </a:p>
        <a:p>
          <a:endParaRPr lang="en-US" sz="1100"/>
        </a:p>
      </xdr:txBody>
    </xdr:sp>
    <xdr:clientData/>
  </xdr:oneCellAnchor>
  <xdr:oneCellAnchor>
    <xdr:from>
      <xdr:col>1</xdr:col>
      <xdr:colOff>125768</xdr:colOff>
      <xdr:row>53</xdr:row>
      <xdr:rowOff>81378</xdr:rowOff>
    </xdr:from>
    <xdr:ext cx="6088602" cy="244136"/>
    <xdr:sp macro="" textlink="">
      <xdr:nvSpPr>
        <xdr:cNvPr id="4" name="TextBox 3"/>
        <xdr:cNvSpPr txBox="1"/>
      </xdr:nvSpPr>
      <xdr:spPr>
        <a:xfrm>
          <a:off x="258933" y="9543495"/>
          <a:ext cx="6088602" cy="2441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indent="0" algn="ctr" defTabSz="914400" rtl="0" eaLnBrk="1" fontAlgn="auto" latinLnBrk="0" hangingPunct="1">
            <a:lnSpc>
              <a:spcPct val="100000"/>
            </a:lnSpc>
            <a:spcBef>
              <a:spcPts val="0"/>
            </a:spcBef>
            <a:spcAft>
              <a:spcPts val="0"/>
            </a:spcAft>
            <a:buClrTx/>
            <a:buSzTx/>
            <a:buFontTx/>
            <a:buNone/>
            <a:tabLst/>
            <a:defRPr/>
          </a:pPr>
          <a:r>
            <a:rPr lang="en-IN" sz="1400" b="1" i="0">
              <a:solidFill>
                <a:schemeClr val="tx1"/>
              </a:solidFill>
              <a:effectLst/>
              <a:latin typeface="+mn-lt"/>
              <a:ea typeface="+mn-ea"/>
              <a:cs typeface="+mn-cs"/>
            </a:rPr>
            <a:t>Dupont Analysis - Return on Equity &amp; Return</a:t>
          </a:r>
          <a:r>
            <a:rPr lang="en-IN" sz="1400" b="1" i="0" baseline="0">
              <a:solidFill>
                <a:schemeClr val="tx1"/>
              </a:solidFill>
              <a:effectLst/>
              <a:latin typeface="+mn-lt"/>
              <a:ea typeface="+mn-ea"/>
              <a:cs typeface="+mn-cs"/>
            </a:rPr>
            <a:t> on Asset</a:t>
          </a:r>
          <a:endParaRPr lang="en-US" sz="1400">
            <a:effectLst/>
          </a:endParaRPr>
        </a:p>
        <a:p>
          <a:endParaRPr lang="en-US" sz="1100"/>
        </a:p>
      </xdr:txBody>
    </xdr:sp>
    <xdr:clientData/>
  </xdr:oneCellAnchor>
  <xdr:oneCellAnchor>
    <xdr:from>
      <xdr:col>1</xdr:col>
      <xdr:colOff>7397</xdr:colOff>
      <xdr:row>94</xdr:row>
      <xdr:rowOff>14796</xdr:rowOff>
    </xdr:from>
    <xdr:ext cx="6347535" cy="1797728"/>
    <xdr:sp macro="" textlink="">
      <xdr:nvSpPr>
        <xdr:cNvPr id="7" name="TextBox 6"/>
        <xdr:cNvSpPr txBox="1"/>
      </xdr:nvSpPr>
      <xdr:spPr>
        <a:xfrm>
          <a:off x="140562" y="17407631"/>
          <a:ext cx="6347535" cy="17977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rtl="0" eaLnBrk="1" fontAlgn="auto" latinLnBrk="0" hangingPunct="1">
            <a:lnSpc>
              <a:spcPct val="100000"/>
            </a:lnSpc>
            <a:spcBef>
              <a:spcPts val="0"/>
            </a:spcBef>
            <a:spcAft>
              <a:spcPts val="0"/>
            </a:spcAft>
            <a:buClrTx/>
            <a:buSzTx/>
            <a:buFontTx/>
            <a:buNone/>
            <a:tabLst/>
            <a:defRPr/>
          </a:pPr>
          <a:r>
            <a:rPr lang="en-IN" sz="1100" b="1" i="0">
              <a:solidFill>
                <a:schemeClr val="tx1"/>
              </a:solidFill>
              <a:effectLst/>
              <a:latin typeface="+mn-lt"/>
              <a:ea typeface="+mn-ea"/>
              <a:cs typeface="+mn-cs"/>
            </a:rPr>
            <a:t>Dupont Summary</a:t>
          </a:r>
          <a:endParaRPr lang="en-US">
            <a:effectLst/>
          </a:endParaRPr>
        </a:p>
        <a:p>
          <a:pPr rtl="0" eaLnBrk="1" fontAlgn="auto" latinLnBrk="0" hangingPunct="1"/>
          <a:r>
            <a:rPr lang="en-US"/>
            <a:t>The ROE of Oracle Financial Services decreased to 24.81% in FY2023 but has since risen to 28.98% as of March 31, 2024</a:t>
          </a:r>
        </a:p>
        <a:p>
          <a:pPr rtl="0" eaLnBrk="1" fontAlgn="auto" latinLnBrk="0" hangingPunct="1"/>
          <a:r>
            <a:rPr lang="en-US"/>
            <a:t>ROE has fluctuated significantly over the past 6 years, ranging from 28.74% to 28.98%. Meanwhile, the company successfully increased net margins from 27.95% in FY2019 to 34.82% in FY2024. Although asset has consistently increasing</a:t>
          </a:r>
          <a:r>
            <a:rPr lang="en-US" baseline="0"/>
            <a:t> th</a:t>
          </a:r>
          <a:r>
            <a:rPr lang="en-US"/>
            <a:t>roughout the period, the decline in ROE is due to the company's inability to increase financial leverage, which has remained nearly constant at 1.27x from FY2019 to FY2024</a:t>
          </a:r>
        </a:p>
        <a:p>
          <a:pPr rtl="0" eaLnBrk="1" fontAlgn="auto" latinLnBrk="0" hangingPunct="1"/>
          <a:r>
            <a:rPr lang="en-US"/>
            <a:t>ROA for Oracle Financial Services decreased to 19.81% in FY2023 but has since risen to 22.76% as of March 31, 2024. While asset efficiency remains</a:t>
          </a:r>
          <a:r>
            <a:rPr lang="en-US" baseline="0"/>
            <a:t> </a:t>
          </a:r>
          <a:r>
            <a:rPr lang="en-US"/>
            <a:t>constant, the</a:t>
          </a:r>
          <a:r>
            <a:rPr lang="en-US" baseline="0"/>
            <a:t> </a:t>
          </a:r>
          <a:r>
            <a:rPr lang="en-US"/>
            <a:t>reason for the increase in ROA is increased the net margin</a:t>
          </a:r>
          <a:r>
            <a:rPr lang="en-IN" sz="1100" b="0" i="0" baseline="0">
              <a:solidFill>
                <a:schemeClr val="tx1"/>
              </a:solidFill>
              <a:effectLst/>
              <a:latin typeface="+mn-lt"/>
              <a:ea typeface="+mn-ea"/>
              <a:cs typeface="+mn-cs"/>
            </a:rPr>
            <a:t> of the company.</a:t>
          </a:r>
          <a:endParaRPr lang="en-US">
            <a:effectLst/>
          </a:endParaRPr>
        </a:p>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7</xdr:col>
      <xdr:colOff>76200</xdr:colOff>
      <xdr:row>0</xdr:row>
      <xdr:rowOff>137160</xdr:rowOff>
    </xdr:from>
    <xdr:to>
      <xdr:col>9</xdr:col>
      <xdr:colOff>853440</xdr:colOff>
      <xdr:row>3</xdr:row>
      <xdr:rowOff>83819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98720" y="137160"/>
          <a:ext cx="2362200" cy="71627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121920</xdr:colOff>
      <xdr:row>1</xdr:row>
      <xdr:rowOff>22861</xdr:rowOff>
    </xdr:from>
    <xdr:to>
      <xdr:col>10</xdr:col>
      <xdr:colOff>746760</xdr:colOff>
      <xdr:row>3</xdr:row>
      <xdr:rowOff>76201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8680" y="91441"/>
          <a:ext cx="2392680" cy="71628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91440</xdr:colOff>
      <xdr:row>0</xdr:row>
      <xdr:rowOff>129540</xdr:rowOff>
    </xdr:from>
    <xdr:to>
      <xdr:col>9</xdr:col>
      <xdr:colOff>495300</xdr:colOff>
      <xdr:row>3</xdr:row>
      <xdr:rowOff>91440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1060" y="129540"/>
          <a:ext cx="2209800" cy="75438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12</xdr:col>
      <xdr:colOff>579120</xdr:colOff>
      <xdr:row>0</xdr:row>
      <xdr:rowOff>83821</xdr:rowOff>
    </xdr:from>
    <xdr:to>
      <xdr:col>16</xdr:col>
      <xdr:colOff>579120</xdr:colOff>
      <xdr:row>3</xdr:row>
      <xdr:rowOff>121921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23960" y="83821"/>
          <a:ext cx="2392680" cy="85344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60960</xdr:colOff>
      <xdr:row>5</xdr:row>
      <xdr:rowOff>22860</xdr:rowOff>
    </xdr:from>
    <xdr:to>
      <xdr:col>8</xdr:col>
      <xdr:colOff>236220</xdr:colOff>
      <xdr:row>19</xdr:row>
      <xdr:rowOff>160020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129540</xdr:colOff>
      <xdr:row>12</xdr:row>
      <xdr:rowOff>68580</xdr:rowOff>
    </xdr:from>
    <xdr:to>
      <xdr:col>8</xdr:col>
      <xdr:colOff>228600</xdr:colOff>
      <xdr:row>12</xdr:row>
      <xdr:rowOff>83820</xdr:rowOff>
    </xdr:to>
    <xdr:cxnSp macro="">
      <xdr:nvCxnSpPr>
        <xdr:cNvPr id="5" name="Straight Connector 4"/>
        <xdr:cNvCxnSpPr/>
      </xdr:nvCxnSpPr>
      <xdr:spPr>
        <a:xfrm>
          <a:off x="259080" y="2346960"/>
          <a:ext cx="4366260" cy="15240"/>
        </a:xfrm>
        <a:prstGeom prst="line">
          <a:avLst/>
        </a:prstGeom>
        <a:ln>
          <a:solidFill>
            <a:schemeClr val="accent3">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121920</xdr:colOff>
      <xdr:row>0</xdr:row>
      <xdr:rowOff>144781</xdr:rowOff>
    </xdr:from>
    <xdr:to>
      <xdr:col>15</xdr:col>
      <xdr:colOff>502920</xdr:colOff>
      <xdr:row>3</xdr:row>
      <xdr:rowOff>45759</xdr:rowOff>
    </xdr:to>
    <xdr:pic>
      <xdr:nvPicPr>
        <xdr:cNvPr id="2"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7060" y="144781"/>
          <a:ext cx="2209800" cy="708698"/>
        </a:xfrm>
        <a:prstGeom prst="rect">
          <a:avLst/>
        </a:prstGeom>
      </xdr:spPr>
    </xdr:pic>
    <xdr:clientData/>
  </xdr:twoCellAnchor>
</xdr:wsDr>
</file>

<file path=xl/tables/table1.xml><?xml version="1.0" encoding="utf-8"?>
<table xmlns="http://schemas.openxmlformats.org/spreadsheetml/2006/main" id="1" name="Annual" displayName="Annual" ref="A3:N19" headerRowCount="0" totalsRowShown="0" headerRowDxfId="30">
  <tableColumns count="14">
    <tableColumn id="1" name="Column1" headerRowDxfId="29" dataDxfId="28"/>
    <tableColumn id="2" name="Column2" headerRowDxfId="27"/>
    <tableColumn id="3" name="Column3" headerRowDxfId="26"/>
    <tableColumn id="4" name="Column4" headerRowDxfId="25"/>
    <tableColumn id="5" name="Column5" headerRowDxfId="24"/>
    <tableColumn id="6" name="Column6" headerRowDxfId="23"/>
    <tableColumn id="7" name="Column7" headerRowDxfId="22"/>
    <tableColumn id="8" name="Column8" headerRowDxfId="21"/>
    <tableColumn id="9" name="Column9" headerRowDxfId="20"/>
    <tableColumn id="10" name="Column10" headerRowDxfId="19"/>
    <tableColumn id="11" name="Column11" headerRowDxfId="18"/>
    <tableColumn id="12" name="Column12" headerRowDxfId="17"/>
    <tableColumn id="13" name="Column13" headerRowDxfId="16" dataDxfId="15"/>
    <tableColumn id="14" name="Column14" headerRowDxfId="14" dataDxfId="13"/>
  </tableColumns>
  <tableStyleInfo showFirstColumn="0" showLastColumn="0" showRowStripes="0" showColumnStripes="0"/>
</table>
</file>

<file path=xl/tables/table2.xml><?xml version="1.0" encoding="utf-8"?>
<table xmlns="http://schemas.openxmlformats.org/spreadsheetml/2006/main" id="2" name="Quarters" displayName="Quarters" ref="A3:K14" headerRowCount="0" totalsRowShown="0" headerRowDxfId="12">
  <tableColumns count="11">
    <tableColumn id="1" name="Column1" headerRowDxfId="11"/>
    <tableColumn id="2" name="Column2" headerRowDxfId="10"/>
    <tableColumn id="3" name="Column3" headerRowDxfId="9"/>
    <tableColumn id="4" name="Column4" headerRowDxfId="8"/>
    <tableColumn id="5" name="Column5" headerRowDxfId="7"/>
    <tableColumn id="6" name="Column6" headerRowDxfId="6"/>
    <tableColumn id="7" name="Column7" headerRowDxfId="5"/>
    <tableColumn id="8" name="Column8" headerRowDxfId="4"/>
    <tableColumn id="9" name="Column9" headerRowDxfId="3"/>
    <tableColumn id="10" name="Column10" headerRowDxfId="2"/>
    <tableColumn id="11" name="Column11" headerRowDxfId="1"/>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screener.in/"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www.screener.i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screener.in/"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bseindia.com/xml-data/corpfiling/AttachHis/73ffab69-cd41-4f5d-a4d4-0c1894813d31.pdf" TargetMode="External"/><Relationship Id="rId1" Type="http://schemas.openxmlformats.org/officeDocument/2006/relationships/hyperlink" Target="http://www.screener.i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screener.in/excel/"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N26"/>
  <sheetViews>
    <sheetView zoomScale="120" zoomScaleNormal="120" zoomScaleSheetLayoutView="100" zoomScalePageLayoutView="120" workbookViewId="0">
      <pane xSplit="1" ySplit="4" topLeftCell="B5" activePane="bottomRight" state="frozen"/>
      <selection activeCell="I2" sqref="I2"/>
      <selection pane="topRight" activeCell="I2" sqref="I2"/>
      <selection pane="bottomLeft" activeCell="I2" sqref="I2"/>
      <selection pane="bottomRight" activeCell="H27" sqref="H27"/>
    </sheetView>
  </sheetViews>
  <sheetFormatPr defaultColWidth="8.77734375" defaultRowHeight="14.4" x14ac:dyDescent="0.3"/>
  <cols>
    <col min="1" max="1" width="20.6640625" style="6" customWidth="1"/>
    <col min="2" max="6" width="13.44140625" style="6" customWidth="1"/>
    <col min="7" max="7" width="14.77734375" style="6" bestFit="1" customWidth="1"/>
    <col min="8" max="11" width="13.44140625" style="6" customWidth="1"/>
    <col min="12" max="12" width="13.33203125" style="6" customWidth="1"/>
    <col min="13" max="14" width="12.109375" style="6" customWidth="1"/>
    <col min="15" max="16384" width="8.77734375" style="6"/>
  </cols>
  <sheetData>
    <row r="1" spans="1:14" s="8" customFormat="1" x14ac:dyDescent="0.3">
      <c r="A1" s="8" t="str">
        <f>'Data Sheet'!B1</f>
        <v>ORACLE FINANCIAL SERVICES SOFTWARE LTD</v>
      </c>
      <c r="H1" t="str">
        <f>UPDATE</f>
        <v/>
      </c>
      <c r="J1" s="3"/>
      <c r="K1" s="3"/>
      <c r="M1" s="8" t="s">
        <v>1</v>
      </c>
    </row>
    <row r="3" spans="1:14" s="2" customFormat="1" x14ac:dyDescent="0.3">
      <c r="A3" s="15" t="s">
        <v>2</v>
      </c>
      <c r="B3" s="16">
        <f>'Data Sheet'!B16</f>
        <v>42094</v>
      </c>
      <c r="C3" s="16">
        <f>'Data Sheet'!C16</f>
        <v>42460</v>
      </c>
      <c r="D3" s="16">
        <f>'Data Sheet'!D16</f>
        <v>42825</v>
      </c>
      <c r="E3" s="16">
        <f>'Data Sheet'!E16</f>
        <v>43190</v>
      </c>
      <c r="F3" s="16">
        <f>'Data Sheet'!F16</f>
        <v>43555</v>
      </c>
      <c r="G3" s="16">
        <f>'Data Sheet'!G16</f>
        <v>43921</v>
      </c>
      <c r="H3" s="16">
        <f>'Data Sheet'!H16</f>
        <v>44286</v>
      </c>
      <c r="I3" s="16">
        <f>'Data Sheet'!I16</f>
        <v>44651</v>
      </c>
      <c r="J3" s="16">
        <f>'Data Sheet'!J16</f>
        <v>45016</v>
      </c>
      <c r="K3" s="16">
        <f>'Data Sheet'!K16</f>
        <v>45382</v>
      </c>
      <c r="L3" s="17" t="s">
        <v>3</v>
      </c>
      <c r="M3" s="17" t="s">
        <v>4</v>
      </c>
      <c r="N3" s="17" t="s">
        <v>5</v>
      </c>
    </row>
    <row r="4" spans="1:14" s="8" customFormat="1" x14ac:dyDescent="0.3">
      <c r="A4" s="8" t="s">
        <v>6</v>
      </c>
      <c r="B4" s="1">
        <f>'Data Sheet'!B17</f>
        <v>3904.91</v>
      </c>
      <c r="C4" s="1">
        <f>'Data Sheet'!C17</f>
        <v>4131.22</v>
      </c>
      <c r="D4" s="1">
        <f>'Data Sheet'!D17</f>
        <v>4426.53</v>
      </c>
      <c r="E4" s="1">
        <f>'Data Sheet'!E17</f>
        <v>4527.47</v>
      </c>
      <c r="F4" s="1">
        <f>'Data Sheet'!F17</f>
        <v>4958.8999999999996</v>
      </c>
      <c r="G4" s="1">
        <f>'Data Sheet'!G17</f>
        <v>4861.28</v>
      </c>
      <c r="H4" s="1">
        <f>'Data Sheet'!H17</f>
        <v>4983.9399999999996</v>
      </c>
      <c r="I4" s="1">
        <f>'Data Sheet'!I17</f>
        <v>5221.46</v>
      </c>
      <c r="J4" s="1">
        <f>'Data Sheet'!J17</f>
        <v>5698.31</v>
      </c>
      <c r="K4" s="1">
        <f>'Data Sheet'!K17</f>
        <v>6372.96</v>
      </c>
      <c r="L4" s="1">
        <f>SUM(Quarters!H4:K4)</f>
        <v>6772.9000000000005</v>
      </c>
      <c r="M4" s="1">
        <f>$K4+M23*K4</f>
        <v>7127.4850195233321</v>
      </c>
      <c r="N4" s="1">
        <f>$K4+N23*L4</f>
        <v>6721.4674054510542</v>
      </c>
    </row>
    <row r="5" spans="1:14" x14ac:dyDescent="0.3">
      <c r="A5" s="6" t="s">
        <v>7</v>
      </c>
      <c r="B5" s="9">
        <f>SUM('Data Sheet'!B18,'Data Sheet'!B20:B24, -1*'Data Sheet'!B19)</f>
        <v>2354.11</v>
      </c>
      <c r="C5" s="9">
        <f>SUM('Data Sheet'!C18,'Data Sheet'!C20:C24, -1*'Data Sheet'!C19)</f>
        <v>2519.5000000000005</v>
      </c>
      <c r="D5" s="9">
        <f>SUM('Data Sheet'!D18,'Data Sheet'!D20:D24, -1*'Data Sheet'!D19)</f>
        <v>2692.6400000000003</v>
      </c>
      <c r="E5" s="9">
        <f>SUM('Data Sheet'!E18,'Data Sheet'!E20:E24, -1*'Data Sheet'!E19)</f>
        <v>2716.26</v>
      </c>
      <c r="F5" s="9">
        <f>SUM('Data Sheet'!F18,'Data Sheet'!F20:F24, -1*'Data Sheet'!F19)</f>
        <v>2814.29</v>
      </c>
      <c r="G5" s="9">
        <f>SUM('Data Sheet'!G18,'Data Sheet'!G20:G24, -1*'Data Sheet'!G19)</f>
        <v>2632.59</v>
      </c>
      <c r="H5" s="9">
        <f>SUM('Data Sheet'!H18,'Data Sheet'!H20:H24, -1*'Data Sheet'!H19)</f>
        <v>2515.3399999999997</v>
      </c>
      <c r="I5" s="9">
        <f>SUM('Data Sheet'!I18,'Data Sheet'!I20:I24, -1*'Data Sheet'!I19)</f>
        <v>2722.52</v>
      </c>
      <c r="J5" s="9">
        <f>SUM('Data Sheet'!J18,'Data Sheet'!J20:J24, -1*'Data Sheet'!J19)</f>
        <v>3226.92</v>
      </c>
      <c r="K5" s="9">
        <f>SUM('Data Sheet'!K18,'Data Sheet'!K20:K24, -1*'Data Sheet'!K19)</f>
        <v>3590.45</v>
      </c>
      <c r="L5" s="9">
        <f>SUM(Quarters!H5:K5)</f>
        <v>3726.8999999999996</v>
      </c>
      <c r="M5" s="9">
        <f>M4-M6</f>
        <v>3922.0162588051662</v>
      </c>
      <c r="N5" s="9">
        <f>N4-N6</f>
        <v>3804.5407907115791</v>
      </c>
    </row>
    <row r="6" spans="1:14" s="8" customFormat="1" x14ac:dyDescent="0.3">
      <c r="A6" s="8" t="s">
        <v>8</v>
      </c>
      <c r="B6" s="1">
        <f>B4-B5</f>
        <v>1550.7999999999997</v>
      </c>
      <c r="C6" s="1">
        <f t="shared" ref="C6:K6" si="0">C4-C5</f>
        <v>1611.7199999999998</v>
      </c>
      <c r="D6" s="1">
        <f t="shared" si="0"/>
        <v>1733.8899999999994</v>
      </c>
      <c r="E6" s="1">
        <f t="shared" si="0"/>
        <v>1811.21</v>
      </c>
      <c r="F6" s="1">
        <f t="shared" si="0"/>
        <v>2144.6099999999997</v>
      </c>
      <c r="G6" s="1">
        <f t="shared" si="0"/>
        <v>2228.6899999999996</v>
      </c>
      <c r="H6" s="1">
        <f t="shared" si="0"/>
        <v>2468.6</v>
      </c>
      <c r="I6" s="1">
        <f t="shared" si="0"/>
        <v>2498.94</v>
      </c>
      <c r="J6" s="1">
        <f t="shared" si="0"/>
        <v>2471.3900000000003</v>
      </c>
      <c r="K6" s="1">
        <f t="shared" si="0"/>
        <v>2782.51</v>
      </c>
      <c r="L6" s="1">
        <f>SUM(Quarters!H6:K6)</f>
        <v>3046</v>
      </c>
      <c r="M6" s="1">
        <f>M4*M24</f>
        <v>3205.4687607181659</v>
      </c>
      <c r="N6" s="1">
        <f>N4*N24</f>
        <v>2916.9266147394751</v>
      </c>
    </row>
    <row r="7" spans="1:14" x14ac:dyDescent="0.3">
      <c r="A7" s="6" t="s">
        <v>9</v>
      </c>
      <c r="B7" s="9">
        <f>'Data Sheet'!B25</f>
        <v>348.13</v>
      </c>
      <c r="C7" s="9">
        <f>'Data Sheet'!C25</f>
        <v>188.8</v>
      </c>
      <c r="D7" s="9">
        <f>'Data Sheet'!D25</f>
        <v>93.28</v>
      </c>
      <c r="E7" s="9">
        <f>'Data Sheet'!E25</f>
        <v>90.69</v>
      </c>
      <c r="F7" s="9">
        <f>'Data Sheet'!F25</f>
        <v>176.09</v>
      </c>
      <c r="G7" s="9">
        <f>'Data Sheet'!G25</f>
        <v>177.34</v>
      </c>
      <c r="H7" s="9">
        <f>'Data Sheet'!H25</f>
        <v>131.97</v>
      </c>
      <c r="I7" s="9">
        <f>'Data Sheet'!I25</f>
        <v>134.34</v>
      </c>
      <c r="J7" s="9">
        <f>'Data Sheet'!J25</f>
        <v>191.84</v>
      </c>
      <c r="K7" s="9">
        <f>'Data Sheet'!K25</f>
        <v>342.19</v>
      </c>
      <c r="L7" s="9">
        <f>SUM(Quarters!H7:K7)</f>
        <v>304.8</v>
      </c>
      <c r="M7" s="9">
        <v>0</v>
      </c>
      <c r="N7" s="9">
        <v>0</v>
      </c>
    </row>
    <row r="8" spans="1:14" x14ac:dyDescent="0.3">
      <c r="A8" s="6" t="s">
        <v>10</v>
      </c>
      <c r="B8" s="9">
        <f>'Data Sheet'!B26</f>
        <v>68.09</v>
      </c>
      <c r="C8" s="9">
        <f>'Data Sheet'!C26</f>
        <v>52.93</v>
      </c>
      <c r="D8" s="9">
        <f>'Data Sheet'!D26</f>
        <v>70.19</v>
      </c>
      <c r="E8" s="9">
        <f>'Data Sheet'!E26</f>
        <v>61.46</v>
      </c>
      <c r="F8" s="9">
        <f>'Data Sheet'!F26</f>
        <v>53.72</v>
      </c>
      <c r="G8" s="9">
        <f>'Data Sheet'!G26</f>
        <v>106.38</v>
      </c>
      <c r="H8" s="9">
        <f>'Data Sheet'!H26</f>
        <v>104.11</v>
      </c>
      <c r="I8" s="9">
        <f>'Data Sheet'!I26</f>
        <v>92.8</v>
      </c>
      <c r="J8" s="9">
        <f>'Data Sheet'!J26</f>
        <v>80.66</v>
      </c>
      <c r="K8" s="9">
        <f>'Data Sheet'!K26</f>
        <v>74.260000000000005</v>
      </c>
      <c r="L8" s="9">
        <f>SUM(Quarters!H8:K8)</f>
        <v>70</v>
      </c>
      <c r="M8" s="9">
        <f>+$L8</f>
        <v>70</v>
      </c>
      <c r="N8" s="9">
        <f>+$L8</f>
        <v>70</v>
      </c>
    </row>
    <row r="9" spans="1:14" x14ac:dyDescent="0.3">
      <c r="A9" s="6" t="s">
        <v>11</v>
      </c>
      <c r="B9" s="9">
        <f>'Data Sheet'!B27</f>
        <v>0</v>
      </c>
      <c r="C9" s="9">
        <f>'Data Sheet'!C27</f>
        <v>0</v>
      </c>
      <c r="D9" s="9">
        <f>'Data Sheet'!D27</f>
        <v>0</v>
      </c>
      <c r="E9" s="9">
        <f>'Data Sheet'!E27</f>
        <v>0</v>
      </c>
      <c r="F9" s="9">
        <f>'Data Sheet'!F27</f>
        <v>0</v>
      </c>
      <c r="G9" s="9">
        <f>'Data Sheet'!G27</f>
        <v>47.37</v>
      </c>
      <c r="H9" s="9">
        <f>'Data Sheet'!H27</f>
        <v>19.13</v>
      </c>
      <c r="I9" s="9">
        <f>'Data Sheet'!I27</f>
        <v>12.2</v>
      </c>
      <c r="J9" s="9">
        <f>'Data Sheet'!J27</f>
        <v>12.66</v>
      </c>
      <c r="K9" s="9">
        <f>'Data Sheet'!K27</f>
        <v>28.11</v>
      </c>
      <c r="L9" s="9">
        <f>SUM(Quarters!H9:K9)</f>
        <v>23.7</v>
      </c>
      <c r="M9" s="9">
        <f>+$L9</f>
        <v>23.7</v>
      </c>
      <c r="N9" s="9">
        <f>+$L9</f>
        <v>23.7</v>
      </c>
    </row>
    <row r="10" spans="1:14" x14ac:dyDescent="0.3">
      <c r="A10" s="6" t="s">
        <v>12</v>
      </c>
      <c r="B10" s="9">
        <f>'Data Sheet'!B28</f>
        <v>1830.84</v>
      </c>
      <c r="C10" s="9">
        <f>'Data Sheet'!C28</f>
        <v>1747.59</v>
      </c>
      <c r="D10" s="9">
        <f>'Data Sheet'!D28</f>
        <v>1756.98</v>
      </c>
      <c r="E10" s="9">
        <f>'Data Sheet'!E28</f>
        <v>1840.44</v>
      </c>
      <c r="F10" s="9">
        <f>'Data Sheet'!F28</f>
        <v>2266.98</v>
      </c>
      <c r="G10" s="9">
        <f>'Data Sheet'!G28</f>
        <v>2252.2800000000002</v>
      </c>
      <c r="H10" s="9">
        <f>'Data Sheet'!H28</f>
        <v>2477.33</v>
      </c>
      <c r="I10" s="9">
        <f>'Data Sheet'!I28</f>
        <v>2528.2800000000002</v>
      </c>
      <c r="J10" s="9">
        <f>'Data Sheet'!J28</f>
        <v>2569.91</v>
      </c>
      <c r="K10" s="9">
        <f>'Data Sheet'!K28</f>
        <v>3022.33</v>
      </c>
      <c r="L10" s="9">
        <f>SUM(Quarters!H10:K10)</f>
        <v>3257.1</v>
      </c>
      <c r="M10" s="9">
        <f>M6+M7-SUM(M8:M9)</f>
        <v>3111.768760718166</v>
      </c>
      <c r="N10" s="9">
        <f>N6+N7-SUM(N8:N9)</f>
        <v>2823.2266147394753</v>
      </c>
    </row>
    <row r="11" spans="1:14" x14ac:dyDescent="0.3">
      <c r="A11" s="6" t="s">
        <v>13</v>
      </c>
      <c r="B11" s="9">
        <f>'Data Sheet'!B29</f>
        <v>638.52</v>
      </c>
      <c r="C11" s="9">
        <f>'Data Sheet'!C29</f>
        <v>698.7</v>
      </c>
      <c r="D11" s="9">
        <f>'Data Sheet'!D29</f>
        <v>571.59</v>
      </c>
      <c r="E11" s="9">
        <f>'Data Sheet'!E29</f>
        <v>603.4</v>
      </c>
      <c r="F11" s="9">
        <f>'Data Sheet'!F29</f>
        <v>881.09</v>
      </c>
      <c r="G11" s="9">
        <f>'Data Sheet'!G29</f>
        <v>790.07</v>
      </c>
      <c r="H11" s="9">
        <f>'Data Sheet'!H29</f>
        <v>715.48</v>
      </c>
      <c r="I11" s="9">
        <f>'Data Sheet'!I29</f>
        <v>639.45000000000005</v>
      </c>
      <c r="J11" s="9">
        <f>'Data Sheet'!J29</f>
        <v>763.77</v>
      </c>
      <c r="K11" s="9">
        <f>'Data Sheet'!K29</f>
        <v>802.97</v>
      </c>
      <c r="L11" s="9">
        <f>SUM(Quarters!H11:K11)</f>
        <v>961.3</v>
      </c>
      <c r="M11" s="10">
        <f>IF($L10&gt;0,$L11/$L10,0)</f>
        <v>0.29513984833133766</v>
      </c>
      <c r="N11" s="10">
        <f>IF($L10&gt;0,$L11/$L10,0)</f>
        <v>0.29513984833133766</v>
      </c>
    </row>
    <row r="12" spans="1:14" s="8" customFormat="1" x14ac:dyDescent="0.3">
      <c r="A12" s="8" t="s">
        <v>14</v>
      </c>
      <c r="B12" s="1">
        <f>'Data Sheet'!B30</f>
        <v>1192.32</v>
      </c>
      <c r="C12" s="1">
        <f>'Data Sheet'!C30</f>
        <v>1048.8900000000001</v>
      </c>
      <c r="D12" s="1">
        <f>'Data Sheet'!D30</f>
        <v>1185.3900000000001</v>
      </c>
      <c r="E12" s="1">
        <f>'Data Sheet'!E30</f>
        <v>1237.04</v>
      </c>
      <c r="F12" s="1">
        <f>'Data Sheet'!F30</f>
        <v>1385.9</v>
      </c>
      <c r="G12" s="1">
        <f>'Data Sheet'!G30</f>
        <v>1462.22</v>
      </c>
      <c r="H12" s="1">
        <f>'Data Sheet'!H30</f>
        <v>1761.86</v>
      </c>
      <c r="I12" s="1">
        <f>'Data Sheet'!I30</f>
        <v>1888.83</v>
      </c>
      <c r="J12" s="1">
        <f>'Data Sheet'!J30</f>
        <v>1806.14</v>
      </c>
      <c r="K12" s="1">
        <f>'Data Sheet'!K30</f>
        <v>2219.36</v>
      </c>
      <c r="L12" s="1">
        <f>SUM(Quarters!H12:K12)</f>
        <v>2295.8000000000002</v>
      </c>
      <c r="M12" s="1">
        <f>M10-M11*M10</f>
        <v>2193.3618006376119</v>
      </c>
      <c r="N12" s="1">
        <f>N10-N11*N10</f>
        <v>1989.9799398602706</v>
      </c>
    </row>
    <row r="13" spans="1:14" x14ac:dyDescent="0.3">
      <c r="A13" s="11" t="s">
        <v>48</v>
      </c>
      <c r="B13" s="9">
        <f>IF('Data Sheet'!B93&gt;0,B12/'Data Sheet'!B93,0)</f>
        <v>140.93617021276594</v>
      </c>
      <c r="C13" s="9">
        <f>IF('Data Sheet'!C93&gt;0,C12/'Data Sheet'!C93,0)</f>
        <v>123.54416961130742</v>
      </c>
      <c r="D13" s="9">
        <f>IF('Data Sheet'!D93&gt;0,D12/'Data Sheet'!D93,0)</f>
        <v>139.2937720329025</v>
      </c>
      <c r="E13" s="9">
        <f>IF('Data Sheet'!E93&gt;0,E12/'Data Sheet'!E93,0)</f>
        <v>144.85245901639345</v>
      </c>
      <c r="F13" s="9">
        <f>IF('Data Sheet'!F93&gt;0,F12/'Data Sheet'!F93,0)</f>
        <v>161.52680652680652</v>
      </c>
      <c r="G13" s="9">
        <f>IF('Data Sheet'!G93&gt;0,G12/'Data Sheet'!G93,0)</f>
        <v>170.22351571594879</v>
      </c>
      <c r="H13" s="9">
        <f>IF('Data Sheet'!H93&gt;0,H12/'Data Sheet'!H93,0)</f>
        <v>204.62950058072011</v>
      </c>
      <c r="I13" s="9">
        <f>IF('Data Sheet'!I93&gt;0,I12/'Data Sheet'!I93,0)</f>
        <v>219.1218097447796</v>
      </c>
      <c r="J13" s="9">
        <f>IF('Data Sheet'!J93&gt;0,J12/'Data Sheet'!J93,0)</f>
        <v>209.04398148148147</v>
      </c>
      <c r="K13" s="9">
        <f>IF('Data Sheet'!K93&gt;0,K12/'Data Sheet'!K93,0)</f>
        <v>255.98154555940025</v>
      </c>
      <c r="L13" s="9">
        <f>IF('Data Sheet'!$B6&gt;0,'Profit &amp; Loss'!L12/'Data Sheet'!$B6,0)</f>
        <v>242.86136740911982</v>
      </c>
      <c r="M13" s="9">
        <f>IF('Data Sheet'!$B6&gt;0,'Profit &amp; Loss'!M12/'Data Sheet'!$B6,0)</f>
        <v>232.02493515366305</v>
      </c>
      <c r="N13" s="9">
        <f>IF('Data Sheet'!$B6&gt;0,'Profit &amp; Loss'!N12/'Data Sheet'!$B6,0)</f>
        <v>210.51017044654731</v>
      </c>
    </row>
    <row r="14" spans="1:14" x14ac:dyDescent="0.3">
      <c r="A14" s="6" t="s">
        <v>16</v>
      </c>
      <c r="B14" s="9">
        <f>IF(B15&gt;0,B15/B13,"")</f>
        <v>23.131393417874399</v>
      </c>
      <c r="C14" s="9">
        <f t="shared" ref="C14:K14" si="1">IF(C15&gt;0,C15/C13,"")</f>
        <v>28.567920372965705</v>
      </c>
      <c r="D14" s="9">
        <f t="shared" si="1"/>
        <v>27.393543475143197</v>
      </c>
      <c r="E14" s="9">
        <f t="shared" si="1"/>
        <v>25.856309416025347</v>
      </c>
      <c r="F14" s="9">
        <f t="shared" si="1"/>
        <v>20.973608485460712</v>
      </c>
      <c r="G14" s="9">
        <f t="shared" si="1"/>
        <v>11.888192953180779</v>
      </c>
      <c r="H14" s="9">
        <f t="shared" si="1"/>
        <v>15.632887686876368</v>
      </c>
      <c r="I14" s="9">
        <f t="shared" si="1"/>
        <v>16.373313109173402</v>
      </c>
      <c r="J14" s="9">
        <f t="shared" si="1"/>
        <v>15.612743198201692</v>
      </c>
      <c r="K14" s="9">
        <f t="shared" si="1"/>
        <v>34.276299023141803</v>
      </c>
      <c r="L14" s="9">
        <f>IF(L13&gt;0,L15/L13,0)</f>
        <v>33.279479919853642</v>
      </c>
      <c r="M14" s="9">
        <f>M25</f>
        <v>33.279479919853642</v>
      </c>
      <c r="N14" s="9">
        <f>N25</f>
        <v>21.177152648404611</v>
      </c>
    </row>
    <row r="15" spans="1:14" s="8" customFormat="1" x14ac:dyDescent="0.3">
      <c r="A15" s="8" t="s">
        <v>49</v>
      </c>
      <c r="B15" s="1">
        <f>'Data Sheet'!B90</f>
        <v>3260.05</v>
      </c>
      <c r="C15" s="1">
        <f>'Data Sheet'!C90</f>
        <v>3529.4</v>
      </c>
      <c r="D15" s="1">
        <f>'Data Sheet'!D90</f>
        <v>3815.75</v>
      </c>
      <c r="E15" s="1">
        <f>'Data Sheet'!E90</f>
        <v>3745.35</v>
      </c>
      <c r="F15" s="1">
        <f>'Data Sheet'!F90</f>
        <v>3387.8</v>
      </c>
      <c r="G15" s="1">
        <f>'Data Sheet'!G90</f>
        <v>2023.65</v>
      </c>
      <c r="H15" s="1">
        <f>'Data Sheet'!H90</f>
        <v>3198.95</v>
      </c>
      <c r="I15" s="1">
        <f>'Data Sheet'!I90</f>
        <v>3587.75</v>
      </c>
      <c r="J15" s="1">
        <f>'Data Sheet'!J90</f>
        <v>3263.75</v>
      </c>
      <c r="K15" s="1">
        <f>'Data Sheet'!K90</f>
        <v>8774.1</v>
      </c>
      <c r="L15" s="1">
        <f>'Data Sheet'!B8</f>
        <v>8082.3</v>
      </c>
      <c r="M15" s="12">
        <f>M13*M14</f>
        <v>7721.6691703516726</v>
      </c>
      <c r="N15" s="13">
        <f>N13*N14</f>
        <v>4458.0060135882059</v>
      </c>
    </row>
    <row r="17" spans="1:14" s="8" customFormat="1" x14ac:dyDescent="0.3">
      <c r="A17" s="8" t="s">
        <v>15</v>
      </c>
    </row>
    <row r="18" spans="1:14" x14ac:dyDescent="0.3">
      <c r="A18" s="6" t="s">
        <v>17</v>
      </c>
      <c r="B18" s="7">
        <f>IF('Data Sheet'!B30&gt;0, 'Data Sheet'!B31/'Data Sheet'!B30, 0)</f>
        <v>4.7195635399892648</v>
      </c>
      <c r="C18" s="7">
        <f>IF('Data Sheet'!C30&gt;0, 'Data Sheet'!C31/'Data Sheet'!C30, 0)</f>
        <v>0.80752033101659837</v>
      </c>
      <c r="D18" s="7">
        <f>IF('Data Sheet'!D30&gt;0, 'Data Sheet'!D31/'Data Sheet'!D30, 0)</f>
        <v>1.2181476138654788</v>
      </c>
      <c r="E18" s="7">
        <f>IF('Data Sheet'!E30&gt;0, 'Data Sheet'!E31/'Data Sheet'!E30, 0)</f>
        <v>0.89683437883981121</v>
      </c>
      <c r="F18" s="7">
        <f>IF('Data Sheet'!F30&gt;0, 'Data Sheet'!F31/'Data Sheet'!F30, 0)</f>
        <v>0</v>
      </c>
      <c r="G18" s="7">
        <f>IF('Data Sheet'!G30&gt;0, 'Data Sheet'!G31/'Data Sheet'!G30, 0)</f>
        <v>1.0571870170015456</v>
      </c>
      <c r="H18" s="7">
        <f>IF('Data Sheet'!H30&gt;0, 'Data Sheet'!H31/'Data Sheet'!H30, 0)</f>
        <v>0.97692211639971405</v>
      </c>
      <c r="I18" s="7">
        <f>IF('Data Sheet'!I30&gt;0, 'Data Sheet'!I31/'Data Sheet'!I30, 0)</f>
        <v>0.8674999867642933</v>
      </c>
      <c r="J18" s="7">
        <f>IF('Data Sheet'!J30&gt;0, 'Data Sheet'!J31/'Data Sheet'!J30, 0)</f>
        <v>1.0763285238132148</v>
      </c>
      <c r="K18" s="7">
        <f>IF('Data Sheet'!K30&gt;0, 'Data Sheet'!K31/'Data Sheet'!K30, 0)</f>
        <v>0.9373513084853291</v>
      </c>
    </row>
    <row r="19" spans="1:14" x14ac:dyDescent="0.3">
      <c r="A19" s="6" t="s">
        <v>18</v>
      </c>
      <c r="B19" s="7">
        <f>IF(B6&gt;0,B6/B4,0)</f>
        <v>0.3971410352607358</v>
      </c>
      <c r="C19" s="7">
        <f t="shared" ref="C19:K19" si="2">IF(C6&gt;0,C6/C4,0)</f>
        <v>0.39013172864190232</v>
      </c>
      <c r="D19" s="7">
        <f t="shared" si="2"/>
        <v>0.39170411134681105</v>
      </c>
      <c r="E19" s="7">
        <f t="shared" si="2"/>
        <v>0.40004903400795588</v>
      </c>
      <c r="F19" s="7">
        <f t="shared" si="2"/>
        <v>0.43247696061626567</v>
      </c>
      <c r="G19" s="7">
        <f t="shared" si="2"/>
        <v>0.45845744330711247</v>
      </c>
      <c r="H19" s="7">
        <f t="shared" si="2"/>
        <v>0.49531093873521753</v>
      </c>
      <c r="I19" s="7">
        <f t="shared" si="2"/>
        <v>0.47859027934715576</v>
      </c>
      <c r="J19" s="7">
        <f t="shared" si="2"/>
        <v>0.43370578294266199</v>
      </c>
      <c r="K19" s="7">
        <f t="shared" si="2"/>
        <v>0.43661187266199697</v>
      </c>
      <c r="L19" s="7">
        <f>IF(L6&gt;0,L6/L4,0)</f>
        <v>0.44973349672961355</v>
      </c>
    </row>
    <row r="20" spans="1:14" x14ac:dyDescent="0.3">
      <c r="B20" s="7"/>
      <c r="C20" s="7"/>
      <c r="D20" s="7"/>
      <c r="E20" s="7"/>
      <c r="F20" s="7"/>
      <c r="G20" s="7"/>
      <c r="H20" s="7"/>
      <c r="I20" s="7"/>
      <c r="J20" s="7"/>
      <c r="K20" s="7"/>
      <c r="L20" s="7"/>
    </row>
    <row r="21" spans="1:14" x14ac:dyDescent="0.3">
      <c r="B21" s="7"/>
      <c r="C21" s="7"/>
      <c r="D21" s="7"/>
      <c r="E21" s="7"/>
      <c r="F21" s="7"/>
      <c r="G21" s="7"/>
      <c r="H21" s="7"/>
      <c r="I21" s="7"/>
      <c r="J21" s="7"/>
      <c r="K21" s="7"/>
      <c r="L21" s="7"/>
    </row>
    <row r="22" spans="1:14" s="2" customFormat="1" x14ac:dyDescent="0.3">
      <c r="A22" s="15"/>
      <c r="B22" s="16"/>
      <c r="C22" s="16"/>
      <c r="D22" s="16"/>
      <c r="E22" s="16"/>
      <c r="F22" s="16"/>
      <c r="G22" s="16" t="s">
        <v>19</v>
      </c>
      <c r="H22" s="16" t="s">
        <v>56</v>
      </c>
      <c r="I22" s="16" t="s">
        <v>57</v>
      </c>
      <c r="J22" s="16" t="s">
        <v>58</v>
      </c>
      <c r="K22" s="16" t="s">
        <v>59</v>
      </c>
      <c r="L22" s="17" t="s">
        <v>60</v>
      </c>
      <c r="M22" s="17" t="s">
        <v>20</v>
      </c>
      <c r="N22" s="17" t="s">
        <v>21</v>
      </c>
    </row>
    <row r="23" spans="1:14" s="8" customFormat="1" x14ac:dyDescent="0.3">
      <c r="A23" s="6"/>
      <c r="B23" s="6"/>
      <c r="C23" s="6"/>
      <c r="D23" s="6"/>
      <c r="E23" s="6"/>
      <c r="F23" s="6"/>
      <c r="G23" s="6" t="s">
        <v>22</v>
      </c>
      <c r="H23" s="7">
        <f>IF(B4=0,"",POWER($K4/B4,1/9)-1)</f>
        <v>5.5933783440266227E-2</v>
      </c>
      <c r="I23" s="7">
        <f>IF(D4=0,"",POWER($K4/D4,1/7)-1)</f>
        <v>5.3443169510576594E-2</v>
      </c>
      <c r="J23" s="7">
        <f>IF(F4=0,"",POWER($K4/F4,1/5)-1)</f>
        <v>5.1456156956555477E-2</v>
      </c>
      <c r="K23" s="7">
        <f>IF(H4=0,"",POWER($K4/H4, 1/3)-1)</f>
        <v>8.5399113229520429E-2</v>
      </c>
      <c r="L23" s="7">
        <f>IF(ISERROR(MAX(IF(J4=0,"",(K4-J4)/J4),IF(K4=0,"",(L4-K4)/K4))),"",MAX(IF(J4=0,"",(K4-J4)/J4),IF(K4=0,"",(L4-K4)/K4)))</f>
        <v>0.11839475212826252</v>
      </c>
      <c r="M23" s="22">
        <f>MAX(K23:L23)</f>
        <v>0.11839475212826252</v>
      </c>
      <c r="N23" s="22">
        <f>MIN(H23:L23)</f>
        <v>5.1456156956555477E-2</v>
      </c>
    </row>
    <row r="24" spans="1:14" x14ac:dyDescent="0.3">
      <c r="G24" s="6" t="s">
        <v>18</v>
      </c>
      <c r="H24" s="7">
        <f>IF(SUM(B4:$K$4)=0,"",SUMPRODUCT(B19:$K$19,B4:$K$4)/SUM(B4:$K$4))</f>
        <v>0.43397169677173053</v>
      </c>
      <c r="I24" s="7">
        <f>IF(SUM(E4:$K$4)=0,"",SUMPRODUCT(E19:$K$19,E4:$K$4)/SUM(E4:$K$4))</f>
        <v>0.44795234423465058</v>
      </c>
      <c r="J24" s="7">
        <f>IF(SUM(G4:$K$4)=0,"",SUMPRODUCT(G19:$K$19,G4:$K$4)/SUM(G4:$K$4))</f>
        <v>0.45877194113777936</v>
      </c>
      <c r="K24" s="7">
        <f>IF(SUM(I4:$K$4)=0, "", SUMPRODUCT(I19:$K$19,I4:$K$4)/SUM(I4:$K$4))</f>
        <v>0.44832944248825951</v>
      </c>
      <c r="L24" s="7">
        <f>L19</f>
        <v>0.44973349672961355</v>
      </c>
      <c r="M24" s="22">
        <f>MAX(K24:L24)</f>
        <v>0.44973349672961355</v>
      </c>
      <c r="N24" s="22">
        <f>MIN(H24:L24)</f>
        <v>0.43397169677173053</v>
      </c>
    </row>
    <row r="25" spans="1:14" x14ac:dyDescent="0.3">
      <c r="G25" s="6" t="s">
        <v>23</v>
      </c>
      <c r="H25" s="9">
        <f>IF(ISERROR(AVERAGEIF(B14:$L14,"&gt;0")),"",AVERAGEIF(B14:$L14,"&gt;0"))</f>
        <v>22.998699187081549</v>
      </c>
      <c r="I25" s="9">
        <f>IF(ISERROR(AVERAGEIF(E14:$L14,"&gt;0")),"",AVERAGEIF(E14:$L14,"&gt;0"))</f>
        <v>21.736604223989218</v>
      </c>
      <c r="J25" s="9">
        <f>IF(ISERROR(AVERAGEIF(G14:$L14,"&gt;0")),"",AVERAGEIF(G14:$L14,"&gt;0"))</f>
        <v>21.177152648404611</v>
      </c>
      <c r="K25" s="9">
        <f>IF(ISERROR(AVERAGEIF(I14:$L14,"&gt;0")),"",AVERAGEIF(I14:$L14,"&gt;0"))</f>
        <v>24.885458812592635</v>
      </c>
      <c r="L25" s="9">
        <f>L14</f>
        <v>33.279479919853642</v>
      </c>
      <c r="M25" s="1">
        <f>MAX(K25:L25)</f>
        <v>33.279479919853642</v>
      </c>
      <c r="N25" s="1">
        <f>MIN(H25:L25)</f>
        <v>21.177152648404611</v>
      </c>
    </row>
    <row r="26" spans="1:14" x14ac:dyDescent="0.3">
      <c r="B26" s="164">
        <f>B11/B10</f>
        <v>0.34875794717178998</v>
      </c>
      <c r="C26" s="164">
        <f t="shared" ref="C26:K26" si="3">C11/C10</f>
        <v>0.39980773522393703</v>
      </c>
      <c r="D26" s="164">
        <f t="shared" si="3"/>
        <v>0.32532527404979</v>
      </c>
      <c r="E26" s="164">
        <f t="shared" si="3"/>
        <v>0.32785638216948121</v>
      </c>
      <c r="F26" s="164">
        <f t="shared" si="3"/>
        <v>0.38866244960255497</v>
      </c>
      <c r="G26" s="164">
        <f t="shared" si="3"/>
        <v>0.35078675830713762</v>
      </c>
      <c r="H26" s="164">
        <f>H11/H10</f>
        <v>0.28881093758199355</v>
      </c>
      <c r="I26" s="164">
        <f t="shared" si="3"/>
        <v>0.25291898049266692</v>
      </c>
      <c r="J26" s="164">
        <f t="shared" si="3"/>
        <v>0.29719717811129576</v>
      </c>
      <c r="K26" s="164">
        <f t="shared" si="3"/>
        <v>0.26567912835461382</v>
      </c>
    </row>
  </sheetData>
  <hyperlinks>
    <hyperlink ref="M1" r:id="rId1"/>
  </hyperlinks>
  <printOptions gridLines="1"/>
  <pageMargins left="0.7" right="0.7" top="0.75" bottom="0.75" header="0.3" footer="0.3"/>
  <pageSetup paperSize="9" orientation="landscape"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K22"/>
  <sheetViews>
    <sheetView zoomScale="150" workbookViewId="0">
      <pane xSplit="1" ySplit="3" topLeftCell="B4" activePane="bottomRight" state="frozen"/>
      <selection pane="topRight" activeCell="B1" sqref="B1"/>
      <selection pane="bottomLeft" activeCell="A4" sqref="A4"/>
      <selection pane="bottomRight" activeCell="B22" sqref="B22"/>
    </sheetView>
  </sheetViews>
  <sheetFormatPr defaultColWidth="8.77734375" defaultRowHeight="14.4" x14ac:dyDescent="0.3"/>
  <cols>
    <col min="1" max="1" width="20.6640625" style="6" customWidth="1"/>
    <col min="2" max="11" width="13.44140625" style="6" bestFit="1" customWidth="1"/>
    <col min="12" max="16384" width="8.77734375" style="6"/>
  </cols>
  <sheetData>
    <row r="1" spans="1:11" s="8" customFormat="1" x14ac:dyDescent="0.3">
      <c r="A1" s="8" t="str">
        <f>'Profit &amp; Loss'!A1</f>
        <v>ORACLE FINANCIAL SERVICES SOFTWARE LTD</v>
      </c>
      <c r="E1" t="str">
        <f>UPDATE</f>
        <v/>
      </c>
      <c r="J1" s="4" t="s">
        <v>1</v>
      </c>
      <c r="K1" s="4"/>
    </row>
    <row r="3" spans="1:11" s="2" customFormat="1" x14ac:dyDescent="0.3">
      <c r="A3" s="15" t="s">
        <v>2</v>
      </c>
      <c r="B3" s="16">
        <f>'Data Sheet'!B41</f>
        <v>44834</v>
      </c>
      <c r="C3" s="16">
        <f>'Data Sheet'!C41</f>
        <v>44926</v>
      </c>
      <c r="D3" s="16">
        <f>'Data Sheet'!D41</f>
        <v>45016</v>
      </c>
      <c r="E3" s="16">
        <f>'Data Sheet'!E41</f>
        <v>45107</v>
      </c>
      <c r="F3" s="16">
        <f>'Data Sheet'!F41</f>
        <v>45199</v>
      </c>
      <c r="G3" s="16">
        <f>'Data Sheet'!G41</f>
        <v>45291</v>
      </c>
      <c r="H3" s="16">
        <f>'Data Sheet'!H41</f>
        <v>45382</v>
      </c>
      <c r="I3" s="16">
        <f>'Data Sheet'!I41</f>
        <v>45473</v>
      </c>
      <c r="J3" s="16">
        <f>'Data Sheet'!J41</f>
        <v>45565</v>
      </c>
      <c r="K3" s="16">
        <f>'Data Sheet'!K41</f>
        <v>45657</v>
      </c>
    </row>
    <row r="4" spans="1:11" s="8" customFormat="1" x14ac:dyDescent="0.3">
      <c r="A4" s="8" t="s">
        <v>6</v>
      </c>
      <c r="B4" s="1">
        <f>'Data Sheet'!B42</f>
        <v>1376.03</v>
      </c>
      <c r="C4" s="1">
        <f>'Data Sheet'!C42</f>
        <v>1449.3</v>
      </c>
      <c r="D4" s="1">
        <f>'Data Sheet'!D42</f>
        <v>1470.52</v>
      </c>
      <c r="E4" s="1">
        <f>'Data Sheet'!E42</f>
        <v>1462.4</v>
      </c>
      <c r="F4" s="1">
        <f>'Data Sheet'!F42</f>
        <v>1444.48</v>
      </c>
      <c r="G4" s="1">
        <f>'Data Sheet'!G42</f>
        <v>1823.6</v>
      </c>
      <c r="H4" s="1">
        <f>'Data Sheet'!H42</f>
        <v>1642.4</v>
      </c>
      <c r="I4" s="1">
        <f>'Data Sheet'!I42</f>
        <v>1741.4</v>
      </c>
      <c r="J4" s="1">
        <f>'Data Sheet'!J42</f>
        <v>1673.9</v>
      </c>
      <c r="K4" s="1">
        <f>'Data Sheet'!K42</f>
        <v>1715.2</v>
      </c>
    </row>
    <row r="5" spans="1:11" x14ac:dyDescent="0.3">
      <c r="A5" s="6" t="s">
        <v>7</v>
      </c>
      <c r="B5" s="9">
        <f>'Data Sheet'!B43</f>
        <v>809.15</v>
      </c>
      <c r="C5" s="9">
        <f>'Data Sheet'!C43</f>
        <v>843.09</v>
      </c>
      <c r="D5" s="9">
        <f>'Data Sheet'!D43</f>
        <v>819.66</v>
      </c>
      <c r="E5" s="9">
        <f>'Data Sheet'!E43</f>
        <v>840.9</v>
      </c>
      <c r="F5" s="9">
        <f>'Data Sheet'!F43</f>
        <v>886.37</v>
      </c>
      <c r="G5" s="9">
        <f>'Data Sheet'!G43</f>
        <v>955.1</v>
      </c>
      <c r="H5" s="9">
        <f>'Data Sheet'!H43</f>
        <v>908</v>
      </c>
      <c r="I5" s="9">
        <f>'Data Sheet'!I43</f>
        <v>894.3</v>
      </c>
      <c r="J5" s="9">
        <f>'Data Sheet'!J43</f>
        <v>923.3</v>
      </c>
      <c r="K5" s="9">
        <f>'Data Sheet'!K43</f>
        <v>1001.3</v>
      </c>
    </row>
    <row r="6" spans="1:11" s="8" customFormat="1" x14ac:dyDescent="0.3">
      <c r="A6" s="8" t="s">
        <v>8</v>
      </c>
      <c r="B6" s="1">
        <f>'Data Sheet'!B50</f>
        <v>566.88</v>
      </c>
      <c r="C6" s="1">
        <f>'Data Sheet'!C50</f>
        <v>606.21</v>
      </c>
      <c r="D6" s="1">
        <f>'Data Sheet'!D50</f>
        <v>650.86</v>
      </c>
      <c r="E6" s="1">
        <f>'Data Sheet'!E50</f>
        <v>621.5</v>
      </c>
      <c r="F6" s="1">
        <f>'Data Sheet'!F50</f>
        <v>558.11</v>
      </c>
      <c r="G6" s="1">
        <f>'Data Sheet'!G50</f>
        <v>868.5</v>
      </c>
      <c r="H6" s="1">
        <f>'Data Sheet'!H50</f>
        <v>734.4</v>
      </c>
      <c r="I6" s="1">
        <f>'Data Sheet'!I50</f>
        <v>847.1</v>
      </c>
      <c r="J6" s="1">
        <f>'Data Sheet'!J50</f>
        <v>750.6</v>
      </c>
      <c r="K6" s="1">
        <f>'Data Sheet'!K50</f>
        <v>713.9</v>
      </c>
    </row>
    <row r="7" spans="1:11" x14ac:dyDescent="0.3">
      <c r="A7" s="6" t="s">
        <v>9</v>
      </c>
      <c r="B7" s="9">
        <f>'Data Sheet'!B44</f>
        <v>45.62</v>
      </c>
      <c r="C7" s="9">
        <f>'Data Sheet'!C44</f>
        <v>40.799999999999997</v>
      </c>
      <c r="D7" s="9">
        <f>'Data Sheet'!D44</f>
        <v>61.27</v>
      </c>
      <c r="E7" s="9">
        <f>'Data Sheet'!E44</f>
        <v>100.6</v>
      </c>
      <c r="F7" s="9">
        <f>'Data Sheet'!F44</f>
        <v>65.14</v>
      </c>
      <c r="G7" s="9">
        <f>'Data Sheet'!G44</f>
        <v>94</v>
      </c>
      <c r="H7" s="9">
        <f>'Data Sheet'!H44</f>
        <v>82.5</v>
      </c>
      <c r="I7" s="9">
        <f>'Data Sheet'!I44</f>
        <v>48</v>
      </c>
      <c r="J7" s="9">
        <f>'Data Sheet'!J44</f>
        <v>104.6</v>
      </c>
      <c r="K7" s="9">
        <f>'Data Sheet'!K44</f>
        <v>69.7</v>
      </c>
    </row>
    <row r="8" spans="1:11" x14ac:dyDescent="0.3">
      <c r="A8" s="6" t="s">
        <v>10</v>
      </c>
      <c r="B8" s="9">
        <f>'Data Sheet'!B45</f>
        <v>21.66</v>
      </c>
      <c r="C8" s="9">
        <f>'Data Sheet'!C45</f>
        <v>20.61</v>
      </c>
      <c r="D8" s="9">
        <f>'Data Sheet'!D45</f>
        <v>18.690000000000001</v>
      </c>
      <c r="E8" s="9">
        <f>'Data Sheet'!E45</f>
        <v>18.5</v>
      </c>
      <c r="F8" s="9">
        <f>'Data Sheet'!F45</f>
        <v>19.010000000000002</v>
      </c>
      <c r="G8" s="9">
        <f>'Data Sheet'!G45</f>
        <v>19</v>
      </c>
      <c r="H8" s="9">
        <f>'Data Sheet'!H45</f>
        <v>17.8</v>
      </c>
      <c r="I8" s="9">
        <f>'Data Sheet'!I45</f>
        <v>17.5</v>
      </c>
      <c r="J8" s="9">
        <f>'Data Sheet'!J45</f>
        <v>17.8</v>
      </c>
      <c r="K8" s="9">
        <f>'Data Sheet'!K45</f>
        <v>16.899999999999999</v>
      </c>
    </row>
    <row r="9" spans="1:11" x14ac:dyDescent="0.3">
      <c r="A9" s="6" t="s">
        <v>11</v>
      </c>
      <c r="B9" s="9">
        <f>'Data Sheet'!B46</f>
        <v>5.34</v>
      </c>
      <c r="C9" s="9">
        <f>'Data Sheet'!C46</f>
        <v>6.59</v>
      </c>
      <c r="D9" s="9">
        <f>'Data Sheet'!D46</f>
        <v>7.67</v>
      </c>
      <c r="E9" s="9">
        <f>'Data Sheet'!E46</f>
        <v>-3.2</v>
      </c>
      <c r="F9" s="9">
        <f>'Data Sheet'!F46</f>
        <v>8.0399999999999991</v>
      </c>
      <c r="G9" s="9">
        <f>'Data Sheet'!G46</f>
        <v>9.3000000000000007</v>
      </c>
      <c r="H9" s="9">
        <f>'Data Sheet'!H46</f>
        <v>13.9</v>
      </c>
      <c r="I9" s="9">
        <f>'Data Sheet'!I46</f>
        <v>4.7</v>
      </c>
      <c r="J9" s="9">
        <f>'Data Sheet'!J46</f>
        <v>8.4</v>
      </c>
      <c r="K9" s="9">
        <f>'Data Sheet'!K46</f>
        <v>-3.3</v>
      </c>
    </row>
    <row r="10" spans="1:11" x14ac:dyDescent="0.3">
      <c r="A10" s="6" t="s">
        <v>12</v>
      </c>
      <c r="B10" s="9">
        <f>'Data Sheet'!B47</f>
        <v>585.5</v>
      </c>
      <c r="C10" s="9">
        <f>'Data Sheet'!C47</f>
        <v>619.80999999999995</v>
      </c>
      <c r="D10" s="9">
        <f>'Data Sheet'!D47</f>
        <v>685.77</v>
      </c>
      <c r="E10" s="9">
        <f>'Data Sheet'!E47</f>
        <v>706.8</v>
      </c>
      <c r="F10" s="9">
        <f>'Data Sheet'!F47</f>
        <v>596.20000000000005</v>
      </c>
      <c r="G10" s="9">
        <f>'Data Sheet'!G47</f>
        <v>934.2</v>
      </c>
      <c r="H10" s="9">
        <f>'Data Sheet'!H47</f>
        <v>785.2</v>
      </c>
      <c r="I10" s="9">
        <f>'Data Sheet'!I47</f>
        <v>872.9</v>
      </c>
      <c r="J10" s="9">
        <f>'Data Sheet'!J47</f>
        <v>829</v>
      </c>
      <c r="K10" s="9">
        <f>'Data Sheet'!K47</f>
        <v>770</v>
      </c>
    </row>
    <row r="11" spans="1:11" x14ac:dyDescent="0.3">
      <c r="A11" s="6" t="s">
        <v>13</v>
      </c>
      <c r="B11" s="9">
        <f>'Data Sheet'!B48</f>
        <v>187.75</v>
      </c>
      <c r="C11" s="9">
        <f>'Data Sheet'!C48</f>
        <v>182.48</v>
      </c>
      <c r="D11" s="9">
        <f>'Data Sheet'!D48</f>
        <v>206.46</v>
      </c>
      <c r="E11" s="9">
        <f>'Data Sheet'!E48</f>
        <v>205.8</v>
      </c>
      <c r="F11" s="9">
        <f>'Data Sheet'!F48</f>
        <v>178.75</v>
      </c>
      <c r="G11" s="9">
        <f>'Data Sheet'!G48</f>
        <v>193.4</v>
      </c>
      <c r="H11" s="9">
        <f>'Data Sheet'!H48</f>
        <v>225.1</v>
      </c>
      <c r="I11" s="9">
        <f>'Data Sheet'!I48</f>
        <v>256.2</v>
      </c>
      <c r="J11" s="9">
        <f>'Data Sheet'!J48</f>
        <v>251.3</v>
      </c>
      <c r="K11" s="9">
        <f>'Data Sheet'!K48</f>
        <v>228.7</v>
      </c>
    </row>
    <row r="12" spans="1:11" s="8" customFormat="1" x14ac:dyDescent="0.3">
      <c r="A12" s="8" t="s">
        <v>14</v>
      </c>
      <c r="B12" s="1">
        <f>'Data Sheet'!B49</f>
        <v>397.75</v>
      </c>
      <c r="C12" s="1">
        <f>'Data Sheet'!C49</f>
        <v>437.33</v>
      </c>
      <c r="D12" s="1">
        <f>'Data Sheet'!D49</f>
        <v>479.3</v>
      </c>
      <c r="E12" s="1">
        <f>'Data Sheet'!E49</f>
        <v>501</v>
      </c>
      <c r="F12" s="1">
        <f>'Data Sheet'!F49</f>
        <v>417.45</v>
      </c>
      <c r="G12" s="1">
        <f>'Data Sheet'!G49</f>
        <v>740.8</v>
      </c>
      <c r="H12" s="1">
        <f>'Data Sheet'!H49</f>
        <v>560.1</v>
      </c>
      <c r="I12" s="1">
        <f>'Data Sheet'!I49</f>
        <v>616.70000000000005</v>
      </c>
      <c r="J12" s="1">
        <f>'Data Sheet'!J49</f>
        <v>577.70000000000005</v>
      </c>
      <c r="K12" s="1">
        <f>'Data Sheet'!K49</f>
        <v>541.29999999999995</v>
      </c>
    </row>
    <row r="14" spans="1:11" s="8" customFormat="1" x14ac:dyDescent="0.3">
      <c r="A14" s="2" t="s">
        <v>18</v>
      </c>
      <c r="B14" s="14">
        <f>IF(B4&gt;0,B6/B4,"")</f>
        <v>0.41196776233076315</v>
      </c>
      <c r="C14" s="14">
        <f t="shared" ref="C14:K14" si="0">IF(C4&gt;0,C6/C4,"")</f>
        <v>0.4182777892775823</v>
      </c>
      <c r="D14" s="14">
        <f t="shared" si="0"/>
        <v>0.4426053368876316</v>
      </c>
      <c r="E14" s="14">
        <f t="shared" si="0"/>
        <v>0.4249863238512035</v>
      </c>
      <c r="F14" s="14">
        <f t="shared" si="0"/>
        <v>0.38637433540097477</v>
      </c>
      <c r="G14" s="14">
        <f t="shared" si="0"/>
        <v>0.47625575784163199</v>
      </c>
      <c r="H14" s="14">
        <f t="shared" si="0"/>
        <v>0.4471505114466634</v>
      </c>
      <c r="I14" s="14">
        <f t="shared" si="0"/>
        <v>0.48644768577007003</v>
      </c>
      <c r="J14" s="14">
        <f t="shared" si="0"/>
        <v>0.44841388374454866</v>
      </c>
      <c r="K14" s="14">
        <f t="shared" si="0"/>
        <v>0.41621968283582089</v>
      </c>
    </row>
    <row r="16" spans="1:11" x14ac:dyDescent="0.3">
      <c r="D16" s="163">
        <f>SUM(D11:D12)</f>
        <v>685.76</v>
      </c>
      <c r="E16" s="163">
        <f t="shared" ref="E16:K16" si="1">SUM(E11:E12)</f>
        <v>706.8</v>
      </c>
      <c r="F16" s="163">
        <f t="shared" si="1"/>
        <v>596.20000000000005</v>
      </c>
      <c r="G16" s="163">
        <f t="shared" si="1"/>
        <v>934.19999999999993</v>
      </c>
      <c r="H16" s="163">
        <f t="shared" si="1"/>
        <v>785.2</v>
      </c>
      <c r="I16" s="163">
        <f t="shared" si="1"/>
        <v>872.90000000000009</v>
      </c>
      <c r="J16" s="163">
        <f t="shared" si="1"/>
        <v>829</v>
      </c>
      <c r="K16" s="163">
        <f t="shared" si="1"/>
        <v>770</v>
      </c>
    </row>
    <row r="17" spans="4:4" x14ac:dyDescent="0.3">
      <c r="D17" s="164">
        <f>D11/D16</f>
        <v>0.30106742883807747</v>
      </c>
    </row>
    <row r="22" spans="4:4" s="26" customFormat="1" x14ac:dyDescent="0.3"/>
  </sheetData>
  <hyperlinks>
    <hyperlink ref="J1" r:id="rId1"/>
  </hyperlinks>
  <printOptions gridLines="1"/>
  <pageMargins left="0.7" right="0.7" top="0.75" bottom="0.75" header="0.3" footer="0.3"/>
  <pageSetup paperSize="9" scale="83" orientation="landscape"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25"/>
  <sheetViews>
    <sheetView zoomScale="125" workbookViewId="0">
      <pane xSplit="1" ySplit="3" topLeftCell="E4" activePane="bottomRight" state="frozen"/>
      <selection activeCell="C4" sqref="C4"/>
      <selection pane="topRight" activeCell="C4" sqref="C4"/>
      <selection pane="bottomLeft" activeCell="C4" sqref="C4"/>
      <selection pane="bottomRight" activeCell="K24" sqref="K24"/>
    </sheetView>
  </sheetViews>
  <sheetFormatPr defaultColWidth="8.77734375" defaultRowHeight="14.4" x14ac:dyDescent="0.3"/>
  <cols>
    <col min="1" max="1" width="22.77734375" style="11" bestFit="1" customWidth="1"/>
    <col min="2" max="2" width="13.44140625" style="11" customWidth="1"/>
    <col min="3" max="11" width="15.44140625" style="11" customWidth="1"/>
    <col min="12" max="16384" width="8.77734375" style="11"/>
  </cols>
  <sheetData>
    <row r="1" spans="1:11" s="8" customFormat="1" x14ac:dyDescent="0.3">
      <c r="A1" s="8" t="str">
        <f>'Profit &amp; Loss'!A1</f>
        <v>ORACLE FINANCIAL SERVICES SOFTWARE LTD</v>
      </c>
      <c r="E1" t="str">
        <f>UPDATE</f>
        <v/>
      </c>
      <c r="G1"/>
      <c r="J1" s="4" t="s">
        <v>1</v>
      </c>
      <c r="K1" s="4"/>
    </row>
    <row r="2" spans="1:11" x14ac:dyDescent="0.3">
      <c r="G2" s="8"/>
      <c r="H2" s="8"/>
    </row>
    <row r="3" spans="1:11" s="18" customFormat="1" x14ac:dyDescent="0.3">
      <c r="A3" s="15" t="s">
        <v>2</v>
      </c>
      <c r="B3" s="16">
        <f>'Data Sheet'!B56</f>
        <v>42094</v>
      </c>
      <c r="C3" s="16">
        <f>'Data Sheet'!C56</f>
        <v>42460</v>
      </c>
      <c r="D3" s="16">
        <f>'Data Sheet'!D56</f>
        <v>42825</v>
      </c>
      <c r="E3" s="16">
        <f>'Data Sheet'!E56</f>
        <v>43190</v>
      </c>
      <c r="F3" s="16">
        <f>'Data Sheet'!F56</f>
        <v>43555</v>
      </c>
      <c r="G3" s="16">
        <f>'Data Sheet'!G56</f>
        <v>43921</v>
      </c>
      <c r="H3" s="16">
        <f>'Data Sheet'!H56</f>
        <v>44286</v>
      </c>
      <c r="I3" s="16">
        <f>'Data Sheet'!I56</f>
        <v>44651</v>
      </c>
      <c r="J3" s="16">
        <f>'Data Sheet'!J56</f>
        <v>45016</v>
      </c>
      <c r="K3" s="16">
        <f>'Data Sheet'!K56</f>
        <v>45382</v>
      </c>
    </row>
    <row r="4" spans="1:11" x14ac:dyDescent="0.3">
      <c r="A4" s="6" t="s">
        <v>24</v>
      </c>
      <c r="B4" s="19">
        <f>'Data Sheet'!B57</f>
        <v>42.31</v>
      </c>
      <c r="C4" s="19">
        <f>'Data Sheet'!C57</f>
        <v>42.35</v>
      </c>
      <c r="D4" s="19">
        <f>'Data Sheet'!D57</f>
        <v>42.47</v>
      </c>
      <c r="E4" s="19">
        <f>'Data Sheet'!E57</f>
        <v>42.67</v>
      </c>
      <c r="F4" s="19">
        <f>'Data Sheet'!F57</f>
        <v>42.88</v>
      </c>
      <c r="G4" s="19">
        <f>'Data Sheet'!G57</f>
        <v>42.94</v>
      </c>
      <c r="H4" s="19">
        <f>'Data Sheet'!H57</f>
        <v>43.03</v>
      </c>
      <c r="I4" s="19">
        <f>'Data Sheet'!I57</f>
        <v>43.12</v>
      </c>
      <c r="J4" s="19">
        <f>'Data Sheet'!J57</f>
        <v>43.2</v>
      </c>
      <c r="K4" s="19">
        <f>'Data Sheet'!K57</f>
        <v>43.34</v>
      </c>
    </row>
    <row r="5" spans="1:11" s="6" customFormat="1" x14ac:dyDescent="0.3">
      <c r="A5" s="6" t="s">
        <v>25</v>
      </c>
      <c r="B5" s="19">
        <f>'Data Sheet'!B58</f>
        <v>3401.82</v>
      </c>
      <c r="C5" s="19">
        <f>'Data Sheet'!C58</f>
        <v>4631.53</v>
      </c>
      <c r="D5" s="19">
        <f>'Data Sheet'!D58</f>
        <v>3222.12</v>
      </c>
      <c r="E5" s="19">
        <f>'Data Sheet'!E58</f>
        <v>4664.72</v>
      </c>
      <c r="F5" s="19">
        <f>'Data Sheet'!F58</f>
        <v>4893.67</v>
      </c>
      <c r="G5" s="19">
        <f>'Data Sheet'!G58</f>
        <v>6526.64</v>
      </c>
      <c r="H5" s="19">
        <f>'Data Sheet'!H58</f>
        <v>6805.74</v>
      </c>
      <c r="I5" s="19">
        <f>'Data Sheet'!I58</f>
        <v>7056.57</v>
      </c>
      <c r="J5" s="19">
        <f>'Data Sheet'!J58</f>
        <v>7415.71</v>
      </c>
      <c r="K5" s="19">
        <f>'Data Sheet'!K58</f>
        <v>7815.5</v>
      </c>
    </row>
    <row r="6" spans="1:11" x14ac:dyDescent="0.3">
      <c r="A6" s="11" t="s">
        <v>62</v>
      </c>
      <c r="B6" s="19">
        <f>'Data Sheet'!B59</f>
        <v>0</v>
      </c>
      <c r="C6" s="19">
        <f>'Data Sheet'!C59</f>
        <v>0</v>
      </c>
      <c r="D6" s="19">
        <f>'Data Sheet'!D59</f>
        <v>0</v>
      </c>
      <c r="E6" s="19">
        <f>'Data Sheet'!E59</f>
        <v>0</v>
      </c>
      <c r="F6" s="19">
        <f>'Data Sheet'!F59</f>
        <v>0</v>
      </c>
      <c r="G6" s="19">
        <f>'Data Sheet'!G59</f>
        <v>114.68</v>
      </c>
      <c r="H6" s="19">
        <f>'Data Sheet'!H59</f>
        <v>69.760000000000005</v>
      </c>
      <c r="I6" s="19">
        <f>'Data Sheet'!I59</f>
        <v>83.39</v>
      </c>
      <c r="J6" s="19">
        <f>'Data Sheet'!J59</f>
        <v>69.400000000000006</v>
      </c>
      <c r="K6" s="19">
        <f>'Data Sheet'!K59</f>
        <v>42.96</v>
      </c>
    </row>
    <row r="7" spans="1:11" s="6" customFormat="1" x14ac:dyDescent="0.3">
      <c r="A7" s="11" t="s">
        <v>63</v>
      </c>
      <c r="B7" s="19">
        <f>'Data Sheet'!B60</f>
        <v>2824.65</v>
      </c>
      <c r="C7" s="19">
        <f>'Data Sheet'!C60</f>
        <v>1011.31</v>
      </c>
      <c r="D7" s="19">
        <f>'Data Sheet'!D60</f>
        <v>2755.59</v>
      </c>
      <c r="E7" s="19">
        <f>'Data Sheet'!E60</f>
        <v>1225.25</v>
      </c>
      <c r="F7" s="19">
        <f>'Data Sheet'!F60</f>
        <v>1191.9100000000001</v>
      </c>
      <c r="G7" s="19">
        <f>'Data Sheet'!G60</f>
        <v>1235.71</v>
      </c>
      <c r="H7" s="19">
        <f>'Data Sheet'!H60</f>
        <v>1234.04</v>
      </c>
      <c r="I7" s="19">
        <f>'Data Sheet'!I60</f>
        <v>1409.35</v>
      </c>
      <c r="J7" s="19">
        <f>'Data Sheet'!J60</f>
        <v>1590.46</v>
      </c>
      <c r="K7" s="19">
        <f>'Data Sheet'!K60</f>
        <v>1847.63</v>
      </c>
    </row>
    <row r="8" spans="1:11" s="8" customFormat="1" x14ac:dyDescent="0.3">
      <c r="A8" s="8" t="s">
        <v>26</v>
      </c>
      <c r="B8" s="20">
        <f>'Data Sheet'!B61</f>
        <v>6268.78</v>
      </c>
      <c r="C8" s="20">
        <f>'Data Sheet'!C61</f>
        <v>5685.19</v>
      </c>
      <c r="D8" s="20">
        <f>'Data Sheet'!D61</f>
        <v>6020.18</v>
      </c>
      <c r="E8" s="20">
        <f>'Data Sheet'!E61</f>
        <v>5932.64</v>
      </c>
      <c r="F8" s="20">
        <f>'Data Sheet'!F61</f>
        <v>6128.46</v>
      </c>
      <c r="G8" s="20">
        <f>'Data Sheet'!G61</f>
        <v>7919.97</v>
      </c>
      <c r="H8" s="20">
        <f>'Data Sheet'!H61</f>
        <v>8152.57</v>
      </c>
      <c r="I8" s="20">
        <f>'Data Sheet'!I61</f>
        <v>8592.43</v>
      </c>
      <c r="J8" s="20">
        <f>'Data Sheet'!J61</f>
        <v>9118.77</v>
      </c>
      <c r="K8" s="20">
        <f>'Data Sheet'!K61</f>
        <v>9749.43</v>
      </c>
    </row>
    <row r="9" spans="1:11" s="8" customFormat="1" x14ac:dyDescent="0.3">
      <c r="B9" s="20"/>
      <c r="C9" s="20"/>
      <c r="D9" s="20"/>
      <c r="E9" s="20"/>
      <c r="F9" s="20"/>
      <c r="G9" s="20"/>
      <c r="H9" s="20"/>
      <c r="I9" s="20"/>
      <c r="J9" s="20"/>
      <c r="K9" s="20"/>
    </row>
    <row r="10" spans="1:11" x14ac:dyDescent="0.3">
      <c r="A10" s="6" t="s">
        <v>27</v>
      </c>
      <c r="B10" s="19">
        <f>'Data Sheet'!B62</f>
        <v>911.1</v>
      </c>
      <c r="C10" s="19">
        <f>'Data Sheet'!C62</f>
        <v>864.86</v>
      </c>
      <c r="D10" s="19">
        <f>'Data Sheet'!D62</f>
        <v>869.79</v>
      </c>
      <c r="E10" s="19">
        <f>'Data Sheet'!E62</f>
        <v>836.87</v>
      </c>
      <c r="F10" s="19">
        <f>'Data Sheet'!F62</f>
        <v>863.87</v>
      </c>
      <c r="G10" s="19">
        <f>'Data Sheet'!G62</f>
        <v>962.82</v>
      </c>
      <c r="H10" s="19">
        <f>'Data Sheet'!H62</f>
        <v>884.07</v>
      </c>
      <c r="I10" s="19">
        <f>'Data Sheet'!I62</f>
        <v>871.41</v>
      </c>
      <c r="J10" s="19">
        <f>'Data Sheet'!J62</f>
        <v>846.81</v>
      </c>
      <c r="K10" s="19">
        <f>'Data Sheet'!K62</f>
        <v>805.07</v>
      </c>
    </row>
    <row r="11" spans="1:11" x14ac:dyDescent="0.3">
      <c r="A11" s="6" t="s">
        <v>28</v>
      </c>
      <c r="B11" s="19">
        <f>'Data Sheet'!B63</f>
        <v>0.33</v>
      </c>
      <c r="C11" s="19">
        <f>'Data Sheet'!C63</f>
        <v>4.79</v>
      </c>
      <c r="D11" s="19">
        <f>'Data Sheet'!D63</f>
        <v>0.82</v>
      </c>
      <c r="E11" s="19">
        <f>'Data Sheet'!E63</f>
        <v>2.59</v>
      </c>
      <c r="F11" s="19">
        <f>'Data Sheet'!F63</f>
        <v>0.45</v>
      </c>
      <c r="G11" s="19">
        <f>'Data Sheet'!G63</f>
        <v>0.05</v>
      </c>
      <c r="H11" s="19">
        <f>'Data Sheet'!H63</f>
        <v>0.13</v>
      </c>
      <c r="I11" s="19">
        <f>'Data Sheet'!I63</f>
        <v>3.82</v>
      </c>
      <c r="J11" s="19">
        <f>'Data Sheet'!J63</f>
        <v>0.56999999999999995</v>
      </c>
      <c r="K11" s="19">
        <f>'Data Sheet'!K63</f>
        <v>2.76</v>
      </c>
    </row>
    <row r="12" spans="1:11" x14ac:dyDescent="0.3">
      <c r="A12" s="6" t="s">
        <v>29</v>
      </c>
      <c r="B12" s="19">
        <f>'Data Sheet'!B64</f>
        <v>0</v>
      </c>
      <c r="C12" s="19">
        <f>'Data Sheet'!C64</f>
        <v>10.47</v>
      </c>
      <c r="D12" s="19">
        <f>'Data Sheet'!D64</f>
        <v>0</v>
      </c>
      <c r="E12" s="19">
        <f>'Data Sheet'!E64</f>
        <v>0</v>
      </c>
      <c r="F12" s="19">
        <f>'Data Sheet'!F64</f>
        <v>0</v>
      </c>
      <c r="G12" s="19">
        <f>'Data Sheet'!G64</f>
        <v>0</v>
      </c>
      <c r="H12" s="19">
        <f>'Data Sheet'!H64</f>
        <v>0</v>
      </c>
      <c r="I12" s="19">
        <f>'Data Sheet'!I64</f>
        <v>0</v>
      </c>
      <c r="J12" s="19">
        <f>'Data Sheet'!J64</f>
        <v>0</v>
      </c>
      <c r="K12" s="19">
        <f>'Data Sheet'!K64</f>
        <v>0</v>
      </c>
    </row>
    <row r="13" spans="1:11" x14ac:dyDescent="0.3">
      <c r="A13" s="11" t="s">
        <v>64</v>
      </c>
      <c r="B13" s="19">
        <f>'Data Sheet'!B65</f>
        <v>5357.35</v>
      </c>
      <c r="C13" s="19">
        <f>'Data Sheet'!C65</f>
        <v>4805.07</v>
      </c>
      <c r="D13" s="19">
        <f>'Data Sheet'!D65</f>
        <v>5149.57</v>
      </c>
      <c r="E13" s="19">
        <f>'Data Sheet'!E65</f>
        <v>5093.18</v>
      </c>
      <c r="F13" s="19">
        <f>'Data Sheet'!F65</f>
        <v>5264.14</v>
      </c>
      <c r="G13" s="19">
        <f>'Data Sheet'!G65</f>
        <v>6957.1</v>
      </c>
      <c r="H13" s="19">
        <f>'Data Sheet'!H65</f>
        <v>7268.37</v>
      </c>
      <c r="I13" s="19">
        <f>'Data Sheet'!I65</f>
        <v>7717.2</v>
      </c>
      <c r="J13" s="19">
        <f>'Data Sheet'!J65</f>
        <v>8271.39</v>
      </c>
      <c r="K13" s="19">
        <f>'Data Sheet'!K65</f>
        <v>8941.6</v>
      </c>
    </row>
    <row r="14" spans="1:11" s="8" customFormat="1" x14ac:dyDescent="0.3">
      <c r="A14" s="8" t="s">
        <v>26</v>
      </c>
      <c r="B14" s="19">
        <f>'Data Sheet'!B66</f>
        <v>6268.78</v>
      </c>
      <c r="C14" s="19">
        <f>'Data Sheet'!C66</f>
        <v>5685.19</v>
      </c>
      <c r="D14" s="19">
        <f>'Data Sheet'!D66</f>
        <v>6020.18</v>
      </c>
      <c r="E14" s="19">
        <f>'Data Sheet'!E66</f>
        <v>5932.64</v>
      </c>
      <c r="F14" s="19">
        <f>'Data Sheet'!F66</f>
        <v>6128.46</v>
      </c>
      <c r="G14" s="19">
        <f>'Data Sheet'!G66</f>
        <v>7919.97</v>
      </c>
      <c r="H14" s="19">
        <f>'Data Sheet'!H66</f>
        <v>8152.57</v>
      </c>
      <c r="I14" s="19">
        <f>'Data Sheet'!I66</f>
        <v>8592.43</v>
      </c>
      <c r="J14" s="19">
        <f>'Data Sheet'!J66</f>
        <v>9118.77</v>
      </c>
      <c r="K14" s="19">
        <f>'Data Sheet'!K66</f>
        <v>9749.43</v>
      </c>
    </row>
    <row r="15" spans="1:11" x14ac:dyDescent="0.3">
      <c r="A15" s="6"/>
      <c r="B15" s="21"/>
      <c r="C15" s="21"/>
      <c r="D15" s="21"/>
      <c r="E15" s="21"/>
      <c r="F15" s="21"/>
      <c r="G15" s="21"/>
      <c r="H15" s="21"/>
      <c r="I15" s="21"/>
      <c r="J15" s="21"/>
      <c r="K15" s="21"/>
    </row>
    <row r="16" spans="1:11" x14ac:dyDescent="0.3">
      <c r="A16" s="25" t="s">
        <v>30</v>
      </c>
      <c r="B16" s="21">
        <f>B13-B7</f>
        <v>2532.7000000000003</v>
      </c>
      <c r="C16" s="21">
        <f t="shared" ref="C16:K16" si="0">C13-C7</f>
        <v>3793.7599999999998</v>
      </c>
      <c r="D16" s="21">
        <f t="shared" si="0"/>
        <v>2393.9799999999996</v>
      </c>
      <c r="E16" s="21">
        <f t="shared" si="0"/>
        <v>3867.9300000000003</v>
      </c>
      <c r="F16" s="21">
        <f t="shared" si="0"/>
        <v>4072.2300000000005</v>
      </c>
      <c r="G16" s="21">
        <f t="shared" si="0"/>
        <v>5721.39</v>
      </c>
      <c r="H16" s="21">
        <f t="shared" si="0"/>
        <v>6034.33</v>
      </c>
      <c r="I16" s="21">
        <f t="shared" si="0"/>
        <v>6307.85</v>
      </c>
      <c r="J16" s="21">
        <f t="shared" si="0"/>
        <v>6680.9299999999994</v>
      </c>
      <c r="K16" s="21">
        <f t="shared" si="0"/>
        <v>7093.97</v>
      </c>
    </row>
    <row r="17" spans="1:11" x14ac:dyDescent="0.3">
      <c r="A17" s="11" t="s">
        <v>44</v>
      </c>
      <c r="B17" s="21">
        <f>'Data Sheet'!B67</f>
        <v>601.62</v>
      </c>
      <c r="C17" s="21">
        <f>'Data Sheet'!C67</f>
        <v>831.09</v>
      </c>
      <c r="D17" s="21">
        <f>'Data Sheet'!D67</f>
        <v>718.01</v>
      </c>
      <c r="E17" s="21">
        <f>'Data Sheet'!E67</f>
        <v>1007.48</v>
      </c>
      <c r="F17" s="21">
        <f>'Data Sheet'!F67</f>
        <v>947.48</v>
      </c>
      <c r="G17" s="21">
        <f>'Data Sheet'!G67</f>
        <v>925.37</v>
      </c>
      <c r="H17" s="21">
        <f>'Data Sheet'!H67</f>
        <v>802.75</v>
      </c>
      <c r="I17" s="21">
        <f>'Data Sheet'!I67</f>
        <v>926.27</v>
      </c>
      <c r="J17" s="21">
        <f>'Data Sheet'!J67</f>
        <v>1083.3699999999999</v>
      </c>
      <c r="K17" s="21">
        <f>'Data Sheet'!K67</f>
        <v>1319.31</v>
      </c>
    </row>
    <row r="18" spans="1:11" x14ac:dyDescent="0.3">
      <c r="A18" s="11" t="s">
        <v>45</v>
      </c>
      <c r="B18" s="21">
        <f>'Data Sheet'!B68</f>
        <v>0</v>
      </c>
      <c r="C18" s="21">
        <f>'Data Sheet'!C68</f>
        <v>0</v>
      </c>
      <c r="D18" s="21">
        <f>'Data Sheet'!D68</f>
        <v>0</v>
      </c>
      <c r="E18" s="21">
        <f>'Data Sheet'!E68</f>
        <v>0</v>
      </c>
      <c r="F18" s="21">
        <f>'Data Sheet'!F68</f>
        <v>0</v>
      </c>
      <c r="G18" s="21">
        <f>'Data Sheet'!G68</f>
        <v>0</v>
      </c>
      <c r="H18" s="21">
        <f>'Data Sheet'!H68</f>
        <v>0</v>
      </c>
      <c r="I18" s="21">
        <f>'Data Sheet'!I68</f>
        <v>0</v>
      </c>
      <c r="J18" s="21">
        <f>'Data Sheet'!J68</f>
        <v>0</v>
      </c>
      <c r="K18" s="21">
        <f>'Data Sheet'!K68</f>
        <v>0</v>
      </c>
    </row>
    <row r="20" spans="1:11" x14ac:dyDescent="0.3">
      <c r="A20" s="11" t="s">
        <v>46</v>
      </c>
      <c r="B20" s="5">
        <f>IF('Profit &amp; Loss'!B4&gt;0,'Balance Sheet'!B17/('Profit &amp; Loss'!B4/365),0)</f>
        <v>56.234663538980413</v>
      </c>
      <c r="C20" s="5">
        <f>IF('Profit &amp; Loss'!C4&gt;0,'Balance Sheet'!C17/('Profit &amp; Loss'!C4/365),0)</f>
        <v>73.428151974477274</v>
      </c>
      <c r="D20" s="5">
        <f>IF('Profit &amp; Loss'!D4&gt;0,'Balance Sheet'!D17/('Profit &amp; Loss'!D4/365),0)</f>
        <v>59.205212660933057</v>
      </c>
      <c r="E20" s="5">
        <f>IF('Profit &amp; Loss'!E4&gt;0,'Balance Sheet'!E17/('Profit &amp; Loss'!E4/365),0)</f>
        <v>81.222006992867975</v>
      </c>
      <c r="F20" s="5">
        <f>IF('Profit &amp; Loss'!F4&gt;0,'Balance Sheet'!F17/('Profit &amp; Loss'!F4/365),0)</f>
        <v>69.739297021516876</v>
      </c>
      <c r="G20" s="5">
        <f>IF('Profit &amp; Loss'!G4&gt;0,'Balance Sheet'!G17/('Profit &amp; Loss'!G4/365),0)</f>
        <v>69.479653506895303</v>
      </c>
      <c r="H20" s="5">
        <f>IF('Profit &amp; Loss'!H4&gt;0,'Balance Sheet'!H17/('Profit &amp; Loss'!H4/365),0)</f>
        <v>58.789582137826706</v>
      </c>
      <c r="I20" s="5">
        <f>IF('Profit &amp; Loss'!I4&gt;0,'Balance Sheet'!I17/('Profit &amp; Loss'!I4/365),0)</f>
        <v>64.749811355444649</v>
      </c>
      <c r="J20" s="5">
        <f>IF('Profit &amp; Loss'!J4&gt;0,'Balance Sheet'!J17/('Profit &amp; Loss'!J4/365),0)</f>
        <v>69.394267774129503</v>
      </c>
      <c r="K20" s="5">
        <f>IF('Profit &amp; Loss'!K4&gt;0,'Balance Sheet'!K17/('Profit &amp; Loss'!K4/365),0)</f>
        <v>75.561144272049404</v>
      </c>
    </row>
    <row r="21" spans="1:11" x14ac:dyDescent="0.3">
      <c r="A21" s="11" t="s">
        <v>47</v>
      </c>
      <c r="B21" s="5">
        <f>IF('Balance Sheet'!B18&gt;0,'Profit &amp; Loss'!B4/'Balance Sheet'!B18,0)</f>
        <v>0</v>
      </c>
      <c r="C21" s="5">
        <f>IF('Balance Sheet'!C18&gt;0,'Profit &amp; Loss'!C4/'Balance Sheet'!C18,0)</f>
        <v>0</v>
      </c>
      <c r="D21" s="5">
        <f>IF('Balance Sheet'!D18&gt;0,'Profit &amp; Loss'!D4/'Balance Sheet'!D18,0)</f>
        <v>0</v>
      </c>
      <c r="E21" s="5">
        <f>IF('Balance Sheet'!E18&gt;0,'Profit &amp; Loss'!E4/'Balance Sheet'!E18,0)</f>
        <v>0</v>
      </c>
      <c r="F21" s="5">
        <f>IF('Balance Sheet'!F18&gt;0,'Profit &amp; Loss'!F4/'Balance Sheet'!F18,0)</f>
        <v>0</v>
      </c>
      <c r="G21" s="5">
        <f>IF('Balance Sheet'!G18&gt;0,'Profit &amp; Loss'!G4/'Balance Sheet'!G18,0)</f>
        <v>0</v>
      </c>
      <c r="H21" s="5">
        <f>IF('Balance Sheet'!H18&gt;0,'Profit &amp; Loss'!H4/'Balance Sheet'!H18,0)</f>
        <v>0</v>
      </c>
      <c r="I21" s="5">
        <f>IF('Balance Sheet'!I18&gt;0,'Profit &amp; Loss'!I4/'Balance Sheet'!I18,0)</f>
        <v>0</v>
      </c>
      <c r="J21" s="5">
        <f>IF('Balance Sheet'!J18&gt;0,'Profit &amp; Loss'!J4/'Balance Sheet'!J18,0)</f>
        <v>0</v>
      </c>
      <c r="K21" s="5">
        <f>IF('Balance Sheet'!K18&gt;0,'Profit &amp; Loss'!K4/'Balance Sheet'!K18,0)</f>
        <v>0</v>
      </c>
    </row>
    <row r="23" spans="1:11" s="8" customFormat="1" x14ac:dyDescent="0.3">
      <c r="A23" s="8" t="s">
        <v>50</v>
      </c>
      <c r="B23" s="14">
        <f>IF(SUM('Balance Sheet'!B4:B5)&gt;0,'Profit &amp; Loss'!B12/SUM('Balance Sheet'!B4:B5),"")</f>
        <v>0.34618902306242794</v>
      </c>
      <c r="C23" s="14">
        <f>IF(SUM('Balance Sheet'!C4:C5)&gt;0,'Profit &amp; Loss'!C12/SUM('Balance Sheet'!C4:C5),"")</f>
        <v>0.22441526098231021</v>
      </c>
      <c r="D23" s="14">
        <f>IF(SUM('Balance Sheet'!D4:D5)&gt;0,'Profit &amp; Loss'!D12/SUM('Balance Sheet'!D4:D5),"")</f>
        <v>0.36310532103571969</v>
      </c>
      <c r="E23" s="14">
        <f>IF(SUM('Balance Sheet'!E4:E5)&gt;0,'Profit &amp; Loss'!E12/SUM('Balance Sheet'!E4:E5),"")</f>
        <v>0.26278680967585005</v>
      </c>
      <c r="F23" s="14">
        <f>IF(SUM('Balance Sheet'!F4:F5)&gt;0,'Profit &amp; Loss'!F12/SUM('Balance Sheet'!F4:F5),"")</f>
        <v>0.28074262389725618</v>
      </c>
      <c r="G23" s="14">
        <f>IF(SUM('Balance Sheet'!G4:G5)&gt;0,'Profit &amp; Loss'!G12/SUM('Balance Sheet'!G4:G5),"")</f>
        <v>0.22257435026287831</v>
      </c>
      <c r="H23" s="14">
        <f>IF(SUM('Balance Sheet'!H4:H5)&gt;0,'Profit &amp; Loss'!H12/SUM('Balance Sheet'!H4:H5),"")</f>
        <v>0.25725203211671588</v>
      </c>
      <c r="I23" s="14">
        <f>IF(SUM('Balance Sheet'!I4:I5)&gt;0,'Profit &amp; Loss'!I12/SUM('Balance Sheet'!I4:I5),"")</f>
        <v>0.26604401037228387</v>
      </c>
      <c r="J23" s="14">
        <f>IF(SUM('Balance Sheet'!J4:J5)&gt;0,'Profit &amp; Loss'!J12/SUM('Balance Sheet'!J4:J5),"")</f>
        <v>0.2421453000505436</v>
      </c>
      <c r="K23" s="14">
        <f>IF(SUM('Balance Sheet'!K4:K5)&gt;0,'Profit &amp; Loss'!K12/SUM('Balance Sheet'!K4:K5),"")</f>
        <v>0.28240300095179444</v>
      </c>
    </row>
    <row r="24" spans="1:11" s="8" customFormat="1" x14ac:dyDescent="0.3">
      <c r="A24" s="8" t="s">
        <v>51</v>
      </c>
      <c r="B24" s="14"/>
      <c r="C24" s="14">
        <f>IF((B4+B5+B6+C4+C5+C6)&gt;0,('Profit &amp; Loss'!C10+'Profit &amp; Loss'!C9)*2/(B4+B5+B6+C4+C5+C6),"")</f>
        <v>0.43054640238186448</v>
      </c>
      <c r="D24" s="14">
        <f>IF((C4+C5+C6+D4+D5+D6)&gt;0,('Profit &amp; Loss'!D10+'Profit &amp; Loss'!D9)*2/(C4+C5+C6+D4+D5+D6),"")</f>
        <v>0.44264952818364245</v>
      </c>
      <c r="E24" s="14">
        <f>IF((D4+D5+D6+E4+E5+E6)&gt;0,('Profit &amp; Loss'!E10+'Profit &amp; Loss'!E9)*2/(D4+D5+D6+E4+E5+E6),"")</f>
        <v>0.46172719951630592</v>
      </c>
      <c r="F24" s="14">
        <f>IF((E4+E5+E6+F4+F5+F6)&gt;0,('Profit &amp; Loss'!F10+'Profit &amp; Loss'!F9)*2/(E4+E5+E6+F4+F5+F6),"")</f>
        <v>0.47013564995219792</v>
      </c>
      <c r="G24" s="14">
        <f>IF((F4+F5+F6+G4+G5+G6)&gt;0,('Profit &amp; Loss'!G10+'Profit &amp; Loss'!G9)*2/(F4+F5+F6+G4+G5+G6),"")</f>
        <v>0.39578136119599233</v>
      </c>
      <c r="H24" s="14">
        <f>IF((G4+G5+G6+H4+H5+H6)&gt;0,('Profit &amp; Loss'!H10+'Profit &amp; Loss'!H9)*2/(G4+G5+G6+H4+H5+H6),"")</f>
        <v>0.36705117112004232</v>
      </c>
      <c r="I24" s="14">
        <f>IF((H4+H5+H6+I4+I5+I6)&gt;0,('Profit &amp; Loss'!I10+'Profit &amp; Loss'!I9)*2/(H4+H5+H6+I4+I5+I6),"")</f>
        <v>0.36031063119743068</v>
      </c>
      <c r="J24" s="14">
        <f>IF((I4+I5+I6+J4+J5+J6)&gt;0,('Profit &amp; Loss'!J10+'Profit &amp; Loss'!J9)*2/(I4+I5+I6+J4+J5+J6),"")</f>
        <v>0.35109802676701518</v>
      </c>
      <c r="K24" s="14">
        <f>IF((J4+J5+J6+K4+K5+K6)&gt;0,('Profit &amp; Loss'!K10+'Profit &amp; Loss'!K9)*2/(J4+J5+J6+K4+K5+K6),"")</f>
        <v>0.39538797843955747</v>
      </c>
    </row>
    <row r="25" spans="1:11" s="18" customFormat="1" x14ac:dyDescent="0.3"/>
  </sheetData>
  <hyperlinks>
    <hyperlink ref="J1" r:id="rId1"/>
  </hyperlinks>
  <printOptions gridLines="1"/>
  <pageMargins left="0.7" right="0.7" top="0.75" bottom="0.75" header="0.3" footer="0.3"/>
  <pageSetup paperSize="9" orientation="landscape"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K24"/>
  <sheetViews>
    <sheetView zoomScale="150" zoomScaleNormal="150" zoomScalePageLayoutView="150" workbookViewId="0">
      <pane xSplit="1" ySplit="3" topLeftCell="C4" activePane="bottomRight" state="frozen"/>
      <selection pane="topRight" activeCell="B1" sqref="B1"/>
      <selection pane="bottomLeft" activeCell="A4" sqref="A4"/>
      <selection pane="bottomRight" activeCell="G16" sqref="G16"/>
    </sheetView>
  </sheetViews>
  <sheetFormatPr defaultColWidth="8.77734375" defaultRowHeight="14.4" x14ac:dyDescent="0.3"/>
  <cols>
    <col min="1" max="1" width="26.77734375" style="6" bestFit="1" customWidth="1"/>
    <col min="2" max="6" width="13.44140625" style="6" customWidth="1"/>
    <col min="7" max="11" width="13.44140625" style="6" bestFit="1" customWidth="1"/>
    <col min="12" max="16384" width="8.77734375" style="6"/>
  </cols>
  <sheetData>
    <row r="1" spans="1:11" s="8" customFormat="1" x14ac:dyDescent="0.3">
      <c r="A1" s="8" t="str">
        <f>'Balance Sheet'!A1</f>
        <v>ORACLE FINANCIAL SERVICES SOFTWARE LTD</v>
      </c>
      <c r="E1" t="str">
        <f>UPDATE</f>
        <v/>
      </c>
      <c r="F1"/>
      <c r="J1" s="4" t="s">
        <v>1</v>
      </c>
      <c r="K1" s="4"/>
    </row>
    <row r="3" spans="1:11" s="2" customFormat="1" x14ac:dyDescent="0.3">
      <c r="A3" s="15" t="s">
        <v>2</v>
      </c>
      <c r="B3" s="16">
        <f>'Data Sheet'!B81</f>
        <v>42094</v>
      </c>
      <c r="C3" s="16">
        <f>'Data Sheet'!C81</f>
        <v>42460</v>
      </c>
      <c r="D3" s="16">
        <f>'Data Sheet'!D81</f>
        <v>42825</v>
      </c>
      <c r="E3" s="16">
        <f>'Data Sheet'!E81</f>
        <v>43190</v>
      </c>
      <c r="F3" s="16">
        <f>'Data Sheet'!F81</f>
        <v>43555</v>
      </c>
      <c r="G3" s="16">
        <f>'Data Sheet'!G81</f>
        <v>43921</v>
      </c>
      <c r="H3" s="16">
        <f>'Data Sheet'!H81</f>
        <v>44286</v>
      </c>
      <c r="I3" s="16">
        <f>'Data Sheet'!I81</f>
        <v>44651</v>
      </c>
      <c r="J3" s="16">
        <f>'Data Sheet'!J81</f>
        <v>45016</v>
      </c>
      <c r="K3" s="16">
        <f>'Data Sheet'!K81</f>
        <v>45382</v>
      </c>
    </row>
    <row r="4" spans="1:11" s="8" customFormat="1" x14ac:dyDescent="0.3">
      <c r="A4" s="8" t="s">
        <v>32</v>
      </c>
      <c r="B4" s="1">
        <f>'Data Sheet'!B82</f>
        <v>1060.3900000000001</v>
      </c>
      <c r="C4" s="1">
        <f>'Data Sheet'!C82</f>
        <v>712.31</v>
      </c>
      <c r="D4" s="1">
        <f>'Data Sheet'!D82</f>
        <v>1121.1300000000001</v>
      </c>
      <c r="E4" s="1">
        <f>'Data Sheet'!E82</f>
        <v>1157.42</v>
      </c>
      <c r="F4" s="1">
        <f>'Data Sheet'!F82</f>
        <v>1379.61</v>
      </c>
      <c r="G4" s="1">
        <f>'Data Sheet'!G82</f>
        <v>1521.82</v>
      </c>
      <c r="H4" s="1">
        <f>'Data Sheet'!H82</f>
        <v>1919.51</v>
      </c>
      <c r="I4" s="1">
        <f>'Data Sheet'!I82</f>
        <v>1856.15</v>
      </c>
      <c r="J4" s="1">
        <f>'Data Sheet'!J82</f>
        <v>1758.42</v>
      </c>
      <c r="K4" s="1">
        <f>'Data Sheet'!K82</f>
        <v>1790.67</v>
      </c>
    </row>
    <row r="5" spans="1:11" x14ac:dyDescent="0.3">
      <c r="A5" s="6" t="s">
        <v>33</v>
      </c>
      <c r="B5" s="9">
        <f>'Data Sheet'!B83</f>
        <v>3701.22</v>
      </c>
      <c r="C5" s="9">
        <f>'Data Sheet'!C83</f>
        <v>1018.39</v>
      </c>
      <c r="D5" s="9">
        <f>'Data Sheet'!D83</f>
        <v>1822.73</v>
      </c>
      <c r="E5" s="9">
        <f>'Data Sheet'!E83</f>
        <v>-1313.12</v>
      </c>
      <c r="F5" s="9">
        <f>'Data Sheet'!F83</f>
        <v>220.25</v>
      </c>
      <c r="G5" s="9">
        <f>'Data Sheet'!G83</f>
        <v>-1299.1400000000001</v>
      </c>
      <c r="H5" s="9">
        <f>'Data Sheet'!H83</f>
        <v>33.53</v>
      </c>
      <c r="I5" s="9">
        <f>'Data Sheet'!I83</f>
        <v>-137.54</v>
      </c>
      <c r="J5" s="9">
        <f>'Data Sheet'!J83</f>
        <v>267.17</v>
      </c>
      <c r="K5" s="9">
        <f>'Data Sheet'!K83</f>
        <v>1610.96</v>
      </c>
    </row>
    <row r="6" spans="1:11" x14ac:dyDescent="0.3">
      <c r="A6" s="6" t="s">
        <v>34</v>
      </c>
      <c r="B6" s="9">
        <f>'Data Sheet'!B84</f>
        <v>-4689.58</v>
      </c>
      <c r="C6" s="9">
        <f>'Data Sheet'!C84</f>
        <v>-1776.18</v>
      </c>
      <c r="D6" s="9">
        <f>'Data Sheet'!D84</f>
        <v>-931.35</v>
      </c>
      <c r="E6" s="9">
        <f>'Data Sheet'!E84</f>
        <v>-1629.66</v>
      </c>
      <c r="F6" s="9">
        <f>'Data Sheet'!F84</f>
        <v>-1249.7</v>
      </c>
      <c r="G6" s="9">
        <f>'Data Sheet'!G84</f>
        <v>-47.35</v>
      </c>
      <c r="H6" s="9">
        <f>'Data Sheet'!H84</f>
        <v>-1589.8</v>
      </c>
      <c r="I6" s="9">
        <f>'Data Sheet'!I84</f>
        <v>-1733.47</v>
      </c>
      <c r="J6" s="9">
        <f>'Data Sheet'!J84</f>
        <v>-1665.48</v>
      </c>
      <c r="K6" s="9">
        <f>'Data Sheet'!K84</f>
        <v>-1958.45</v>
      </c>
    </row>
    <row r="7" spans="1:11" s="8" customFormat="1" x14ac:dyDescent="0.3">
      <c r="A7" s="8" t="s">
        <v>35</v>
      </c>
      <c r="B7" s="1">
        <f>'Data Sheet'!B85</f>
        <v>72.040000000000006</v>
      </c>
      <c r="C7" s="1">
        <f>'Data Sheet'!C85</f>
        <v>-45.49</v>
      </c>
      <c r="D7" s="1">
        <f>'Data Sheet'!D85</f>
        <v>2012.51</v>
      </c>
      <c r="E7" s="1">
        <f>'Data Sheet'!E85</f>
        <v>-1785.37</v>
      </c>
      <c r="F7" s="1">
        <f>'Data Sheet'!F85</f>
        <v>350.17</v>
      </c>
      <c r="G7" s="1">
        <f>'Data Sheet'!G85</f>
        <v>175.33</v>
      </c>
      <c r="H7" s="1">
        <f>'Data Sheet'!H85</f>
        <v>363.23</v>
      </c>
      <c r="I7" s="1">
        <f>'Data Sheet'!I85</f>
        <v>-14.86</v>
      </c>
      <c r="J7" s="1">
        <f>'Data Sheet'!J85</f>
        <v>360.11</v>
      </c>
      <c r="K7" s="1">
        <f>'Data Sheet'!K85</f>
        <v>1443.18</v>
      </c>
    </row>
    <row r="8" spans="1:11" x14ac:dyDescent="0.3">
      <c r="A8" s="25"/>
      <c r="B8" s="9"/>
      <c r="C8" s="9"/>
      <c r="D8" s="9"/>
      <c r="E8" s="9"/>
      <c r="F8" s="9"/>
      <c r="G8" s="9"/>
      <c r="H8" s="9"/>
      <c r="I8" s="9"/>
      <c r="J8" s="9"/>
      <c r="K8" s="9"/>
    </row>
    <row r="13" spans="1:11" x14ac:dyDescent="0.3">
      <c r="G13" s="53" t="s">
        <v>140</v>
      </c>
    </row>
    <row r="14" spans="1:11" x14ac:dyDescent="0.3">
      <c r="G14" s="54" t="s">
        <v>141</v>
      </c>
    </row>
    <row r="15" spans="1:11" x14ac:dyDescent="0.3">
      <c r="G15" s="55" t="s">
        <v>142</v>
      </c>
    </row>
    <row r="24" s="25" customFormat="1" x14ac:dyDescent="0.3"/>
  </sheetData>
  <hyperlinks>
    <hyperlink ref="J1" r:id="rId1"/>
    <hyperlink ref="G14" r:id="rId2" location="page=33" display="https://www.bseindia.com/xml-data/corpfiling/AttachHis/73ffab69-cd41-4f5d-a4d4-0c1894813d31.pdf - page=33"/>
  </hyperlinks>
  <printOptions gridLines="1"/>
  <pageMargins left="0.7" right="0.7" top="0.75" bottom="0.75" header="0.3" footer="0.3"/>
  <pageSetup paperSize="9" orientation="landscape" horizontalDpi="0"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zoomScale="120" zoomScaleNormal="120" zoomScalePageLayoutView="120" workbookViewId="0">
      <pane xSplit="1" ySplit="1" topLeftCell="B2" activePane="bottomRight" state="frozen"/>
      <selection activeCell="C4" sqref="C4"/>
      <selection pane="topRight" activeCell="C4" sqref="C4"/>
      <selection pane="bottomLeft" activeCell="C4" sqref="C4"/>
      <selection pane="bottomRight" activeCell="D15" sqref="D15"/>
    </sheetView>
  </sheetViews>
  <sheetFormatPr defaultColWidth="8.77734375" defaultRowHeight="14.4" x14ac:dyDescent="0.3"/>
  <cols>
    <col min="1" max="1" width="27.6640625" style="5" bestFit="1" customWidth="1"/>
    <col min="2" max="11" width="13.44140625" style="5" bestFit="1" customWidth="1"/>
    <col min="12" max="16384" width="8.77734375" style="5"/>
  </cols>
  <sheetData>
    <row r="1" spans="1:11" s="1" customFormat="1" x14ac:dyDescent="0.3">
      <c r="A1" s="1" t="s">
        <v>0</v>
      </c>
      <c r="B1" s="1" t="s">
        <v>54</v>
      </c>
      <c r="E1" s="268" t="str">
        <f>IF(B2&lt;&gt;B3, "A NEW VERSION OF THE WORKSHEET IS AVAILABLE", "")</f>
        <v/>
      </c>
      <c r="F1" s="268"/>
      <c r="G1" s="268"/>
      <c r="H1" s="268"/>
      <c r="I1" s="268"/>
      <c r="J1" s="268"/>
      <c r="K1" s="268"/>
    </row>
    <row r="2" spans="1:11" x14ac:dyDescent="0.3">
      <c r="A2" s="1" t="s">
        <v>52</v>
      </c>
      <c r="B2" s="5">
        <v>2.1</v>
      </c>
      <c r="E2" s="269" t="s">
        <v>36</v>
      </c>
      <c r="F2" s="269"/>
      <c r="G2" s="269"/>
      <c r="H2" s="269"/>
      <c r="I2" s="269"/>
      <c r="J2" s="269"/>
      <c r="K2" s="269"/>
    </row>
    <row r="3" spans="1:11" x14ac:dyDescent="0.3">
      <c r="A3" s="1" t="s">
        <v>53</v>
      </c>
      <c r="B3" s="5">
        <v>2.1</v>
      </c>
    </row>
    <row r="4" spans="1:11" x14ac:dyDescent="0.3">
      <c r="A4" s="1"/>
    </row>
    <row r="5" spans="1:11" x14ac:dyDescent="0.3">
      <c r="A5" s="1" t="s">
        <v>55</v>
      </c>
    </row>
    <row r="6" spans="1:11" x14ac:dyDescent="0.3">
      <c r="A6" s="5" t="s">
        <v>42</v>
      </c>
      <c r="B6" s="5">
        <f>IF(B9&gt;0, B9/B8, 0)</f>
        <v>9.4531296784331182</v>
      </c>
    </row>
    <row r="7" spans="1:11" x14ac:dyDescent="0.3">
      <c r="A7" s="5" t="s">
        <v>31</v>
      </c>
      <c r="B7">
        <v>5</v>
      </c>
    </row>
    <row r="8" spans="1:11" x14ac:dyDescent="0.3">
      <c r="A8" s="5" t="s">
        <v>43</v>
      </c>
      <c r="B8">
        <v>8082.3</v>
      </c>
    </row>
    <row r="9" spans="1:11" x14ac:dyDescent="0.3">
      <c r="A9" s="5" t="s">
        <v>70</v>
      </c>
      <c r="B9">
        <v>76403.03</v>
      </c>
    </row>
    <row r="15" spans="1:11" x14ac:dyDescent="0.3">
      <c r="A15" s="1" t="s">
        <v>37</v>
      </c>
    </row>
    <row r="16" spans="1:11" s="24" customFormat="1" x14ac:dyDescent="0.3">
      <c r="A16" s="23" t="s">
        <v>38</v>
      </c>
      <c r="B16" s="16">
        <v>42094</v>
      </c>
      <c r="C16" s="16">
        <v>42460</v>
      </c>
      <c r="D16" s="16">
        <v>42825</v>
      </c>
      <c r="E16" s="16">
        <v>43190</v>
      </c>
      <c r="F16" s="16">
        <v>43555</v>
      </c>
      <c r="G16" s="16">
        <v>43921</v>
      </c>
      <c r="H16" s="16">
        <v>44286</v>
      </c>
      <c r="I16" s="16">
        <v>44651</v>
      </c>
      <c r="J16" s="16">
        <v>45016</v>
      </c>
      <c r="K16" s="16">
        <v>45382</v>
      </c>
    </row>
    <row r="17" spans="1:11" s="9" customFormat="1" x14ac:dyDescent="0.3">
      <c r="A17" s="9" t="s">
        <v>6</v>
      </c>
      <c r="B17">
        <v>3904.91</v>
      </c>
      <c r="C17">
        <v>4131.22</v>
      </c>
      <c r="D17">
        <v>4426.53</v>
      </c>
      <c r="E17">
        <v>4527.47</v>
      </c>
      <c r="F17">
        <v>4958.8999999999996</v>
      </c>
      <c r="G17">
        <v>4861.28</v>
      </c>
      <c r="H17">
        <v>4983.9399999999996</v>
      </c>
      <c r="I17">
        <v>5221.46</v>
      </c>
      <c r="J17">
        <v>5698.31</v>
      </c>
      <c r="K17">
        <v>6372.96</v>
      </c>
    </row>
    <row r="18" spans="1:11" s="9" customFormat="1" x14ac:dyDescent="0.3">
      <c r="A18" s="5" t="s">
        <v>71</v>
      </c>
      <c r="B18"/>
      <c r="C18"/>
      <c r="D18"/>
      <c r="E18"/>
      <c r="F18"/>
      <c r="G18"/>
      <c r="H18"/>
      <c r="I18"/>
      <c r="J18"/>
      <c r="K18"/>
    </row>
    <row r="19" spans="1:11" s="9" customFormat="1" x14ac:dyDescent="0.3">
      <c r="A19" s="5" t="s">
        <v>72</v>
      </c>
      <c r="B19"/>
      <c r="C19"/>
      <c r="D19"/>
      <c r="E19"/>
      <c r="F19"/>
      <c r="G19"/>
      <c r="H19"/>
      <c r="I19"/>
      <c r="J19"/>
      <c r="K19"/>
    </row>
    <row r="20" spans="1:11" s="9" customFormat="1" x14ac:dyDescent="0.3">
      <c r="A20" s="5" t="s">
        <v>73</v>
      </c>
      <c r="B20">
        <v>19.12</v>
      </c>
      <c r="C20">
        <v>20.8</v>
      </c>
      <c r="D20">
        <v>21.32</v>
      </c>
      <c r="E20">
        <v>21.49</v>
      </c>
      <c r="F20">
        <v>21.04</v>
      </c>
      <c r="G20">
        <v>20.96</v>
      </c>
      <c r="H20">
        <v>11.3</v>
      </c>
      <c r="I20">
        <v>11.7</v>
      </c>
      <c r="J20">
        <v>14.47</v>
      </c>
      <c r="K20">
        <v>19.43</v>
      </c>
    </row>
    <row r="21" spans="1:11" s="9" customFormat="1" x14ac:dyDescent="0.3">
      <c r="A21" s="5" t="s">
        <v>74</v>
      </c>
      <c r="B21">
        <v>32.76</v>
      </c>
      <c r="C21">
        <v>28.62</v>
      </c>
      <c r="D21">
        <v>24.47</v>
      </c>
      <c r="E21">
        <v>24.39</v>
      </c>
      <c r="F21">
        <v>23.84</v>
      </c>
      <c r="G21">
        <v>17.78</v>
      </c>
      <c r="H21">
        <v>13.44</v>
      </c>
      <c r="I21">
        <v>11.85</v>
      </c>
      <c r="J21">
        <v>14.9</v>
      </c>
      <c r="K21">
        <v>19.600000000000001</v>
      </c>
    </row>
    <row r="22" spans="1:11" s="9" customFormat="1" x14ac:dyDescent="0.3">
      <c r="A22" s="5" t="s">
        <v>75</v>
      </c>
      <c r="B22">
        <v>1847.9</v>
      </c>
      <c r="C22">
        <v>1949.58</v>
      </c>
      <c r="D22">
        <v>2070.27</v>
      </c>
      <c r="E22">
        <v>2099.17</v>
      </c>
      <c r="F22">
        <v>2195.81</v>
      </c>
      <c r="G22">
        <v>2117.8000000000002</v>
      </c>
      <c r="H22">
        <v>2201.75</v>
      </c>
      <c r="I22">
        <v>2405.86</v>
      </c>
      <c r="J22">
        <v>2774.17</v>
      </c>
      <c r="K22">
        <v>2982.83</v>
      </c>
    </row>
    <row r="23" spans="1:11" s="9" customFormat="1" x14ac:dyDescent="0.3">
      <c r="A23" s="5" t="s">
        <v>76</v>
      </c>
      <c r="B23">
        <v>438.09</v>
      </c>
      <c r="C23">
        <v>503.72</v>
      </c>
      <c r="D23">
        <v>484.3</v>
      </c>
      <c r="E23">
        <v>501.43</v>
      </c>
      <c r="F23">
        <v>484.23</v>
      </c>
      <c r="G23">
        <v>397.42</v>
      </c>
      <c r="H23">
        <v>239.44</v>
      </c>
      <c r="I23">
        <v>220.68</v>
      </c>
      <c r="J23">
        <v>329.96</v>
      </c>
      <c r="K23">
        <v>423.41</v>
      </c>
    </row>
    <row r="24" spans="1:11" s="9" customFormat="1" x14ac:dyDescent="0.3">
      <c r="A24" s="5" t="s">
        <v>77</v>
      </c>
      <c r="B24">
        <v>16.239999999999998</v>
      </c>
      <c r="C24">
        <v>16.78</v>
      </c>
      <c r="D24">
        <v>92.28</v>
      </c>
      <c r="E24">
        <v>69.78</v>
      </c>
      <c r="F24">
        <v>89.37</v>
      </c>
      <c r="G24">
        <v>78.63</v>
      </c>
      <c r="H24">
        <v>49.41</v>
      </c>
      <c r="I24">
        <v>72.430000000000007</v>
      </c>
      <c r="J24">
        <v>93.42</v>
      </c>
      <c r="K24">
        <v>145.18</v>
      </c>
    </row>
    <row r="25" spans="1:11" s="9" customFormat="1" x14ac:dyDescent="0.3">
      <c r="A25" s="9" t="s">
        <v>9</v>
      </c>
      <c r="B25">
        <v>348.13</v>
      </c>
      <c r="C25">
        <v>188.8</v>
      </c>
      <c r="D25">
        <v>93.28</v>
      </c>
      <c r="E25">
        <v>90.69</v>
      </c>
      <c r="F25">
        <v>176.09</v>
      </c>
      <c r="G25">
        <v>177.34</v>
      </c>
      <c r="H25">
        <v>131.97</v>
      </c>
      <c r="I25">
        <v>134.34</v>
      </c>
      <c r="J25">
        <v>191.84</v>
      </c>
      <c r="K25">
        <v>342.19</v>
      </c>
    </row>
    <row r="26" spans="1:11" s="9" customFormat="1" x14ac:dyDescent="0.3">
      <c r="A26" s="9" t="s">
        <v>10</v>
      </c>
      <c r="B26">
        <v>68.09</v>
      </c>
      <c r="C26">
        <v>52.93</v>
      </c>
      <c r="D26">
        <v>70.19</v>
      </c>
      <c r="E26">
        <v>61.46</v>
      </c>
      <c r="F26">
        <v>53.72</v>
      </c>
      <c r="G26">
        <v>106.38</v>
      </c>
      <c r="H26">
        <v>104.11</v>
      </c>
      <c r="I26">
        <v>92.8</v>
      </c>
      <c r="J26">
        <v>80.66</v>
      </c>
      <c r="K26">
        <v>74.260000000000005</v>
      </c>
    </row>
    <row r="27" spans="1:11" s="9" customFormat="1" x14ac:dyDescent="0.3">
      <c r="A27" s="9" t="s">
        <v>11</v>
      </c>
      <c r="B27"/>
      <c r="C27"/>
      <c r="D27"/>
      <c r="E27"/>
      <c r="F27"/>
      <c r="G27">
        <v>47.37</v>
      </c>
      <c r="H27">
        <v>19.13</v>
      </c>
      <c r="I27">
        <v>12.2</v>
      </c>
      <c r="J27">
        <v>12.66</v>
      </c>
      <c r="K27">
        <v>28.11</v>
      </c>
    </row>
    <row r="28" spans="1:11" s="9" customFormat="1" x14ac:dyDescent="0.3">
      <c r="A28" s="9" t="s">
        <v>12</v>
      </c>
      <c r="B28">
        <v>1830.84</v>
      </c>
      <c r="C28">
        <v>1747.59</v>
      </c>
      <c r="D28">
        <v>1756.98</v>
      </c>
      <c r="E28">
        <v>1840.44</v>
      </c>
      <c r="F28">
        <v>2266.98</v>
      </c>
      <c r="G28">
        <v>2252.2800000000002</v>
      </c>
      <c r="H28">
        <v>2477.33</v>
      </c>
      <c r="I28">
        <v>2528.2800000000002</v>
      </c>
      <c r="J28">
        <v>2569.91</v>
      </c>
      <c r="K28">
        <v>3022.33</v>
      </c>
    </row>
    <row r="29" spans="1:11" s="9" customFormat="1" x14ac:dyDescent="0.3">
      <c r="A29" s="9" t="s">
        <v>13</v>
      </c>
      <c r="B29">
        <v>638.52</v>
      </c>
      <c r="C29">
        <v>698.7</v>
      </c>
      <c r="D29">
        <v>571.59</v>
      </c>
      <c r="E29">
        <v>603.4</v>
      </c>
      <c r="F29">
        <v>881.09</v>
      </c>
      <c r="G29">
        <v>790.07</v>
      </c>
      <c r="H29">
        <v>715.48</v>
      </c>
      <c r="I29">
        <v>639.45000000000005</v>
      </c>
      <c r="J29">
        <v>763.77</v>
      </c>
      <c r="K29">
        <v>802.97</v>
      </c>
    </row>
    <row r="30" spans="1:11" s="9" customFormat="1" x14ac:dyDescent="0.3">
      <c r="A30" s="9" t="s">
        <v>14</v>
      </c>
      <c r="B30">
        <v>1192.32</v>
      </c>
      <c r="C30">
        <v>1048.8900000000001</v>
      </c>
      <c r="D30">
        <v>1185.3900000000001</v>
      </c>
      <c r="E30">
        <v>1237.04</v>
      </c>
      <c r="F30">
        <v>1385.9</v>
      </c>
      <c r="G30">
        <v>1462.22</v>
      </c>
      <c r="H30">
        <v>1761.86</v>
      </c>
      <c r="I30">
        <v>1888.83</v>
      </c>
      <c r="J30">
        <v>1806.14</v>
      </c>
      <c r="K30">
        <v>2219.36</v>
      </c>
    </row>
    <row r="31" spans="1:11" s="9" customFormat="1" x14ac:dyDescent="0.3">
      <c r="A31" s="9" t="s">
        <v>61</v>
      </c>
      <c r="B31">
        <v>5627.23</v>
      </c>
      <c r="C31">
        <v>847</v>
      </c>
      <c r="D31">
        <v>1443.98</v>
      </c>
      <c r="E31">
        <v>1109.42</v>
      </c>
      <c r="F31"/>
      <c r="G31">
        <v>1545.84</v>
      </c>
      <c r="H31">
        <v>1721.2</v>
      </c>
      <c r="I31">
        <v>1638.56</v>
      </c>
      <c r="J31">
        <v>1944</v>
      </c>
      <c r="K31">
        <v>2080.3200000000002</v>
      </c>
    </row>
    <row r="32" spans="1:11" s="9" customFormat="1" x14ac:dyDescent="0.3">
      <c r="A32" s="5" t="s">
        <v>177</v>
      </c>
      <c r="B32" s="9">
        <f>+B30+B29+B27+B26</f>
        <v>1898.9299999999998</v>
      </c>
      <c r="C32" s="9">
        <f t="shared" ref="C32:K32" si="0">+C30+C29+C27+C26</f>
        <v>1800.5200000000002</v>
      </c>
      <c r="D32" s="9">
        <f t="shared" si="0"/>
        <v>1827.17</v>
      </c>
      <c r="E32" s="9">
        <f t="shared" si="0"/>
        <v>1901.9</v>
      </c>
      <c r="F32" s="9">
        <f t="shared" si="0"/>
        <v>2320.71</v>
      </c>
      <c r="G32" s="9">
        <f t="shared" si="0"/>
        <v>2406.04</v>
      </c>
      <c r="H32" s="9">
        <f t="shared" si="0"/>
        <v>2600.5800000000004</v>
      </c>
      <c r="I32" s="9">
        <f t="shared" si="0"/>
        <v>2633.2799999999997</v>
      </c>
      <c r="J32" s="9">
        <f t="shared" si="0"/>
        <v>2663.2299999999996</v>
      </c>
      <c r="K32" s="9">
        <f t="shared" si="0"/>
        <v>3124.7000000000003</v>
      </c>
    </row>
    <row r="33" spans="1:11" x14ac:dyDescent="0.3">
      <c r="A33" s="9"/>
    </row>
    <row r="34" spans="1:11" x14ac:dyDescent="0.3">
      <c r="A34" s="9"/>
      <c r="C34" s="5">
        <f>'Data Sheet'!B58/'Data Sheet'!B61</f>
        <v>0.54266061338888916</v>
      </c>
    </row>
    <row r="35" spans="1:11" x14ac:dyDescent="0.3">
      <c r="A35" s="9"/>
      <c r="B35" s="5">
        <f>SUM(B17,B25)</f>
        <v>4253.04</v>
      </c>
      <c r="C35" s="5">
        <f t="shared" ref="C35:K35" si="1">SUM(C17,C25)</f>
        <v>4320.0200000000004</v>
      </c>
      <c r="D35" s="5">
        <f t="shared" si="1"/>
        <v>4519.8099999999995</v>
      </c>
      <c r="E35" s="5">
        <f t="shared" si="1"/>
        <v>4618.16</v>
      </c>
      <c r="F35" s="5">
        <f t="shared" si="1"/>
        <v>5134.99</v>
      </c>
      <c r="G35" s="5">
        <f t="shared" si="1"/>
        <v>5038.62</v>
      </c>
      <c r="H35" s="5">
        <f t="shared" si="1"/>
        <v>5115.91</v>
      </c>
      <c r="I35" s="5">
        <f t="shared" si="1"/>
        <v>5355.8</v>
      </c>
      <c r="J35" s="5">
        <f t="shared" si="1"/>
        <v>5890.1500000000005</v>
      </c>
      <c r="K35" s="5">
        <f t="shared" si="1"/>
        <v>6715.15</v>
      </c>
    </row>
    <row r="36" spans="1:11" x14ac:dyDescent="0.3">
      <c r="A36" s="9"/>
      <c r="B36" s="5">
        <f>SUM(B20:B24,B26:B27,B29:B30)</f>
        <v>4253.04</v>
      </c>
      <c r="C36" s="5">
        <f t="shared" ref="C36:K36" si="2">SUM(C20:C24,C26:C27,C29:C30)</f>
        <v>4320.0200000000004</v>
      </c>
      <c r="D36" s="5">
        <f t="shared" si="2"/>
        <v>4519.8100000000004</v>
      </c>
      <c r="E36" s="5">
        <f t="shared" si="2"/>
        <v>4618.16</v>
      </c>
      <c r="F36" s="5">
        <f t="shared" si="2"/>
        <v>5135</v>
      </c>
      <c r="G36" s="5">
        <f t="shared" si="2"/>
        <v>5038.63</v>
      </c>
      <c r="H36" s="5">
        <f t="shared" si="2"/>
        <v>5115.92</v>
      </c>
      <c r="I36" s="5">
        <f t="shared" si="2"/>
        <v>5355.8</v>
      </c>
      <c r="J36" s="5">
        <f t="shared" si="2"/>
        <v>5890.15</v>
      </c>
      <c r="K36" s="5">
        <f t="shared" si="2"/>
        <v>6715.15</v>
      </c>
    </row>
    <row r="37" spans="1:11" x14ac:dyDescent="0.3">
      <c r="A37" s="9"/>
      <c r="C37" s="5">
        <f>SUM(C20:C26,C30)</f>
        <v>3810.1200000000008</v>
      </c>
      <c r="D37" s="5">
        <f>SUM(D20:D26,D30)</f>
        <v>4041.5000000000009</v>
      </c>
    </row>
    <row r="38" spans="1:11" x14ac:dyDescent="0.3">
      <c r="A38" s="9"/>
    </row>
    <row r="39" spans="1:11" x14ac:dyDescent="0.3">
      <c r="A39" s="9"/>
    </row>
    <row r="40" spans="1:11" x14ac:dyDescent="0.3">
      <c r="A40" s="1" t="s">
        <v>39</v>
      </c>
    </row>
    <row r="41" spans="1:11" s="24" customFormat="1" x14ac:dyDescent="0.3">
      <c r="A41" s="23" t="s">
        <v>38</v>
      </c>
      <c r="B41" s="16">
        <v>44834</v>
      </c>
      <c r="C41" s="16">
        <v>44926</v>
      </c>
      <c r="D41" s="16">
        <v>45016</v>
      </c>
      <c r="E41" s="16">
        <v>45107</v>
      </c>
      <c r="F41" s="16">
        <v>45199</v>
      </c>
      <c r="G41" s="16">
        <v>45291</v>
      </c>
      <c r="H41" s="16">
        <v>45382</v>
      </c>
      <c r="I41" s="16">
        <v>45473</v>
      </c>
      <c r="J41" s="16">
        <v>45565</v>
      </c>
      <c r="K41" s="16">
        <v>45657</v>
      </c>
    </row>
    <row r="42" spans="1:11" s="9" customFormat="1" x14ac:dyDescent="0.3">
      <c r="A42" s="9" t="s">
        <v>6</v>
      </c>
      <c r="B42">
        <v>1376.03</v>
      </c>
      <c r="C42">
        <v>1449.3</v>
      </c>
      <c r="D42">
        <v>1470.52</v>
      </c>
      <c r="E42">
        <v>1462.4</v>
      </c>
      <c r="F42">
        <v>1444.48</v>
      </c>
      <c r="G42">
        <v>1823.6</v>
      </c>
      <c r="H42">
        <v>1642.4</v>
      </c>
      <c r="I42">
        <v>1741.4</v>
      </c>
      <c r="J42">
        <v>1673.9</v>
      </c>
      <c r="K42">
        <v>1715.2</v>
      </c>
    </row>
    <row r="43" spans="1:11" s="9" customFormat="1" x14ac:dyDescent="0.3">
      <c r="A43" s="9" t="s">
        <v>7</v>
      </c>
      <c r="B43">
        <v>809.15</v>
      </c>
      <c r="C43">
        <v>843.09</v>
      </c>
      <c r="D43">
        <v>819.66</v>
      </c>
      <c r="E43">
        <v>840.9</v>
      </c>
      <c r="F43">
        <v>886.37</v>
      </c>
      <c r="G43">
        <v>955.1</v>
      </c>
      <c r="H43">
        <v>908</v>
      </c>
      <c r="I43">
        <v>894.3</v>
      </c>
      <c r="J43">
        <v>923.3</v>
      </c>
      <c r="K43">
        <v>1001.3</v>
      </c>
    </row>
    <row r="44" spans="1:11" s="9" customFormat="1" x14ac:dyDescent="0.3">
      <c r="A44" s="9" t="s">
        <v>9</v>
      </c>
      <c r="B44">
        <v>45.62</v>
      </c>
      <c r="C44">
        <v>40.799999999999997</v>
      </c>
      <c r="D44">
        <v>61.27</v>
      </c>
      <c r="E44">
        <v>100.6</v>
      </c>
      <c r="F44">
        <v>65.14</v>
      </c>
      <c r="G44">
        <v>94</v>
      </c>
      <c r="H44">
        <v>82.5</v>
      </c>
      <c r="I44">
        <v>48</v>
      </c>
      <c r="J44">
        <v>104.6</v>
      </c>
      <c r="K44">
        <v>69.7</v>
      </c>
    </row>
    <row r="45" spans="1:11" s="9" customFormat="1" x14ac:dyDescent="0.3">
      <c r="A45" s="9" t="s">
        <v>10</v>
      </c>
      <c r="B45">
        <v>21.66</v>
      </c>
      <c r="C45">
        <v>20.61</v>
      </c>
      <c r="D45">
        <v>18.690000000000001</v>
      </c>
      <c r="E45">
        <v>18.5</v>
      </c>
      <c r="F45">
        <v>19.010000000000002</v>
      </c>
      <c r="G45">
        <v>19</v>
      </c>
      <c r="H45">
        <v>17.8</v>
      </c>
      <c r="I45">
        <v>17.5</v>
      </c>
      <c r="J45">
        <v>17.8</v>
      </c>
      <c r="K45">
        <v>16.899999999999999</v>
      </c>
    </row>
    <row r="46" spans="1:11" s="9" customFormat="1" x14ac:dyDescent="0.3">
      <c r="A46" s="9" t="s">
        <v>11</v>
      </c>
      <c r="B46">
        <v>5.34</v>
      </c>
      <c r="C46">
        <v>6.59</v>
      </c>
      <c r="D46">
        <v>7.67</v>
      </c>
      <c r="E46">
        <v>-3.2</v>
      </c>
      <c r="F46">
        <v>8.0399999999999991</v>
      </c>
      <c r="G46">
        <v>9.3000000000000007</v>
      </c>
      <c r="H46">
        <v>13.9</v>
      </c>
      <c r="I46">
        <v>4.7</v>
      </c>
      <c r="J46">
        <v>8.4</v>
      </c>
      <c r="K46">
        <v>-3.3</v>
      </c>
    </row>
    <row r="47" spans="1:11" s="9" customFormat="1" x14ac:dyDescent="0.3">
      <c r="A47" s="9" t="s">
        <v>12</v>
      </c>
      <c r="B47">
        <v>585.5</v>
      </c>
      <c r="C47">
        <v>619.80999999999995</v>
      </c>
      <c r="D47">
        <v>685.77</v>
      </c>
      <c r="E47">
        <v>706.8</v>
      </c>
      <c r="F47">
        <v>596.20000000000005</v>
      </c>
      <c r="G47">
        <v>934.2</v>
      </c>
      <c r="H47">
        <v>785.2</v>
      </c>
      <c r="I47">
        <v>872.9</v>
      </c>
      <c r="J47">
        <v>829</v>
      </c>
      <c r="K47">
        <v>770</v>
      </c>
    </row>
    <row r="48" spans="1:11" s="9" customFormat="1" x14ac:dyDescent="0.3">
      <c r="A48" s="9" t="s">
        <v>13</v>
      </c>
      <c r="B48">
        <v>187.75</v>
      </c>
      <c r="C48">
        <v>182.48</v>
      </c>
      <c r="D48">
        <v>206.46</v>
      </c>
      <c r="E48">
        <v>205.8</v>
      </c>
      <c r="F48">
        <v>178.75</v>
      </c>
      <c r="G48">
        <v>193.4</v>
      </c>
      <c r="H48">
        <v>225.1</v>
      </c>
      <c r="I48">
        <v>256.2</v>
      </c>
      <c r="J48">
        <v>251.3</v>
      </c>
      <c r="K48">
        <v>228.7</v>
      </c>
    </row>
    <row r="49" spans="1:11" s="9" customFormat="1" x14ac:dyDescent="0.3">
      <c r="A49" s="9" t="s">
        <v>14</v>
      </c>
      <c r="B49">
        <v>397.75</v>
      </c>
      <c r="C49">
        <v>437.33</v>
      </c>
      <c r="D49">
        <v>479.3</v>
      </c>
      <c r="E49">
        <v>501</v>
      </c>
      <c r="F49">
        <v>417.45</v>
      </c>
      <c r="G49">
        <v>740.8</v>
      </c>
      <c r="H49">
        <v>560.1</v>
      </c>
      <c r="I49">
        <v>616.70000000000005</v>
      </c>
      <c r="J49">
        <v>577.70000000000005</v>
      </c>
      <c r="K49">
        <v>541.29999999999995</v>
      </c>
    </row>
    <row r="50" spans="1:11" x14ac:dyDescent="0.3">
      <c r="A50" s="9" t="s">
        <v>8</v>
      </c>
      <c r="B50">
        <v>566.88</v>
      </c>
      <c r="C50">
        <v>606.21</v>
      </c>
      <c r="D50">
        <v>650.86</v>
      </c>
      <c r="E50">
        <v>621.5</v>
      </c>
      <c r="F50">
        <v>558.11</v>
      </c>
      <c r="G50">
        <v>868.5</v>
      </c>
      <c r="H50">
        <v>734.4</v>
      </c>
      <c r="I50">
        <v>847.1</v>
      </c>
      <c r="J50">
        <v>750.6</v>
      </c>
      <c r="K50">
        <v>713.9</v>
      </c>
    </row>
    <row r="51" spans="1:11" x14ac:dyDescent="0.3">
      <c r="A51" s="9"/>
    </row>
    <row r="52" spans="1:11" x14ac:dyDescent="0.3">
      <c r="A52" s="9"/>
    </row>
    <row r="53" spans="1:11" x14ac:dyDescent="0.3">
      <c r="A53" s="9"/>
    </row>
    <row r="54" spans="1:11" x14ac:dyDescent="0.3">
      <c r="A54" s="9"/>
    </row>
    <row r="55" spans="1:11" x14ac:dyDescent="0.3">
      <c r="A55" s="1" t="s">
        <v>40</v>
      </c>
    </row>
    <row r="56" spans="1:11" s="24" customFormat="1" x14ac:dyDescent="0.3">
      <c r="A56" s="23" t="s">
        <v>38</v>
      </c>
      <c r="B56" s="16">
        <v>42094</v>
      </c>
      <c r="C56" s="16">
        <v>42460</v>
      </c>
      <c r="D56" s="16">
        <v>42825</v>
      </c>
      <c r="E56" s="16">
        <v>43190</v>
      </c>
      <c r="F56" s="16">
        <v>43555</v>
      </c>
      <c r="G56" s="16">
        <v>43921</v>
      </c>
      <c r="H56" s="16">
        <v>44286</v>
      </c>
      <c r="I56" s="16">
        <v>44651</v>
      </c>
      <c r="J56" s="16">
        <v>45016</v>
      </c>
      <c r="K56" s="16">
        <v>45382</v>
      </c>
    </row>
    <row r="57" spans="1:11" x14ac:dyDescent="0.3">
      <c r="A57" s="9" t="s">
        <v>24</v>
      </c>
      <c r="B57">
        <v>42.31</v>
      </c>
      <c r="C57">
        <v>42.35</v>
      </c>
      <c r="D57">
        <v>42.47</v>
      </c>
      <c r="E57">
        <v>42.67</v>
      </c>
      <c r="F57">
        <v>42.88</v>
      </c>
      <c r="G57">
        <v>42.94</v>
      </c>
      <c r="H57">
        <v>43.03</v>
      </c>
      <c r="I57">
        <v>43.12</v>
      </c>
      <c r="J57">
        <v>43.2</v>
      </c>
      <c r="K57">
        <v>43.34</v>
      </c>
    </row>
    <row r="58" spans="1:11" x14ac:dyDescent="0.3">
      <c r="A58" s="9" t="s">
        <v>25</v>
      </c>
      <c r="B58">
        <v>3401.82</v>
      </c>
      <c r="C58">
        <v>4631.53</v>
      </c>
      <c r="D58">
        <v>3222.12</v>
      </c>
      <c r="E58">
        <v>4664.72</v>
      </c>
      <c r="F58">
        <v>4893.67</v>
      </c>
      <c r="G58">
        <v>6526.64</v>
      </c>
      <c r="H58">
        <v>6805.74</v>
      </c>
      <c r="I58">
        <v>7056.57</v>
      </c>
      <c r="J58">
        <v>7415.71</v>
      </c>
      <c r="K58">
        <v>7815.5</v>
      </c>
    </row>
    <row r="59" spans="1:11" x14ac:dyDescent="0.3">
      <c r="A59" s="9" t="s">
        <v>62</v>
      </c>
      <c r="B59"/>
      <c r="C59"/>
      <c r="D59"/>
      <c r="E59"/>
      <c r="F59"/>
      <c r="G59">
        <v>114.68</v>
      </c>
      <c r="H59">
        <v>69.760000000000005</v>
      </c>
      <c r="I59">
        <v>83.39</v>
      </c>
      <c r="J59">
        <v>69.400000000000006</v>
      </c>
      <c r="K59">
        <v>42.96</v>
      </c>
    </row>
    <row r="60" spans="1:11" x14ac:dyDescent="0.3">
      <c r="A60" s="9" t="s">
        <v>63</v>
      </c>
      <c r="B60">
        <v>2824.65</v>
      </c>
      <c r="C60">
        <v>1011.31</v>
      </c>
      <c r="D60">
        <v>2755.59</v>
      </c>
      <c r="E60">
        <v>1225.25</v>
      </c>
      <c r="F60">
        <v>1191.9100000000001</v>
      </c>
      <c r="G60">
        <v>1235.71</v>
      </c>
      <c r="H60">
        <v>1234.04</v>
      </c>
      <c r="I60">
        <v>1409.35</v>
      </c>
      <c r="J60">
        <v>1590.46</v>
      </c>
      <c r="K60">
        <v>1847.63</v>
      </c>
    </row>
    <row r="61" spans="1:11" s="1" customFormat="1" x14ac:dyDescent="0.3">
      <c r="A61" s="1" t="s">
        <v>26</v>
      </c>
      <c r="B61">
        <v>6268.78</v>
      </c>
      <c r="C61">
        <v>5685.19</v>
      </c>
      <c r="D61">
        <v>6020.18</v>
      </c>
      <c r="E61">
        <v>5932.64</v>
      </c>
      <c r="F61">
        <v>6128.46</v>
      </c>
      <c r="G61">
        <v>7919.97</v>
      </c>
      <c r="H61">
        <v>8152.57</v>
      </c>
      <c r="I61">
        <v>8592.43</v>
      </c>
      <c r="J61">
        <v>9118.77</v>
      </c>
      <c r="K61">
        <v>9749.43</v>
      </c>
    </row>
    <row r="62" spans="1:11" x14ac:dyDescent="0.3">
      <c r="A62" s="9" t="s">
        <v>27</v>
      </c>
      <c r="B62">
        <v>911.1</v>
      </c>
      <c r="C62">
        <v>864.86</v>
      </c>
      <c r="D62">
        <v>869.79</v>
      </c>
      <c r="E62">
        <v>836.87</v>
      </c>
      <c r="F62">
        <v>863.87</v>
      </c>
      <c r="G62">
        <v>962.82</v>
      </c>
      <c r="H62">
        <v>884.07</v>
      </c>
      <c r="I62">
        <v>871.41</v>
      </c>
      <c r="J62">
        <v>846.81</v>
      </c>
      <c r="K62">
        <v>805.07</v>
      </c>
    </row>
    <row r="63" spans="1:11" x14ac:dyDescent="0.3">
      <c r="A63" s="9" t="s">
        <v>28</v>
      </c>
      <c r="B63">
        <v>0.33</v>
      </c>
      <c r="C63">
        <v>4.79</v>
      </c>
      <c r="D63">
        <v>0.82</v>
      </c>
      <c r="E63">
        <v>2.59</v>
      </c>
      <c r="F63">
        <v>0.45</v>
      </c>
      <c r="G63">
        <v>0.05</v>
      </c>
      <c r="H63">
        <v>0.13</v>
      </c>
      <c r="I63">
        <v>3.82</v>
      </c>
      <c r="J63">
        <v>0.56999999999999995</v>
      </c>
      <c r="K63">
        <v>2.76</v>
      </c>
    </row>
    <row r="64" spans="1:11" x14ac:dyDescent="0.3">
      <c r="A64" s="9" t="s">
        <v>29</v>
      </c>
      <c r="B64"/>
      <c r="C64">
        <v>10.47</v>
      </c>
      <c r="D64"/>
      <c r="E64"/>
      <c r="F64"/>
      <c r="G64"/>
      <c r="H64"/>
      <c r="I64"/>
      <c r="J64"/>
      <c r="K64"/>
    </row>
    <row r="65" spans="1:11" x14ac:dyDescent="0.3">
      <c r="A65" s="9" t="s">
        <v>64</v>
      </c>
      <c r="B65">
        <v>5357.35</v>
      </c>
      <c r="C65">
        <v>4805.07</v>
      </c>
      <c r="D65">
        <v>5149.57</v>
      </c>
      <c r="E65">
        <v>5093.18</v>
      </c>
      <c r="F65">
        <v>5264.14</v>
      </c>
      <c r="G65">
        <v>6957.1</v>
      </c>
      <c r="H65">
        <v>7268.37</v>
      </c>
      <c r="I65">
        <v>7717.2</v>
      </c>
      <c r="J65">
        <v>8271.39</v>
      </c>
      <c r="K65">
        <v>8941.6</v>
      </c>
    </row>
    <row r="66" spans="1:11" s="1" customFormat="1" x14ac:dyDescent="0.3">
      <c r="A66" s="1" t="s">
        <v>26</v>
      </c>
      <c r="B66">
        <v>6268.78</v>
      </c>
      <c r="C66">
        <v>5685.19</v>
      </c>
      <c r="D66">
        <v>6020.18</v>
      </c>
      <c r="E66">
        <v>5932.64</v>
      </c>
      <c r="F66">
        <v>6128.46</v>
      </c>
      <c r="G66">
        <v>7919.97</v>
      </c>
      <c r="H66">
        <v>8152.57</v>
      </c>
      <c r="I66">
        <v>8592.43</v>
      </c>
      <c r="J66">
        <v>9118.77</v>
      </c>
      <c r="K66">
        <v>9749.43</v>
      </c>
    </row>
    <row r="67" spans="1:11" s="9" customFormat="1" x14ac:dyDescent="0.3">
      <c r="A67" s="9" t="s">
        <v>69</v>
      </c>
      <c r="B67">
        <v>601.62</v>
      </c>
      <c r="C67">
        <v>831.09</v>
      </c>
      <c r="D67">
        <v>718.01</v>
      </c>
      <c r="E67">
        <v>1007.48</v>
      </c>
      <c r="F67">
        <v>947.48</v>
      </c>
      <c r="G67">
        <v>925.37</v>
      </c>
      <c r="H67">
        <v>802.75</v>
      </c>
      <c r="I67">
        <v>926.27</v>
      </c>
      <c r="J67">
        <v>1083.3699999999999</v>
      </c>
      <c r="K67">
        <v>1319.31</v>
      </c>
    </row>
    <row r="68" spans="1:11" x14ac:dyDescent="0.3">
      <c r="A68" s="9" t="s">
        <v>45</v>
      </c>
      <c r="B68"/>
      <c r="C68"/>
      <c r="D68"/>
      <c r="E68"/>
      <c r="F68"/>
      <c r="G68"/>
      <c r="H68"/>
      <c r="I68"/>
      <c r="J68"/>
      <c r="K68"/>
    </row>
    <row r="69" spans="1:11" x14ac:dyDescent="0.3">
      <c r="A69" s="5" t="s">
        <v>78</v>
      </c>
      <c r="B69">
        <v>3563.83</v>
      </c>
      <c r="C69">
        <v>2785.49</v>
      </c>
      <c r="D69">
        <v>3031.7</v>
      </c>
      <c r="E69">
        <v>2646.07</v>
      </c>
      <c r="F69">
        <v>2827.96</v>
      </c>
      <c r="G69">
        <v>4496.8100000000004</v>
      </c>
      <c r="H69">
        <v>4914.13</v>
      </c>
      <c r="I69">
        <v>5122.49</v>
      </c>
      <c r="J69">
        <v>5469.74</v>
      </c>
      <c r="K69">
        <v>5538.19</v>
      </c>
    </row>
    <row r="70" spans="1:11" x14ac:dyDescent="0.3">
      <c r="A70" s="5" t="s">
        <v>65</v>
      </c>
      <c r="B70">
        <v>84614859</v>
      </c>
      <c r="C70">
        <v>84690036</v>
      </c>
      <c r="D70">
        <v>84940264</v>
      </c>
      <c r="E70">
        <v>85346293</v>
      </c>
      <c r="F70">
        <v>85779147</v>
      </c>
      <c r="G70">
        <v>85879298</v>
      </c>
      <c r="H70">
        <v>86062233</v>
      </c>
      <c r="I70">
        <v>86246465</v>
      </c>
      <c r="J70">
        <v>86397179</v>
      </c>
      <c r="K70">
        <v>86671656</v>
      </c>
    </row>
    <row r="71" spans="1:11" x14ac:dyDescent="0.3">
      <c r="A71" s="5" t="s">
        <v>66</v>
      </c>
    </row>
    <row r="72" spans="1:11" x14ac:dyDescent="0.3">
      <c r="A72" s="5" t="s">
        <v>79</v>
      </c>
      <c r="B72">
        <v>5</v>
      </c>
      <c r="C72">
        <v>5</v>
      </c>
      <c r="D72">
        <v>5</v>
      </c>
      <c r="E72">
        <v>5</v>
      </c>
      <c r="F72">
        <v>5</v>
      </c>
      <c r="G72">
        <v>5</v>
      </c>
      <c r="H72">
        <v>5</v>
      </c>
      <c r="I72">
        <v>5</v>
      </c>
      <c r="J72">
        <v>5</v>
      </c>
      <c r="K72">
        <v>5</v>
      </c>
    </row>
    <row r="74" spans="1:11" x14ac:dyDescent="0.3">
      <c r="A74" s="5" t="s">
        <v>178</v>
      </c>
      <c r="B74" s="5">
        <f>B65-SUM(B67:B69)</f>
        <v>1191.9000000000005</v>
      </c>
      <c r="C74" s="5">
        <f t="shared" ref="C74:K74" si="3">C65-SUM(C67:C69)</f>
        <v>1188.4899999999998</v>
      </c>
      <c r="D74" s="5">
        <f t="shared" si="3"/>
        <v>1399.8599999999997</v>
      </c>
      <c r="E74" s="5">
        <f t="shared" si="3"/>
        <v>1439.63</v>
      </c>
      <c r="F74" s="5">
        <f t="shared" si="3"/>
        <v>1488.7000000000003</v>
      </c>
      <c r="G74" s="5">
        <f t="shared" si="3"/>
        <v>1534.92</v>
      </c>
      <c r="H74" s="5">
        <f t="shared" si="3"/>
        <v>1551.4899999999998</v>
      </c>
      <c r="I74" s="5">
        <f t="shared" si="3"/>
        <v>1668.4399999999996</v>
      </c>
      <c r="J74" s="5">
        <f t="shared" si="3"/>
        <v>1718.2799999999997</v>
      </c>
      <c r="K74" s="5">
        <f t="shared" si="3"/>
        <v>2084.1000000000004</v>
      </c>
    </row>
    <row r="75" spans="1:11" x14ac:dyDescent="0.3">
      <c r="A75" s="9"/>
    </row>
    <row r="76" spans="1:11" x14ac:dyDescent="0.3">
      <c r="A76" s="5" t="s">
        <v>109</v>
      </c>
      <c r="B76" s="5">
        <f>B61</f>
        <v>6268.78</v>
      </c>
      <c r="C76" s="5">
        <f t="shared" ref="C76:K76" si="4">C61</f>
        <v>5685.19</v>
      </c>
      <c r="D76" s="5">
        <f t="shared" si="4"/>
        <v>6020.18</v>
      </c>
      <c r="E76" s="5">
        <f t="shared" si="4"/>
        <v>5932.64</v>
      </c>
      <c r="F76" s="5">
        <f t="shared" si="4"/>
        <v>6128.46</v>
      </c>
      <c r="G76" s="5">
        <f t="shared" si="4"/>
        <v>7919.97</v>
      </c>
      <c r="H76" s="5">
        <f t="shared" si="4"/>
        <v>8152.57</v>
      </c>
      <c r="I76" s="5">
        <f t="shared" si="4"/>
        <v>8592.43</v>
      </c>
      <c r="J76" s="5">
        <f t="shared" si="4"/>
        <v>9118.77</v>
      </c>
      <c r="K76" s="5">
        <f t="shared" si="4"/>
        <v>9749.43</v>
      </c>
    </row>
    <row r="77" spans="1:11" x14ac:dyDescent="0.3">
      <c r="A77" s="9"/>
    </row>
    <row r="78" spans="1:11" x14ac:dyDescent="0.3">
      <c r="A78" s="9"/>
    </row>
    <row r="79" spans="1:11" x14ac:dyDescent="0.3">
      <c r="A79" s="9"/>
    </row>
    <row r="80" spans="1:11" x14ac:dyDescent="0.3">
      <c r="A80" s="1" t="s">
        <v>41</v>
      </c>
    </row>
    <row r="81" spans="1:13" s="24" customFormat="1" x14ac:dyDescent="0.3">
      <c r="A81" s="23" t="s">
        <v>38</v>
      </c>
      <c r="B81" s="16">
        <v>42094</v>
      </c>
      <c r="C81" s="16">
        <v>42460</v>
      </c>
      <c r="D81" s="16">
        <v>42825</v>
      </c>
      <c r="E81" s="16">
        <v>43190</v>
      </c>
      <c r="F81" s="16">
        <v>43555</v>
      </c>
      <c r="G81" s="16">
        <v>43921</v>
      </c>
      <c r="H81" s="16">
        <v>44286</v>
      </c>
      <c r="I81" s="16">
        <v>44651</v>
      </c>
      <c r="J81" s="16">
        <v>45016</v>
      </c>
      <c r="K81" s="16">
        <v>45382</v>
      </c>
    </row>
    <row r="82" spans="1:13" s="1" customFormat="1" x14ac:dyDescent="0.3">
      <c r="A82" s="9" t="s">
        <v>32</v>
      </c>
      <c r="B82">
        <v>1060.3900000000001</v>
      </c>
      <c r="C82">
        <v>712.31</v>
      </c>
      <c r="D82">
        <v>1121.1300000000001</v>
      </c>
      <c r="E82">
        <v>1157.42</v>
      </c>
      <c r="F82">
        <v>1379.61</v>
      </c>
      <c r="G82">
        <v>1521.82</v>
      </c>
      <c r="H82">
        <v>1919.51</v>
      </c>
      <c r="I82">
        <v>1856.15</v>
      </c>
      <c r="J82">
        <v>1758.42</v>
      </c>
      <c r="K82">
        <v>1790.67</v>
      </c>
    </row>
    <row r="83" spans="1:13" s="9" customFormat="1" x14ac:dyDescent="0.3">
      <c r="A83" s="9" t="s">
        <v>33</v>
      </c>
      <c r="B83">
        <v>3701.22</v>
      </c>
      <c r="C83">
        <v>1018.39</v>
      </c>
      <c r="D83">
        <v>1822.73</v>
      </c>
      <c r="E83">
        <v>-1313.12</v>
      </c>
      <c r="F83">
        <v>220.25</v>
      </c>
      <c r="G83">
        <v>-1299.1400000000001</v>
      </c>
      <c r="H83">
        <v>33.53</v>
      </c>
      <c r="I83">
        <v>-137.54</v>
      </c>
      <c r="J83">
        <v>267.17</v>
      </c>
      <c r="K83">
        <v>1610.96</v>
      </c>
    </row>
    <row r="84" spans="1:13" s="9" customFormat="1" x14ac:dyDescent="0.3">
      <c r="A84" s="9" t="s">
        <v>34</v>
      </c>
      <c r="B84">
        <v>-4689.58</v>
      </c>
      <c r="C84">
        <v>-1776.18</v>
      </c>
      <c r="D84">
        <v>-931.35</v>
      </c>
      <c r="E84">
        <v>-1629.66</v>
      </c>
      <c r="F84">
        <v>-1249.7</v>
      </c>
      <c r="G84">
        <v>-47.35</v>
      </c>
      <c r="H84">
        <v>-1589.8</v>
      </c>
      <c r="I84">
        <v>-1733.47</v>
      </c>
      <c r="J84">
        <v>-1665.48</v>
      </c>
      <c r="K84">
        <v>-1958.45</v>
      </c>
      <c r="M84"/>
    </row>
    <row r="85" spans="1:13" s="1" customFormat="1" x14ac:dyDescent="0.3">
      <c r="A85" s="9" t="s">
        <v>35</v>
      </c>
      <c r="B85">
        <v>72.040000000000006</v>
      </c>
      <c r="C85">
        <v>-45.49</v>
      </c>
      <c r="D85">
        <v>2012.51</v>
      </c>
      <c r="E85">
        <v>-1785.37</v>
      </c>
      <c r="F85">
        <v>350.17</v>
      </c>
      <c r="G85">
        <v>175.33</v>
      </c>
      <c r="H85">
        <v>363.23</v>
      </c>
      <c r="I85">
        <v>-14.86</v>
      </c>
      <c r="J85">
        <v>360.11</v>
      </c>
      <c r="K85">
        <v>1443.18</v>
      </c>
      <c r="M85"/>
    </row>
    <row r="86" spans="1:13" x14ac:dyDescent="0.3">
      <c r="A86" s="9"/>
    </row>
    <row r="87" spans="1:13" x14ac:dyDescent="0.3">
      <c r="A87" s="9"/>
    </row>
    <row r="88" spans="1:13" x14ac:dyDescent="0.3">
      <c r="A88" s="9"/>
    </row>
    <row r="89" spans="1:13" x14ac:dyDescent="0.3">
      <c r="A89" s="9"/>
    </row>
    <row r="90" spans="1:13" s="1" customFormat="1" x14ac:dyDescent="0.3">
      <c r="A90" s="1" t="s">
        <v>68</v>
      </c>
      <c r="B90">
        <v>3260.05</v>
      </c>
      <c r="C90">
        <v>3529.4</v>
      </c>
      <c r="D90">
        <v>3815.75</v>
      </c>
      <c r="E90">
        <v>3745.35</v>
      </c>
      <c r="F90">
        <v>3387.8</v>
      </c>
      <c r="G90">
        <v>2023.65</v>
      </c>
      <c r="H90">
        <v>3198.95</v>
      </c>
      <c r="I90">
        <v>3587.75</v>
      </c>
      <c r="J90">
        <v>3263.75</v>
      </c>
      <c r="K90">
        <v>8774.1</v>
      </c>
    </row>
    <row r="92" spans="1:13" s="1" customFormat="1" x14ac:dyDescent="0.3">
      <c r="A92" s="1" t="s">
        <v>67</v>
      </c>
    </row>
    <row r="93" spans="1:13" x14ac:dyDescent="0.3">
      <c r="A93" s="5" t="s">
        <v>80</v>
      </c>
      <c r="B93" s="27">
        <v>8.4600000000000009</v>
      </c>
      <c r="C93" s="27">
        <v>8.49</v>
      </c>
      <c r="D93" s="27">
        <v>8.51</v>
      </c>
      <c r="E93" s="27">
        <v>8.5399999999999991</v>
      </c>
      <c r="F93" s="27">
        <v>8.58</v>
      </c>
      <c r="G93" s="27">
        <v>8.59</v>
      </c>
      <c r="H93" s="27">
        <v>8.61</v>
      </c>
      <c r="I93" s="27">
        <v>8.6199999999999992</v>
      </c>
      <c r="J93" s="27">
        <v>8.64</v>
      </c>
      <c r="K93" s="27">
        <v>8.67</v>
      </c>
    </row>
  </sheetData>
  <mergeCells count="2">
    <mergeCell ref="E1:K1"/>
    <mergeCell ref="E2:K2"/>
  </mergeCells>
  <conditionalFormatting sqref="E1:K1">
    <cfRule type="cellIs" dxfId="0" priority="1" operator="notEqual">
      <formula>""</formula>
    </cfRule>
  </conditionalFormatting>
  <hyperlinks>
    <hyperlink ref="E1:K1" r:id="rId1" display="https://www.screener.in/excel/"/>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79"/>
  <sheetViews>
    <sheetView showGridLines="0" tabSelected="1" zoomScale="94" zoomScaleNormal="94" workbookViewId="0">
      <pane ySplit="7" topLeftCell="A9" activePane="bottomLeft" state="frozen"/>
      <selection pane="bottomLeft" activeCell="N21" sqref="N21"/>
    </sheetView>
  </sheetViews>
  <sheetFormatPr defaultRowHeight="14.4" x14ac:dyDescent="0.3"/>
  <cols>
    <col min="1" max="1" width="1.88671875" customWidth="1"/>
    <col min="2" max="2" width="26.77734375" bestFit="1" customWidth="1"/>
    <col min="3" max="4" width="11.109375" bestFit="1" customWidth="1"/>
    <col min="5" max="7" width="11" bestFit="1" customWidth="1"/>
    <col min="8" max="12" width="11.109375" bestFit="1" customWidth="1"/>
  </cols>
  <sheetData>
    <row r="2" spans="1:13" ht="39" customHeight="1" x14ac:dyDescent="0.3">
      <c r="B2" s="271" t="str">
        <f>'Data Sheet'!B1</f>
        <v>ORACLE FINANCIAL SERVICES SOFTWARE LTD</v>
      </c>
      <c r="C2" s="272"/>
      <c r="D2" s="272"/>
      <c r="E2" s="272"/>
      <c r="F2" s="272"/>
      <c r="G2" s="272"/>
      <c r="H2" s="272"/>
      <c r="I2" s="272"/>
      <c r="J2" s="272"/>
      <c r="K2" s="272"/>
      <c r="L2" s="272"/>
    </row>
    <row r="3" spans="1:13" ht="10.8" customHeight="1" x14ac:dyDescent="0.3">
      <c r="B3" s="208" t="s">
        <v>374</v>
      </c>
      <c r="C3" s="206"/>
      <c r="D3" s="206"/>
      <c r="E3" s="206"/>
      <c r="F3" s="206"/>
      <c r="G3" s="206"/>
      <c r="H3" s="206"/>
      <c r="I3" s="206"/>
      <c r="J3" s="206"/>
      <c r="K3" s="206"/>
      <c r="L3" s="206"/>
    </row>
    <row r="4" spans="1:13" ht="12" customHeight="1" thickBot="1" x14ac:dyDescent="0.35">
      <c r="B4" s="219" t="s">
        <v>373</v>
      </c>
      <c r="C4" s="220"/>
      <c r="D4" s="220"/>
      <c r="E4" s="220"/>
      <c r="F4" s="220"/>
      <c r="G4" s="220"/>
      <c r="H4" s="220"/>
      <c r="I4" s="220"/>
      <c r="J4" s="220"/>
      <c r="K4" s="220"/>
      <c r="L4" s="220"/>
    </row>
    <row r="5" spans="1:13" ht="4.2" customHeight="1" x14ac:dyDescent="0.3">
      <c r="C5" s="186"/>
      <c r="D5" s="187"/>
      <c r="E5" s="187"/>
      <c r="F5" s="187"/>
      <c r="G5" s="187"/>
      <c r="H5" s="187"/>
      <c r="I5" s="187"/>
      <c r="J5" s="187"/>
      <c r="K5" s="187"/>
      <c r="L5" s="187"/>
    </row>
    <row r="6" spans="1:13" x14ac:dyDescent="0.3">
      <c r="B6" s="270" t="str">
        <f>"Historical Financial Statement - "&amp;'Data Sheet'!B1</f>
        <v>Historical Financial Statement - ORACLE FINANCIAL SERVICES SOFTWARE LTD</v>
      </c>
      <c r="C6" s="270"/>
      <c r="D6" s="270"/>
      <c r="E6" s="270"/>
      <c r="F6" s="270"/>
      <c r="G6" s="270"/>
      <c r="H6" s="270"/>
      <c r="I6" s="270"/>
      <c r="J6" s="270"/>
      <c r="K6" s="270"/>
      <c r="L6" s="270"/>
    </row>
    <row r="7" spans="1:13" x14ac:dyDescent="0.3">
      <c r="B7" s="29" t="s">
        <v>81</v>
      </c>
      <c r="C7" s="30">
        <f>'Data Sheet'!B16</f>
        <v>42094</v>
      </c>
      <c r="D7" s="30">
        <f>'Data Sheet'!C16</f>
        <v>42460</v>
      </c>
      <c r="E7" s="30">
        <f>'Data Sheet'!D16</f>
        <v>42825</v>
      </c>
      <c r="F7" s="30">
        <f>'Data Sheet'!E16</f>
        <v>43190</v>
      </c>
      <c r="G7" s="30">
        <f>'Data Sheet'!F16</f>
        <v>43555</v>
      </c>
      <c r="H7" s="30">
        <f>'Data Sheet'!G16</f>
        <v>43921</v>
      </c>
      <c r="I7" s="30">
        <f>'Data Sheet'!H16</f>
        <v>44286</v>
      </c>
      <c r="J7" s="30">
        <f>'Data Sheet'!I16</f>
        <v>44651</v>
      </c>
      <c r="K7" s="30">
        <f>'Data Sheet'!J16</f>
        <v>45016</v>
      </c>
      <c r="L7" s="30">
        <f>'Data Sheet'!K16</f>
        <v>45382</v>
      </c>
      <c r="M7" s="28"/>
    </row>
    <row r="8" spans="1:13" ht="12" customHeight="1" x14ac:dyDescent="0.3">
      <c r="B8" s="34"/>
      <c r="C8" s="35"/>
      <c r="D8" s="35"/>
      <c r="E8" s="35"/>
      <c r="F8" s="35"/>
      <c r="G8" s="35"/>
      <c r="H8" s="35"/>
      <c r="I8" s="35"/>
      <c r="J8" s="35"/>
      <c r="K8" s="35"/>
      <c r="L8" s="35"/>
      <c r="M8" s="28"/>
    </row>
    <row r="9" spans="1:13" x14ac:dyDescent="0.3">
      <c r="A9" t="s">
        <v>82</v>
      </c>
      <c r="B9" s="221" t="s">
        <v>83</v>
      </c>
      <c r="C9" s="221"/>
      <c r="D9" s="221"/>
      <c r="E9" s="221"/>
      <c r="F9" s="221"/>
      <c r="G9" s="221"/>
      <c r="H9" s="221"/>
      <c r="I9" s="221"/>
      <c r="J9" s="221"/>
      <c r="K9" s="221"/>
      <c r="L9" s="221"/>
    </row>
    <row r="10" spans="1:13" x14ac:dyDescent="0.3">
      <c r="B10" t="s">
        <v>6</v>
      </c>
      <c r="C10" s="42">
        <f>IFERROR('Data Sheet'!B17,0)</f>
        <v>3904.91</v>
      </c>
      <c r="D10" s="42">
        <f>IFERROR('Data Sheet'!C17,0)</f>
        <v>4131.22</v>
      </c>
      <c r="E10" s="42">
        <f>IFERROR('Data Sheet'!D17,0)</f>
        <v>4426.53</v>
      </c>
      <c r="F10" s="42">
        <f>IFERROR('Data Sheet'!E17,0)</f>
        <v>4527.47</v>
      </c>
      <c r="G10" s="42">
        <f>IFERROR('Data Sheet'!F17,0)</f>
        <v>4958.8999999999996</v>
      </c>
      <c r="H10" s="42">
        <f>IFERROR('Data Sheet'!G17,0)</f>
        <v>4861.28</v>
      </c>
      <c r="I10" s="42">
        <f>IFERROR('Data Sheet'!H17,0)</f>
        <v>4983.9399999999996</v>
      </c>
      <c r="J10" s="42">
        <f>IFERROR('Data Sheet'!I17,0)</f>
        <v>5221.46</v>
      </c>
      <c r="K10" s="42">
        <f>IFERROR('Data Sheet'!J17,0)</f>
        <v>5698.31</v>
      </c>
      <c r="L10" s="42">
        <f>IFERROR('Data Sheet'!K17,0)</f>
        <v>6372.96</v>
      </c>
    </row>
    <row r="11" spans="1:13" x14ac:dyDescent="0.3">
      <c r="B11" s="32" t="s">
        <v>22</v>
      </c>
      <c r="C11" s="32"/>
      <c r="D11" s="33">
        <f>D10/C10-1</f>
        <v>5.7955240965861021E-2</v>
      </c>
      <c r="E11" s="33">
        <f t="shared" ref="E11:L11" si="0">E10/D10-1</f>
        <v>7.1482516060630941E-2</v>
      </c>
      <c r="F11" s="33">
        <f t="shared" si="0"/>
        <v>2.2803414864465132E-2</v>
      </c>
      <c r="G11" s="33">
        <f t="shared" si="0"/>
        <v>9.5291630866686905E-2</v>
      </c>
      <c r="H11" s="33">
        <f t="shared" si="0"/>
        <v>-1.9685817419185736E-2</v>
      </c>
      <c r="I11" s="33">
        <f t="shared" si="0"/>
        <v>2.5232037652634709E-2</v>
      </c>
      <c r="J11" s="33">
        <f t="shared" si="0"/>
        <v>4.7657074523369092E-2</v>
      </c>
      <c r="K11" s="33">
        <f t="shared" si="0"/>
        <v>9.1325031696115611E-2</v>
      </c>
      <c r="L11" s="33">
        <f t="shared" si="0"/>
        <v>0.11839475212826245</v>
      </c>
    </row>
    <row r="13" spans="1:13" x14ac:dyDescent="0.3">
      <c r="B13" t="s">
        <v>84</v>
      </c>
      <c r="C13" s="42">
        <f>IFERROR(SUM('Data Sheet'!B18,'Data Sheet'!B20:B22)-1*'Data Sheet'!B19,0)</f>
        <v>1899.7800000000002</v>
      </c>
      <c r="D13" s="42">
        <f>IFERROR(SUM('Data Sheet'!C18,'Data Sheet'!C20:C22)-1*'Data Sheet'!C19,0)</f>
        <v>1999</v>
      </c>
      <c r="E13" s="42">
        <f>IFERROR(SUM('Data Sheet'!D18,'Data Sheet'!D20:D22)-1*'Data Sheet'!D19,0)</f>
        <v>2116.06</v>
      </c>
      <c r="F13" s="42">
        <f>IFERROR(SUM('Data Sheet'!E18,'Data Sheet'!E20:E22)-1*'Data Sheet'!E19,0)</f>
        <v>2145.0500000000002</v>
      </c>
      <c r="G13" s="42">
        <f>IFERROR(SUM('Data Sheet'!F18,'Data Sheet'!F20:F22)-1*'Data Sheet'!F19,0)</f>
        <v>2240.69</v>
      </c>
      <c r="H13" s="42">
        <f>IFERROR(SUM('Data Sheet'!G18,'Data Sheet'!G20:G22)-1*'Data Sheet'!G19,0)</f>
        <v>2156.54</v>
      </c>
      <c r="I13" s="42">
        <f>IFERROR(SUM('Data Sheet'!H18,'Data Sheet'!H20:H22)-1*'Data Sheet'!H19,0)</f>
        <v>2226.4899999999998</v>
      </c>
      <c r="J13" s="42">
        <f>IFERROR(SUM('Data Sheet'!I18,'Data Sheet'!I20:I22)-1*'Data Sheet'!I19,0)</f>
        <v>2429.4100000000003</v>
      </c>
      <c r="K13" s="42">
        <f>IFERROR(SUM('Data Sheet'!J18,'Data Sheet'!J20:J22)-1*'Data Sheet'!J19,0)</f>
        <v>2803.54</v>
      </c>
      <c r="L13" s="42">
        <f>IFERROR(SUM('Data Sheet'!K18,'Data Sheet'!K20:K22)-1*'Data Sheet'!K19,0)</f>
        <v>3021.86</v>
      </c>
    </row>
    <row r="14" spans="1:13" x14ac:dyDescent="0.3">
      <c r="B14" s="32" t="s">
        <v>85</v>
      </c>
      <c r="C14" s="33">
        <f>C13/C10</f>
        <v>0.48651057258682023</v>
      </c>
      <c r="D14" s="33">
        <f t="shared" ref="D14:L14" si="1">D13/D10</f>
        <v>0.48387643359588689</v>
      </c>
      <c r="E14" s="33">
        <f t="shared" si="1"/>
        <v>0.47804036118584986</v>
      </c>
      <c r="F14" s="33">
        <f t="shared" si="1"/>
        <v>0.47378558002593063</v>
      </c>
      <c r="G14" s="33">
        <f t="shared" si="1"/>
        <v>0.45185222529189945</v>
      </c>
      <c r="H14" s="33">
        <f t="shared" si="1"/>
        <v>0.44361567323832407</v>
      </c>
      <c r="I14" s="33">
        <f t="shared" si="1"/>
        <v>0.4467329060943751</v>
      </c>
      <c r="J14" s="33">
        <f t="shared" si="1"/>
        <v>0.46527408042961171</v>
      </c>
      <c r="K14" s="33">
        <f t="shared" si="1"/>
        <v>0.4919949950072916</v>
      </c>
      <c r="L14" s="33">
        <f t="shared" si="1"/>
        <v>0.4741689889784339</v>
      </c>
    </row>
    <row r="16" spans="1:13" x14ac:dyDescent="0.3">
      <c r="B16" s="43" t="s">
        <v>86</v>
      </c>
      <c r="C16" s="44">
        <f>C10-C13</f>
        <v>2005.1299999999997</v>
      </c>
      <c r="D16" s="44">
        <f t="shared" ref="D16:L16" si="2">D10-D13</f>
        <v>2132.2200000000003</v>
      </c>
      <c r="E16" s="44">
        <f t="shared" si="2"/>
        <v>2310.4699999999998</v>
      </c>
      <c r="F16" s="44">
        <f t="shared" si="2"/>
        <v>2382.42</v>
      </c>
      <c r="G16" s="44">
        <f t="shared" si="2"/>
        <v>2718.2099999999996</v>
      </c>
      <c r="H16" s="44">
        <f t="shared" si="2"/>
        <v>2704.74</v>
      </c>
      <c r="I16" s="44">
        <f t="shared" si="2"/>
        <v>2757.45</v>
      </c>
      <c r="J16" s="44">
        <f t="shared" si="2"/>
        <v>2792.0499999999997</v>
      </c>
      <c r="K16" s="44">
        <f t="shared" si="2"/>
        <v>2894.7700000000004</v>
      </c>
      <c r="L16" s="44">
        <f t="shared" si="2"/>
        <v>3351.1</v>
      </c>
    </row>
    <row r="17" spans="2:12" x14ac:dyDescent="0.3">
      <c r="B17" s="32" t="s">
        <v>87</v>
      </c>
      <c r="C17" s="33">
        <f>C16/C10</f>
        <v>0.51348942741317971</v>
      </c>
      <c r="D17" s="33">
        <f t="shared" ref="D17:L17" si="3">D16/D10</f>
        <v>0.51612356640411305</v>
      </c>
      <c r="E17" s="33">
        <f t="shared" si="3"/>
        <v>0.52195963881415008</v>
      </c>
      <c r="F17" s="33">
        <f t="shared" si="3"/>
        <v>0.52621441997406937</v>
      </c>
      <c r="G17" s="33">
        <f t="shared" si="3"/>
        <v>0.5481477747081005</v>
      </c>
      <c r="H17" s="33">
        <f t="shared" si="3"/>
        <v>0.55638432676167593</v>
      </c>
      <c r="I17" s="33">
        <f t="shared" si="3"/>
        <v>0.5532670939056249</v>
      </c>
      <c r="J17" s="33">
        <f t="shared" si="3"/>
        <v>0.53472591957038829</v>
      </c>
      <c r="K17" s="33">
        <f t="shared" si="3"/>
        <v>0.5080050049927084</v>
      </c>
      <c r="L17" s="33">
        <f t="shared" si="3"/>
        <v>0.52583101102156615</v>
      </c>
    </row>
    <row r="19" spans="2:12" x14ac:dyDescent="0.3">
      <c r="B19" t="s">
        <v>88</v>
      </c>
      <c r="C19" s="42">
        <f>IFERROR(SUM('Data Sheet'!B23:B24),0)</f>
        <v>454.33</v>
      </c>
      <c r="D19" s="42">
        <f>IFERROR(SUM('Data Sheet'!C23:C24),0)</f>
        <v>520.5</v>
      </c>
      <c r="E19" s="42">
        <f>IFERROR(SUM('Data Sheet'!D23:D24),0)</f>
        <v>576.58000000000004</v>
      </c>
      <c r="F19" s="42">
        <f>IFERROR(SUM('Data Sheet'!E23:E24),0)</f>
        <v>571.21</v>
      </c>
      <c r="G19" s="42">
        <f>IFERROR(SUM('Data Sheet'!F23:F24),0)</f>
        <v>573.6</v>
      </c>
      <c r="H19" s="42">
        <f>IFERROR(SUM('Data Sheet'!G23:G24),0)</f>
        <v>476.05</v>
      </c>
      <c r="I19" s="42">
        <f>IFERROR(SUM('Data Sheet'!H23:H24),0)</f>
        <v>288.85000000000002</v>
      </c>
      <c r="J19" s="42">
        <f>IFERROR(SUM('Data Sheet'!I23:I24),0)</f>
        <v>293.11</v>
      </c>
      <c r="K19" s="42">
        <f>IFERROR(SUM('Data Sheet'!J23:J24),0)</f>
        <v>423.38</v>
      </c>
      <c r="L19" s="42">
        <f>IFERROR(SUM('Data Sheet'!K23:K24),0)</f>
        <v>568.59</v>
      </c>
    </row>
    <row r="20" spans="2:12" x14ac:dyDescent="0.3">
      <c r="B20" s="32" t="s">
        <v>89</v>
      </c>
      <c r="C20" s="33">
        <f>C19/C10</f>
        <v>0.11634839215244397</v>
      </c>
      <c r="D20" s="33">
        <f t="shared" ref="D20:L20" si="4">D19/D10</f>
        <v>0.12599183776221068</v>
      </c>
      <c r="E20" s="33">
        <f t="shared" si="4"/>
        <v>0.13025552746733898</v>
      </c>
      <c r="F20" s="33">
        <f t="shared" si="4"/>
        <v>0.12616538596611351</v>
      </c>
      <c r="G20" s="33">
        <f t="shared" si="4"/>
        <v>0.1156708140918349</v>
      </c>
      <c r="H20" s="33">
        <f t="shared" si="4"/>
        <v>9.7926883454563421E-2</v>
      </c>
      <c r="I20" s="33">
        <f t="shared" si="4"/>
        <v>5.7956155170407357E-2</v>
      </c>
      <c r="J20" s="33">
        <f t="shared" si="4"/>
        <v>5.6135640223232586E-2</v>
      </c>
      <c r="K20" s="33">
        <f t="shared" si="4"/>
        <v>7.429922205004641E-2</v>
      </c>
      <c r="L20" s="33">
        <f t="shared" si="4"/>
        <v>8.9219138359569183E-2</v>
      </c>
    </row>
    <row r="22" spans="2:12" x14ac:dyDescent="0.3">
      <c r="B22" s="43" t="s">
        <v>90</v>
      </c>
      <c r="C22" s="44">
        <f>C16-C19</f>
        <v>1550.7999999999997</v>
      </c>
      <c r="D22" s="44">
        <f t="shared" ref="D22:L22" si="5">D16-D19</f>
        <v>1611.7200000000003</v>
      </c>
      <c r="E22" s="44">
        <f t="shared" si="5"/>
        <v>1733.8899999999999</v>
      </c>
      <c r="F22" s="44">
        <f t="shared" si="5"/>
        <v>1811.21</v>
      </c>
      <c r="G22" s="44">
        <f t="shared" si="5"/>
        <v>2144.6099999999997</v>
      </c>
      <c r="H22" s="44">
        <f t="shared" si="5"/>
        <v>2228.6899999999996</v>
      </c>
      <c r="I22" s="44">
        <f t="shared" si="5"/>
        <v>2468.6</v>
      </c>
      <c r="J22" s="44">
        <f t="shared" si="5"/>
        <v>2498.9399999999996</v>
      </c>
      <c r="K22" s="44">
        <f t="shared" si="5"/>
        <v>2471.3900000000003</v>
      </c>
      <c r="L22" s="44">
        <f t="shared" si="5"/>
        <v>2782.5099999999998</v>
      </c>
    </row>
    <row r="23" spans="2:12" x14ac:dyDescent="0.3">
      <c r="B23" s="32" t="s">
        <v>91</v>
      </c>
      <c r="C23" s="33">
        <f>C22/C10</f>
        <v>0.3971410352607358</v>
      </c>
      <c r="D23" s="33">
        <f t="shared" ref="D23:L23" si="6">D22/D10</f>
        <v>0.39013172864190243</v>
      </c>
      <c r="E23" s="33">
        <f t="shared" si="6"/>
        <v>0.39170411134681116</v>
      </c>
      <c r="F23" s="33">
        <f t="shared" si="6"/>
        <v>0.40004903400795588</v>
      </c>
      <c r="G23" s="33">
        <f t="shared" si="6"/>
        <v>0.43247696061626567</v>
      </c>
      <c r="H23" s="33">
        <f t="shared" si="6"/>
        <v>0.45845744330711247</v>
      </c>
      <c r="I23" s="33">
        <f t="shared" si="6"/>
        <v>0.49531093873521753</v>
      </c>
      <c r="J23" s="33">
        <f t="shared" si="6"/>
        <v>0.4785902793471557</v>
      </c>
      <c r="K23" s="33">
        <f t="shared" si="6"/>
        <v>0.43370578294266199</v>
      </c>
      <c r="L23" s="33">
        <f t="shared" si="6"/>
        <v>0.43661187266199691</v>
      </c>
    </row>
    <row r="25" spans="2:12" x14ac:dyDescent="0.3">
      <c r="B25" t="s">
        <v>11</v>
      </c>
      <c r="C25" s="42">
        <f>IFERROR('Data Sheet'!B27,0)</f>
        <v>0</v>
      </c>
      <c r="D25" s="42">
        <f>IFERROR('Data Sheet'!C27,0)</f>
        <v>0</v>
      </c>
      <c r="E25" s="42">
        <f>IFERROR('Data Sheet'!D27,0)</f>
        <v>0</v>
      </c>
      <c r="F25" s="42">
        <f>IFERROR('Data Sheet'!E27,0)</f>
        <v>0</v>
      </c>
      <c r="G25" s="42">
        <f>IFERROR('Data Sheet'!F27,0)</f>
        <v>0</v>
      </c>
      <c r="H25" s="42">
        <f>IFERROR('Data Sheet'!G27,0)</f>
        <v>47.37</v>
      </c>
      <c r="I25" s="42">
        <f>IFERROR('Data Sheet'!H27,0)</f>
        <v>19.13</v>
      </c>
      <c r="J25" s="42">
        <f>IFERROR('Data Sheet'!I27,0)</f>
        <v>12.2</v>
      </c>
      <c r="K25" s="42">
        <f>IFERROR('Data Sheet'!J27,0)</f>
        <v>12.66</v>
      </c>
      <c r="L25" s="42">
        <f>IFERROR('Data Sheet'!K27,0)</f>
        <v>28.11</v>
      </c>
    </row>
    <row r="26" spans="2:12" x14ac:dyDescent="0.3">
      <c r="B26" s="32" t="s">
        <v>92</v>
      </c>
      <c r="C26" s="33">
        <f>C25/C10</f>
        <v>0</v>
      </c>
      <c r="D26" s="33">
        <f t="shared" ref="D26:L26" si="7">D25/D10</f>
        <v>0</v>
      </c>
      <c r="E26" s="33">
        <f t="shared" si="7"/>
        <v>0</v>
      </c>
      <c r="F26" s="33">
        <f t="shared" si="7"/>
        <v>0</v>
      </c>
      <c r="G26" s="33">
        <f t="shared" si="7"/>
        <v>0</v>
      </c>
      <c r="H26" s="33">
        <f t="shared" si="7"/>
        <v>9.7443471678241127E-3</v>
      </c>
      <c r="I26" s="33">
        <f t="shared" si="7"/>
        <v>3.8383287118223734E-3</v>
      </c>
      <c r="J26" s="33">
        <f t="shared" si="7"/>
        <v>2.3365112439815683E-3</v>
      </c>
      <c r="K26" s="33">
        <f t="shared" si="7"/>
        <v>2.2217113495053794E-3</v>
      </c>
      <c r="L26" s="33">
        <f t="shared" si="7"/>
        <v>4.4108232281388866E-3</v>
      </c>
    </row>
    <row r="28" spans="2:12" x14ac:dyDescent="0.3">
      <c r="B28" t="s">
        <v>93</v>
      </c>
      <c r="C28" s="42">
        <f>IFERROR('Data Sheet'!B26,0)</f>
        <v>68.09</v>
      </c>
      <c r="D28" s="42">
        <f>IFERROR('Data Sheet'!C26,0)</f>
        <v>52.93</v>
      </c>
      <c r="E28" s="42">
        <f>IFERROR('Data Sheet'!D26,0)</f>
        <v>70.19</v>
      </c>
      <c r="F28" s="42">
        <f>IFERROR('Data Sheet'!E26,0)</f>
        <v>61.46</v>
      </c>
      <c r="G28" s="42">
        <f>IFERROR('Data Sheet'!F26,0)</f>
        <v>53.72</v>
      </c>
      <c r="H28" s="42">
        <f>IFERROR('Data Sheet'!G26,0)</f>
        <v>106.38</v>
      </c>
      <c r="I28" s="42">
        <f>IFERROR('Data Sheet'!H26,0)</f>
        <v>104.11</v>
      </c>
      <c r="J28" s="42">
        <f>IFERROR('Data Sheet'!I26,0)</f>
        <v>92.8</v>
      </c>
      <c r="K28" s="42">
        <f>IFERROR('Data Sheet'!J26,0)</f>
        <v>80.66</v>
      </c>
      <c r="L28" s="42">
        <f>IFERROR('Data Sheet'!K26,0)</f>
        <v>74.260000000000005</v>
      </c>
    </row>
    <row r="29" spans="2:12" x14ac:dyDescent="0.3">
      <c r="B29" s="32" t="s">
        <v>94</v>
      </c>
      <c r="C29" s="33">
        <f>C28/C10</f>
        <v>1.7437021595888256E-2</v>
      </c>
      <c r="D29" s="33">
        <f t="shared" ref="D29:L29" si="8">D28/D10</f>
        <v>1.2812195913071683E-2</v>
      </c>
      <c r="E29" s="33">
        <f t="shared" si="8"/>
        <v>1.5856664249423363E-2</v>
      </c>
      <c r="F29" s="33">
        <f t="shared" si="8"/>
        <v>1.3574910490848089E-2</v>
      </c>
      <c r="G29" s="33">
        <f t="shared" si="8"/>
        <v>1.083304765169695E-2</v>
      </c>
      <c r="H29" s="33">
        <f t="shared" si="8"/>
        <v>2.1883125431984993E-2</v>
      </c>
      <c r="I29" s="33">
        <f t="shared" si="8"/>
        <v>2.088909577563133E-2</v>
      </c>
      <c r="J29" s="33">
        <f t="shared" si="8"/>
        <v>1.7772806839466356E-2</v>
      </c>
      <c r="K29" s="33">
        <f t="shared" si="8"/>
        <v>1.415507404827045E-2</v>
      </c>
      <c r="L29" s="33">
        <f t="shared" si="8"/>
        <v>1.1652356204965983E-2</v>
      </c>
    </row>
    <row r="31" spans="2:12" x14ac:dyDescent="0.3">
      <c r="B31" s="43" t="s">
        <v>95</v>
      </c>
      <c r="C31" s="44">
        <f>IFERROR(C22-SUM(C28,C25),0)</f>
        <v>1482.7099999999998</v>
      </c>
      <c r="D31" s="44">
        <f t="shared" ref="D31:L31" si="9">IFERROR(D22-SUM(D28,D25),0)</f>
        <v>1558.7900000000002</v>
      </c>
      <c r="E31" s="44">
        <f t="shared" si="9"/>
        <v>1663.6999999999998</v>
      </c>
      <c r="F31" s="44">
        <f t="shared" si="9"/>
        <v>1749.75</v>
      </c>
      <c r="G31" s="44">
        <f t="shared" si="9"/>
        <v>2090.89</v>
      </c>
      <c r="H31" s="44">
        <f t="shared" si="9"/>
        <v>2074.9399999999996</v>
      </c>
      <c r="I31" s="44">
        <f t="shared" si="9"/>
        <v>2345.36</v>
      </c>
      <c r="J31" s="44">
        <f t="shared" si="9"/>
        <v>2393.9399999999996</v>
      </c>
      <c r="K31" s="44">
        <f t="shared" si="9"/>
        <v>2378.0700000000002</v>
      </c>
      <c r="L31" s="44">
        <f t="shared" si="9"/>
        <v>2680.14</v>
      </c>
    </row>
    <row r="32" spans="2:12" x14ac:dyDescent="0.3">
      <c r="B32" s="32" t="s">
        <v>96</v>
      </c>
      <c r="C32" s="33">
        <f>C31/C10</f>
        <v>0.37970401366484757</v>
      </c>
      <c r="D32" s="33">
        <f t="shared" ref="D32:L32" si="10">D31/D10</f>
        <v>0.37731953272883073</v>
      </c>
      <c r="E32" s="33">
        <f t="shared" si="10"/>
        <v>0.37584744709738777</v>
      </c>
      <c r="F32" s="33">
        <f t="shared" si="10"/>
        <v>0.38647412351710775</v>
      </c>
      <c r="G32" s="33">
        <f t="shared" si="10"/>
        <v>0.42164391296456877</v>
      </c>
      <c r="H32" s="33">
        <f t="shared" si="10"/>
        <v>0.42682997070730339</v>
      </c>
      <c r="I32" s="33">
        <f t="shared" si="10"/>
        <v>0.4705835142477639</v>
      </c>
      <c r="J32" s="33">
        <f t="shared" si="10"/>
        <v>0.4584809612637078</v>
      </c>
      <c r="K32" s="33">
        <f t="shared" si="10"/>
        <v>0.41732899754488612</v>
      </c>
      <c r="L32" s="33">
        <f t="shared" si="10"/>
        <v>0.42054869322889205</v>
      </c>
    </row>
    <row r="34" spans="2:14" x14ac:dyDescent="0.3">
      <c r="B34" t="s">
        <v>13</v>
      </c>
      <c r="C34" s="42">
        <f>IFERROR('Data Sheet'!B29,0)</f>
        <v>638.52</v>
      </c>
      <c r="D34" s="42">
        <f>IFERROR('Data Sheet'!C29,0)</f>
        <v>698.7</v>
      </c>
      <c r="E34" s="42">
        <f>IFERROR('Data Sheet'!D29,0)</f>
        <v>571.59</v>
      </c>
      <c r="F34" s="42">
        <f>IFERROR('Data Sheet'!E29,0)</f>
        <v>603.4</v>
      </c>
      <c r="G34" s="42">
        <f>IFERROR('Data Sheet'!F29,0)</f>
        <v>881.09</v>
      </c>
      <c r="H34" s="42">
        <f>IFERROR('Data Sheet'!G29,0)</f>
        <v>790.07</v>
      </c>
      <c r="I34" s="42">
        <f>IFERROR('Data Sheet'!H29,0)</f>
        <v>715.48</v>
      </c>
      <c r="J34" s="42">
        <f>IFERROR('Data Sheet'!I29,0)</f>
        <v>639.45000000000005</v>
      </c>
      <c r="K34" s="42">
        <f>IFERROR('Data Sheet'!J29,0)</f>
        <v>763.77</v>
      </c>
      <c r="L34" s="42">
        <f>IFERROR('Data Sheet'!K29,0)</f>
        <v>802.97</v>
      </c>
    </row>
    <row r="35" spans="2:14" x14ac:dyDescent="0.3">
      <c r="B35" s="32" t="s">
        <v>97</v>
      </c>
      <c r="C35" s="33">
        <f>C34/C31</f>
        <v>0.43064388855541547</v>
      </c>
      <c r="D35" s="33">
        <f t="shared" ref="D35:L35" si="11">D34/D31</f>
        <v>0.44823228273211912</v>
      </c>
      <c r="E35" s="33">
        <f t="shared" si="11"/>
        <v>0.34356554667307815</v>
      </c>
      <c r="F35" s="33">
        <f t="shared" si="11"/>
        <v>0.34484926418059719</v>
      </c>
      <c r="G35" s="33">
        <f t="shared" si="11"/>
        <v>0.4213947170821995</v>
      </c>
      <c r="H35" s="33">
        <f t="shared" si="11"/>
        <v>0.38076763665455399</v>
      </c>
      <c r="I35" s="33">
        <f t="shared" si="11"/>
        <v>0.30506190947231981</v>
      </c>
      <c r="J35" s="33">
        <f t="shared" si="11"/>
        <v>0.26711195769317531</v>
      </c>
      <c r="K35" s="33">
        <f t="shared" si="11"/>
        <v>0.3211722110787319</v>
      </c>
      <c r="L35" s="33">
        <f t="shared" si="11"/>
        <v>0.29960002089443089</v>
      </c>
    </row>
    <row r="37" spans="2:14" x14ac:dyDescent="0.3">
      <c r="B37" s="43" t="s">
        <v>98</v>
      </c>
      <c r="C37" s="44">
        <f>IFERROR(C31-C34,0)</f>
        <v>844.18999999999983</v>
      </c>
      <c r="D37" s="44">
        <f t="shared" ref="D37:L37" si="12">IFERROR(D31-D34,0)</f>
        <v>860.09000000000015</v>
      </c>
      <c r="E37" s="44">
        <f t="shared" si="12"/>
        <v>1092.1099999999997</v>
      </c>
      <c r="F37" s="44">
        <f t="shared" si="12"/>
        <v>1146.3499999999999</v>
      </c>
      <c r="G37" s="44">
        <f t="shared" si="12"/>
        <v>1209.7999999999997</v>
      </c>
      <c r="H37" s="44">
        <f t="shared" si="12"/>
        <v>1284.8699999999994</v>
      </c>
      <c r="I37" s="44">
        <f t="shared" si="12"/>
        <v>1629.88</v>
      </c>
      <c r="J37" s="44">
        <f t="shared" si="12"/>
        <v>1754.4899999999996</v>
      </c>
      <c r="K37" s="44">
        <f t="shared" si="12"/>
        <v>1614.3000000000002</v>
      </c>
      <c r="L37" s="44">
        <f t="shared" si="12"/>
        <v>1877.1699999999998</v>
      </c>
    </row>
    <row r="38" spans="2:14" x14ac:dyDescent="0.3">
      <c r="B38" s="32" t="s">
        <v>99</v>
      </c>
      <c r="C38" s="37">
        <f>C37/C10</f>
        <v>0.216186800720119</v>
      </c>
      <c r="D38" s="37">
        <f t="shared" ref="D38:L38" si="13">D37/D10</f>
        <v>0.2081927372543704</v>
      </c>
      <c r="E38" s="37">
        <f t="shared" si="13"/>
        <v>0.24671921346969292</v>
      </c>
      <c r="F38" s="37">
        <f t="shared" si="13"/>
        <v>0.2531988063973919</v>
      </c>
      <c r="G38" s="37">
        <f t="shared" si="13"/>
        <v>0.24396539555143273</v>
      </c>
      <c r="H38" s="37">
        <f t="shared" si="13"/>
        <v>0.26430693150775092</v>
      </c>
      <c r="I38" s="37">
        <f t="shared" si="13"/>
        <v>0.32702640882514644</v>
      </c>
      <c r="J38" s="37">
        <f t="shared" si="13"/>
        <v>0.33601521413550989</v>
      </c>
      <c r="K38" s="37">
        <f t="shared" si="13"/>
        <v>0.28329452065612437</v>
      </c>
      <c r="L38" s="37">
        <f t="shared" si="13"/>
        <v>0.2945522959503904</v>
      </c>
      <c r="N38" s="37"/>
    </row>
    <row r="40" spans="2:14" x14ac:dyDescent="0.3">
      <c r="B40" t="s">
        <v>100</v>
      </c>
      <c r="C40" s="48">
        <f>IFERROR('Data Sheet'!B93,0)</f>
        <v>8.4600000000000009</v>
      </c>
      <c r="D40" s="48">
        <f>IFERROR('Data Sheet'!C93,0)</f>
        <v>8.49</v>
      </c>
      <c r="E40" s="48">
        <f>IFERROR('Data Sheet'!D93,0)</f>
        <v>8.51</v>
      </c>
      <c r="F40" s="48">
        <f>IFERROR('Data Sheet'!E93,0)</f>
        <v>8.5399999999999991</v>
      </c>
      <c r="G40" s="48">
        <f>IFERROR('Data Sheet'!F93,0)</f>
        <v>8.58</v>
      </c>
      <c r="H40" s="48">
        <f>IFERROR('Data Sheet'!G93,0)</f>
        <v>8.59</v>
      </c>
      <c r="I40" s="48">
        <f>IFERROR('Data Sheet'!H93,0)</f>
        <v>8.61</v>
      </c>
      <c r="J40" s="48">
        <f>IFERROR('Data Sheet'!I93,0)</f>
        <v>8.6199999999999992</v>
      </c>
      <c r="K40" s="48">
        <f>IFERROR('Data Sheet'!J93,0)</f>
        <v>8.64</v>
      </c>
      <c r="L40" s="48">
        <f>IFERROR('Data Sheet'!K93,0)</f>
        <v>8.67</v>
      </c>
    </row>
    <row r="41" spans="2:14" x14ac:dyDescent="0.3">
      <c r="C41" s="31"/>
      <c r="D41" s="31"/>
      <c r="E41" s="31"/>
      <c r="F41" s="31"/>
      <c r="G41" s="31"/>
      <c r="H41" s="31"/>
      <c r="I41" s="31"/>
      <c r="J41" s="31"/>
      <c r="K41" s="31"/>
      <c r="L41" s="31"/>
    </row>
    <row r="42" spans="2:14" x14ac:dyDescent="0.3">
      <c r="B42" t="s">
        <v>101</v>
      </c>
      <c r="C42" s="42">
        <f>IFERROR(C37/C40,0)</f>
        <v>99.786052009456228</v>
      </c>
      <c r="D42" s="42">
        <f t="shared" ref="D42:L42" si="14">IFERROR(D37/D40,0)</f>
        <v>101.30624263839813</v>
      </c>
      <c r="E42" s="42">
        <f t="shared" si="14"/>
        <v>128.33254994124556</v>
      </c>
      <c r="F42" s="42">
        <f t="shared" si="14"/>
        <v>134.23302107728338</v>
      </c>
      <c r="G42" s="42">
        <f t="shared" si="14"/>
        <v>141.00233100233098</v>
      </c>
      <c r="H42" s="42">
        <f t="shared" si="14"/>
        <v>149.57741559953428</v>
      </c>
      <c r="I42" s="42">
        <f t="shared" si="14"/>
        <v>189.30081300813012</v>
      </c>
      <c r="J42" s="42">
        <f t="shared" si="14"/>
        <v>203.53712296983755</v>
      </c>
      <c r="K42" s="42">
        <f t="shared" si="14"/>
        <v>186.8402777777778</v>
      </c>
      <c r="L42" s="42">
        <f t="shared" si="14"/>
        <v>216.51326412918107</v>
      </c>
    </row>
    <row r="43" spans="2:14" x14ac:dyDescent="0.3">
      <c r="B43" s="32" t="s">
        <v>102</v>
      </c>
      <c r="C43" s="32"/>
      <c r="D43" s="33">
        <f>IFERROR(D42/C42-1,0)</f>
        <v>1.5234500196458667E-2</v>
      </c>
      <c r="E43" s="33">
        <f t="shared" ref="E43:L43" si="15">IFERROR(E42/D42-1,0)</f>
        <v>0.26677830110938938</v>
      </c>
      <c r="F43" s="33">
        <f t="shared" si="15"/>
        <v>4.5977977829780858E-2</v>
      </c>
      <c r="G43" s="33">
        <f t="shared" si="15"/>
        <v>5.0429543123746257E-2</v>
      </c>
      <c r="H43" s="33">
        <f t="shared" si="15"/>
        <v>6.0815197424371137E-2</v>
      </c>
      <c r="I43" s="33">
        <f t="shared" si="15"/>
        <v>0.26557082330495563</v>
      </c>
      <c r="J43" s="33">
        <f t="shared" si="15"/>
        <v>7.5204695296770874E-2</v>
      </c>
      <c r="K43" s="33">
        <f t="shared" si="15"/>
        <v>-8.2033414585181541E-2</v>
      </c>
      <c r="L43" s="33">
        <f t="shared" si="15"/>
        <v>0.15881471973990235</v>
      </c>
    </row>
    <row r="45" spans="2:14" x14ac:dyDescent="0.3">
      <c r="B45" t="s">
        <v>103</v>
      </c>
      <c r="C45" s="49">
        <f>IFERROR('Data Sheet'!B31/C40,0)</f>
        <v>665.15721040189112</v>
      </c>
      <c r="D45" s="49">
        <f>IFERROR('Data Sheet'!C31/D40,0)</f>
        <v>99.764428739693756</v>
      </c>
      <c r="E45" s="49">
        <f>IFERROR('Data Sheet'!D31/E40,0)</f>
        <v>169.68037602820212</v>
      </c>
      <c r="F45" s="49">
        <f>IFERROR('Data Sheet'!E31/F40,0)</f>
        <v>129.90866510538643</v>
      </c>
      <c r="G45" s="49">
        <f>IFERROR('Data Sheet'!F31/G40,0)</f>
        <v>0</v>
      </c>
      <c r="H45" s="49">
        <f>IFERROR('Data Sheet'!G31/H40,0)</f>
        <v>179.95809080325961</v>
      </c>
      <c r="I45" s="49">
        <f>IFERROR('Data Sheet'!H31/I40,0)</f>
        <v>199.90708478513358</v>
      </c>
      <c r="J45" s="49">
        <f>IFERROR('Data Sheet'!I31/J40,0)</f>
        <v>190.08816705336429</v>
      </c>
      <c r="K45" s="49">
        <f>IFERROR('Data Sheet'!J31/K40,0)</f>
        <v>224.99999999999997</v>
      </c>
      <c r="L45" s="49">
        <f>IFERROR('Data Sheet'!K31/L40,0)</f>
        <v>239.94463667820071</v>
      </c>
    </row>
    <row r="46" spans="2:14" x14ac:dyDescent="0.3">
      <c r="B46" s="32" t="s">
        <v>104</v>
      </c>
      <c r="C46" s="33">
        <f>IFERROR(C45/C42,0)</f>
        <v>6.6658335208898478</v>
      </c>
      <c r="D46" s="33">
        <f t="shared" ref="D46:L46" si="16">IFERROR(D45/D42,0)</f>
        <v>0.98478066248880913</v>
      </c>
      <c r="E46" s="33">
        <f t="shared" si="16"/>
        <v>1.3221928194046391</v>
      </c>
      <c r="F46" s="33">
        <f t="shared" si="16"/>
        <v>0.96778470798621719</v>
      </c>
      <c r="G46" s="33">
        <f t="shared" si="16"/>
        <v>0</v>
      </c>
      <c r="H46" s="33">
        <f t="shared" si="16"/>
        <v>1.2031100422610854</v>
      </c>
      <c r="I46" s="33">
        <f t="shared" si="16"/>
        <v>1.0560286646869708</v>
      </c>
      <c r="J46" s="33">
        <f t="shared" si="16"/>
        <v>0.93392381831757398</v>
      </c>
      <c r="K46" s="33">
        <f t="shared" si="16"/>
        <v>1.2042371306448612</v>
      </c>
      <c r="L46" s="33">
        <f t="shared" si="16"/>
        <v>1.1082214184117583</v>
      </c>
    </row>
    <row r="48" spans="2:14" x14ac:dyDescent="0.3">
      <c r="B48" t="s">
        <v>105</v>
      </c>
      <c r="C48" s="38">
        <f>IFERROR(IF(C42&gt;C45,1-C46,0),0)</f>
        <v>0</v>
      </c>
      <c r="D48" s="38">
        <f t="shared" ref="D48:L48" si="17">IFERROR(IF(D42&gt;D45,1-D46,0),0)</f>
        <v>1.5219337511190867E-2</v>
      </c>
      <c r="E48" s="38">
        <f t="shared" si="17"/>
        <v>0</v>
      </c>
      <c r="F48" s="38">
        <f t="shared" si="17"/>
        <v>3.2215292013782815E-2</v>
      </c>
      <c r="G48" s="38">
        <f t="shared" si="17"/>
        <v>1</v>
      </c>
      <c r="H48" s="38">
        <f t="shared" si="17"/>
        <v>0</v>
      </c>
      <c r="I48" s="38">
        <f t="shared" si="17"/>
        <v>0</v>
      </c>
      <c r="J48" s="38">
        <f t="shared" si="17"/>
        <v>6.6076181682426016E-2</v>
      </c>
      <c r="K48" s="38">
        <f t="shared" si="17"/>
        <v>0</v>
      </c>
      <c r="L48" s="38">
        <f t="shared" si="17"/>
        <v>0</v>
      </c>
    </row>
    <row r="50" spans="1:12" x14ac:dyDescent="0.3">
      <c r="A50" s="40" t="s">
        <v>82</v>
      </c>
      <c r="B50" s="222" t="s">
        <v>106</v>
      </c>
      <c r="C50" s="222"/>
      <c r="D50" s="222"/>
      <c r="E50" s="222"/>
      <c r="F50" s="222"/>
      <c r="G50" s="222"/>
      <c r="H50" s="222"/>
      <c r="I50" s="222"/>
      <c r="J50" s="222"/>
      <c r="K50" s="222"/>
      <c r="L50" s="222"/>
    </row>
    <row r="51" spans="1:12" x14ac:dyDescent="0.3">
      <c r="B51" s="9" t="s">
        <v>24</v>
      </c>
      <c r="C51" s="31">
        <f>IFERROR('Data Sheet'!B57,0)</f>
        <v>42.31</v>
      </c>
      <c r="D51" s="31">
        <f>IFERROR('Data Sheet'!C57,0)</f>
        <v>42.35</v>
      </c>
      <c r="E51" s="31">
        <f>IFERROR('Data Sheet'!D57,0)</f>
        <v>42.47</v>
      </c>
      <c r="F51" s="31">
        <f>IFERROR('Data Sheet'!E57,0)</f>
        <v>42.67</v>
      </c>
      <c r="G51" s="31">
        <f>IFERROR('Data Sheet'!F57,0)</f>
        <v>42.88</v>
      </c>
      <c r="H51" s="31">
        <f>IFERROR('Data Sheet'!G57,0)</f>
        <v>42.94</v>
      </c>
      <c r="I51" s="31">
        <f>IFERROR('Data Sheet'!H57,0)</f>
        <v>43.03</v>
      </c>
      <c r="J51" s="31">
        <f>IFERROR('Data Sheet'!I57,0)</f>
        <v>43.12</v>
      </c>
      <c r="K51" s="31">
        <f>IFERROR('Data Sheet'!J57,0)</f>
        <v>43.2</v>
      </c>
      <c r="L51" s="31">
        <f>IFERROR('Data Sheet'!K57,0)</f>
        <v>43.34</v>
      </c>
    </row>
    <row r="52" spans="1:12" x14ac:dyDescent="0.3">
      <c r="B52" s="9" t="s">
        <v>25</v>
      </c>
      <c r="C52" s="31">
        <f>IFERROR('Data Sheet'!B58,0)</f>
        <v>3401.82</v>
      </c>
      <c r="D52" s="31">
        <f>IFERROR('Data Sheet'!C58,0)</f>
        <v>4631.53</v>
      </c>
      <c r="E52" s="31">
        <f>IFERROR('Data Sheet'!D58,0)</f>
        <v>3222.12</v>
      </c>
      <c r="F52" s="31">
        <f>IFERROR('Data Sheet'!E58,0)</f>
        <v>4664.72</v>
      </c>
      <c r="G52" s="31">
        <f>IFERROR('Data Sheet'!F58,0)</f>
        <v>4893.67</v>
      </c>
      <c r="H52" s="31">
        <f>IFERROR('Data Sheet'!G58,0)</f>
        <v>6526.64</v>
      </c>
      <c r="I52" s="31">
        <f>IFERROR('Data Sheet'!H58,0)</f>
        <v>6805.74</v>
      </c>
      <c r="J52" s="31">
        <f>IFERROR('Data Sheet'!I58,0)</f>
        <v>7056.57</v>
      </c>
      <c r="K52" s="31">
        <f>IFERROR('Data Sheet'!J58,0)</f>
        <v>7415.71</v>
      </c>
      <c r="L52" s="31">
        <f>IFERROR('Data Sheet'!K58,0)</f>
        <v>7815.5</v>
      </c>
    </row>
    <row r="53" spans="1:12" x14ac:dyDescent="0.3">
      <c r="B53" s="9" t="s">
        <v>62</v>
      </c>
      <c r="C53" s="31">
        <f>IFERROR('Data Sheet'!B59,0)</f>
        <v>0</v>
      </c>
      <c r="D53" s="31">
        <f>IFERROR('Data Sheet'!C59,0)</f>
        <v>0</v>
      </c>
      <c r="E53" s="31">
        <f>IFERROR('Data Sheet'!D59,0)</f>
        <v>0</v>
      </c>
      <c r="F53" s="31">
        <f>IFERROR('Data Sheet'!E59,0)</f>
        <v>0</v>
      </c>
      <c r="G53" s="31">
        <f>IFERROR('Data Sheet'!F59,0)</f>
        <v>0</v>
      </c>
      <c r="H53" s="31">
        <f>IFERROR('Data Sheet'!G59,0)</f>
        <v>114.68</v>
      </c>
      <c r="I53" s="31">
        <f>IFERROR('Data Sheet'!H59,0)</f>
        <v>69.760000000000005</v>
      </c>
      <c r="J53" s="31">
        <f>IFERROR('Data Sheet'!I59,0)</f>
        <v>83.39</v>
      </c>
      <c r="K53" s="31">
        <f>IFERROR('Data Sheet'!J59,0)</f>
        <v>69.400000000000006</v>
      </c>
      <c r="L53" s="31">
        <f>IFERROR('Data Sheet'!K59,0)</f>
        <v>42.96</v>
      </c>
    </row>
    <row r="54" spans="1:12" x14ac:dyDescent="0.3">
      <c r="B54" s="9" t="s">
        <v>63</v>
      </c>
      <c r="C54" s="31">
        <f>IFERROR('Data Sheet'!B60,0)</f>
        <v>2824.65</v>
      </c>
      <c r="D54" s="31">
        <f>IFERROR('Data Sheet'!C60,0)</f>
        <v>1011.31</v>
      </c>
      <c r="E54" s="31">
        <f>IFERROR('Data Sheet'!D60,0)</f>
        <v>2755.59</v>
      </c>
      <c r="F54" s="31">
        <f>IFERROR('Data Sheet'!E60,0)</f>
        <v>1225.25</v>
      </c>
      <c r="G54" s="31">
        <f>IFERROR('Data Sheet'!F60,0)</f>
        <v>1191.9100000000001</v>
      </c>
      <c r="H54" s="31">
        <f>IFERROR('Data Sheet'!G60,0)</f>
        <v>1235.71</v>
      </c>
      <c r="I54" s="31">
        <f>IFERROR('Data Sheet'!H60,0)</f>
        <v>1234.04</v>
      </c>
      <c r="J54" s="31">
        <f>IFERROR('Data Sheet'!I60,0)</f>
        <v>1409.35</v>
      </c>
      <c r="K54" s="31">
        <f>IFERROR('Data Sheet'!J60,0)</f>
        <v>1590.46</v>
      </c>
      <c r="L54" s="31">
        <f>IFERROR('Data Sheet'!K60,0)</f>
        <v>1847.63</v>
      </c>
    </row>
    <row r="55" spans="1:12" x14ac:dyDescent="0.3">
      <c r="B55" s="45" t="s">
        <v>176</v>
      </c>
      <c r="C55" s="46">
        <f>IFERROR('Data Sheet'!B61,0)</f>
        <v>6268.78</v>
      </c>
      <c r="D55" s="46">
        <f>IFERROR('Data Sheet'!C61,0)</f>
        <v>5685.19</v>
      </c>
      <c r="E55" s="46">
        <f>IFERROR('Data Sheet'!D61,0)</f>
        <v>6020.18</v>
      </c>
      <c r="F55" s="46">
        <f>IFERROR('Data Sheet'!E61,0)</f>
        <v>5932.64</v>
      </c>
      <c r="G55" s="46">
        <f>IFERROR('Data Sheet'!F61,0)</f>
        <v>6128.46</v>
      </c>
      <c r="H55" s="46">
        <f>IFERROR('Data Sheet'!G61,0)</f>
        <v>7919.97</v>
      </c>
      <c r="I55" s="46">
        <f>IFERROR('Data Sheet'!H61,0)</f>
        <v>8152.57</v>
      </c>
      <c r="J55" s="46">
        <f>IFERROR('Data Sheet'!I61,0)</f>
        <v>8592.43</v>
      </c>
      <c r="K55" s="46">
        <f>IFERROR('Data Sheet'!J61,0)</f>
        <v>9118.77</v>
      </c>
      <c r="L55" s="46">
        <f>IFERROR('Data Sheet'!K61,0)</f>
        <v>9749.43</v>
      </c>
    </row>
    <row r="56" spans="1:12" x14ac:dyDescent="0.3">
      <c r="B56" s="1"/>
    </row>
    <row r="57" spans="1:12" x14ac:dyDescent="0.3">
      <c r="B57" s="5" t="s">
        <v>363</v>
      </c>
      <c r="C57" s="31">
        <f>IFERROR('Data Sheet'!B62,0)</f>
        <v>911.1</v>
      </c>
      <c r="D57" s="31">
        <f>IFERROR('Data Sheet'!C62,0)</f>
        <v>864.86</v>
      </c>
      <c r="E57" s="31">
        <f>IFERROR('Data Sheet'!D62,0)</f>
        <v>869.79</v>
      </c>
      <c r="F57" s="31">
        <f>IFERROR('Data Sheet'!E62,0)</f>
        <v>836.87</v>
      </c>
      <c r="G57" s="31">
        <f>IFERROR('Data Sheet'!F62,0)</f>
        <v>863.87</v>
      </c>
      <c r="H57" s="31">
        <f>IFERROR('Data Sheet'!G62,0)</f>
        <v>962.82</v>
      </c>
      <c r="I57" s="31">
        <f>IFERROR('Data Sheet'!H62,0)</f>
        <v>884.07</v>
      </c>
      <c r="J57" s="31">
        <f>IFERROR('Data Sheet'!I62,0)</f>
        <v>871.41</v>
      </c>
      <c r="K57" s="31">
        <f>IFERROR('Data Sheet'!J62,0)</f>
        <v>846.81</v>
      </c>
      <c r="L57" s="31">
        <f>IFERROR('Data Sheet'!K62,0)</f>
        <v>805.07</v>
      </c>
    </row>
    <row r="58" spans="1:12" x14ac:dyDescent="0.3">
      <c r="B58" s="9" t="s">
        <v>28</v>
      </c>
      <c r="C58" s="31">
        <f>IFERROR('Data Sheet'!B63,0)</f>
        <v>0.33</v>
      </c>
      <c r="D58" s="31">
        <f>IFERROR('Data Sheet'!C63,0)</f>
        <v>4.79</v>
      </c>
      <c r="E58" s="31">
        <f>IFERROR('Data Sheet'!D63,0)</f>
        <v>0.82</v>
      </c>
      <c r="F58" s="31">
        <f>IFERROR('Data Sheet'!E63,0)</f>
        <v>2.59</v>
      </c>
      <c r="G58" s="31">
        <f>IFERROR('Data Sheet'!F63,0)</f>
        <v>0.45</v>
      </c>
      <c r="H58" s="31">
        <f>IFERROR('Data Sheet'!G63,0)</f>
        <v>0.05</v>
      </c>
      <c r="I58" s="31">
        <f>IFERROR('Data Sheet'!H63,0)</f>
        <v>0.13</v>
      </c>
      <c r="J58" s="31">
        <f>IFERROR('Data Sheet'!I63,0)</f>
        <v>3.82</v>
      </c>
      <c r="K58" s="31">
        <f>IFERROR('Data Sheet'!J63,0)</f>
        <v>0.56999999999999995</v>
      </c>
      <c r="L58" s="31">
        <f>IFERROR('Data Sheet'!K63,0)</f>
        <v>2.76</v>
      </c>
    </row>
    <row r="59" spans="1:12" x14ac:dyDescent="0.3">
      <c r="B59" s="9" t="s">
        <v>29</v>
      </c>
      <c r="C59" s="31">
        <f>IFERROR('Data Sheet'!B64,0)</f>
        <v>0</v>
      </c>
      <c r="D59" s="31">
        <f>IFERROR('Data Sheet'!C64,0)</f>
        <v>10.47</v>
      </c>
      <c r="E59" s="31">
        <f>IFERROR('Data Sheet'!D64,0)</f>
        <v>0</v>
      </c>
      <c r="F59" s="31">
        <f>IFERROR('Data Sheet'!E64,0)</f>
        <v>0</v>
      </c>
      <c r="G59" s="31">
        <f>IFERROR('Data Sheet'!F64,0)</f>
        <v>0</v>
      </c>
      <c r="H59" s="31">
        <f>IFERROR('Data Sheet'!G64,0)</f>
        <v>0</v>
      </c>
      <c r="I59" s="31">
        <f>IFERROR('Data Sheet'!H64,0)</f>
        <v>0</v>
      </c>
      <c r="J59" s="31">
        <f>IFERROR('Data Sheet'!I64,0)</f>
        <v>0</v>
      </c>
      <c r="K59" s="31">
        <f>IFERROR('Data Sheet'!J64,0)</f>
        <v>0</v>
      </c>
      <c r="L59" s="31">
        <f>IFERROR('Data Sheet'!K64,0)</f>
        <v>0</v>
      </c>
    </row>
    <row r="60" spans="1:12" x14ac:dyDescent="0.3">
      <c r="B60" s="9" t="s">
        <v>64</v>
      </c>
      <c r="C60" s="31">
        <f>IFERROR('Data Sheet'!B65-SUM('Data Sheet'!B67:B69),0)</f>
        <v>1191.9000000000005</v>
      </c>
      <c r="D60" s="31">
        <f>IFERROR('Data Sheet'!C65-SUM('Data Sheet'!C67:C69),0)</f>
        <v>1188.4899999999998</v>
      </c>
      <c r="E60" s="31">
        <f>IFERROR('Data Sheet'!D65-SUM('Data Sheet'!D67:D69),0)</f>
        <v>1399.8599999999997</v>
      </c>
      <c r="F60" s="31">
        <f>IFERROR('Data Sheet'!E65-SUM('Data Sheet'!E67:E69),0)</f>
        <v>1439.63</v>
      </c>
      <c r="G60" s="31">
        <f>IFERROR('Data Sheet'!F65-SUM('Data Sheet'!F67:F69),0)</f>
        <v>1488.7000000000003</v>
      </c>
      <c r="H60" s="31">
        <f>IFERROR('Data Sheet'!G65-SUM('Data Sheet'!G67:G69),0)</f>
        <v>1534.92</v>
      </c>
      <c r="I60" s="31">
        <f>IFERROR('Data Sheet'!H65-SUM('Data Sheet'!H67:H69),0)</f>
        <v>1551.4899999999998</v>
      </c>
      <c r="J60" s="31">
        <f>IFERROR('Data Sheet'!I65-SUM('Data Sheet'!I67:I69),0)</f>
        <v>1668.4399999999996</v>
      </c>
      <c r="K60" s="31">
        <f>IFERROR('Data Sheet'!J65-SUM('Data Sheet'!J67:J69),0)</f>
        <v>1718.2799999999997</v>
      </c>
      <c r="L60" s="31">
        <f>IFERROR('Data Sheet'!K65-SUM('Data Sheet'!K67:K69),0)</f>
        <v>2084.1000000000004</v>
      </c>
    </row>
    <row r="61" spans="1:12" x14ac:dyDescent="0.3">
      <c r="B61" s="45" t="s">
        <v>107</v>
      </c>
      <c r="C61" s="46">
        <f>SUM(C56:C60)</f>
        <v>2103.3300000000008</v>
      </c>
      <c r="D61" s="46">
        <f t="shared" ref="D61:L61" si="18">SUM(D56:D60)</f>
        <v>2068.6099999999997</v>
      </c>
      <c r="E61" s="46">
        <f t="shared" si="18"/>
        <v>2270.4699999999998</v>
      </c>
      <c r="F61" s="46">
        <f t="shared" si="18"/>
        <v>2279.09</v>
      </c>
      <c r="G61" s="46">
        <f t="shared" si="18"/>
        <v>2353.0200000000004</v>
      </c>
      <c r="H61" s="46">
        <f t="shared" si="18"/>
        <v>2497.79</v>
      </c>
      <c r="I61" s="46">
        <f t="shared" si="18"/>
        <v>2435.6899999999996</v>
      </c>
      <c r="J61" s="46">
        <f t="shared" si="18"/>
        <v>2543.6699999999996</v>
      </c>
      <c r="K61" s="46">
        <f t="shared" si="18"/>
        <v>2565.66</v>
      </c>
      <c r="L61" s="46">
        <f t="shared" si="18"/>
        <v>2891.9300000000003</v>
      </c>
    </row>
    <row r="62" spans="1:12" x14ac:dyDescent="0.3">
      <c r="B62" s="1"/>
    </row>
    <row r="63" spans="1:12" x14ac:dyDescent="0.3">
      <c r="B63" s="9" t="s">
        <v>69</v>
      </c>
      <c r="C63" s="31">
        <f>IFERROR('Data Sheet'!B67,0)</f>
        <v>601.62</v>
      </c>
      <c r="D63" s="31">
        <f>IFERROR('Data Sheet'!C67,0)</f>
        <v>831.09</v>
      </c>
      <c r="E63" s="31">
        <f>IFERROR('Data Sheet'!D67,0)</f>
        <v>718.01</v>
      </c>
      <c r="F63" s="31">
        <f>IFERROR('Data Sheet'!E67,0)</f>
        <v>1007.48</v>
      </c>
      <c r="G63" s="31">
        <f>IFERROR('Data Sheet'!F67,0)</f>
        <v>947.48</v>
      </c>
      <c r="H63" s="31">
        <f>IFERROR('Data Sheet'!G67,0)</f>
        <v>925.37</v>
      </c>
      <c r="I63" s="31">
        <f>IFERROR('Data Sheet'!H67,0)</f>
        <v>802.75</v>
      </c>
      <c r="J63" s="31">
        <f>IFERROR('Data Sheet'!I67,0)</f>
        <v>926.27</v>
      </c>
      <c r="K63" s="31">
        <f>IFERROR('Data Sheet'!J67,0)</f>
        <v>1083.3699999999999</v>
      </c>
      <c r="L63" s="31">
        <f>IFERROR('Data Sheet'!K67,0)</f>
        <v>1319.31</v>
      </c>
    </row>
    <row r="64" spans="1:12" x14ac:dyDescent="0.3">
      <c r="B64" s="9" t="s">
        <v>45</v>
      </c>
      <c r="C64" s="31">
        <f>IFERROR('Data Sheet'!B68,0)</f>
        <v>0</v>
      </c>
      <c r="D64" s="31">
        <f>IFERROR('Data Sheet'!C68,0)</f>
        <v>0</v>
      </c>
      <c r="E64" s="31">
        <f>IFERROR('Data Sheet'!D68,0)</f>
        <v>0</v>
      </c>
      <c r="F64" s="31">
        <f>IFERROR('Data Sheet'!E68,0)</f>
        <v>0</v>
      </c>
      <c r="G64" s="31">
        <f>IFERROR('Data Sheet'!F68,0)</f>
        <v>0</v>
      </c>
      <c r="H64" s="31">
        <f>IFERROR('Data Sheet'!G68,0)</f>
        <v>0</v>
      </c>
      <c r="I64" s="31">
        <f>IFERROR('Data Sheet'!H68,0)</f>
        <v>0</v>
      </c>
      <c r="J64" s="31">
        <f>IFERROR('Data Sheet'!I68,0)</f>
        <v>0</v>
      </c>
      <c r="K64" s="31">
        <f>IFERROR('Data Sheet'!J68,0)</f>
        <v>0</v>
      </c>
      <c r="L64" s="31">
        <f>IFERROR('Data Sheet'!K68,0)</f>
        <v>0</v>
      </c>
    </row>
    <row r="65" spans="1:12" x14ac:dyDescent="0.3">
      <c r="B65" s="5" t="s">
        <v>78</v>
      </c>
      <c r="C65" s="31">
        <f>IFERROR('Data Sheet'!B69,0)</f>
        <v>3563.83</v>
      </c>
      <c r="D65" s="31">
        <f>IFERROR('Data Sheet'!C69,0)</f>
        <v>2785.49</v>
      </c>
      <c r="E65" s="31">
        <f>IFERROR('Data Sheet'!D69,0)</f>
        <v>3031.7</v>
      </c>
      <c r="F65" s="31">
        <f>IFERROR('Data Sheet'!E69,0)</f>
        <v>2646.07</v>
      </c>
      <c r="G65" s="31">
        <f>IFERROR('Data Sheet'!F69,0)</f>
        <v>2827.96</v>
      </c>
      <c r="H65" s="31">
        <f>IFERROR('Data Sheet'!G69,0)</f>
        <v>4496.8100000000004</v>
      </c>
      <c r="I65" s="31">
        <f>IFERROR('Data Sheet'!H69,0)</f>
        <v>4914.13</v>
      </c>
      <c r="J65" s="31">
        <f>IFERROR('Data Sheet'!I69,0)</f>
        <v>5122.49</v>
      </c>
      <c r="K65" s="31">
        <f>IFERROR('Data Sheet'!J69,0)</f>
        <v>5469.74</v>
      </c>
      <c r="L65" s="31">
        <f>IFERROR('Data Sheet'!K69,0)</f>
        <v>5538.19</v>
      </c>
    </row>
    <row r="66" spans="1:12" x14ac:dyDescent="0.3">
      <c r="B66" s="47" t="s">
        <v>108</v>
      </c>
      <c r="C66" s="46">
        <f>IFERROR(SUM(C63:C65),0)</f>
        <v>4165.45</v>
      </c>
      <c r="D66" s="46">
        <f t="shared" ref="D66:L66" si="19">IFERROR(SUM(D63:D65),0)</f>
        <v>3616.58</v>
      </c>
      <c r="E66" s="46">
        <f t="shared" si="19"/>
        <v>3749.71</v>
      </c>
      <c r="F66" s="46">
        <f t="shared" si="19"/>
        <v>3653.55</v>
      </c>
      <c r="G66" s="46">
        <f t="shared" si="19"/>
        <v>3775.44</v>
      </c>
      <c r="H66" s="46">
        <f t="shared" si="19"/>
        <v>5422.18</v>
      </c>
      <c r="I66" s="46">
        <f t="shared" si="19"/>
        <v>5716.88</v>
      </c>
      <c r="J66" s="46">
        <f t="shared" si="19"/>
        <v>6048.76</v>
      </c>
      <c r="K66" s="46">
        <f t="shared" si="19"/>
        <v>6553.11</v>
      </c>
      <c r="L66" s="46">
        <f t="shared" si="19"/>
        <v>6857.5</v>
      </c>
    </row>
    <row r="68" spans="1:12" x14ac:dyDescent="0.3">
      <c r="B68" s="47" t="s">
        <v>109</v>
      </c>
      <c r="C68" s="46">
        <f>SUM(C66+C61)</f>
        <v>6268.7800000000007</v>
      </c>
      <c r="D68" s="46">
        <f t="shared" ref="D68:L68" si="20">SUM(D66+D61)</f>
        <v>5685.19</v>
      </c>
      <c r="E68" s="46">
        <f t="shared" si="20"/>
        <v>6020.18</v>
      </c>
      <c r="F68" s="46">
        <f t="shared" si="20"/>
        <v>5932.64</v>
      </c>
      <c r="G68" s="46">
        <f t="shared" si="20"/>
        <v>6128.4600000000009</v>
      </c>
      <c r="H68" s="46">
        <f t="shared" si="20"/>
        <v>7919.97</v>
      </c>
      <c r="I68" s="46">
        <f t="shared" si="20"/>
        <v>8152.57</v>
      </c>
      <c r="J68" s="46">
        <f t="shared" si="20"/>
        <v>8592.43</v>
      </c>
      <c r="K68" s="46">
        <f t="shared" si="20"/>
        <v>9118.77</v>
      </c>
      <c r="L68" s="46">
        <f t="shared" si="20"/>
        <v>9749.43</v>
      </c>
    </row>
    <row r="70" spans="1:12" x14ac:dyDescent="0.3">
      <c r="B70" s="36" t="s">
        <v>110</v>
      </c>
      <c r="C70" s="36" t="b">
        <f>C68=C55</f>
        <v>1</v>
      </c>
      <c r="D70" s="36" t="b">
        <f t="shared" ref="D70:L70" si="21">D68=D55</f>
        <v>1</v>
      </c>
      <c r="E70" s="36" t="b">
        <f t="shared" si="21"/>
        <v>1</v>
      </c>
      <c r="F70" s="36" t="b">
        <f t="shared" si="21"/>
        <v>1</v>
      </c>
      <c r="G70" s="36" t="b">
        <f t="shared" si="21"/>
        <v>1</v>
      </c>
      <c r="H70" s="36" t="b">
        <f t="shared" si="21"/>
        <v>1</v>
      </c>
      <c r="I70" s="36" t="b">
        <f t="shared" si="21"/>
        <v>1</v>
      </c>
      <c r="J70" s="36" t="b">
        <f t="shared" si="21"/>
        <v>1</v>
      </c>
      <c r="K70" s="36" t="b">
        <f t="shared" si="21"/>
        <v>1</v>
      </c>
      <c r="L70" s="36" t="b">
        <f t="shared" si="21"/>
        <v>1</v>
      </c>
    </row>
    <row r="72" spans="1:12" x14ac:dyDescent="0.3">
      <c r="A72" t="s">
        <v>82</v>
      </c>
      <c r="B72" s="222" t="s">
        <v>136</v>
      </c>
      <c r="C72" s="222"/>
      <c r="D72" s="222"/>
      <c r="E72" s="222"/>
      <c r="F72" s="222"/>
      <c r="G72" s="222"/>
      <c r="H72" s="222"/>
      <c r="I72" s="222"/>
      <c r="J72" s="222"/>
      <c r="K72" s="222"/>
      <c r="L72" s="222"/>
    </row>
    <row r="73" spans="1:12" x14ac:dyDescent="0.3">
      <c r="B73" s="50" t="s">
        <v>137</v>
      </c>
      <c r="C73" s="51">
        <f>'Data Sheet'!B82</f>
        <v>1060.3900000000001</v>
      </c>
      <c r="D73" s="51">
        <f>'Data Sheet'!C82</f>
        <v>712.31</v>
      </c>
      <c r="E73" s="51">
        <f>'Data Sheet'!D82</f>
        <v>1121.1300000000001</v>
      </c>
      <c r="F73" s="51">
        <f>'Data Sheet'!E82</f>
        <v>1157.42</v>
      </c>
      <c r="G73" s="51">
        <f>'Data Sheet'!F82</f>
        <v>1379.61</v>
      </c>
      <c r="H73" s="51">
        <f>'Data Sheet'!G82</f>
        <v>1521.82</v>
      </c>
      <c r="I73" s="51">
        <f>'Data Sheet'!H82</f>
        <v>1919.51</v>
      </c>
      <c r="J73" s="51">
        <f>'Data Sheet'!I82</f>
        <v>1856.15</v>
      </c>
      <c r="K73" s="51">
        <f>'Data Sheet'!J82</f>
        <v>1758.42</v>
      </c>
      <c r="L73" s="51">
        <f>'Data Sheet'!K82</f>
        <v>1790.67</v>
      </c>
    </row>
    <row r="74" spans="1:12" x14ac:dyDescent="0.3">
      <c r="B74" s="50"/>
      <c r="C74" s="51"/>
      <c r="D74" s="51"/>
      <c r="E74" s="51"/>
      <c r="F74" s="51"/>
      <c r="G74" s="51"/>
      <c r="H74" s="51"/>
      <c r="I74" s="51"/>
      <c r="J74" s="51"/>
      <c r="K74" s="51"/>
      <c r="L74" s="51"/>
    </row>
    <row r="75" spans="1:12" x14ac:dyDescent="0.3">
      <c r="B75" s="50" t="s">
        <v>138</v>
      </c>
      <c r="C75" s="51">
        <f>'Data Sheet'!B83</f>
        <v>3701.22</v>
      </c>
      <c r="D75" s="51">
        <f>'Data Sheet'!C83</f>
        <v>1018.39</v>
      </c>
      <c r="E75" s="51">
        <f>'Data Sheet'!D83</f>
        <v>1822.73</v>
      </c>
      <c r="F75" s="51">
        <f>'Data Sheet'!E83</f>
        <v>-1313.12</v>
      </c>
      <c r="G75" s="51">
        <f>'Data Sheet'!F83</f>
        <v>220.25</v>
      </c>
      <c r="H75" s="51">
        <f>'Data Sheet'!G83</f>
        <v>-1299.1400000000001</v>
      </c>
      <c r="I75" s="51">
        <f>'Data Sheet'!H83</f>
        <v>33.53</v>
      </c>
      <c r="J75" s="51">
        <f>'Data Sheet'!I83</f>
        <v>-137.54</v>
      </c>
      <c r="K75" s="51">
        <f>'Data Sheet'!J83</f>
        <v>267.17</v>
      </c>
      <c r="L75" s="51">
        <f>'Data Sheet'!K83</f>
        <v>1610.96</v>
      </c>
    </row>
    <row r="76" spans="1:12" x14ac:dyDescent="0.3">
      <c r="B76" s="50"/>
      <c r="C76" s="51"/>
      <c r="D76" s="51"/>
      <c r="E76" s="51"/>
      <c r="F76" s="51"/>
      <c r="G76" s="51"/>
      <c r="H76" s="51"/>
      <c r="I76" s="51"/>
      <c r="J76" s="51"/>
      <c r="K76" s="51"/>
      <c r="L76" s="51"/>
    </row>
    <row r="77" spans="1:12" x14ac:dyDescent="0.3">
      <c r="B77" s="50" t="s">
        <v>139</v>
      </c>
      <c r="C77" s="51">
        <f>'Data Sheet'!B84</f>
        <v>-4689.58</v>
      </c>
      <c r="D77" s="51">
        <f>'Data Sheet'!C84</f>
        <v>-1776.18</v>
      </c>
      <c r="E77" s="51">
        <f>'Data Sheet'!D84</f>
        <v>-931.35</v>
      </c>
      <c r="F77" s="51">
        <f>'Data Sheet'!E84</f>
        <v>-1629.66</v>
      </c>
      <c r="G77" s="51">
        <f>'Data Sheet'!F84</f>
        <v>-1249.7</v>
      </c>
      <c r="H77" s="51">
        <f>'Data Sheet'!G84</f>
        <v>-47.35</v>
      </c>
      <c r="I77" s="51">
        <f>'Data Sheet'!H84</f>
        <v>-1589.8</v>
      </c>
      <c r="J77" s="51">
        <f>'Data Sheet'!I84</f>
        <v>-1733.47</v>
      </c>
      <c r="K77" s="51">
        <f>'Data Sheet'!J84</f>
        <v>-1665.48</v>
      </c>
      <c r="L77" s="51">
        <f>'Data Sheet'!K84</f>
        <v>-1958.45</v>
      </c>
    </row>
    <row r="78" spans="1:12" x14ac:dyDescent="0.3">
      <c r="C78" s="49"/>
      <c r="D78" s="49"/>
      <c r="E78" s="49"/>
      <c r="F78" s="49"/>
      <c r="G78" s="49"/>
      <c r="H78" s="49"/>
      <c r="I78" s="49"/>
      <c r="J78" s="49"/>
      <c r="K78" s="49"/>
      <c r="L78" s="49"/>
    </row>
    <row r="79" spans="1:12" x14ac:dyDescent="0.3">
      <c r="B79" s="43" t="s">
        <v>35</v>
      </c>
      <c r="C79" s="52">
        <f t="shared" ref="C79:L79" si="22">IFERROR(C73+C75+C77,0)</f>
        <v>72.029999999999745</v>
      </c>
      <c r="D79" s="52">
        <f t="shared" si="22"/>
        <v>-45.480000000000246</v>
      </c>
      <c r="E79" s="52">
        <f t="shared" si="22"/>
        <v>2012.5100000000002</v>
      </c>
      <c r="F79" s="52">
        <f t="shared" si="22"/>
        <v>-1785.36</v>
      </c>
      <c r="G79" s="52">
        <f t="shared" si="22"/>
        <v>350.15999999999985</v>
      </c>
      <c r="H79" s="52">
        <f t="shared" si="22"/>
        <v>175.32999999999984</v>
      </c>
      <c r="I79" s="52">
        <f t="shared" si="22"/>
        <v>363.24</v>
      </c>
      <c r="J79" s="52">
        <f t="shared" si="22"/>
        <v>-14.8599999999999</v>
      </c>
      <c r="K79" s="52">
        <f t="shared" si="22"/>
        <v>360.11000000000013</v>
      </c>
      <c r="L79" s="52">
        <f t="shared" si="22"/>
        <v>1443.18</v>
      </c>
    </row>
  </sheetData>
  <mergeCells count="2">
    <mergeCell ref="B6:L6"/>
    <mergeCell ref="B2:L2"/>
  </mergeCells>
  <pageMargins left="0.39370078740157483" right="0.11811023622047245" top="0.39370078740157483" bottom="0.55118110236220474" header="0.31496062992125984" footer="0.31496062992125984"/>
  <pageSetup paperSize="9" orientation="landscape" r:id="rId1"/>
  <ignoredErrors>
    <ignoredError sqref="C13:H13 C19:L19 I13:L13"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4"/>
  <sheetViews>
    <sheetView showGridLines="0" topLeftCell="A12" workbookViewId="0">
      <selection activeCell="B2" sqref="B2:O2"/>
    </sheetView>
  </sheetViews>
  <sheetFormatPr defaultRowHeight="14.4" x14ac:dyDescent="0.3"/>
  <cols>
    <col min="1" max="1" width="1.88671875" customWidth="1"/>
    <col min="2" max="2" width="26.77734375" bestFit="1" customWidth="1"/>
    <col min="13" max="13" width="15.109375" customWidth="1"/>
    <col min="14" max="14" width="9" bestFit="1" customWidth="1"/>
    <col min="15" max="15" width="8" bestFit="1" customWidth="1"/>
  </cols>
  <sheetData>
    <row r="1" spans="2:15" ht="7.2" customHeight="1" x14ac:dyDescent="0.3"/>
    <row r="2" spans="2:15" ht="40.799999999999997" customHeight="1" x14ac:dyDescent="0.3">
      <c r="B2" s="271" t="str">
        <f>'Data Sheet'!B1</f>
        <v>ORACLE FINANCIAL SERVICES SOFTWARE LTD</v>
      </c>
      <c r="C2" s="271"/>
      <c r="D2" s="271"/>
      <c r="E2" s="271"/>
      <c r="F2" s="271"/>
      <c r="G2" s="271"/>
      <c r="H2" s="271"/>
      <c r="I2" s="271"/>
      <c r="J2" s="271"/>
      <c r="K2" s="271"/>
      <c r="L2" s="271"/>
      <c r="M2" s="271"/>
      <c r="N2" s="271"/>
      <c r="O2" s="271"/>
    </row>
    <row r="3" spans="2:15" ht="12" customHeight="1" x14ac:dyDescent="0.3">
      <c r="B3" s="208" t="s">
        <v>374</v>
      </c>
      <c r="C3" s="206"/>
      <c r="D3" s="206"/>
      <c r="E3" s="206"/>
      <c r="F3" s="206"/>
      <c r="G3" s="206"/>
      <c r="H3" s="206"/>
      <c r="I3" s="206"/>
      <c r="J3" s="206"/>
      <c r="K3" s="206"/>
      <c r="L3" s="206"/>
      <c r="M3" s="185"/>
      <c r="N3" s="185"/>
      <c r="O3" s="185"/>
    </row>
    <row r="4" spans="2:15" ht="10.199999999999999" customHeight="1" thickBot="1" x14ac:dyDescent="0.35">
      <c r="B4" s="223" t="s">
        <v>373</v>
      </c>
      <c r="C4" s="224"/>
      <c r="D4" s="224"/>
      <c r="E4" s="224"/>
      <c r="F4" s="224"/>
      <c r="G4" s="224"/>
      <c r="H4" s="224"/>
      <c r="I4" s="224"/>
      <c r="J4" s="224"/>
      <c r="K4" s="224"/>
      <c r="L4" s="224"/>
      <c r="M4" s="225"/>
      <c r="N4" s="225"/>
      <c r="O4" s="225"/>
    </row>
    <row r="5" spans="2:15" ht="3.6" customHeight="1" x14ac:dyDescent="0.3">
      <c r="B5" s="185"/>
      <c r="C5" s="185"/>
      <c r="D5" s="185"/>
      <c r="E5" s="185"/>
      <c r="F5" s="185"/>
      <c r="G5" s="185"/>
      <c r="H5" s="185"/>
      <c r="I5" s="185"/>
      <c r="J5" s="185"/>
      <c r="K5" s="185"/>
      <c r="L5" s="185"/>
      <c r="M5" s="185"/>
      <c r="N5" s="185"/>
      <c r="O5" s="185"/>
    </row>
    <row r="6" spans="2:15" x14ac:dyDescent="0.3">
      <c r="B6" s="270" t="str">
        <f>"Ratio Analysis - "&amp;'Data Sheet'!B1</f>
        <v>Ratio Analysis - ORACLE FINANCIAL SERVICES SOFTWARE LTD</v>
      </c>
      <c r="C6" s="270"/>
      <c r="D6" s="270"/>
      <c r="E6" s="270"/>
      <c r="F6" s="270"/>
      <c r="G6" s="270"/>
      <c r="H6" s="270"/>
      <c r="I6" s="270"/>
      <c r="J6" s="270"/>
      <c r="K6" s="270"/>
      <c r="L6" s="270"/>
      <c r="M6" s="270"/>
      <c r="N6" s="270"/>
      <c r="O6" s="270"/>
    </row>
    <row r="7" spans="2:15" x14ac:dyDescent="0.3">
      <c r="B7" s="29" t="s">
        <v>81</v>
      </c>
      <c r="C7" s="30">
        <f>'Data Sheet'!B16</f>
        <v>42094</v>
      </c>
      <c r="D7" s="30">
        <f>'Data Sheet'!C16</f>
        <v>42460</v>
      </c>
      <c r="E7" s="30">
        <f>'Data Sheet'!D16</f>
        <v>42825</v>
      </c>
      <c r="F7" s="30">
        <f>'Data Sheet'!E16</f>
        <v>43190</v>
      </c>
      <c r="G7" s="30">
        <f>'Data Sheet'!F16</f>
        <v>43555</v>
      </c>
      <c r="H7" s="30">
        <f>'Data Sheet'!G16</f>
        <v>43921</v>
      </c>
      <c r="I7" s="30">
        <f>'Data Sheet'!H16</f>
        <v>44286</v>
      </c>
      <c r="J7" s="30">
        <f>'Data Sheet'!I16</f>
        <v>44651</v>
      </c>
      <c r="K7" s="30">
        <f>'Data Sheet'!J16</f>
        <v>45016</v>
      </c>
      <c r="L7" s="30">
        <f>'Data Sheet'!K16</f>
        <v>45382</v>
      </c>
      <c r="M7" s="30" t="s">
        <v>173</v>
      </c>
      <c r="N7" s="30" t="s">
        <v>171</v>
      </c>
      <c r="O7" s="30" t="s">
        <v>172</v>
      </c>
    </row>
    <row r="8" spans="2:15" ht="4.2" customHeight="1" x14ac:dyDescent="0.3"/>
    <row r="9" spans="2:15" x14ac:dyDescent="0.3">
      <c r="B9" s="56" t="s">
        <v>143</v>
      </c>
      <c r="C9" s="56"/>
      <c r="D9" s="57">
        <f>IFERROR('Historical FS'!D11,0)</f>
        <v>5.7955240965861021E-2</v>
      </c>
      <c r="E9" s="57">
        <f>IFERROR('Historical FS'!E11,0)</f>
        <v>7.1482516060630941E-2</v>
      </c>
      <c r="F9" s="57">
        <f>IFERROR('Historical FS'!F11,0)</f>
        <v>2.2803414864465132E-2</v>
      </c>
      <c r="G9" s="57">
        <f>IFERROR('Historical FS'!G11,0)</f>
        <v>9.5291630866686905E-2</v>
      </c>
      <c r="H9" s="57">
        <f>IFERROR('Historical FS'!H11,0)</f>
        <v>-1.9685817419185736E-2</v>
      </c>
      <c r="I9" s="57">
        <f>IFERROR('Historical FS'!I11,0)</f>
        <v>2.5232037652634709E-2</v>
      </c>
      <c r="J9" s="57">
        <f>IFERROR('Historical FS'!J11,0)</f>
        <v>4.7657074523369092E-2</v>
      </c>
      <c r="K9" s="57">
        <f>IFERROR('Historical FS'!K11,0)</f>
        <v>9.1325031696115611E-2</v>
      </c>
      <c r="L9" s="57">
        <f>IFERROR('Historical FS'!L11,0)</f>
        <v>0.11839475212826245</v>
      </c>
      <c r="M9" s="56"/>
      <c r="N9" s="57">
        <f>IFERROR(AVERAGE(D9:L9),0)</f>
        <v>5.6717320148760013E-2</v>
      </c>
      <c r="O9" s="57">
        <f>IFERROR(MEDIAN(C9:L9),0)</f>
        <v>5.7955240965861021E-2</v>
      </c>
    </row>
    <row r="10" spans="2:15" x14ac:dyDescent="0.3">
      <c r="B10" s="11" t="s">
        <v>144</v>
      </c>
      <c r="C10" s="11"/>
      <c r="D10" s="58">
        <f>IFERROR('Historical FS'!D22/'Historical FS'!C22-1,0)</f>
        <v>3.9282950735104905E-2</v>
      </c>
      <c r="E10" s="58">
        <f>IFERROR('Historical FS'!E22/'Historical FS'!D22-1,0)</f>
        <v>7.5801007619189287E-2</v>
      </c>
      <c r="F10" s="58">
        <f>IFERROR('Historical FS'!F22/'Historical FS'!E22-1,0)</f>
        <v>4.4593370975090751E-2</v>
      </c>
      <c r="G10" s="58">
        <f>IFERROR('Historical FS'!G22/'Historical FS'!F22-1,0)</f>
        <v>0.18407583880389322</v>
      </c>
      <c r="H10" s="58">
        <f>IFERROR('Historical FS'!H22/'Historical FS'!G22-1,0)</f>
        <v>3.9205263427849246E-2</v>
      </c>
      <c r="I10" s="58">
        <f>IFERROR('Historical FS'!I22/'Historical FS'!H22-1,0)</f>
        <v>0.10764619574727763</v>
      </c>
      <c r="J10" s="58">
        <f>IFERROR('Historical FS'!J22/'Historical FS'!I22-1,0)</f>
        <v>1.2290367009641034E-2</v>
      </c>
      <c r="K10" s="58">
        <f>IFERROR('Historical FS'!K22/'Historical FS'!J22-1,0)</f>
        <v>-1.102467446197164E-2</v>
      </c>
      <c r="L10" s="58">
        <f>IFERROR('Historical FS'!L22/'Historical FS'!K22-1,0)</f>
        <v>0.12588866993877912</v>
      </c>
      <c r="M10" s="11"/>
      <c r="N10" s="58">
        <f>IFERROR(AVERAGE(D10:L10),0)</f>
        <v>6.8639887754983725E-2</v>
      </c>
      <c r="O10" s="58">
        <f t="shared" ref="O10:O44" si="0">IFERROR(MEDIAN(C10:L10),0)</f>
        <v>4.4593370975090751E-2</v>
      </c>
    </row>
    <row r="11" spans="2:15" x14ac:dyDescent="0.3">
      <c r="B11" s="11" t="s">
        <v>145</v>
      </c>
      <c r="C11" s="11"/>
      <c r="D11" s="58">
        <f>IFERROR('Historical FS'!D31/'Historical FS'!C31-1,0)</f>
        <v>5.1311449980104173E-2</v>
      </c>
      <c r="E11" s="58">
        <f>IFERROR('Historical FS'!E31/'Historical FS'!D31-1,0)</f>
        <v>6.7302202349257767E-2</v>
      </c>
      <c r="F11" s="58">
        <f>IFERROR('Historical FS'!F31/'Historical FS'!E31-1,0)</f>
        <v>5.1722065276191831E-2</v>
      </c>
      <c r="G11" s="58">
        <f>IFERROR('Historical FS'!G31/'Historical FS'!F31-1,0)</f>
        <v>0.19496499499928555</v>
      </c>
      <c r="H11" s="58">
        <f>IFERROR('Historical FS'!H31/'Historical FS'!G31-1,0)</f>
        <v>-7.6283305195397055E-3</v>
      </c>
      <c r="I11" s="58">
        <f>IFERROR('Historical FS'!I31/'Historical FS'!H31-1,0)</f>
        <v>0.13032666004800175</v>
      </c>
      <c r="J11" s="58">
        <f>IFERROR('Historical FS'!J31/'Historical FS'!I31-1,0)</f>
        <v>2.0713238053006622E-2</v>
      </c>
      <c r="K11" s="58">
        <f>IFERROR('Historical FS'!K31/'Historical FS'!J31-1,0)</f>
        <v>-6.6292388280405623E-3</v>
      </c>
      <c r="L11" s="58">
        <f>IFERROR('Historical FS'!L31/'Historical FS'!K31-1,0)</f>
        <v>0.12702317425475274</v>
      </c>
      <c r="M11" s="11"/>
      <c r="N11" s="58">
        <f>IFERROR(AVERAGE(D11:L11),0)</f>
        <v>6.990069062366891E-2</v>
      </c>
      <c r="O11" s="58">
        <f t="shared" si="0"/>
        <v>5.1722065276191831E-2</v>
      </c>
    </row>
    <row r="12" spans="2:15" x14ac:dyDescent="0.3">
      <c r="B12" s="11" t="s">
        <v>146</v>
      </c>
      <c r="C12" s="11"/>
      <c r="D12" s="58">
        <f>IFERROR('Historical FS'!D37/'Historical FS'!C37-1,0)</f>
        <v>1.8834622537580836E-2</v>
      </c>
      <c r="E12" s="58">
        <f>IFERROR('Historical FS'!E37/'Historical FS'!D37-1,0)</f>
        <v>0.26976246671859871</v>
      </c>
      <c r="F12" s="58">
        <f>IFERROR('Historical FS'!F37/'Historical FS'!E37-1,0)</f>
        <v>4.9665326752799777E-2</v>
      </c>
      <c r="G12" s="58">
        <f>IFERROR('Historical FS'!G37/'Historical FS'!F37-1,0)</f>
        <v>5.5349587822218105E-2</v>
      </c>
      <c r="H12" s="58">
        <f>IFERROR('Historical FS'!H37/'Historical FS'!G37-1,0)</f>
        <v>6.2051578773350657E-2</v>
      </c>
      <c r="I12" s="58">
        <f>IFERROR('Historical FS'!I37/'Historical FS'!H37-1,0)</f>
        <v>0.26851743756177737</v>
      </c>
      <c r="J12" s="58">
        <f>IFERROR('Historical FS'!J37/'Historical FS'!I37-1,0)</f>
        <v>7.6453481237882093E-2</v>
      </c>
      <c r="K12" s="58">
        <f>IFERROR('Historical FS'!K37/'Historical FS'!J37-1,0)</f>
        <v>-7.9903561718789762E-2</v>
      </c>
      <c r="L12" s="58">
        <f>IFERROR('Historical FS'!L37/'Historical FS'!K37-1,0)</f>
        <v>0.16283838196122136</v>
      </c>
      <c r="M12" s="11"/>
      <c r="N12" s="58">
        <f>IFERROR(AVERAGE(D12:L12),0)</f>
        <v>9.8174369071848788E-2</v>
      </c>
      <c r="O12" s="58">
        <f t="shared" si="0"/>
        <v>6.2051578773350657E-2</v>
      </c>
    </row>
    <row r="13" spans="2:15" x14ac:dyDescent="0.3">
      <c r="B13" s="59" t="s">
        <v>147</v>
      </c>
      <c r="C13" s="59"/>
      <c r="D13" s="60">
        <f>IFERROR('Historical FS'!D45/'Historical FS'!C45-1,0)</f>
        <v>-0.85001376038693821</v>
      </c>
      <c r="E13" s="60">
        <f>IFERROR('Historical FS'!E45/'Historical FS'!D45-1,0)</f>
        <v>0.70081038073132951</v>
      </c>
      <c r="F13" s="60">
        <f>IFERROR('Historical FS'!F45/'Historical FS'!E45-1,0)</f>
        <v>-0.23439193060372132</v>
      </c>
      <c r="G13" s="60">
        <f>IFERROR('Historical FS'!G45/'Historical FS'!F45-1,0)</f>
        <v>-1</v>
      </c>
      <c r="H13" s="60">
        <f>IFERROR('Historical FS'!H45/'Historical FS'!G45-1,0)</f>
        <v>0</v>
      </c>
      <c r="I13" s="60">
        <f>IFERROR('Historical FS'!I45/'Historical FS'!H45-1,0)</f>
        <v>0.1108535542516027</v>
      </c>
      <c r="J13" s="60">
        <f>IFERROR('Historical FS'!J45/'Historical FS'!I45-1,0)</f>
        <v>-4.9117407431172211E-2</v>
      </c>
      <c r="K13" s="60">
        <f>IFERROR('Historical FS'!K45/'Historical FS'!J45-1,0)</f>
        <v>0.18366126354848133</v>
      </c>
      <c r="L13" s="60">
        <f>IFERROR('Historical FS'!L45/'Historical FS'!K45-1,0)</f>
        <v>6.6420607458669956E-2</v>
      </c>
      <c r="M13" s="59"/>
      <c r="N13" s="60">
        <f>IFERROR(AVERAGE(D13:L13),0)</f>
        <v>-0.11908636582574979</v>
      </c>
      <c r="O13" s="60">
        <f>IFERROR(MEDIAN(C13:L13),0)</f>
        <v>0</v>
      </c>
    </row>
    <row r="14" spans="2:15" x14ac:dyDescent="0.3">
      <c r="N14" s="38"/>
      <c r="O14" s="38"/>
    </row>
    <row r="15" spans="2:15" x14ac:dyDescent="0.3">
      <c r="B15" s="56" t="s">
        <v>148</v>
      </c>
      <c r="C15" s="57">
        <f>IFERROR('Historical FS'!C17,0)</f>
        <v>0.51348942741317971</v>
      </c>
      <c r="D15" s="57">
        <f>IFERROR('Historical FS'!D17,0)</f>
        <v>0.51612356640411305</v>
      </c>
      <c r="E15" s="57">
        <f>IFERROR('Historical FS'!E17,0)</f>
        <v>0.52195963881415008</v>
      </c>
      <c r="F15" s="57">
        <f>IFERROR('Historical FS'!F17,0)</f>
        <v>0.52621441997406937</v>
      </c>
      <c r="G15" s="57">
        <f>IFERROR('Historical FS'!G17,0)</f>
        <v>0.5481477747081005</v>
      </c>
      <c r="H15" s="57">
        <f>IFERROR('Historical FS'!H17,0)</f>
        <v>0.55638432676167593</v>
      </c>
      <c r="I15" s="57">
        <f>IFERROR('Historical FS'!I17,0)</f>
        <v>0.5532670939056249</v>
      </c>
      <c r="J15" s="57">
        <f>IFERROR('Historical FS'!J17,0)</f>
        <v>0.53472591957038829</v>
      </c>
      <c r="K15" s="57">
        <f>IFERROR('Historical FS'!K17,0)</f>
        <v>0.5080050049927084</v>
      </c>
      <c r="L15" s="57">
        <f>IFERROR('Historical FS'!L17,0)</f>
        <v>0.52583101102156615</v>
      </c>
      <c r="M15" s="56"/>
      <c r="N15" s="57">
        <f>IFERROR(AVERAGE(C15:L15),0)</f>
        <v>0.53041481835655768</v>
      </c>
      <c r="O15" s="57">
        <f t="shared" si="0"/>
        <v>0.52602271549781776</v>
      </c>
    </row>
    <row r="16" spans="2:15" x14ac:dyDescent="0.3">
      <c r="B16" s="11" t="s">
        <v>149</v>
      </c>
      <c r="C16" s="58">
        <f>IFERROR('Historical FS'!C23,0)</f>
        <v>0.3971410352607358</v>
      </c>
      <c r="D16" s="58">
        <f>IFERROR('Historical FS'!D23,0)</f>
        <v>0.39013172864190243</v>
      </c>
      <c r="E16" s="58">
        <f>IFERROR('Historical FS'!E23,0)</f>
        <v>0.39170411134681116</v>
      </c>
      <c r="F16" s="58">
        <f>IFERROR('Historical FS'!F23,0)</f>
        <v>0.40004903400795588</v>
      </c>
      <c r="G16" s="58">
        <f>IFERROR('Historical FS'!G23,0)</f>
        <v>0.43247696061626567</v>
      </c>
      <c r="H16" s="58">
        <f>IFERROR('Historical FS'!H23,0)</f>
        <v>0.45845744330711247</v>
      </c>
      <c r="I16" s="58">
        <f>IFERROR('Historical FS'!I23,0)</f>
        <v>0.49531093873521753</v>
      </c>
      <c r="J16" s="58">
        <f>IFERROR('Historical FS'!J23,0)</f>
        <v>0.4785902793471557</v>
      </c>
      <c r="K16" s="58">
        <f>IFERROR('Historical FS'!K23,0)</f>
        <v>0.43370578294266199</v>
      </c>
      <c r="L16" s="58">
        <f>IFERROR('Historical FS'!L23,0)</f>
        <v>0.43661187266199691</v>
      </c>
      <c r="M16" s="11"/>
      <c r="N16" s="58">
        <f>IFERROR(AVERAGE(C16:L16),0)</f>
        <v>0.43141791868678159</v>
      </c>
      <c r="O16" s="58">
        <f t="shared" si="0"/>
        <v>0.43309137177946383</v>
      </c>
    </row>
    <row r="17" spans="2:15" x14ac:dyDescent="0.3">
      <c r="B17" s="11" t="s">
        <v>150</v>
      </c>
      <c r="C17" s="58">
        <f>IFERROR(('Historical FS'!C22-'Historical FS'!C28)/'Historical FS'!C10,0)</f>
        <v>0.37970401366484757</v>
      </c>
      <c r="D17" s="58">
        <f>IFERROR(('Historical FS'!D22-'Historical FS'!D28)/'Historical FS'!D10,0)</f>
        <v>0.37731953272883073</v>
      </c>
      <c r="E17" s="58">
        <f>IFERROR(('Historical FS'!E22-'Historical FS'!E28)/'Historical FS'!E10,0)</f>
        <v>0.37584744709738777</v>
      </c>
      <c r="F17" s="58">
        <f>IFERROR(('Historical FS'!F22-'Historical FS'!F28)/'Historical FS'!F10,0)</f>
        <v>0.38647412351710775</v>
      </c>
      <c r="G17" s="58">
        <f>IFERROR(('Historical FS'!G22-'Historical FS'!G28)/'Historical FS'!G10,0)</f>
        <v>0.42164391296456877</v>
      </c>
      <c r="H17" s="58">
        <f>IFERROR(('Historical FS'!H22-'Historical FS'!H28)/'Historical FS'!H10,0)</f>
        <v>0.43657431787512746</v>
      </c>
      <c r="I17" s="58">
        <f>IFERROR(('Historical FS'!I22-'Historical FS'!I28)/'Historical FS'!I10,0)</f>
        <v>0.47442184295958617</v>
      </c>
      <c r="J17" s="58">
        <f>IFERROR(('Historical FS'!J22-'Historical FS'!J28)/'Historical FS'!J10,0)</f>
        <v>0.46081747250768929</v>
      </c>
      <c r="K17" s="58">
        <f>IFERROR(('Historical FS'!K22-'Historical FS'!K28)/'Historical FS'!K10,0)</f>
        <v>0.41955070889439156</v>
      </c>
      <c r="L17" s="58">
        <f>IFERROR(('Historical FS'!L22-'Historical FS'!L28)/'Historical FS'!L10,0)</f>
        <v>0.42495951645703089</v>
      </c>
      <c r="M17" s="11"/>
      <c r="N17" s="58">
        <f>IFERROR(AVERAGE(C17:L17),0)</f>
        <v>0.41573128886665678</v>
      </c>
      <c r="O17" s="58">
        <f t="shared" si="0"/>
        <v>0.42059731092948016</v>
      </c>
    </row>
    <row r="18" spans="2:15" x14ac:dyDescent="0.3">
      <c r="B18" s="11" t="s">
        <v>151</v>
      </c>
      <c r="C18" s="58">
        <f>IFERROR('Historical FS'!C32,0)</f>
        <v>0.37970401366484757</v>
      </c>
      <c r="D18" s="58">
        <f>IFERROR('Historical FS'!D32,0)</f>
        <v>0.37731953272883073</v>
      </c>
      <c r="E18" s="58">
        <f>IFERROR('Historical FS'!E32,0)</f>
        <v>0.37584744709738777</v>
      </c>
      <c r="F18" s="58">
        <f>IFERROR('Historical FS'!F32,0)</f>
        <v>0.38647412351710775</v>
      </c>
      <c r="G18" s="58">
        <f>IFERROR('Historical FS'!G32,0)</f>
        <v>0.42164391296456877</v>
      </c>
      <c r="H18" s="58">
        <f>IFERROR('Historical FS'!H32,0)</f>
        <v>0.42682997070730339</v>
      </c>
      <c r="I18" s="58">
        <f>IFERROR('Historical FS'!I32,0)</f>
        <v>0.4705835142477639</v>
      </c>
      <c r="J18" s="58">
        <f>IFERROR('Historical FS'!J32,0)</f>
        <v>0.4584809612637078</v>
      </c>
      <c r="K18" s="58">
        <f>IFERROR('Historical FS'!K32,0)</f>
        <v>0.41732899754488612</v>
      </c>
      <c r="L18" s="58">
        <f>IFERROR('Historical FS'!L32,0)</f>
        <v>0.42054869322889205</v>
      </c>
      <c r="M18" s="11"/>
      <c r="N18" s="58">
        <f>IFERROR(AVERAGE(C18:L18),0)</f>
        <v>0.41347611669652962</v>
      </c>
      <c r="O18" s="58">
        <f t="shared" si="0"/>
        <v>0.41893884538688908</v>
      </c>
    </row>
    <row r="19" spans="2:15" x14ac:dyDescent="0.3">
      <c r="B19" s="59" t="s">
        <v>152</v>
      </c>
      <c r="C19" s="60">
        <f>IFERROR('Historical FS'!C38,0)</f>
        <v>0.216186800720119</v>
      </c>
      <c r="D19" s="60">
        <f>IFERROR('Historical FS'!D38,0)</f>
        <v>0.2081927372543704</v>
      </c>
      <c r="E19" s="60">
        <f>IFERROR('Historical FS'!E38,0)</f>
        <v>0.24671921346969292</v>
      </c>
      <c r="F19" s="60">
        <f>IFERROR('Historical FS'!F38,0)</f>
        <v>0.2531988063973919</v>
      </c>
      <c r="G19" s="60">
        <f>IFERROR('Historical FS'!G38,0)</f>
        <v>0.24396539555143273</v>
      </c>
      <c r="H19" s="60">
        <f>IFERROR('Historical FS'!H38,0)</f>
        <v>0.26430693150775092</v>
      </c>
      <c r="I19" s="60">
        <f>IFERROR('Historical FS'!I38,0)</f>
        <v>0.32702640882514644</v>
      </c>
      <c r="J19" s="60">
        <f>IFERROR('Historical FS'!J38,0)</f>
        <v>0.33601521413550989</v>
      </c>
      <c r="K19" s="60">
        <f>IFERROR('Historical FS'!K38,0)</f>
        <v>0.28329452065612437</v>
      </c>
      <c r="L19" s="60">
        <f>IFERROR('Historical FS'!L38,0)</f>
        <v>0.2945522959503904</v>
      </c>
      <c r="M19" s="59"/>
      <c r="N19" s="60">
        <f>IFERROR(AVERAGE(C19:L19),0)</f>
        <v>0.26734583244679289</v>
      </c>
      <c r="O19" s="60">
        <f t="shared" si="0"/>
        <v>0.25875286895257144</v>
      </c>
    </row>
    <row r="20" spans="2:15" x14ac:dyDescent="0.3">
      <c r="N20" s="38"/>
      <c r="O20" s="38"/>
    </row>
    <row r="21" spans="2:15" x14ac:dyDescent="0.3">
      <c r="B21" s="56" t="s">
        <v>153</v>
      </c>
      <c r="C21" s="57">
        <f>IFERROR('Historical FS'!C20,0)</f>
        <v>0.11634839215244397</v>
      </c>
      <c r="D21" s="57">
        <f>IFERROR('Historical FS'!D20,0)</f>
        <v>0.12599183776221068</v>
      </c>
      <c r="E21" s="57">
        <f>IFERROR('Historical FS'!E20,0)</f>
        <v>0.13025552746733898</v>
      </c>
      <c r="F21" s="57">
        <f>IFERROR('Historical FS'!F20,0)</f>
        <v>0.12616538596611351</v>
      </c>
      <c r="G21" s="57">
        <f>IFERROR('Historical FS'!G20,0)</f>
        <v>0.1156708140918349</v>
      </c>
      <c r="H21" s="57">
        <f>IFERROR('Historical FS'!H20,0)</f>
        <v>9.7926883454563421E-2</v>
      </c>
      <c r="I21" s="57">
        <f>IFERROR('Historical FS'!I20,0)</f>
        <v>5.7956155170407357E-2</v>
      </c>
      <c r="J21" s="57">
        <f>IFERROR('Historical FS'!J20,0)</f>
        <v>5.6135640223232586E-2</v>
      </c>
      <c r="K21" s="57">
        <f>IFERROR('Historical FS'!K20,0)</f>
        <v>7.429922205004641E-2</v>
      </c>
      <c r="L21" s="57">
        <f>IFERROR('Historical FS'!L20,0)</f>
        <v>8.9219138359569183E-2</v>
      </c>
      <c r="M21" s="56"/>
      <c r="N21" s="57">
        <f>IFERROR(AVERAGE(C21:L21),0)</f>
        <v>9.8996899669776109E-2</v>
      </c>
      <c r="O21" s="57">
        <f t="shared" si="0"/>
        <v>0.10679884877319916</v>
      </c>
    </row>
    <row r="22" spans="2:15" x14ac:dyDescent="0.3">
      <c r="B22" s="11" t="s">
        <v>154</v>
      </c>
      <c r="C22" s="58">
        <f>IFERROR('Historical FS'!C29,0)</f>
        <v>1.7437021595888256E-2</v>
      </c>
      <c r="D22" s="58">
        <f>IFERROR('Historical FS'!D29,0)</f>
        <v>1.2812195913071683E-2</v>
      </c>
      <c r="E22" s="58">
        <f>IFERROR('Historical FS'!E29,0)</f>
        <v>1.5856664249423363E-2</v>
      </c>
      <c r="F22" s="58">
        <f>IFERROR('Historical FS'!F29,0)</f>
        <v>1.3574910490848089E-2</v>
      </c>
      <c r="G22" s="58">
        <f>IFERROR('Historical FS'!G29,0)</f>
        <v>1.083304765169695E-2</v>
      </c>
      <c r="H22" s="58">
        <f>IFERROR('Historical FS'!H29,0)</f>
        <v>2.1883125431984993E-2</v>
      </c>
      <c r="I22" s="58">
        <f>IFERROR('Historical FS'!I29,0)</f>
        <v>2.088909577563133E-2</v>
      </c>
      <c r="J22" s="58">
        <f>IFERROR('Historical FS'!J29,0)</f>
        <v>1.7772806839466356E-2</v>
      </c>
      <c r="K22" s="58">
        <f>IFERROR('Historical FS'!K29,0)</f>
        <v>1.415507404827045E-2</v>
      </c>
      <c r="L22" s="58">
        <f>IFERROR('Historical FS'!L29,0)</f>
        <v>1.1652356204965983E-2</v>
      </c>
      <c r="M22" s="11"/>
      <c r="N22" s="58">
        <f t="shared" ref="N22:N44" si="1">IFERROR(AVERAGE(C22:L22),0)</f>
        <v>1.5686629820124746E-2</v>
      </c>
      <c r="O22" s="58">
        <f t="shared" si="0"/>
        <v>1.5005869148846907E-2</v>
      </c>
    </row>
    <row r="23" spans="2:15" x14ac:dyDescent="0.3">
      <c r="B23" s="59" t="s">
        <v>155</v>
      </c>
      <c r="C23" s="60">
        <f>C17</f>
        <v>0.37970401366484757</v>
      </c>
      <c r="D23" s="60">
        <f t="shared" ref="D23:L23" si="2">D17</f>
        <v>0.37731953272883073</v>
      </c>
      <c r="E23" s="60">
        <f t="shared" si="2"/>
        <v>0.37584744709738777</v>
      </c>
      <c r="F23" s="60">
        <f t="shared" si="2"/>
        <v>0.38647412351710775</v>
      </c>
      <c r="G23" s="60">
        <f t="shared" si="2"/>
        <v>0.42164391296456877</v>
      </c>
      <c r="H23" s="60">
        <f t="shared" si="2"/>
        <v>0.43657431787512746</v>
      </c>
      <c r="I23" s="60">
        <f t="shared" si="2"/>
        <v>0.47442184295958617</v>
      </c>
      <c r="J23" s="60">
        <f t="shared" si="2"/>
        <v>0.46081747250768929</v>
      </c>
      <c r="K23" s="60">
        <f t="shared" si="2"/>
        <v>0.41955070889439156</v>
      </c>
      <c r="L23" s="60">
        <f t="shared" si="2"/>
        <v>0.42495951645703089</v>
      </c>
      <c r="M23" s="59"/>
      <c r="N23" s="60">
        <f t="shared" si="1"/>
        <v>0.41573128886665678</v>
      </c>
      <c r="O23" s="60">
        <f t="shared" si="0"/>
        <v>0.42059731092948016</v>
      </c>
    </row>
    <row r="24" spans="2:15" x14ac:dyDescent="0.3">
      <c r="N24" s="38"/>
      <c r="O24" s="38"/>
    </row>
    <row r="25" spans="2:15" x14ac:dyDescent="0.3">
      <c r="B25" s="56" t="s">
        <v>156</v>
      </c>
      <c r="C25" s="57">
        <f>IFERROR(('Historical FS'!C22-'Historical FS'!C28)/(SUM('Historical FS'!C51:C53)),0)</f>
        <v>0.43050349435125845</v>
      </c>
      <c r="D25" s="57">
        <f>IFERROR(('Historical FS'!D22-'Historical FS'!D28)/(SUM('Historical FS'!D51:D53)),0)</f>
        <v>0.33351091598415022</v>
      </c>
      <c r="E25" s="57">
        <f>IFERROR(('Historical FS'!E22-'Historical FS'!E28)/(SUM('Historical FS'!E51:E53)),0)</f>
        <v>0.50961989101234761</v>
      </c>
      <c r="F25" s="57">
        <f>IFERROR(('Historical FS'!F22-'Historical FS'!F28)/(SUM('Historical FS'!F51:F53)),0)</f>
        <v>0.37170279071842355</v>
      </c>
      <c r="G25" s="57">
        <f>IFERROR(('Historical FS'!G22-'Historical FS'!G28)/(SUM('Historical FS'!G51:G53)),0)</f>
        <v>0.42355288612492525</v>
      </c>
      <c r="H25" s="57">
        <f>IFERROR(('Historical FS'!H22-'Historical FS'!H28)/(SUM('Historical FS'!H51:H53)),0)</f>
        <v>0.31750859481827448</v>
      </c>
      <c r="I25" s="57">
        <f>IFERROR(('Historical FS'!I22-'Historical FS'!I28)/(SUM('Historical FS'!I51:I53)),0)</f>
        <v>0.34176190606964196</v>
      </c>
      <c r="J25" s="57">
        <f>IFERROR(('Historical FS'!J22-'Historical FS'!J28)/(SUM('Historical FS'!J51:J53)),0)</f>
        <v>0.33497329836226236</v>
      </c>
      <c r="K25" s="57">
        <f>IFERROR(('Historical FS'!K22-'Historical FS'!K28)/(SUM('Historical FS'!K51:K53)),0)</f>
        <v>0.31756529685945462</v>
      </c>
      <c r="L25" s="57">
        <f>IFERROR(('Historical FS'!L22-'Historical FS'!L28)/(SUM('Historical FS'!L51:L53)),0)</f>
        <v>0.34273836341086833</v>
      </c>
      <c r="M25" s="56"/>
      <c r="N25" s="57">
        <f t="shared" si="1"/>
        <v>0.37234374377116064</v>
      </c>
      <c r="O25" s="57">
        <f t="shared" si="0"/>
        <v>0.34225013474025512</v>
      </c>
    </row>
    <row r="26" spans="2:15" x14ac:dyDescent="0.3">
      <c r="B26" s="11" t="s">
        <v>157</v>
      </c>
      <c r="C26" s="58">
        <f>IFERROR('Historical FS'!C48,0)</f>
        <v>0</v>
      </c>
      <c r="D26" s="58">
        <f>IFERROR('Historical FS'!D48,0)</f>
        <v>1.5219337511190867E-2</v>
      </c>
      <c r="E26" s="58">
        <f>IFERROR('Historical FS'!E48,0)</f>
        <v>0</v>
      </c>
      <c r="F26" s="58">
        <f>IFERROR('Historical FS'!F48,0)</f>
        <v>3.2215292013782815E-2</v>
      </c>
      <c r="G26" s="58">
        <f>IFERROR('Historical FS'!G48,0)</f>
        <v>1</v>
      </c>
      <c r="H26" s="58">
        <f>IFERROR('Historical FS'!H48,0)</f>
        <v>0</v>
      </c>
      <c r="I26" s="58">
        <f>IFERROR('Historical FS'!I48,0)</f>
        <v>0</v>
      </c>
      <c r="J26" s="58">
        <f>IFERROR('Historical FS'!J48,0)</f>
        <v>6.6076181682426016E-2</v>
      </c>
      <c r="K26" s="58">
        <f>IFERROR('Historical FS'!K48,0)</f>
        <v>0</v>
      </c>
      <c r="L26" s="58">
        <f>IFERROR('Historical FS'!L48,0)</f>
        <v>0</v>
      </c>
      <c r="M26" s="11"/>
      <c r="N26" s="58">
        <f t="shared" si="1"/>
        <v>0.11135108112073996</v>
      </c>
      <c r="O26" s="58">
        <f t="shared" si="0"/>
        <v>0</v>
      </c>
    </row>
    <row r="27" spans="2:15" x14ac:dyDescent="0.3">
      <c r="B27" s="11" t="s">
        <v>158</v>
      </c>
      <c r="C27" s="58">
        <f>IFERROR('Historical FS'!C37/SUM('Historical FS'!C51:C52),0)</f>
        <v>0.24510979550713818</v>
      </c>
      <c r="D27" s="58">
        <f>IFERROR('Historical FS'!D37/SUM('Historical FS'!D51:D52),0)</f>
        <v>0.18402055679649459</v>
      </c>
      <c r="E27" s="58">
        <f>IFERROR('Historical FS'!E37/SUM('Historical FS'!E51:E52),0)</f>
        <v>0.33453205456121587</v>
      </c>
      <c r="F27" s="58">
        <f>IFERROR('Historical FS'!F37/SUM('Historical FS'!F51:F52),0)</f>
        <v>0.24352135684530066</v>
      </c>
      <c r="G27" s="58">
        <f>IFERROR('Historical FS'!G37/SUM('Historical FS'!G51:G52),0)</f>
        <v>0.24506993750696329</v>
      </c>
      <c r="H27" s="58">
        <f>IFERROR('Historical FS'!H37/SUM('Historical FS'!H51:H52),0)</f>
        <v>0.19557871279442512</v>
      </c>
      <c r="I27" s="58">
        <f>IFERROR('Historical FS'!I37/SUM('Historical FS'!I51:I52),0)</f>
        <v>0.23798141856128913</v>
      </c>
      <c r="J27" s="58">
        <f>IFERROR('Historical FS'!J37/SUM('Historical FS'!J51:J52),0)</f>
        <v>0.2471220574419446</v>
      </c>
      <c r="K27" s="58">
        <f>IFERROR('Historical FS'!K37/SUM('Historical FS'!K51:K52),0)</f>
        <v>0.21642572440209096</v>
      </c>
      <c r="L27" s="58">
        <f>IFERROR('Historical FS'!L37/SUM('Historical FS'!L51:L52),0)</f>
        <v>0.23886095148902381</v>
      </c>
      <c r="M27" s="11"/>
      <c r="N27" s="58">
        <f t="shared" si="1"/>
        <v>0.23882225659058864</v>
      </c>
      <c r="O27" s="58">
        <f t="shared" si="0"/>
        <v>0.24119115416716225</v>
      </c>
    </row>
    <row r="28" spans="2:15" x14ac:dyDescent="0.3">
      <c r="B28" s="11" t="s">
        <v>159</v>
      </c>
      <c r="C28" s="58">
        <f>IFERROR(C26*C27,0)</f>
        <v>0</v>
      </c>
      <c r="D28" s="58">
        <f t="shared" ref="D28:L28" si="3">IFERROR(D26*D27,0)</f>
        <v>2.8006709628831195E-3</v>
      </c>
      <c r="E28" s="58">
        <f t="shared" si="3"/>
        <v>0</v>
      </c>
      <c r="F28" s="58">
        <f t="shared" si="3"/>
        <v>7.8451116223639695E-3</v>
      </c>
      <c r="G28" s="58">
        <f t="shared" si="3"/>
        <v>0.24506993750696329</v>
      </c>
      <c r="H28" s="58">
        <f t="shared" si="3"/>
        <v>0</v>
      </c>
      <c r="I28" s="58">
        <f t="shared" si="3"/>
        <v>0</v>
      </c>
      <c r="J28" s="58">
        <f t="shared" si="3"/>
        <v>1.6328881965268851E-2</v>
      </c>
      <c r="K28" s="58">
        <f t="shared" si="3"/>
        <v>0</v>
      </c>
      <c r="L28" s="58">
        <f t="shared" si="3"/>
        <v>0</v>
      </c>
      <c r="M28" s="11"/>
      <c r="N28" s="58">
        <f t="shared" si="1"/>
        <v>2.7204460205747922E-2</v>
      </c>
      <c r="O28" s="58">
        <f t="shared" si="0"/>
        <v>0</v>
      </c>
    </row>
    <row r="29" spans="2:15" x14ac:dyDescent="0.3">
      <c r="B29" s="59" t="s">
        <v>160</v>
      </c>
      <c r="C29" s="61"/>
      <c r="D29" s="61"/>
      <c r="E29" s="61"/>
      <c r="F29" s="61"/>
      <c r="G29" s="61"/>
      <c r="H29" s="61">
        <f>('Historical FS'!H22-'Historical FS'!H28)/'Historical FS'!H25</f>
        <v>44.802828794595726</v>
      </c>
      <c r="I29" s="61">
        <f>('Historical FS'!I22-'Historical FS'!I28)/'Historical FS'!I25</f>
        <v>123.60115002613695</v>
      </c>
      <c r="J29" s="61">
        <f>('Historical FS'!J22-'Historical FS'!J28)/'Historical FS'!J25</f>
        <v>197.22459016393438</v>
      </c>
      <c r="K29" s="61">
        <f>('Historical FS'!K22-'Historical FS'!K28)/'Historical FS'!K25</f>
        <v>188.84123222748818</v>
      </c>
      <c r="L29" s="61">
        <f>('Historical FS'!L22-'Historical FS'!L28)/'Historical FS'!L25</f>
        <v>96.34471718249732</v>
      </c>
      <c r="M29" s="59"/>
      <c r="N29" s="61">
        <f t="shared" si="1"/>
        <v>130.16290367893049</v>
      </c>
      <c r="O29" s="61">
        <f t="shared" si="0"/>
        <v>123.60115002613695</v>
      </c>
    </row>
    <row r="30" spans="2:15" x14ac:dyDescent="0.3">
      <c r="N30" s="38"/>
      <c r="O30" s="38"/>
    </row>
    <row r="31" spans="2:15" x14ac:dyDescent="0.3">
      <c r="B31" s="56" t="s">
        <v>161</v>
      </c>
      <c r="C31" s="62">
        <f>'Historical FS'!C10/'Historical FS'!C63</f>
        <v>6.4906585552342007</v>
      </c>
      <c r="D31" s="62">
        <f>'Historical FS'!D10/'Historical FS'!D63</f>
        <v>4.9708455161294207</v>
      </c>
      <c r="E31" s="62">
        <f>'Historical FS'!E10/'Historical FS'!E63</f>
        <v>6.164997701981866</v>
      </c>
      <c r="F31" s="62">
        <f>'Historical FS'!F10/'Historical FS'!F63</f>
        <v>4.4938559574383614</v>
      </c>
      <c r="G31" s="62">
        <f>'Historical FS'!G10/'Historical FS'!G63</f>
        <v>5.2337780216996661</v>
      </c>
      <c r="H31" s="62">
        <f>'Historical FS'!H10/'Historical FS'!H63</f>
        <v>5.2533365032365431</v>
      </c>
      <c r="I31" s="62">
        <f>'Historical FS'!I10/'Historical FS'!I63</f>
        <v>6.2085829959514163</v>
      </c>
      <c r="J31" s="62">
        <f>'Historical FS'!J10/'Historical FS'!J63</f>
        <v>5.6370820603063905</v>
      </c>
      <c r="K31" s="62">
        <f>'Historical FS'!K10/'Historical FS'!K63</f>
        <v>5.259800437523654</v>
      </c>
      <c r="L31" s="62">
        <f>'Historical FS'!L10/'Historical FS'!L63</f>
        <v>4.8305250471837553</v>
      </c>
      <c r="M31" s="56"/>
      <c r="N31" s="62">
        <f t="shared" si="1"/>
        <v>5.4543462796685276</v>
      </c>
      <c r="O31" s="62">
        <f>IFERROR(MEDIAN(C31:L31),0)</f>
        <v>5.256568470380099</v>
      </c>
    </row>
    <row r="32" spans="2:15" x14ac:dyDescent="0.3">
      <c r="B32" s="11" t="s">
        <v>162</v>
      </c>
      <c r="C32" s="63">
        <f>'Historical FS'!C10/'Historical FS'!C54</f>
        <v>1.3824403023383427</v>
      </c>
      <c r="D32" s="63">
        <f>'Historical FS'!D10/'Historical FS'!D54</f>
        <v>4.0850184414274562</v>
      </c>
      <c r="E32" s="63">
        <f>'Historical FS'!E10/'Historical FS'!E54</f>
        <v>1.6063819363548277</v>
      </c>
      <c r="F32" s="63">
        <f>'Historical FS'!F10/'Historical FS'!F54</f>
        <v>3.6951397673944095</v>
      </c>
      <c r="G32" s="63">
        <f>'Historical FS'!G10/'Historical FS'!G54</f>
        <v>4.160465135790453</v>
      </c>
      <c r="H32" s="63">
        <f>'Historical FS'!H10/'Historical FS'!H54</f>
        <v>3.9339974589507243</v>
      </c>
      <c r="I32" s="63">
        <f>'Historical FS'!I10/'Historical FS'!I54</f>
        <v>4.0387183559690119</v>
      </c>
      <c r="J32" s="63">
        <f>'Historical FS'!J10/'Historical FS'!J54</f>
        <v>3.7048710398410618</v>
      </c>
      <c r="K32" s="63">
        <f>'Historical FS'!K10/'Historical FS'!K54</f>
        <v>3.5828062321592498</v>
      </c>
      <c r="L32" s="63">
        <f>'Historical FS'!L10/'Historical FS'!L54</f>
        <v>3.4492620275704549</v>
      </c>
      <c r="M32" s="11"/>
      <c r="N32" s="63">
        <f t="shared" si="1"/>
        <v>3.3639100697795987</v>
      </c>
      <c r="O32" s="63">
        <f t="shared" si="0"/>
        <v>3.7000054036177357</v>
      </c>
    </row>
    <row r="33" spans="2:15" x14ac:dyDescent="0.3">
      <c r="B33" s="11" t="s">
        <v>47</v>
      </c>
      <c r="C33" s="63">
        <f>IFERROR('Historical FS'!C10/'Historical FS'!C64,0)</f>
        <v>0</v>
      </c>
      <c r="D33" s="63">
        <f>IFERROR('Historical FS'!D10/'Historical FS'!D64,0)</f>
        <v>0</v>
      </c>
      <c r="E33" s="63">
        <f>IFERROR('Historical FS'!E10/'Historical FS'!E64,0)</f>
        <v>0</v>
      </c>
      <c r="F33" s="63">
        <f>IFERROR('Historical FS'!F10/'Historical FS'!F64,0)</f>
        <v>0</v>
      </c>
      <c r="G33" s="63">
        <f>IFERROR('Historical FS'!G10/'Historical FS'!G64,0)</f>
        <v>0</v>
      </c>
      <c r="H33" s="63">
        <f>IFERROR('Historical FS'!H10/'Historical FS'!H64,0)</f>
        <v>0</v>
      </c>
      <c r="I33" s="63">
        <f>IFERROR('Historical FS'!I10/'Historical FS'!I64,0)</f>
        <v>0</v>
      </c>
      <c r="J33" s="63">
        <f>IFERROR('Historical FS'!J10/'Historical FS'!J64,0)</f>
        <v>0</v>
      </c>
      <c r="K33" s="63">
        <f>IFERROR('Historical FS'!K10/'Historical FS'!K64,0)</f>
        <v>0</v>
      </c>
      <c r="L33" s="63">
        <f>IFERROR('Historical FS'!L10/'Historical FS'!L64,0)</f>
        <v>0</v>
      </c>
      <c r="M33" s="11"/>
      <c r="N33" s="63">
        <f t="shared" si="1"/>
        <v>0</v>
      </c>
      <c r="O33" s="63">
        <f t="shared" si="0"/>
        <v>0</v>
      </c>
    </row>
    <row r="34" spans="2:15" x14ac:dyDescent="0.3">
      <c r="B34" s="11" t="s">
        <v>163</v>
      </c>
      <c r="C34" s="63">
        <f>IFERROR('Historical FS'!C10/'Historical FS'!C57,0)</f>
        <v>4.2859290966963011</v>
      </c>
      <c r="D34" s="63">
        <f>IFERROR('Historical FS'!D10/'Historical FS'!D57,0)</f>
        <v>4.7767499942187177</v>
      </c>
      <c r="E34" s="63">
        <f>IFERROR('Historical FS'!E10/'Historical FS'!E57,0)</f>
        <v>5.0891939433656397</v>
      </c>
      <c r="F34" s="63">
        <f>IFERROR('Historical FS'!F10/'Historical FS'!F57,0)</f>
        <v>5.4100039432647842</v>
      </c>
      <c r="G34" s="63">
        <f>IFERROR('Historical FS'!G10/'Historical FS'!G57,0)</f>
        <v>5.7403312998483562</v>
      </c>
      <c r="H34" s="63">
        <f>IFERROR('Historical FS'!H10/'Historical FS'!H57,0)</f>
        <v>5.0490018902806337</v>
      </c>
      <c r="I34" s="63">
        <f>IFERROR('Historical FS'!I10/'Historical FS'!I57,0)</f>
        <v>5.6374947685138048</v>
      </c>
      <c r="J34" s="63">
        <f>IFERROR('Historical FS'!J10/'Historical FS'!J57,0)</f>
        <v>5.9919670419205655</v>
      </c>
      <c r="K34" s="63">
        <f>IFERROR('Historical FS'!K10/'Historical FS'!K57,0)</f>
        <v>6.7291482150659547</v>
      </c>
      <c r="L34" s="63">
        <f>IFERROR('Historical FS'!L10/'Historical FS'!L57,0)</f>
        <v>7.9160321462729941</v>
      </c>
      <c r="M34" s="11"/>
      <c r="N34" s="63">
        <f t="shared" si="1"/>
        <v>5.6625852339447755</v>
      </c>
      <c r="O34" s="63">
        <f t="shared" si="0"/>
        <v>5.5237493558892945</v>
      </c>
    </row>
    <row r="35" spans="2:15" x14ac:dyDescent="0.3">
      <c r="B35" s="59" t="s">
        <v>164</v>
      </c>
      <c r="C35" s="61">
        <f>IFERROR('Historical FS'!C10/SUM('Historical FS'!C51:C52),0)</f>
        <v>1.1337870521728273</v>
      </c>
      <c r="D35" s="61">
        <f>IFERROR('Historical FS'!D10/SUM('Historical FS'!D51:D52),0)</f>
        <v>0.88389517916591787</v>
      </c>
      <c r="E35" s="61">
        <f>IFERROR('Historical FS'!E10/SUM('Historical FS'!E51:E52),0)</f>
        <v>1.3559221831837995</v>
      </c>
      <c r="F35" s="61">
        <f>IFERROR('Historical FS'!F10/SUM('Historical FS'!F51:F52),0)</f>
        <v>0.96177924497439127</v>
      </c>
      <c r="G35" s="61">
        <f>IFERROR('Historical FS'!G10/SUM('Historical FS'!G51:G52),0)</f>
        <v>1.0045274533834356</v>
      </c>
      <c r="H35" s="61">
        <f>IFERROR('Historical FS'!H10/SUM('Historical FS'!H51:H52),0)</f>
        <v>0.73996815625960866</v>
      </c>
      <c r="I35" s="61">
        <f>IFERROR('Historical FS'!I10/SUM('Historical FS'!I51:I52),0)</f>
        <v>0.72771315141258941</v>
      </c>
      <c r="J35" s="61">
        <f>IFERROR('Historical FS'!J10/SUM('Historical FS'!J51:J52),0)</f>
        <v>0.73544901256252038</v>
      </c>
      <c r="K35" s="61">
        <f>IFERROR('Historical FS'!K10/SUM('Historical FS'!K51:K52),0)</f>
        <v>0.7639601496733438</v>
      </c>
      <c r="L35" s="61">
        <f>IFERROR('Historical FS'!L10/SUM('Historical FS'!L51:L52),0)</f>
        <v>0.81092883937069593</v>
      </c>
      <c r="M35" s="59"/>
      <c r="N35" s="61">
        <f t="shared" si="1"/>
        <v>0.91179304221591284</v>
      </c>
      <c r="O35" s="61">
        <f t="shared" si="0"/>
        <v>0.84741200926830684</v>
      </c>
    </row>
    <row r="36" spans="2:15" x14ac:dyDescent="0.3">
      <c r="N36" s="38"/>
      <c r="O36" s="38"/>
    </row>
    <row r="37" spans="2:15" x14ac:dyDescent="0.3">
      <c r="B37" s="56" t="s">
        <v>46</v>
      </c>
      <c r="C37" s="64">
        <f>IFERROR(365/C31,0)</f>
        <v>56.234663538980413</v>
      </c>
      <c r="D37" s="64">
        <f t="shared" ref="D37:L37" si="4">IFERROR(365/D31,0)</f>
        <v>73.428151974477274</v>
      </c>
      <c r="E37" s="64">
        <f t="shared" si="4"/>
        <v>59.205212660933064</v>
      </c>
      <c r="F37" s="64">
        <f t="shared" si="4"/>
        <v>81.222006992867975</v>
      </c>
      <c r="G37" s="64">
        <f t="shared" si="4"/>
        <v>69.739297021516876</v>
      </c>
      <c r="H37" s="64">
        <f t="shared" si="4"/>
        <v>69.479653506895303</v>
      </c>
      <c r="I37" s="64">
        <f t="shared" si="4"/>
        <v>58.789582137826706</v>
      </c>
      <c r="J37" s="64">
        <f t="shared" si="4"/>
        <v>64.749811355444649</v>
      </c>
      <c r="K37" s="64">
        <f t="shared" si="4"/>
        <v>69.394267774129503</v>
      </c>
      <c r="L37" s="64">
        <f t="shared" si="4"/>
        <v>75.561144272049404</v>
      </c>
      <c r="M37" s="56"/>
      <c r="N37" s="64">
        <f t="shared" si="1"/>
        <v>67.78037912351212</v>
      </c>
      <c r="O37" s="64">
        <f t="shared" si="0"/>
        <v>69.43696064051241</v>
      </c>
    </row>
    <row r="38" spans="2:15" x14ac:dyDescent="0.3">
      <c r="B38" s="11" t="s">
        <v>165</v>
      </c>
      <c r="C38" s="65">
        <f>IFERROR(365/C32,0)</f>
        <v>264.02586743356443</v>
      </c>
      <c r="D38" s="65">
        <f t="shared" ref="D38:L38" si="5">IFERROR(365/D32,0)</f>
        <v>89.35088182183469</v>
      </c>
      <c r="E38" s="65">
        <f t="shared" si="5"/>
        <v>227.21869048667921</v>
      </c>
      <c r="F38" s="65">
        <f t="shared" si="5"/>
        <v>98.77840162386498</v>
      </c>
      <c r="G38" s="65">
        <f t="shared" si="5"/>
        <v>87.73057532920609</v>
      </c>
      <c r="H38" s="65">
        <f t="shared" si="5"/>
        <v>92.7809445248988</v>
      </c>
      <c r="I38" s="65">
        <f t="shared" si="5"/>
        <v>90.37520515897063</v>
      </c>
      <c r="J38" s="65">
        <f t="shared" si="5"/>
        <v>98.518948723154054</v>
      </c>
      <c r="K38" s="65">
        <f t="shared" si="5"/>
        <v>101.87545079155048</v>
      </c>
      <c r="L38" s="65">
        <f t="shared" si="5"/>
        <v>105.81973682558812</v>
      </c>
      <c r="M38" s="11"/>
      <c r="N38" s="65">
        <f t="shared" si="1"/>
        <v>125.64747027193114</v>
      </c>
      <c r="O38" s="65">
        <f t="shared" si="0"/>
        <v>98.648675173509517</v>
      </c>
    </row>
    <row r="39" spans="2:15" x14ac:dyDescent="0.3">
      <c r="B39" s="11" t="s">
        <v>166</v>
      </c>
      <c r="C39" s="65">
        <f>IFERROR(365/C33,0)</f>
        <v>0</v>
      </c>
      <c r="D39" s="65">
        <f t="shared" ref="D39:L39" si="6">IFERROR(365/D33,0)</f>
        <v>0</v>
      </c>
      <c r="E39" s="65">
        <f t="shared" si="6"/>
        <v>0</v>
      </c>
      <c r="F39" s="65">
        <f t="shared" si="6"/>
        <v>0</v>
      </c>
      <c r="G39" s="65">
        <f t="shared" si="6"/>
        <v>0</v>
      </c>
      <c r="H39" s="65">
        <f t="shared" si="6"/>
        <v>0</v>
      </c>
      <c r="I39" s="65">
        <f t="shared" si="6"/>
        <v>0</v>
      </c>
      <c r="J39" s="65">
        <f t="shared" si="6"/>
        <v>0</v>
      </c>
      <c r="K39" s="65">
        <f t="shared" si="6"/>
        <v>0</v>
      </c>
      <c r="L39" s="65">
        <f t="shared" si="6"/>
        <v>0</v>
      </c>
      <c r="M39" s="11"/>
      <c r="N39" s="65">
        <f t="shared" si="1"/>
        <v>0</v>
      </c>
      <c r="O39" s="65">
        <f t="shared" si="0"/>
        <v>0</v>
      </c>
    </row>
    <row r="40" spans="2:15" x14ac:dyDescent="0.3">
      <c r="B40" s="59" t="s">
        <v>167</v>
      </c>
      <c r="C40" s="66">
        <f>SUM(C37,C39)-C38</f>
        <v>-207.79120389458402</v>
      </c>
      <c r="D40" s="66">
        <f t="shared" ref="D40:L40" si="7">SUM(D37,D39)-D38</f>
        <v>-15.922729847357417</v>
      </c>
      <c r="E40" s="66">
        <f t="shared" si="7"/>
        <v>-168.01347782574615</v>
      </c>
      <c r="F40" s="66">
        <f t="shared" si="7"/>
        <v>-17.556394630997005</v>
      </c>
      <c r="G40" s="66">
        <f t="shared" si="7"/>
        <v>-17.991278307689214</v>
      </c>
      <c r="H40" s="66">
        <f t="shared" si="7"/>
        <v>-23.301291018003496</v>
      </c>
      <c r="I40" s="66">
        <f t="shared" si="7"/>
        <v>-31.585623021143924</v>
      </c>
      <c r="J40" s="66">
        <f t="shared" si="7"/>
        <v>-33.769137367709405</v>
      </c>
      <c r="K40" s="66">
        <f t="shared" si="7"/>
        <v>-32.481183017420975</v>
      </c>
      <c r="L40" s="66">
        <f t="shared" si="7"/>
        <v>-30.258592553538719</v>
      </c>
      <c r="M40" s="59"/>
      <c r="N40" s="66">
        <f t="shared" si="1"/>
        <v>-57.867091148419036</v>
      </c>
      <c r="O40" s="66">
        <f t="shared" si="0"/>
        <v>-30.922107787341321</v>
      </c>
    </row>
    <row r="41" spans="2:15" x14ac:dyDescent="0.3">
      <c r="N41" s="38"/>
      <c r="O41" s="38"/>
    </row>
    <row r="42" spans="2:15" x14ac:dyDescent="0.3">
      <c r="B42" s="56" t="s">
        <v>168</v>
      </c>
      <c r="C42" s="57">
        <f>IFERROR('Historical FS'!C73/'Historical FS'!C10,0)</f>
        <v>0.27155299353890361</v>
      </c>
      <c r="D42" s="57">
        <f>IFERROR('Historical FS'!D73/'Historical FS'!D10,0)</f>
        <v>0.1724212218182522</v>
      </c>
      <c r="E42" s="57">
        <f>IFERROR('Historical FS'!E73/'Historical FS'!E10,0)</f>
        <v>0.25327513876557939</v>
      </c>
      <c r="F42" s="57">
        <f>IFERROR('Historical FS'!F73/'Historical FS'!F10,0)</f>
        <v>0.2556438805778945</v>
      </c>
      <c r="G42" s="57">
        <f>IFERROR('Historical FS'!G73/'Historical FS'!G10,0)</f>
        <v>0.27820887696868257</v>
      </c>
      <c r="H42" s="57">
        <f>IFERROR('Historical FS'!H73/'Historical FS'!H10,0)</f>
        <v>0.31304923806075768</v>
      </c>
      <c r="I42" s="57">
        <f>IFERROR('Historical FS'!I73/'Historical FS'!I10,0)</f>
        <v>0.38513906668218323</v>
      </c>
      <c r="J42" s="57">
        <f>IFERROR('Historical FS'!J73/'Historical FS'!J10,0)</f>
        <v>0.35548486438658922</v>
      </c>
      <c r="K42" s="57">
        <f>IFERROR('Historical FS'!K73/'Historical FS'!K10,0)</f>
        <v>0.30858622995238938</v>
      </c>
      <c r="L42" s="57">
        <f>IFERROR('Historical FS'!L73/'Historical FS'!L10,0)</f>
        <v>0.28097932514875351</v>
      </c>
      <c r="M42" s="56"/>
      <c r="N42" s="57">
        <f t="shared" si="1"/>
        <v>0.2874340835899985</v>
      </c>
      <c r="O42" s="57">
        <f t="shared" si="0"/>
        <v>0.27959410105871807</v>
      </c>
    </row>
    <row r="43" spans="2:15" x14ac:dyDescent="0.3">
      <c r="B43" s="11" t="s">
        <v>169</v>
      </c>
      <c r="C43" s="58">
        <f>IFERROR('Historical FS'!C73/'Historical FS'!C68,0)</f>
        <v>0.16915412568314728</v>
      </c>
      <c r="D43" s="58">
        <f>IFERROR('Historical FS'!D73/'Historical FS'!D68,0)</f>
        <v>0.12529220659291951</v>
      </c>
      <c r="E43" s="58">
        <f>IFERROR('Historical FS'!E73/'Historical FS'!E68,0)</f>
        <v>0.18622865097056898</v>
      </c>
      <c r="F43" s="58">
        <f>IFERROR('Historical FS'!F73/'Historical FS'!F68,0)</f>
        <v>0.19509358396936272</v>
      </c>
      <c r="G43" s="58">
        <f>IFERROR('Historical FS'!G73/'Historical FS'!G68,0)</f>
        <v>0.22511528181631268</v>
      </c>
      <c r="H43" s="58">
        <f>IFERROR('Historical FS'!H73/'Historical FS'!H68,0)</f>
        <v>0.1921497177388298</v>
      </c>
      <c r="I43" s="58">
        <f>IFERROR('Historical FS'!I73/'Historical FS'!I68,0)</f>
        <v>0.23544845367779732</v>
      </c>
      <c r="J43" s="58">
        <f>IFERROR('Historical FS'!J73/'Historical FS'!J68,0)</f>
        <v>0.21602154454560585</v>
      </c>
      <c r="K43" s="58">
        <f>IFERROR('Historical FS'!K73/'Historical FS'!K68,0)</f>
        <v>0.19283521790767832</v>
      </c>
      <c r="L43" s="58">
        <f>IFERROR('Historical FS'!L73/'Historical FS'!L68,0)</f>
        <v>0.18366919912241023</v>
      </c>
      <c r="M43" s="11"/>
      <c r="N43" s="58">
        <f t="shared" si="1"/>
        <v>0.19210079820246326</v>
      </c>
      <c r="O43" s="58">
        <f t="shared" si="0"/>
        <v>0.19249246782325408</v>
      </c>
    </row>
    <row r="44" spans="2:15" x14ac:dyDescent="0.3">
      <c r="B44" s="59" t="s">
        <v>170</v>
      </c>
      <c r="C44" s="60">
        <f>IFERROR('Historical FS'!C73/'Historical FS'!C53,0)</f>
        <v>0</v>
      </c>
      <c r="D44" s="60">
        <f>IFERROR('Historical FS'!D73/'Historical FS'!D53,0)</f>
        <v>0</v>
      </c>
      <c r="E44" s="60">
        <f>IFERROR('Historical FS'!E73/'Historical FS'!E53,0)</f>
        <v>0</v>
      </c>
      <c r="F44" s="60">
        <f>IFERROR('Historical FS'!F73/'Historical FS'!F53,0)</f>
        <v>0</v>
      </c>
      <c r="G44" s="60">
        <f>IFERROR('Historical FS'!G73/'Historical FS'!G53,0)</f>
        <v>0</v>
      </c>
      <c r="H44" s="60">
        <f>IFERROR('Historical FS'!H73/'Historical FS'!H53,0)</f>
        <v>13.270143006627135</v>
      </c>
      <c r="I44" s="60">
        <f>IFERROR('Historical FS'!I73/'Historical FS'!I53,0)</f>
        <v>27.515911697247706</v>
      </c>
      <c r="J44" s="60">
        <f>IFERROR('Historical FS'!J73/'Historical FS'!J53,0)</f>
        <v>22.258664108406286</v>
      </c>
      <c r="K44" s="60">
        <f>IFERROR('Historical FS'!K73/'Historical FS'!K53,0)</f>
        <v>25.337463976945244</v>
      </c>
      <c r="L44" s="60">
        <f>IFERROR('Historical FS'!L73/'Historical FS'!L53,0)</f>
        <v>41.682262569832403</v>
      </c>
      <c r="M44" s="59"/>
      <c r="N44" s="60">
        <f t="shared" si="1"/>
        <v>13.006444535905876</v>
      </c>
      <c r="O44" s="60">
        <f t="shared" si="0"/>
        <v>6.6350715033135677</v>
      </c>
    </row>
  </sheetData>
  <mergeCells count="2">
    <mergeCell ref="B6:O6"/>
    <mergeCell ref="B2:O2"/>
  </mergeCells>
  <pageMargins left="0.51181102362204722" right="0.19685039370078741" top="0.19685039370078741" bottom="0" header="0.31496062992125984" footer="0.31496062992125984"/>
  <pageSetup paperSize="9" scale="90" orientation="landscape" r:id="rId1"/>
  <drawing r:id="rId2"/>
  <extLst>
    <ext xmlns:x14="http://schemas.microsoft.com/office/spreadsheetml/2009/9/main" uri="{05C60535-1F16-4fd2-B633-F4F36F0B64E0}">
      <x14:sparklineGroups xmlns:xm="http://schemas.microsoft.com/office/excel/2006/main">
        <x14:sparklineGroup manualMax="0" manualMin="0" displayEmptyCellsAs="gap" markers="1">
          <x14:colorSeries theme="1"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'Ratio Analysis'!C15:L15</xm:f>
              <xm:sqref>M15</xm:sqref>
            </x14:sparkline>
            <x14:sparkline>
              <xm:f>'Ratio Analysis'!C16:L16</xm:f>
              <xm:sqref>M16</xm:sqref>
            </x14:sparkline>
            <x14:sparkline>
              <xm:f>'Ratio Analysis'!C17:L17</xm:f>
              <xm:sqref>M17</xm:sqref>
            </x14:sparkline>
            <x14:sparkline>
              <xm:f>'Ratio Analysis'!C18:L18</xm:f>
              <xm:sqref>M18</xm:sqref>
            </x14:sparkline>
            <x14:sparkline>
              <xm:f>'Ratio Analysis'!C19:L19</xm:f>
              <xm:sqref>M19</xm:sqref>
            </x14:sparkline>
            <x14:sparkline>
              <xm:f>'Ratio Analysis'!C20:L20</xm:f>
              <xm:sqref>M20</xm:sqref>
            </x14:sparkline>
            <x14:sparkline>
              <xm:f>'Ratio Analysis'!C21:L21</xm:f>
              <xm:sqref>M21</xm:sqref>
            </x14:sparkline>
            <x14:sparkline>
              <xm:f>'Ratio Analysis'!C22:L22</xm:f>
              <xm:sqref>M22</xm:sqref>
            </x14:sparkline>
            <x14:sparkline>
              <xm:f>'Ratio Analysis'!C23:L23</xm:f>
              <xm:sqref>M23</xm:sqref>
            </x14:sparkline>
            <x14:sparkline>
              <xm:f>'Ratio Analysis'!C24:L24</xm:f>
              <xm:sqref>M24</xm:sqref>
            </x14:sparkline>
            <x14:sparkline>
              <xm:f>'Ratio Analysis'!C25:L25</xm:f>
              <xm:sqref>M25</xm:sqref>
            </x14:sparkline>
            <x14:sparkline>
              <xm:f>'Ratio Analysis'!C26:L26</xm:f>
              <xm:sqref>M26</xm:sqref>
            </x14:sparkline>
            <x14:sparkline>
              <xm:f>'Ratio Analysis'!C27:L27</xm:f>
              <xm:sqref>M27</xm:sqref>
            </x14:sparkline>
            <x14:sparkline>
              <xm:f>'Ratio Analysis'!C28:L28</xm:f>
              <xm:sqref>M28</xm:sqref>
            </x14:sparkline>
            <x14:sparkline>
              <xm:f>'Ratio Analysis'!C29:L29</xm:f>
              <xm:sqref>M29</xm:sqref>
            </x14:sparkline>
            <x14:sparkline>
              <xm:f>'Ratio Analysis'!C30:L30</xm:f>
              <xm:sqref>M30</xm:sqref>
            </x14:sparkline>
            <x14:sparkline>
              <xm:f>'Ratio Analysis'!C31:L31</xm:f>
              <xm:sqref>M31</xm:sqref>
            </x14:sparkline>
            <x14:sparkline>
              <xm:f>'Ratio Analysis'!C32:L32</xm:f>
              <xm:sqref>M32</xm:sqref>
            </x14:sparkline>
            <x14:sparkline>
              <xm:f>'Ratio Analysis'!C33:L33</xm:f>
              <xm:sqref>M33</xm:sqref>
            </x14:sparkline>
            <x14:sparkline>
              <xm:f>'Ratio Analysis'!C34:L34</xm:f>
              <xm:sqref>M34</xm:sqref>
            </x14:sparkline>
            <x14:sparkline>
              <xm:f>'Ratio Analysis'!C35:L35</xm:f>
              <xm:sqref>M35</xm:sqref>
            </x14:sparkline>
            <x14:sparkline>
              <xm:f>'Ratio Analysis'!C36:L36</xm:f>
              <xm:sqref>M36</xm:sqref>
            </x14:sparkline>
            <x14:sparkline>
              <xm:f>'Ratio Analysis'!C37:L37</xm:f>
              <xm:sqref>M37</xm:sqref>
            </x14:sparkline>
            <x14:sparkline>
              <xm:f>'Ratio Analysis'!C38:L38</xm:f>
              <xm:sqref>M38</xm:sqref>
            </x14:sparkline>
            <x14:sparkline>
              <xm:f>'Ratio Analysis'!C39:L39</xm:f>
              <xm:sqref>M39</xm:sqref>
            </x14:sparkline>
            <x14:sparkline>
              <xm:f>'Ratio Analysis'!C40:L40</xm:f>
              <xm:sqref>M40</xm:sqref>
            </x14:sparkline>
            <x14:sparkline>
              <xm:f>'Ratio Analysis'!C41:L41</xm:f>
              <xm:sqref>M41</xm:sqref>
            </x14:sparkline>
            <x14:sparkline>
              <xm:f>'Ratio Analysis'!C42:L42</xm:f>
              <xm:sqref>M42</xm:sqref>
            </x14:sparkline>
            <x14:sparkline>
              <xm:f>'Ratio Analysis'!C43:L43</xm:f>
              <xm:sqref>M43</xm:sqref>
            </x14:sparkline>
            <x14:sparkline>
              <xm:f>'Ratio Analysis'!C44:L44</xm:f>
              <xm:sqref>M44</xm:sqref>
            </x14:sparkline>
          </x14:sparklines>
        </x14:sparklineGroup>
        <x14:sparklineGroup manualMax="0" manualMin="0" displayEmptyCellsAs="gap" markers="1">
          <x14:colorSeries theme="1"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'Ratio Analysis'!D9:L9</xm:f>
              <xm:sqref>M9</xm:sqref>
            </x14:sparkline>
            <x14:sparkline>
              <xm:f>'Ratio Analysis'!D10:L10</xm:f>
              <xm:sqref>M10</xm:sqref>
            </x14:sparkline>
            <x14:sparkline>
              <xm:f>'Ratio Analysis'!D11:L11</xm:f>
              <xm:sqref>M11</xm:sqref>
            </x14:sparkline>
            <x14:sparkline>
              <xm:f>'Ratio Analysis'!D12:L12</xm:f>
              <xm:sqref>M12</xm:sqref>
            </x14:sparkline>
            <x14:sparkline>
              <xm:f>'Ratio Analysis'!D13:L13</xm:f>
              <xm:sqref>M13</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2"/>
  <sheetViews>
    <sheetView showGridLines="0" workbookViewId="0">
      <selection activeCell="V15" sqref="V15"/>
    </sheetView>
  </sheetViews>
  <sheetFormatPr defaultRowHeight="14.4" x14ac:dyDescent="0.3"/>
  <cols>
    <col min="1" max="1" width="1.88671875" customWidth="1"/>
    <col min="2" max="2" width="10.5546875" style="68" customWidth="1"/>
    <col min="3" max="4" width="8.88671875" style="70"/>
    <col min="5" max="5" width="11.6640625" style="70" bestFit="1" customWidth="1"/>
    <col min="6" max="6" width="2.77734375" customWidth="1"/>
    <col min="7" max="7" width="11" customWidth="1"/>
    <col min="8" max="8" width="6.109375" bestFit="1" customWidth="1"/>
    <col min="9" max="9" width="12" bestFit="1" customWidth="1"/>
    <col min="10" max="10" width="14" customWidth="1"/>
    <col min="11" max="11" width="2.77734375" customWidth="1"/>
    <col min="12" max="12" width="12" customWidth="1"/>
    <col min="13" max="14" width="9.6640625" customWidth="1"/>
    <col min="15" max="15" width="10.88671875" customWidth="1"/>
  </cols>
  <sheetData>
    <row r="1" spans="2:15" ht="16.8" customHeight="1" x14ac:dyDescent="0.3"/>
    <row r="2" spans="2:15" ht="39" customHeight="1" x14ac:dyDescent="0.3">
      <c r="B2" s="271" t="str">
        <f>'Data Sheet'!B1</f>
        <v>ORACLE FINANCIAL SERVICES SOFTWARE LTD</v>
      </c>
      <c r="C2" s="271"/>
      <c r="D2" s="271"/>
      <c r="E2" s="271"/>
      <c r="F2" s="271"/>
      <c r="G2" s="271"/>
      <c r="H2" s="271"/>
      <c r="I2" s="271"/>
      <c r="J2" s="271"/>
      <c r="K2" s="271"/>
      <c r="L2" s="271"/>
      <c r="M2" s="271"/>
      <c r="N2" s="271"/>
      <c r="O2" s="271"/>
    </row>
    <row r="3" spans="2:15" ht="11.4" customHeight="1" x14ac:dyDescent="0.3">
      <c r="B3" s="208" t="s">
        <v>374</v>
      </c>
      <c r="C3" s="206"/>
      <c r="D3" s="206"/>
      <c r="E3" s="206"/>
      <c r="F3" s="206"/>
      <c r="G3" s="206"/>
      <c r="H3" s="206"/>
      <c r="I3" s="206"/>
      <c r="J3" s="206"/>
      <c r="K3" s="206"/>
      <c r="L3" s="206"/>
      <c r="M3" s="185"/>
      <c r="N3" s="185"/>
      <c r="O3" s="185"/>
    </row>
    <row r="4" spans="2:15" ht="12" customHeight="1" thickBot="1" x14ac:dyDescent="0.35">
      <c r="B4" s="209" t="s">
        <v>373</v>
      </c>
      <c r="C4" s="210"/>
      <c r="D4" s="210"/>
      <c r="E4" s="210"/>
      <c r="F4" s="210"/>
      <c r="G4" s="210"/>
      <c r="H4" s="210"/>
      <c r="I4" s="210"/>
      <c r="J4" s="210"/>
      <c r="K4" s="210"/>
      <c r="L4" s="210"/>
      <c r="M4" s="212"/>
      <c r="N4" s="212"/>
      <c r="O4" s="212"/>
    </row>
    <row r="5" spans="2:15" ht="3.6" customHeight="1" x14ac:dyDescent="0.3"/>
    <row r="6" spans="2:15" x14ac:dyDescent="0.3">
      <c r="B6" s="273" t="str">
        <f>'Data Sheet'!A17&amp;" Forcasting"</f>
        <v>Sales Forcasting</v>
      </c>
      <c r="C6" s="273"/>
      <c r="D6" s="273"/>
      <c r="E6" s="273"/>
      <c r="F6" s="77"/>
      <c r="G6" s="273" t="str">
        <f>'Historical FS'!B22&amp;" Forcasting"</f>
        <v>EBIDTA Forcasting</v>
      </c>
      <c r="H6" s="273"/>
      <c r="I6" s="273"/>
      <c r="J6" s="273"/>
      <c r="L6" s="273" t="str">
        <f>'Historical FS'!B42&amp;" Forcasting"</f>
        <v>Earning Per Share Forcasting</v>
      </c>
      <c r="M6" s="273"/>
      <c r="N6" s="273"/>
      <c r="O6" s="273"/>
    </row>
    <row r="7" spans="2:15" x14ac:dyDescent="0.3">
      <c r="B7" s="69" t="s">
        <v>174</v>
      </c>
      <c r="C7" s="71" t="s">
        <v>81</v>
      </c>
      <c r="D7" s="71" t="s">
        <v>6</v>
      </c>
      <c r="E7" s="71" t="s">
        <v>22</v>
      </c>
      <c r="G7" s="69" t="s">
        <v>174</v>
      </c>
      <c r="H7" s="71" t="s">
        <v>81</v>
      </c>
      <c r="I7" s="71" t="s">
        <v>6</v>
      </c>
      <c r="J7" s="71" t="s">
        <v>22</v>
      </c>
      <c r="L7" s="69" t="s">
        <v>174</v>
      </c>
      <c r="M7" s="71" t="s">
        <v>81</v>
      </c>
      <c r="N7" s="71" t="s">
        <v>6</v>
      </c>
      <c r="O7" s="71" t="s">
        <v>22</v>
      </c>
    </row>
    <row r="8" spans="2:15" x14ac:dyDescent="0.3">
      <c r="B8" s="68">
        <v>1</v>
      </c>
      <c r="C8" s="72">
        <v>2015</v>
      </c>
      <c r="D8" s="73">
        <f t="array" ref="D8:D17">TRANSPOSE('Data Sheet'!B17:K17)</f>
        <v>3904.91</v>
      </c>
      <c r="G8" s="68">
        <v>1</v>
      </c>
      <c r="H8" s="72">
        <v>2015</v>
      </c>
      <c r="I8" s="73">
        <f t="array" ref="I8:I17">TRANSPOSE('Historical FS'!C22:L22)</f>
        <v>1550.7999999999997</v>
      </c>
      <c r="J8" s="70"/>
      <c r="L8" s="68">
        <v>1</v>
      </c>
      <c r="M8" s="72">
        <v>2015</v>
      </c>
      <c r="N8" s="73">
        <f t="array" ref="N8:N17">TRANSPOSE('Historical FS'!C42:L42)</f>
        <v>99.786052009456228</v>
      </c>
      <c r="O8" s="70"/>
    </row>
    <row r="9" spans="2:15" x14ac:dyDescent="0.3">
      <c r="B9" s="68">
        <f>B8+1</f>
        <v>2</v>
      </c>
      <c r="C9" s="72">
        <f>C8+1</f>
        <v>2016</v>
      </c>
      <c r="D9" s="73">
        <v>4131.22</v>
      </c>
      <c r="E9" s="67">
        <f>D9/D8-1</f>
        <v>5.7955240965861021E-2</v>
      </c>
      <c r="G9" s="68">
        <f>G8+1</f>
        <v>2</v>
      </c>
      <c r="H9" s="72">
        <f>H8+1</f>
        <v>2016</v>
      </c>
      <c r="I9" s="73">
        <v>1611.7200000000003</v>
      </c>
      <c r="J9" s="67">
        <f>I9/I8-1</f>
        <v>3.9282950735104905E-2</v>
      </c>
      <c r="L9" s="68">
        <f>L8+1</f>
        <v>2</v>
      </c>
      <c r="M9" s="72">
        <f>M8+1</f>
        <v>2016</v>
      </c>
      <c r="N9" s="73">
        <v>101.30624263839813</v>
      </c>
      <c r="O9" s="67">
        <f>N9/N8-1</f>
        <v>1.5234500196458667E-2</v>
      </c>
    </row>
    <row r="10" spans="2:15" x14ac:dyDescent="0.3">
      <c r="B10" s="68">
        <f t="shared" ref="B10:B22" si="0">B9+1</f>
        <v>3</v>
      </c>
      <c r="C10" s="72">
        <f t="shared" ref="C10:C22" si="1">C9+1</f>
        <v>2017</v>
      </c>
      <c r="D10" s="73">
        <v>4426.53</v>
      </c>
      <c r="E10" s="67">
        <f t="shared" ref="E10:E22" si="2">D10/D9-1</f>
        <v>7.1482516060630941E-2</v>
      </c>
      <c r="G10" s="68">
        <f t="shared" ref="G10:G22" si="3">G9+1</f>
        <v>3</v>
      </c>
      <c r="H10" s="72">
        <f t="shared" ref="H10:H22" si="4">H9+1</f>
        <v>2017</v>
      </c>
      <c r="I10" s="73">
        <v>1733.8899999999999</v>
      </c>
      <c r="J10" s="67">
        <f t="shared" ref="J10:J22" si="5">I10/I9-1</f>
        <v>7.5801007619189287E-2</v>
      </c>
      <c r="L10" s="68">
        <f t="shared" ref="L10:L22" si="6">L9+1</f>
        <v>3</v>
      </c>
      <c r="M10" s="72">
        <f t="shared" ref="M10:M22" si="7">M9+1</f>
        <v>2017</v>
      </c>
      <c r="N10" s="73">
        <v>128.33254994124556</v>
      </c>
      <c r="O10" s="67">
        <f t="shared" ref="O10:O22" si="8">N10/N9-1</f>
        <v>0.26677830110938938</v>
      </c>
    </row>
    <row r="11" spans="2:15" x14ac:dyDescent="0.3">
      <c r="B11" s="68">
        <f t="shared" si="0"/>
        <v>4</v>
      </c>
      <c r="C11" s="72">
        <f t="shared" si="1"/>
        <v>2018</v>
      </c>
      <c r="D11" s="73">
        <v>4527.47</v>
      </c>
      <c r="E11" s="67">
        <f t="shared" si="2"/>
        <v>2.2803414864465132E-2</v>
      </c>
      <c r="G11" s="68">
        <f t="shared" si="3"/>
        <v>4</v>
      </c>
      <c r="H11" s="72">
        <f t="shared" si="4"/>
        <v>2018</v>
      </c>
      <c r="I11" s="73">
        <v>1811.21</v>
      </c>
      <c r="J11" s="67">
        <f t="shared" si="5"/>
        <v>4.4593370975090751E-2</v>
      </c>
      <c r="L11" s="68">
        <f t="shared" si="6"/>
        <v>4</v>
      </c>
      <c r="M11" s="72">
        <f t="shared" si="7"/>
        <v>2018</v>
      </c>
      <c r="N11" s="73">
        <v>134.23302107728338</v>
      </c>
      <c r="O11" s="67">
        <f t="shared" si="8"/>
        <v>4.5977977829780858E-2</v>
      </c>
    </row>
    <row r="12" spans="2:15" x14ac:dyDescent="0.3">
      <c r="B12" s="68">
        <f t="shared" si="0"/>
        <v>5</v>
      </c>
      <c r="C12" s="72">
        <f t="shared" si="1"/>
        <v>2019</v>
      </c>
      <c r="D12" s="73">
        <v>4958.8999999999996</v>
      </c>
      <c r="E12" s="67">
        <f t="shared" si="2"/>
        <v>9.5291630866686905E-2</v>
      </c>
      <c r="G12" s="68">
        <f t="shared" si="3"/>
        <v>5</v>
      </c>
      <c r="H12" s="72">
        <f t="shared" si="4"/>
        <v>2019</v>
      </c>
      <c r="I12" s="73">
        <v>2144.6099999999997</v>
      </c>
      <c r="J12" s="67">
        <f t="shared" si="5"/>
        <v>0.18407583880389322</v>
      </c>
      <c r="L12" s="68">
        <f t="shared" si="6"/>
        <v>5</v>
      </c>
      <c r="M12" s="72">
        <f t="shared" si="7"/>
        <v>2019</v>
      </c>
      <c r="N12" s="73">
        <v>141.00233100233098</v>
      </c>
      <c r="O12" s="67">
        <f t="shared" si="8"/>
        <v>5.0429543123746257E-2</v>
      </c>
    </row>
    <row r="13" spans="2:15" x14ac:dyDescent="0.3">
      <c r="B13" s="68">
        <f t="shared" si="0"/>
        <v>6</v>
      </c>
      <c r="C13" s="72">
        <f t="shared" si="1"/>
        <v>2020</v>
      </c>
      <c r="D13" s="73">
        <v>4861.28</v>
      </c>
      <c r="E13" s="67">
        <f t="shared" si="2"/>
        <v>-1.9685817419185736E-2</v>
      </c>
      <c r="G13" s="68">
        <f t="shared" si="3"/>
        <v>6</v>
      </c>
      <c r="H13" s="72">
        <f t="shared" si="4"/>
        <v>2020</v>
      </c>
      <c r="I13" s="73">
        <v>2228.6899999999996</v>
      </c>
      <c r="J13" s="67">
        <f t="shared" si="5"/>
        <v>3.9205263427849246E-2</v>
      </c>
      <c r="L13" s="68">
        <f t="shared" si="6"/>
        <v>6</v>
      </c>
      <c r="M13" s="72">
        <f t="shared" si="7"/>
        <v>2020</v>
      </c>
      <c r="N13" s="73">
        <v>149.57741559953428</v>
      </c>
      <c r="O13" s="67">
        <f t="shared" si="8"/>
        <v>6.0815197424371137E-2</v>
      </c>
    </row>
    <row r="14" spans="2:15" x14ac:dyDescent="0.3">
      <c r="B14" s="68">
        <f t="shared" si="0"/>
        <v>7</v>
      </c>
      <c r="C14" s="72">
        <f t="shared" si="1"/>
        <v>2021</v>
      </c>
      <c r="D14" s="73">
        <v>4983.9399999999996</v>
      </c>
      <c r="E14" s="67">
        <f t="shared" si="2"/>
        <v>2.5232037652634709E-2</v>
      </c>
      <c r="G14" s="68">
        <f t="shared" si="3"/>
        <v>7</v>
      </c>
      <c r="H14" s="72">
        <f t="shared" si="4"/>
        <v>2021</v>
      </c>
      <c r="I14" s="73">
        <v>2468.6</v>
      </c>
      <c r="J14" s="67">
        <f t="shared" si="5"/>
        <v>0.10764619574727763</v>
      </c>
      <c r="L14" s="68">
        <f t="shared" si="6"/>
        <v>7</v>
      </c>
      <c r="M14" s="72">
        <f t="shared" si="7"/>
        <v>2021</v>
      </c>
      <c r="N14" s="73">
        <v>189.30081300813012</v>
      </c>
      <c r="O14" s="67">
        <f t="shared" si="8"/>
        <v>0.26557082330495563</v>
      </c>
    </row>
    <row r="15" spans="2:15" x14ac:dyDescent="0.3">
      <c r="B15" s="68">
        <f t="shared" si="0"/>
        <v>8</v>
      </c>
      <c r="C15" s="72">
        <f t="shared" si="1"/>
        <v>2022</v>
      </c>
      <c r="D15" s="73">
        <v>5221.46</v>
      </c>
      <c r="E15" s="67">
        <f t="shared" si="2"/>
        <v>4.7657074523369092E-2</v>
      </c>
      <c r="G15" s="68">
        <f t="shared" si="3"/>
        <v>8</v>
      </c>
      <c r="H15" s="72">
        <f t="shared" si="4"/>
        <v>2022</v>
      </c>
      <c r="I15" s="73">
        <v>2498.9399999999996</v>
      </c>
      <c r="J15" s="67">
        <f t="shared" si="5"/>
        <v>1.2290367009641034E-2</v>
      </c>
      <c r="L15" s="68">
        <f t="shared" si="6"/>
        <v>8</v>
      </c>
      <c r="M15" s="72">
        <f t="shared" si="7"/>
        <v>2022</v>
      </c>
      <c r="N15" s="73">
        <v>203.53712296983755</v>
      </c>
      <c r="O15" s="67">
        <f t="shared" si="8"/>
        <v>7.5204695296770874E-2</v>
      </c>
    </row>
    <row r="16" spans="2:15" x14ac:dyDescent="0.3">
      <c r="B16" s="68">
        <f t="shared" si="0"/>
        <v>9</v>
      </c>
      <c r="C16" s="72">
        <f t="shared" si="1"/>
        <v>2023</v>
      </c>
      <c r="D16" s="73">
        <v>5698.31</v>
      </c>
      <c r="E16" s="67">
        <f t="shared" si="2"/>
        <v>9.1325031696115611E-2</v>
      </c>
      <c r="G16" s="68">
        <f t="shared" si="3"/>
        <v>9</v>
      </c>
      <c r="H16" s="72">
        <f t="shared" si="4"/>
        <v>2023</v>
      </c>
      <c r="I16" s="73">
        <v>2471.3900000000003</v>
      </c>
      <c r="J16" s="67">
        <f t="shared" si="5"/>
        <v>-1.102467446197164E-2</v>
      </c>
      <c r="L16" s="68">
        <f t="shared" si="6"/>
        <v>9</v>
      </c>
      <c r="M16" s="72">
        <f t="shared" si="7"/>
        <v>2023</v>
      </c>
      <c r="N16" s="73">
        <v>186.8402777777778</v>
      </c>
      <c r="O16" s="67">
        <f t="shared" si="8"/>
        <v>-8.2033414585181541E-2</v>
      </c>
    </row>
    <row r="17" spans="2:15" x14ac:dyDescent="0.3">
      <c r="B17" s="68">
        <f t="shared" si="0"/>
        <v>10</v>
      </c>
      <c r="C17" s="72">
        <f t="shared" si="1"/>
        <v>2024</v>
      </c>
      <c r="D17" s="73">
        <v>6372.96</v>
      </c>
      <c r="E17" s="67">
        <f t="shared" si="2"/>
        <v>0.11839475212826245</v>
      </c>
      <c r="G17" s="68">
        <f t="shared" si="3"/>
        <v>10</v>
      </c>
      <c r="H17" s="72">
        <f t="shared" si="4"/>
        <v>2024</v>
      </c>
      <c r="I17" s="73">
        <v>2782.5099999999998</v>
      </c>
      <c r="J17" s="67">
        <f t="shared" si="5"/>
        <v>0.12588866993877912</v>
      </c>
      <c r="L17" s="68">
        <f t="shared" si="6"/>
        <v>10</v>
      </c>
      <c r="M17" s="72">
        <f t="shared" si="7"/>
        <v>2024</v>
      </c>
      <c r="N17" s="73">
        <v>216.51326412918107</v>
      </c>
      <c r="O17" s="67">
        <f t="shared" si="8"/>
        <v>0.15881471973990235</v>
      </c>
    </row>
    <row r="18" spans="2:15" x14ac:dyDescent="0.3">
      <c r="B18" s="74">
        <f t="shared" si="0"/>
        <v>11</v>
      </c>
      <c r="C18" s="75">
        <f t="shared" si="1"/>
        <v>2025</v>
      </c>
      <c r="D18" s="78">
        <f>FORECAST(B18,$D$8:$D$17,$B$8:$B$17)</f>
        <v>6189.648666666666</v>
      </c>
      <c r="E18" s="76">
        <f t="shared" si="2"/>
        <v>-2.8763923409739545E-2</v>
      </c>
      <c r="G18" s="74">
        <f t="shared" si="3"/>
        <v>11</v>
      </c>
      <c r="H18" s="75">
        <f t="shared" si="4"/>
        <v>2025</v>
      </c>
      <c r="I18" s="78">
        <f>FORECAST(G18,$I$8:$I$17,$G$8:$G$17)</f>
        <v>2896.3886666666667</v>
      </c>
      <c r="J18" s="76">
        <f t="shared" si="5"/>
        <v>4.0926597448586621E-2</v>
      </c>
      <c r="L18" s="74">
        <f t="shared" si="6"/>
        <v>11</v>
      </c>
      <c r="M18" s="75">
        <f t="shared" si="7"/>
        <v>2025</v>
      </c>
      <c r="N18" s="78">
        <f>FORECAST(L18,$N$8:$N$17,$L$8:$L$17)</f>
        <v>228.34572503484702</v>
      </c>
      <c r="O18" s="76">
        <f t="shared" si="8"/>
        <v>5.4650050902221858E-2</v>
      </c>
    </row>
    <row r="19" spans="2:15" x14ac:dyDescent="0.3">
      <c r="B19" s="74">
        <f t="shared" si="0"/>
        <v>12</v>
      </c>
      <c r="C19" s="75">
        <f t="shared" si="1"/>
        <v>2026</v>
      </c>
      <c r="D19" s="78">
        <f>FORECAST(B19,$D$8:$D$17,$B$8:$B$17)</f>
        <v>6422.5487878787881</v>
      </c>
      <c r="E19" s="76">
        <f t="shared" si="2"/>
        <v>3.7627357182059118E-2</v>
      </c>
      <c r="G19" s="74">
        <f t="shared" si="3"/>
        <v>12</v>
      </c>
      <c r="H19" s="75">
        <f t="shared" si="4"/>
        <v>2026</v>
      </c>
      <c r="I19" s="78">
        <f>FORECAST(G19,$I$8:$I$17,$G$8:$G$17)</f>
        <v>3035.6891515151515</v>
      </c>
      <c r="J19" s="76">
        <f t="shared" si="5"/>
        <v>4.8094541472156749E-2</v>
      </c>
      <c r="L19" s="74">
        <f t="shared" si="6"/>
        <v>12</v>
      </c>
      <c r="M19" s="75">
        <f t="shared" si="7"/>
        <v>2026</v>
      </c>
      <c r="N19" s="78">
        <f>FORECAST(L19,$N$8:$N$17,$L$8:$L$17)</f>
        <v>241.67350976567059</v>
      </c>
      <c r="O19" s="76">
        <f t="shared" si="8"/>
        <v>5.8366692561420352E-2</v>
      </c>
    </row>
    <row r="20" spans="2:15" x14ac:dyDescent="0.3">
      <c r="B20" s="74">
        <f t="shared" si="0"/>
        <v>13</v>
      </c>
      <c r="C20" s="75">
        <f t="shared" si="1"/>
        <v>2027</v>
      </c>
      <c r="D20" s="78">
        <f>FORECAST(B20,$D$8:$D$17,$B$8:$B$17)</f>
        <v>6655.4489090909092</v>
      </c>
      <c r="E20" s="76">
        <f t="shared" si="2"/>
        <v>3.6262880813248355E-2</v>
      </c>
      <c r="G20" s="74">
        <f t="shared" si="3"/>
        <v>13</v>
      </c>
      <c r="H20" s="75">
        <f t="shared" si="4"/>
        <v>2027</v>
      </c>
      <c r="I20" s="78">
        <f>FORECAST(G20,$I$8:$I$17,$G$8:$G$17)</f>
        <v>3174.9896363636362</v>
      </c>
      <c r="J20" s="76">
        <f t="shared" si="5"/>
        <v>4.5887598464736667E-2</v>
      </c>
      <c r="L20" s="74">
        <f t="shared" si="6"/>
        <v>13</v>
      </c>
      <c r="M20" s="75">
        <f t="shared" si="7"/>
        <v>2027</v>
      </c>
      <c r="N20" s="78">
        <f>FORECAST(L20,$N$8:$N$17,$L$8:$L$17)</f>
        <v>255.00129449649413</v>
      </c>
      <c r="O20" s="76">
        <f t="shared" si="8"/>
        <v>5.5147892475870819E-2</v>
      </c>
    </row>
    <row r="21" spans="2:15" x14ac:dyDescent="0.3">
      <c r="B21" s="74">
        <f t="shared" si="0"/>
        <v>14</v>
      </c>
      <c r="C21" s="75">
        <f t="shared" si="1"/>
        <v>2028</v>
      </c>
      <c r="D21" s="78">
        <f>FORECAST(B21,$D$8:$D$17,$B$8:$B$17)</f>
        <v>6888.3490303030303</v>
      </c>
      <c r="E21" s="76">
        <f t="shared" si="2"/>
        <v>3.4993901146772366E-2</v>
      </c>
      <c r="G21" s="74">
        <f t="shared" si="3"/>
        <v>14</v>
      </c>
      <c r="H21" s="75">
        <f t="shared" si="4"/>
        <v>2028</v>
      </c>
      <c r="I21" s="78">
        <f>FORECAST(G21,$I$8:$I$17,$G$8:$G$17)</f>
        <v>3314.2901212121214</v>
      </c>
      <c r="J21" s="76">
        <f t="shared" si="5"/>
        <v>4.3874311667999155E-2</v>
      </c>
      <c r="L21" s="74">
        <f t="shared" si="6"/>
        <v>14</v>
      </c>
      <c r="M21" s="75">
        <f t="shared" si="7"/>
        <v>2028</v>
      </c>
      <c r="N21" s="78">
        <f>FORECAST(L21,$N$8:$N$17,$L$8:$L$17)</f>
        <v>268.32907922731766</v>
      </c>
      <c r="O21" s="76">
        <f t="shared" si="8"/>
        <v>5.226555714997283E-2</v>
      </c>
    </row>
    <row r="22" spans="2:15" x14ac:dyDescent="0.3">
      <c r="B22" s="74">
        <f t="shared" si="0"/>
        <v>15</v>
      </c>
      <c r="C22" s="75">
        <f t="shared" si="1"/>
        <v>2029</v>
      </c>
      <c r="D22" s="78">
        <f>FORECAST(B22,$D$8:$D$17,$B$8:$B$17)</f>
        <v>7121.2491515151523</v>
      </c>
      <c r="E22" s="76">
        <f t="shared" si="2"/>
        <v>3.3810731742476285E-2</v>
      </c>
      <c r="G22" s="74">
        <f t="shared" si="3"/>
        <v>15</v>
      </c>
      <c r="H22" s="75">
        <f t="shared" si="4"/>
        <v>2029</v>
      </c>
      <c r="I22" s="78">
        <f>FORECAST(G22,$I$8:$I$17,$G$8:$G$17)</f>
        <v>3453.5906060606062</v>
      </c>
      <c r="J22" s="76">
        <f t="shared" si="5"/>
        <v>4.2030262817649433E-2</v>
      </c>
      <c r="L22" s="74">
        <f t="shared" si="6"/>
        <v>15</v>
      </c>
      <c r="M22" s="75">
        <f t="shared" si="7"/>
        <v>2029</v>
      </c>
      <c r="N22" s="78">
        <f>FORECAST(L22,$N$8:$N$17,$L$8:$L$17)</f>
        <v>281.65686395814123</v>
      </c>
      <c r="O22" s="76">
        <f t="shared" si="8"/>
        <v>4.9669550423689923E-2</v>
      </c>
    </row>
  </sheetData>
  <mergeCells count="4">
    <mergeCell ref="B6:E6"/>
    <mergeCell ref="G6:J6"/>
    <mergeCell ref="L6:O6"/>
    <mergeCell ref="B2:O2"/>
  </mergeCells>
  <pageMargins left="0.27559055118110237" right="0" top="0.39370078740157483" bottom="0.74803149606299213" header="0.31496062992125984" footer="0.31496062992125984"/>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4"/>
  <sheetViews>
    <sheetView showGridLines="0" workbookViewId="0">
      <selection activeCell="O15" sqref="O15"/>
    </sheetView>
  </sheetViews>
  <sheetFormatPr defaultRowHeight="14.4" x14ac:dyDescent="0.3"/>
  <cols>
    <col min="1" max="1" width="1.88671875" customWidth="1"/>
    <col min="2" max="2" width="23.33203125" customWidth="1"/>
    <col min="3" max="12" width="8" bestFit="1" customWidth="1"/>
  </cols>
  <sheetData>
    <row r="2" spans="2:15" ht="39.6" customHeight="1" x14ac:dyDescent="0.35">
      <c r="B2" s="271" t="str">
        <f>'Data Sheet'!B1</f>
        <v>ORACLE FINANCIAL SERVICES SOFTWARE LTD</v>
      </c>
      <c r="C2" s="271"/>
      <c r="D2" s="271"/>
      <c r="E2" s="271"/>
      <c r="F2" s="271"/>
      <c r="G2" s="271"/>
      <c r="H2" s="271"/>
      <c r="I2" s="271"/>
      <c r="J2" s="271"/>
      <c r="K2" s="271"/>
      <c r="L2" s="271"/>
      <c r="M2" s="211"/>
      <c r="N2" s="211"/>
      <c r="O2" s="211"/>
    </row>
    <row r="3" spans="2:15" ht="11.4" customHeight="1" x14ac:dyDescent="0.3">
      <c r="B3" s="208" t="s">
        <v>374</v>
      </c>
      <c r="C3" s="206"/>
      <c r="D3" s="206"/>
      <c r="E3" s="206"/>
      <c r="F3" s="206"/>
      <c r="G3" s="206"/>
      <c r="H3" s="206"/>
      <c r="I3" s="206"/>
      <c r="J3" s="206"/>
      <c r="K3" s="206"/>
      <c r="L3" s="206"/>
      <c r="M3" s="185"/>
      <c r="N3" s="185"/>
      <c r="O3" s="185"/>
    </row>
    <row r="4" spans="2:15" ht="11.4" customHeight="1" thickBot="1" x14ac:dyDescent="0.35">
      <c r="B4" s="209" t="s">
        <v>373</v>
      </c>
      <c r="C4" s="210"/>
      <c r="D4" s="210"/>
      <c r="E4" s="210"/>
      <c r="F4" s="210"/>
      <c r="G4" s="210"/>
      <c r="H4" s="210"/>
      <c r="I4" s="210"/>
      <c r="J4" s="210"/>
      <c r="K4" s="210"/>
      <c r="L4" s="210"/>
      <c r="M4" s="213"/>
      <c r="N4" s="213"/>
      <c r="O4" s="213"/>
    </row>
    <row r="5" spans="2:15" ht="3.6" customHeight="1" x14ac:dyDescent="0.3">
      <c r="B5" s="188"/>
      <c r="C5" s="188"/>
      <c r="D5" s="188"/>
      <c r="E5" s="188"/>
      <c r="F5" s="188"/>
      <c r="G5" s="188"/>
      <c r="H5" s="188"/>
      <c r="I5" s="188"/>
      <c r="J5" s="188"/>
      <c r="K5" s="188"/>
      <c r="L5" s="188"/>
    </row>
    <row r="6" spans="2:15" ht="14.4" customHeight="1" x14ac:dyDescent="0.3">
      <c r="B6" s="274" t="str">
        <f xml:space="preserve"> "Common Size Income Statement"&amp;" "&amp;" - "&amp;'Data Sheet'!B1</f>
        <v>Common Size Income Statement  - ORACLE FINANCIAL SERVICES SOFTWARE LTD</v>
      </c>
      <c r="C6" s="274"/>
      <c r="D6" s="274"/>
      <c r="E6" s="274"/>
      <c r="F6" s="274"/>
      <c r="G6" s="274"/>
      <c r="H6" s="274"/>
      <c r="I6" s="274"/>
      <c r="J6" s="274"/>
      <c r="K6" s="274"/>
      <c r="L6" s="274"/>
    </row>
    <row r="7" spans="2:15" ht="12" customHeight="1" x14ac:dyDescent="0.3">
      <c r="B7" s="79"/>
      <c r="C7" s="79"/>
      <c r="D7" s="79"/>
      <c r="E7" s="79"/>
      <c r="F7" s="79"/>
      <c r="G7" s="79"/>
      <c r="H7" s="79"/>
      <c r="I7" s="79"/>
      <c r="J7" s="79"/>
      <c r="K7" s="79"/>
      <c r="L7" s="79"/>
    </row>
    <row r="8" spans="2:15" x14ac:dyDescent="0.3">
      <c r="B8" s="80" t="s">
        <v>175</v>
      </c>
      <c r="C8" s="81">
        <f>'Data Sheet'!B16</f>
        <v>42094</v>
      </c>
      <c r="D8" s="81">
        <f>'Data Sheet'!C16</f>
        <v>42460</v>
      </c>
      <c r="E8" s="81">
        <f>'Data Sheet'!D16</f>
        <v>42825</v>
      </c>
      <c r="F8" s="81">
        <f>'Data Sheet'!E16</f>
        <v>43190</v>
      </c>
      <c r="G8" s="81">
        <f>'Data Sheet'!F16</f>
        <v>43555</v>
      </c>
      <c r="H8" s="81">
        <f>'Data Sheet'!G16</f>
        <v>43921</v>
      </c>
      <c r="I8" s="81">
        <f>'Data Sheet'!H16</f>
        <v>44286</v>
      </c>
      <c r="J8" s="81">
        <f>'Data Sheet'!I16</f>
        <v>44651</v>
      </c>
      <c r="K8" s="81">
        <f>'Data Sheet'!J16</f>
        <v>45016</v>
      </c>
      <c r="L8" s="81">
        <f>'Data Sheet'!K16</f>
        <v>45382</v>
      </c>
    </row>
    <row r="10" spans="2:15" x14ac:dyDescent="0.3">
      <c r="B10" s="50" t="s">
        <v>348</v>
      </c>
      <c r="C10" s="83">
        <f>'Data Sheet'!B35/'Data Sheet'!B$35</f>
        <v>1</v>
      </c>
      <c r="D10" s="83">
        <f>'Data Sheet'!C35/'Data Sheet'!C$35</f>
        <v>1</v>
      </c>
      <c r="E10" s="83">
        <f>'Data Sheet'!D35/'Data Sheet'!D$35</f>
        <v>1</v>
      </c>
      <c r="F10" s="83">
        <f>'Data Sheet'!E35/'Data Sheet'!E$35</f>
        <v>1</v>
      </c>
      <c r="G10" s="83">
        <f>'Data Sheet'!F35/'Data Sheet'!F$35</f>
        <v>1</v>
      </c>
      <c r="H10" s="83">
        <f>'Data Sheet'!G35/'Data Sheet'!G$35</f>
        <v>1</v>
      </c>
      <c r="I10" s="83">
        <f>'Data Sheet'!H35/'Data Sheet'!H$35</f>
        <v>1</v>
      </c>
      <c r="J10" s="83">
        <f>'Data Sheet'!I35/'Data Sheet'!I$35</f>
        <v>1</v>
      </c>
      <c r="K10" s="83">
        <f>'Data Sheet'!J35/'Data Sheet'!J$35</f>
        <v>1</v>
      </c>
      <c r="L10" s="83">
        <f>'Data Sheet'!K35/'Data Sheet'!K$35</f>
        <v>1</v>
      </c>
      <c r="M10" s="83"/>
    </row>
    <row r="11" spans="2:15" x14ac:dyDescent="0.3">
      <c r="B11" s="50" t="str">
        <f>'Data Sheet'!A18</f>
        <v>Raw Material Cost</v>
      </c>
      <c r="C11" s="38">
        <f>'Data Sheet'!B18/'Data Sheet'!B$35</f>
        <v>0</v>
      </c>
      <c r="D11" s="38">
        <f>'Data Sheet'!C18/'Data Sheet'!C$35</f>
        <v>0</v>
      </c>
      <c r="E11" s="38">
        <f>'Data Sheet'!D18/'Data Sheet'!D$35</f>
        <v>0</v>
      </c>
      <c r="F11" s="38">
        <f>'Data Sheet'!E18/'Data Sheet'!E$35</f>
        <v>0</v>
      </c>
      <c r="G11" s="38">
        <f>'Data Sheet'!F18/'Data Sheet'!F$35</f>
        <v>0</v>
      </c>
      <c r="H11" s="38">
        <f>'Data Sheet'!G18/'Data Sheet'!G$35</f>
        <v>0</v>
      </c>
      <c r="I11" s="38">
        <f>'Data Sheet'!H18/'Data Sheet'!H$35</f>
        <v>0</v>
      </c>
      <c r="J11" s="38">
        <f>'Data Sheet'!I18/'Data Sheet'!I$35</f>
        <v>0</v>
      </c>
      <c r="K11" s="38">
        <f>'Data Sheet'!J18/'Data Sheet'!J$35</f>
        <v>0</v>
      </c>
      <c r="L11" s="38">
        <f>'Data Sheet'!K18/'Data Sheet'!K$35</f>
        <v>0</v>
      </c>
    </row>
    <row r="12" spans="2:15" x14ac:dyDescent="0.3">
      <c r="B12" s="50" t="str">
        <f>'Data Sheet'!A19</f>
        <v>Change in Inventory</v>
      </c>
      <c r="C12" s="38">
        <f>'Data Sheet'!B19/'Data Sheet'!B$35</f>
        <v>0</v>
      </c>
      <c r="D12" s="38">
        <f>'Data Sheet'!C19/'Data Sheet'!C$35</f>
        <v>0</v>
      </c>
      <c r="E12" s="38">
        <f>'Data Sheet'!D19/'Data Sheet'!D$35</f>
        <v>0</v>
      </c>
      <c r="F12" s="38">
        <f>'Data Sheet'!E19/'Data Sheet'!E$35</f>
        <v>0</v>
      </c>
      <c r="G12" s="38">
        <f>'Data Sheet'!F19/'Data Sheet'!F$35</f>
        <v>0</v>
      </c>
      <c r="H12" s="38">
        <f>'Data Sheet'!G19/'Data Sheet'!G$35</f>
        <v>0</v>
      </c>
      <c r="I12" s="38">
        <f>'Data Sheet'!H19/'Data Sheet'!H$35</f>
        <v>0</v>
      </c>
      <c r="J12" s="38">
        <f>'Data Sheet'!I19/'Data Sheet'!I$35</f>
        <v>0</v>
      </c>
      <c r="K12" s="38">
        <f>'Data Sheet'!J19/'Data Sheet'!J$35</f>
        <v>0</v>
      </c>
      <c r="L12" s="38">
        <f>'Data Sheet'!K19/'Data Sheet'!K$35</f>
        <v>0</v>
      </c>
    </row>
    <row r="13" spans="2:15" x14ac:dyDescent="0.3">
      <c r="B13" s="50" t="str">
        <f>'Data Sheet'!A20</f>
        <v>Power and Fuel</v>
      </c>
      <c r="C13" s="38">
        <f>'Data Sheet'!B20/'Data Sheet'!B$35</f>
        <v>4.4956078475631555E-3</v>
      </c>
      <c r="D13" s="38">
        <f>'Data Sheet'!C20/'Data Sheet'!C$35</f>
        <v>4.8147925241086844E-3</v>
      </c>
      <c r="E13" s="38">
        <f>'Data Sheet'!D20/'Data Sheet'!D$35</f>
        <v>4.7170124407884409E-3</v>
      </c>
      <c r="F13" s="38">
        <f>'Data Sheet'!E20/'Data Sheet'!E$35</f>
        <v>4.6533684411107449E-3</v>
      </c>
      <c r="G13" s="38">
        <f>'Data Sheet'!F20/'Data Sheet'!F$35</f>
        <v>4.0973789627633157E-3</v>
      </c>
      <c r="H13" s="38">
        <f>'Data Sheet'!G20/'Data Sheet'!G$35</f>
        <v>4.1598691705268505E-3</v>
      </c>
      <c r="I13" s="38">
        <f>'Data Sheet'!H20/'Data Sheet'!H$35</f>
        <v>2.2087956981260422E-3</v>
      </c>
      <c r="J13" s="38">
        <f>'Data Sheet'!I20/'Data Sheet'!I$35</f>
        <v>2.1845475932633779E-3</v>
      </c>
      <c r="K13" s="38">
        <f>'Data Sheet'!J20/'Data Sheet'!J$35</f>
        <v>2.4566437187507955E-3</v>
      </c>
      <c r="L13" s="38">
        <f>'Data Sheet'!K20/'Data Sheet'!K$35</f>
        <v>2.8934573315562572E-3</v>
      </c>
    </row>
    <row r="14" spans="2:15" x14ac:dyDescent="0.3">
      <c r="B14" s="50" t="str">
        <f>'Data Sheet'!A21</f>
        <v>Other Mfr. Exp</v>
      </c>
      <c r="C14" s="38">
        <f>'Data Sheet'!B21/'Data Sheet'!B$35</f>
        <v>7.7027255798205515E-3</v>
      </c>
      <c r="D14" s="38">
        <f>'Data Sheet'!C21/'Data Sheet'!C$35</f>
        <v>6.6249693288456995E-3</v>
      </c>
      <c r="E14" s="38">
        <f>'Data Sheet'!D21/'Data Sheet'!D$35</f>
        <v>5.4139443914677831E-3</v>
      </c>
      <c r="F14" s="38">
        <f>'Data Sheet'!E21/'Data Sheet'!E$35</f>
        <v>5.2813241637362073E-3</v>
      </c>
      <c r="G14" s="38">
        <f>'Data Sheet'!F21/'Data Sheet'!F$35</f>
        <v>4.6426575319523508E-3</v>
      </c>
      <c r="H14" s="38">
        <f>'Data Sheet'!G21/'Data Sheet'!G$35</f>
        <v>3.528743981486995E-3</v>
      </c>
      <c r="I14" s="38">
        <f>'Data Sheet'!H21/'Data Sheet'!H$35</f>
        <v>2.6270986002490272E-3</v>
      </c>
      <c r="J14" s="38">
        <f>'Data Sheet'!I21/'Data Sheet'!I$35</f>
        <v>2.2125546136898314E-3</v>
      </c>
      <c r="K14" s="38">
        <f>'Data Sheet'!J21/'Data Sheet'!J$35</f>
        <v>2.5296469529638463E-3</v>
      </c>
      <c r="L14" s="38">
        <f>'Data Sheet'!K21/'Data Sheet'!K$35</f>
        <v>2.9187732217448607E-3</v>
      </c>
    </row>
    <row r="15" spans="2:15" x14ac:dyDescent="0.3">
      <c r="B15" s="50" t="str">
        <f>'Data Sheet'!A22</f>
        <v>Employee Cost</v>
      </c>
      <c r="C15" s="38">
        <f>'Data Sheet'!B22/'Data Sheet'!B$35</f>
        <v>0.43448921242217337</v>
      </c>
      <c r="D15" s="38">
        <f>'Data Sheet'!C22/'Data Sheet'!C$35</f>
        <v>0.45128957736306768</v>
      </c>
      <c r="E15" s="38">
        <f>'Data Sheet'!D22/'Data Sheet'!D$35</f>
        <v>0.45804359032791209</v>
      </c>
      <c r="F15" s="38">
        <f>'Data Sheet'!E22/'Data Sheet'!E$35</f>
        <v>0.4545468325047205</v>
      </c>
      <c r="G15" s="38">
        <f>'Data Sheet'!F22/'Data Sheet'!F$35</f>
        <v>0.42761719107534779</v>
      </c>
      <c r="H15" s="38">
        <f>'Data Sheet'!G22/'Data Sheet'!G$35</f>
        <v>0.42031349853729794</v>
      </c>
      <c r="I15" s="38">
        <f>'Data Sheet'!H22/'Data Sheet'!H$35</f>
        <v>0.43037309100433746</v>
      </c>
      <c r="J15" s="38">
        <f>'Data Sheet'!I22/'Data Sheet'!I$35</f>
        <v>0.44920646775458384</v>
      </c>
      <c r="K15" s="38">
        <f>'Data Sheet'!J22/'Data Sheet'!J$35</f>
        <v>0.47098460989957808</v>
      </c>
      <c r="L15" s="38">
        <f>'Data Sheet'!K22/'Data Sheet'!K$35</f>
        <v>0.44419409841924606</v>
      </c>
    </row>
    <row r="16" spans="2:15" x14ac:dyDescent="0.3">
      <c r="B16" s="50" t="str">
        <f>'Data Sheet'!A23</f>
        <v>Selling and admin</v>
      </c>
      <c r="C16" s="38">
        <f>'Data Sheet'!B23/'Data Sheet'!B$35</f>
        <v>0.10300632018509114</v>
      </c>
      <c r="D16" s="38">
        <f>'Data Sheet'!C23/'Data Sheet'!C$35</f>
        <v>0.11660131203096281</v>
      </c>
      <c r="E16" s="38">
        <f>'Data Sheet'!D23/'Data Sheet'!D$35</f>
        <v>0.10715052181397007</v>
      </c>
      <c r="F16" s="38">
        <f>'Data Sheet'!E23/'Data Sheet'!E$35</f>
        <v>0.10857787517106381</v>
      </c>
      <c r="G16" s="38">
        <f>'Data Sheet'!F23/'Data Sheet'!F$35</f>
        <v>9.4300086270859354E-2</v>
      </c>
      <c r="H16" s="38">
        <f>'Data Sheet'!G23/'Data Sheet'!G$35</f>
        <v>7.8874771266735741E-2</v>
      </c>
      <c r="I16" s="38">
        <f>'Data Sheet'!H23/'Data Sheet'!H$35</f>
        <v>4.680301256276987E-2</v>
      </c>
      <c r="J16" s="38">
        <f>'Data Sheet'!I23/'Data Sheet'!I$35</f>
        <v>4.1203928451398482E-2</v>
      </c>
      <c r="K16" s="38">
        <f>'Data Sheet'!J23/'Data Sheet'!J$35</f>
        <v>5.6018946885902726E-2</v>
      </c>
      <c r="L16" s="38">
        <f>'Data Sheet'!K23/'Data Sheet'!K$35</f>
        <v>6.3052947439744461E-2</v>
      </c>
    </row>
    <row r="17" spans="2:12" x14ac:dyDescent="0.3">
      <c r="B17" s="50" t="str">
        <f>'Data Sheet'!A24</f>
        <v>Other Expenses</v>
      </c>
      <c r="C17" s="38">
        <f>'Data Sheet'!B24/'Data Sheet'!B$35</f>
        <v>3.8184451592272817E-3</v>
      </c>
      <c r="D17" s="38">
        <f>'Data Sheet'!C24/'Data Sheet'!C$35</f>
        <v>3.884241276660756E-3</v>
      </c>
      <c r="E17" s="38">
        <f>'Data Sheet'!D24/'Data Sheet'!D$35</f>
        <v>2.0416787431330082E-2</v>
      </c>
      <c r="F17" s="38">
        <f>'Data Sheet'!E24/'Data Sheet'!E$35</f>
        <v>1.5109913905105065E-2</v>
      </c>
      <c r="G17" s="38">
        <f>'Data Sheet'!F24/'Data Sheet'!F$35</f>
        <v>1.7404123474437146E-2</v>
      </c>
      <c r="H17" s="38">
        <f>'Data Sheet'!G24/'Data Sheet'!G$35</f>
        <v>1.5605463400693046E-2</v>
      </c>
      <c r="I17" s="38">
        <f>'Data Sheet'!H24/'Data Sheet'!H$35</f>
        <v>9.6581057915405069E-3</v>
      </c>
      <c r="J17" s="38">
        <f>'Data Sheet'!I24/'Data Sheet'!I$35</f>
        <v>1.3523656596586879E-2</v>
      </c>
      <c r="K17" s="38">
        <f>'Data Sheet'!J24/'Data Sheet'!J$35</f>
        <v>1.5860377070193457E-2</v>
      </c>
      <c r="L17" s="38">
        <f>'Data Sheet'!K24/'Data Sheet'!K$35</f>
        <v>2.1619770221067289E-2</v>
      </c>
    </row>
    <row r="18" spans="2:12" x14ac:dyDescent="0.3">
      <c r="B18" s="50" t="str">
        <f>'Data Sheet'!A26</f>
        <v>Depreciation</v>
      </c>
      <c r="C18" s="38">
        <f>'Data Sheet'!B26/'Data Sheet'!B$35</f>
        <v>1.6009724808607489E-2</v>
      </c>
      <c r="D18" s="38">
        <f>'Data Sheet'!C26/'Data Sheet'!C$35</f>
        <v>1.2252258091397723E-2</v>
      </c>
      <c r="E18" s="38">
        <f>'Data Sheet'!D26/'Data Sheet'!D$35</f>
        <v>1.5529413847042244E-2</v>
      </c>
      <c r="F18" s="38">
        <f>'Data Sheet'!E26/'Data Sheet'!E$35</f>
        <v>1.3308330590538224E-2</v>
      </c>
      <c r="G18" s="38">
        <f>'Data Sheet'!F26/'Data Sheet'!F$35</f>
        <v>1.0461558834583905E-2</v>
      </c>
      <c r="H18" s="38">
        <f>'Data Sheet'!G26/'Data Sheet'!G$35</f>
        <v>2.1112923776748393E-2</v>
      </c>
      <c r="I18" s="38">
        <f>'Data Sheet'!H26/'Data Sheet'!H$35</f>
        <v>2.0350240719637366E-2</v>
      </c>
      <c r="J18" s="38">
        <f>'Data Sheet'!I26/'Data Sheet'!I$35</f>
        <v>1.7327009970499272E-2</v>
      </c>
      <c r="K18" s="38">
        <f>'Data Sheet'!J26/'Data Sheet'!J$35</f>
        <v>1.3694048538662002E-2</v>
      </c>
      <c r="L18" s="38">
        <f>'Data Sheet'!K26/'Data Sheet'!K$35</f>
        <v>1.1058576502386397E-2</v>
      </c>
    </row>
    <row r="19" spans="2:12" x14ac:dyDescent="0.3">
      <c r="B19" s="50" t="str">
        <f>'Data Sheet'!A27</f>
        <v>Interest</v>
      </c>
      <c r="C19" s="38">
        <f>'Data Sheet'!B27/'Data Sheet'!B$35</f>
        <v>0</v>
      </c>
      <c r="D19" s="38">
        <f>'Data Sheet'!C27/'Data Sheet'!C$35</f>
        <v>0</v>
      </c>
      <c r="E19" s="38">
        <f>'Data Sheet'!D27/'Data Sheet'!D$35</f>
        <v>0</v>
      </c>
      <c r="F19" s="38">
        <f>'Data Sheet'!E27/'Data Sheet'!E$35</f>
        <v>0</v>
      </c>
      <c r="G19" s="38">
        <f>'Data Sheet'!F27/'Data Sheet'!F$35</f>
        <v>0</v>
      </c>
      <c r="H19" s="38">
        <f>'Data Sheet'!G27/'Data Sheet'!G$35</f>
        <v>9.4013837122069142E-3</v>
      </c>
      <c r="I19" s="38">
        <f>'Data Sheet'!H27/'Data Sheet'!H$35</f>
        <v>3.7393151951461224E-3</v>
      </c>
      <c r="J19" s="38">
        <f>'Data Sheet'!I27/'Data Sheet'!I$35</f>
        <v>2.2779043280182231E-3</v>
      </c>
      <c r="K19" s="38">
        <f>'Data Sheet'!J27/'Data Sheet'!J$35</f>
        <v>2.1493510352028383E-3</v>
      </c>
      <c r="L19" s="38">
        <f>'Data Sheet'!K27/'Data Sheet'!K$35</f>
        <v>4.1860569011861245E-3</v>
      </c>
    </row>
    <row r="20" spans="2:12" x14ac:dyDescent="0.3">
      <c r="B20" s="50" t="str">
        <f>'Data Sheet'!A29</f>
        <v>Tax</v>
      </c>
      <c r="C20" s="38">
        <f>'Data Sheet'!B29/'Data Sheet'!B$35</f>
        <v>0.15013261102646577</v>
      </c>
      <c r="D20" s="38">
        <f>'Data Sheet'!C29/'Data Sheet'!C$35</f>
        <v>0.16173536233628547</v>
      </c>
      <c r="E20" s="38">
        <f>'Data Sheet'!D29/'Data Sheet'!D$35</f>
        <v>0.12646328053612876</v>
      </c>
      <c r="F20" s="38">
        <f>'Data Sheet'!E29/'Data Sheet'!E$35</f>
        <v>0.13065809759731148</v>
      </c>
      <c r="G20" s="38">
        <f>'Data Sheet'!F29/'Data Sheet'!F$35</f>
        <v>0.17158553375955943</v>
      </c>
      <c r="H20" s="38">
        <f>'Data Sheet'!G29/'Data Sheet'!G$35</f>
        <v>0.15680285474991171</v>
      </c>
      <c r="I20" s="38">
        <f>'Data Sheet'!H29/'Data Sheet'!H$35</f>
        <v>0.13985390673409032</v>
      </c>
      <c r="J20" s="38">
        <f>'Data Sheet'!I29/'Data Sheet'!I$35</f>
        <v>0.11939392807797156</v>
      </c>
      <c r="K20" s="38">
        <f>'Data Sheet'!J29/'Data Sheet'!J$35</f>
        <v>0.1296690237090736</v>
      </c>
      <c r="L20" s="38">
        <f>'Data Sheet'!K29/'Data Sheet'!K$35</f>
        <v>0.11957588438084035</v>
      </c>
    </row>
    <row r="21" spans="2:12" x14ac:dyDescent="0.3">
      <c r="B21" s="50" t="str">
        <f>'Data Sheet'!A30</f>
        <v>Net profit</v>
      </c>
      <c r="C21" s="38">
        <f>'Data Sheet'!B30/'Data Sheet'!B$35</f>
        <v>0.28034535297105129</v>
      </c>
      <c r="D21" s="38">
        <f>'Data Sheet'!C30/'Data Sheet'!C$35</f>
        <v>0.24279748704867107</v>
      </c>
      <c r="E21" s="38">
        <f>'Data Sheet'!D30/'Data Sheet'!D$35</f>
        <v>0.26226544921136069</v>
      </c>
      <c r="F21" s="38">
        <f>'Data Sheet'!E30/'Data Sheet'!E$35</f>
        <v>0.26786425762641397</v>
      </c>
      <c r="G21" s="38">
        <f>'Data Sheet'!F30/'Data Sheet'!F$35</f>
        <v>0.26989341751395818</v>
      </c>
      <c r="H21" s="38">
        <f>'Data Sheet'!G30/'Data Sheet'!G$35</f>
        <v>0.29020247607479827</v>
      </c>
      <c r="I21" s="38">
        <f>'Data Sheet'!H30/'Data Sheet'!H$35</f>
        <v>0.34438838838056179</v>
      </c>
      <c r="J21" s="38">
        <f>'Data Sheet'!I30/'Data Sheet'!I$35</f>
        <v>0.35267000261398856</v>
      </c>
      <c r="K21" s="38">
        <f>'Data Sheet'!J30/'Data Sheet'!J$35</f>
        <v>0.30663735218967259</v>
      </c>
      <c r="L21" s="38">
        <f>'Data Sheet'!K30/'Data Sheet'!K$35</f>
        <v>0.3305004355822283</v>
      </c>
    </row>
    <row r="22" spans="2:12" x14ac:dyDescent="0.3">
      <c r="B22" s="77"/>
      <c r="C22" s="38"/>
      <c r="D22" s="38"/>
      <c r="E22" s="38"/>
      <c r="F22" s="38"/>
      <c r="G22" s="38"/>
      <c r="H22" s="38"/>
      <c r="I22" s="38"/>
      <c r="J22" s="38"/>
      <c r="K22" s="38"/>
      <c r="L22" s="38"/>
    </row>
    <row r="23" spans="2:12" ht="14.4" customHeight="1" x14ac:dyDescent="0.3">
      <c r="B23" s="274" t="str">
        <f xml:space="preserve"> "Common Size Balance Sheet"&amp;" "&amp;" - "&amp;'Data Sheet'!B1</f>
        <v>Common Size Balance Sheet  - ORACLE FINANCIAL SERVICES SOFTWARE LTD</v>
      </c>
      <c r="C23" s="274"/>
      <c r="D23" s="274"/>
      <c r="E23" s="274"/>
      <c r="F23" s="274"/>
      <c r="G23" s="274"/>
      <c r="H23" s="274"/>
      <c r="I23" s="274"/>
      <c r="J23" s="274"/>
      <c r="K23" s="274"/>
      <c r="L23" s="274"/>
    </row>
    <row r="24" spans="2:12" ht="9.6" customHeight="1" x14ac:dyDescent="0.3">
      <c r="B24" s="79"/>
      <c r="C24" s="79"/>
      <c r="D24" s="79"/>
      <c r="E24" s="79"/>
      <c r="F24" s="79"/>
      <c r="G24" s="79"/>
      <c r="H24" s="79"/>
      <c r="I24" s="79"/>
      <c r="J24" s="79"/>
      <c r="K24" s="79"/>
      <c r="L24" s="79"/>
    </row>
    <row r="25" spans="2:12" x14ac:dyDescent="0.3">
      <c r="B25" s="80" t="s">
        <v>175</v>
      </c>
      <c r="C25" s="81">
        <f>'Data Sheet'!B16</f>
        <v>42094</v>
      </c>
      <c r="D25" s="81">
        <f>'Data Sheet'!C16</f>
        <v>42460</v>
      </c>
      <c r="E25" s="81">
        <f>'Data Sheet'!D16</f>
        <v>42825</v>
      </c>
      <c r="F25" s="81">
        <f>'Data Sheet'!E16</f>
        <v>43190</v>
      </c>
      <c r="G25" s="81">
        <f>'Data Sheet'!F16</f>
        <v>43555</v>
      </c>
      <c r="H25" s="81">
        <f>'Data Sheet'!G16</f>
        <v>43921</v>
      </c>
      <c r="I25" s="81">
        <f>'Data Sheet'!H16</f>
        <v>44286</v>
      </c>
      <c r="J25" s="81">
        <f>'Data Sheet'!I16</f>
        <v>44651</v>
      </c>
      <c r="K25" s="81">
        <f>'Data Sheet'!J16</f>
        <v>45016</v>
      </c>
      <c r="L25" s="81">
        <f>'Data Sheet'!K16</f>
        <v>45382</v>
      </c>
    </row>
    <row r="26" spans="2:12" x14ac:dyDescent="0.3">
      <c r="B26" s="8"/>
      <c r="C26" s="82"/>
      <c r="D26" s="82"/>
      <c r="E26" s="82"/>
      <c r="F26" s="82"/>
      <c r="G26" s="82"/>
      <c r="H26" s="82"/>
      <c r="I26" s="82"/>
      <c r="J26" s="82"/>
      <c r="K26" s="82"/>
      <c r="L26" s="82"/>
    </row>
    <row r="27" spans="2:12" x14ac:dyDescent="0.3">
      <c r="B27" s="77" t="s">
        <v>176</v>
      </c>
      <c r="C27" s="83">
        <f>'Data Sheet'!B61/'Data Sheet'!B$61</f>
        <v>1</v>
      </c>
      <c r="D27" s="83">
        <f>'Data Sheet'!C61/'Data Sheet'!C$61</f>
        <v>1</v>
      </c>
      <c r="E27" s="83">
        <f>'Data Sheet'!D61/'Data Sheet'!D$61</f>
        <v>1</v>
      </c>
      <c r="F27" s="83">
        <f>'Data Sheet'!E61/'Data Sheet'!E$61</f>
        <v>1</v>
      </c>
      <c r="G27" s="83">
        <f>'Data Sheet'!F61/'Data Sheet'!F$61</f>
        <v>1</v>
      </c>
      <c r="H27" s="83">
        <f>'Data Sheet'!G61/'Data Sheet'!G$61</f>
        <v>1</v>
      </c>
      <c r="I27" s="83">
        <f>'Data Sheet'!H61/'Data Sheet'!H$61</f>
        <v>1</v>
      </c>
      <c r="J27" s="83">
        <f>'Data Sheet'!I61/'Data Sheet'!I$61</f>
        <v>1</v>
      </c>
      <c r="K27" s="83">
        <f>'Data Sheet'!J61/'Data Sheet'!J$61</f>
        <v>1</v>
      </c>
      <c r="L27" s="83">
        <f>'Data Sheet'!K61/'Data Sheet'!K$61</f>
        <v>1</v>
      </c>
    </row>
    <row r="28" spans="2:12" x14ac:dyDescent="0.3">
      <c r="B28" s="6" t="str">
        <f>'Data Sheet'!A57</f>
        <v>Equity Share Capital</v>
      </c>
      <c r="C28" s="38">
        <f>'Data Sheet'!B57/'Data Sheet'!B$61</f>
        <v>6.7493196443327097E-3</v>
      </c>
      <c r="D28" s="38">
        <f>'Data Sheet'!C57/'Data Sheet'!C$61</f>
        <v>7.4491793590011953E-3</v>
      </c>
      <c r="E28" s="38">
        <f>'Data Sheet'!D57/'Data Sheet'!D$61</f>
        <v>7.0546063406741986E-3</v>
      </c>
      <c r="F28" s="38">
        <f>'Data Sheet'!E57/'Data Sheet'!E$61</f>
        <v>7.1924134955095873E-3</v>
      </c>
      <c r="G28" s="38">
        <f>'Data Sheet'!F57/'Data Sheet'!F$61</f>
        <v>6.9968638124422783E-3</v>
      </c>
      <c r="H28" s="38">
        <f>'Data Sheet'!G57/'Data Sheet'!G$61</f>
        <v>5.4217377086024313E-3</v>
      </c>
      <c r="I28" s="38">
        <f>'Data Sheet'!H57/'Data Sheet'!H$61</f>
        <v>5.2780902218564213E-3</v>
      </c>
      <c r="J28" s="38">
        <f>'Data Sheet'!I57/'Data Sheet'!I$61</f>
        <v>5.0183708217582217E-3</v>
      </c>
      <c r="K28" s="38">
        <f>'Data Sheet'!J57/'Data Sheet'!J$61</f>
        <v>4.7374810418510391E-3</v>
      </c>
      <c r="L28" s="38">
        <f>'Data Sheet'!K57/'Data Sheet'!K$61</f>
        <v>4.4453880893549676E-3</v>
      </c>
    </row>
    <row r="29" spans="2:12" x14ac:dyDescent="0.3">
      <c r="B29" s="6" t="str">
        <f>'Data Sheet'!A58</f>
        <v>Reserves</v>
      </c>
      <c r="C29" s="38">
        <f>'Data Sheet'!B58/'Data Sheet'!B$61</f>
        <v>0.54266061338888916</v>
      </c>
      <c r="D29" s="38">
        <f>'Data Sheet'!C58/'Data Sheet'!C$61</f>
        <v>0.81466582471298232</v>
      </c>
      <c r="E29" s="38">
        <f>'Data Sheet'!D58/'Data Sheet'!D$61</f>
        <v>0.53521987714653041</v>
      </c>
      <c r="F29" s="38">
        <f>'Data Sheet'!E58/'Data Sheet'!E$61</f>
        <v>0.78628064403031361</v>
      </c>
      <c r="G29" s="38">
        <f>'Data Sheet'!F58/'Data Sheet'!F$61</f>
        <v>0.79851545086367537</v>
      </c>
      <c r="H29" s="38">
        <f>'Data Sheet'!G58/'Data Sheet'!G$61</f>
        <v>0.8240738285624819</v>
      </c>
      <c r="I29" s="38">
        <f>'Data Sheet'!H58/'Data Sheet'!H$61</f>
        <v>0.83479688000225694</v>
      </c>
      <c r="J29" s="38">
        <f>'Data Sheet'!I58/'Data Sheet'!I$61</f>
        <v>0.82125429011350681</v>
      </c>
      <c r="K29" s="38">
        <f>'Data Sheet'!J58/'Data Sheet'!J$61</f>
        <v>0.81323577631632338</v>
      </c>
      <c r="L29" s="38">
        <f>'Data Sheet'!K58/'Data Sheet'!K$61</f>
        <v>0.80163660849916352</v>
      </c>
    </row>
    <row r="30" spans="2:12" x14ac:dyDescent="0.3">
      <c r="B30" s="6" t="str">
        <f>'Data Sheet'!A59</f>
        <v>Borrowings</v>
      </c>
      <c r="C30" s="38">
        <f>'Data Sheet'!B59/'Data Sheet'!B$61</f>
        <v>0</v>
      </c>
      <c r="D30" s="38">
        <f>'Data Sheet'!C59/'Data Sheet'!C$61</f>
        <v>0</v>
      </c>
      <c r="E30" s="38">
        <f>'Data Sheet'!D59/'Data Sheet'!D$61</f>
        <v>0</v>
      </c>
      <c r="F30" s="38">
        <f>'Data Sheet'!E59/'Data Sheet'!E$61</f>
        <v>0</v>
      </c>
      <c r="G30" s="38">
        <f>'Data Sheet'!F59/'Data Sheet'!F$61</f>
        <v>0</v>
      </c>
      <c r="H30" s="38">
        <f>'Data Sheet'!G59/'Data Sheet'!G$61</f>
        <v>1.4479852827725358E-2</v>
      </c>
      <c r="I30" s="38">
        <f>'Data Sheet'!H59/'Data Sheet'!H$61</f>
        <v>8.5568109197467802E-3</v>
      </c>
      <c r="J30" s="38">
        <f>'Data Sheet'!I59/'Data Sheet'!I$61</f>
        <v>9.7050543327091409E-3</v>
      </c>
      <c r="K30" s="38">
        <f>'Data Sheet'!J59/'Data Sheet'!J$61</f>
        <v>7.6106755626032902E-3</v>
      </c>
      <c r="L30" s="38">
        <f>'Data Sheet'!K59/'Data Sheet'!K$61</f>
        <v>4.4064114517464101E-3</v>
      </c>
    </row>
    <row r="31" spans="2:12" x14ac:dyDescent="0.3">
      <c r="B31" s="6" t="str">
        <f>'Data Sheet'!A60</f>
        <v>Other Liabilities</v>
      </c>
      <c r="C31" s="38">
        <f>'Data Sheet'!B60/'Data Sheet'!B$61</f>
        <v>0.45059006696677828</v>
      </c>
      <c r="D31" s="38">
        <f>'Data Sheet'!C60/'Data Sheet'!C$61</f>
        <v>0.17788499592801649</v>
      </c>
      <c r="E31" s="38">
        <f>'Data Sheet'!D60/'Data Sheet'!D$61</f>
        <v>0.45772551651279531</v>
      </c>
      <c r="F31" s="38">
        <f>'Data Sheet'!E60/'Data Sheet'!E$61</f>
        <v>0.20652694247417674</v>
      </c>
      <c r="G31" s="38">
        <f>'Data Sheet'!F60/'Data Sheet'!F$61</f>
        <v>0.19448768532388236</v>
      </c>
      <c r="H31" s="38">
        <f>'Data Sheet'!G60/'Data Sheet'!G$61</f>
        <v>0.15602458090119029</v>
      </c>
      <c r="I31" s="38">
        <f>'Data Sheet'!H60/'Data Sheet'!H$61</f>
        <v>0.15136821885613985</v>
      </c>
      <c r="J31" s="38">
        <f>'Data Sheet'!I60/'Data Sheet'!I$61</f>
        <v>0.16402228473202574</v>
      </c>
      <c r="K31" s="38">
        <f>'Data Sheet'!J60/'Data Sheet'!J$61</f>
        <v>0.1744160670792223</v>
      </c>
      <c r="L31" s="38">
        <f>'Data Sheet'!K60/'Data Sheet'!K$61</f>
        <v>0.18951159195973508</v>
      </c>
    </row>
    <row r="32" spans="2:12" x14ac:dyDescent="0.3">
      <c r="B32" s="6"/>
    </row>
    <row r="33" spans="2:12" x14ac:dyDescent="0.3">
      <c r="B33" s="8" t="s">
        <v>109</v>
      </c>
      <c r="C33" s="83">
        <f>'Data Sheet'!B76/'Data Sheet'!B$76</f>
        <v>1</v>
      </c>
      <c r="D33" s="83">
        <f>'Data Sheet'!C76/'Data Sheet'!C$76</f>
        <v>1</v>
      </c>
      <c r="E33" s="83">
        <f>'Data Sheet'!D76/'Data Sheet'!D$76</f>
        <v>1</v>
      </c>
      <c r="F33" s="83">
        <f>'Data Sheet'!E76/'Data Sheet'!E$76</f>
        <v>1</v>
      </c>
      <c r="G33" s="83">
        <f>'Data Sheet'!F76/'Data Sheet'!F$76</f>
        <v>1</v>
      </c>
      <c r="H33" s="83">
        <f>'Data Sheet'!G76/'Data Sheet'!G$76</f>
        <v>1</v>
      </c>
      <c r="I33" s="83">
        <f>'Data Sheet'!H76/'Data Sheet'!H$76</f>
        <v>1</v>
      </c>
      <c r="J33" s="83">
        <f>'Data Sheet'!I76/'Data Sheet'!I$76</f>
        <v>1</v>
      </c>
      <c r="K33" s="83">
        <f>'Data Sheet'!J76/'Data Sheet'!J$76</f>
        <v>1</v>
      </c>
      <c r="L33" s="83">
        <f>'Data Sheet'!K76/'Data Sheet'!K$76</f>
        <v>1</v>
      </c>
    </row>
    <row r="34" spans="2:12" x14ac:dyDescent="0.3">
      <c r="B34" s="6" t="str">
        <f>'Data Sheet'!A62</f>
        <v>Net Block</v>
      </c>
      <c r="C34" s="38">
        <f>'Data Sheet'!B62/'Data Sheet'!B$76</f>
        <v>0.14533928451788067</v>
      </c>
      <c r="D34" s="38">
        <f>'Data Sheet'!C62/'Data Sheet'!C$76</f>
        <v>0.15212508289080928</v>
      </c>
      <c r="E34" s="38">
        <f>'Data Sheet'!D62/'Data Sheet'!D$76</f>
        <v>0.14447906873216415</v>
      </c>
      <c r="F34" s="38">
        <f>'Data Sheet'!E62/'Data Sheet'!E$76</f>
        <v>0.14106198926616142</v>
      </c>
      <c r="G34" s="38">
        <f>'Data Sheet'!F62/'Data Sheet'!F$76</f>
        <v>0.14096037177365928</v>
      </c>
      <c r="H34" s="38">
        <f>'Data Sheet'!G62/'Data Sheet'!G$76</f>
        <v>0.12156864230546328</v>
      </c>
      <c r="I34" s="38">
        <f>'Data Sheet'!H62/'Data Sheet'!H$76</f>
        <v>0.10844065123022557</v>
      </c>
      <c r="J34" s="38">
        <f>'Data Sheet'!I62/'Data Sheet'!I$76</f>
        <v>0.10141601386336577</v>
      </c>
      <c r="K34" s="38">
        <f>'Data Sheet'!J62/'Data Sheet'!J$76</f>
        <v>9.2864498172450877E-2</v>
      </c>
      <c r="L34" s="38">
        <f>'Data Sheet'!K62/'Data Sheet'!K$76</f>
        <v>8.2576109577688128E-2</v>
      </c>
    </row>
    <row r="35" spans="2:12" x14ac:dyDescent="0.3">
      <c r="B35" s="6" t="str">
        <f>'Data Sheet'!A63</f>
        <v>Capital Work in Progress</v>
      </c>
      <c r="C35" s="38">
        <f>'Data Sheet'!B63/'Data Sheet'!B$76</f>
        <v>5.2641821853694027E-5</v>
      </c>
      <c r="D35" s="38">
        <f>'Data Sheet'!C63/'Data Sheet'!C$76</f>
        <v>8.4254000306058382E-4</v>
      </c>
      <c r="E35" s="38">
        <f>'Data Sheet'!D63/'Data Sheet'!D$76</f>
        <v>1.3620855190376365E-4</v>
      </c>
      <c r="F35" s="38">
        <f>'Data Sheet'!E63/'Data Sheet'!E$76</f>
        <v>4.3656786860487066E-4</v>
      </c>
      <c r="G35" s="38">
        <f>'Data Sheet'!F63/'Data Sheet'!F$76</f>
        <v>7.3427908479454872E-5</v>
      </c>
      <c r="H35" s="38">
        <f>'Data Sheet'!G63/'Data Sheet'!G$76</f>
        <v>6.3131552265980806E-6</v>
      </c>
      <c r="I35" s="38">
        <f>'Data Sheet'!H63/'Data Sheet'!H$76</f>
        <v>1.5945891908931785E-5</v>
      </c>
      <c r="J35" s="38">
        <f>'Data Sheet'!I63/'Data Sheet'!I$76</f>
        <v>4.4457737799435081E-4</v>
      </c>
      <c r="K35" s="38">
        <f>'Data Sheet'!J63/'Data Sheet'!J$76</f>
        <v>6.250843041331231E-5</v>
      </c>
      <c r="L35" s="38">
        <f>'Data Sheet'!K63/'Data Sheet'!K$76</f>
        <v>2.8309347315689224E-4</v>
      </c>
    </row>
    <row r="36" spans="2:12" x14ac:dyDescent="0.3">
      <c r="B36" s="6" t="str">
        <f>'Data Sheet'!A64</f>
        <v>Investments</v>
      </c>
      <c r="C36" s="38">
        <f>'Data Sheet'!B64/'Data Sheet'!B$76</f>
        <v>0</v>
      </c>
      <c r="D36" s="38">
        <f>'Data Sheet'!C64/'Data Sheet'!C$76</f>
        <v>1.8416271048109212E-3</v>
      </c>
      <c r="E36" s="38">
        <f>'Data Sheet'!D64/'Data Sheet'!D$76</f>
        <v>0</v>
      </c>
      <c r="F36" s="38">
        <f>'Data Sheet'!E64/'Data Sheet'!E$76</f>
        <v>0</v>
      </c>
      <c r="G36" s="38">
        <f>'Data Sheet'!F64/'Data Sheet'!F$76</f>
        <v>0</v>
      </c>
      <c r="H36" s="38">
        <f>'Data Sheet'!G64/'Data Sheet'!G$76</f>
        <v>0</v>
      </c>
      <c r="I36" s="38">
        <f>'Data Sheet'!H64/'Data Sheet'!H$76</f>
        <v>0</v>
      </c>
      <c r="J36" s="38">
        <f>'Data Sheet'!I64/'Data Sheet'!I$76</f>
        <v>0</v>
      </c>
      <c r="K36" s="38">
        <f>'Data Sheet'!J64/'Data Sheet'!J$76</f>
        <v>0</v>
      </c>
      <c r="L36" s="38">
        <f>'Data Sheet'!K64/'Data Sheet'!K$76</f>
        <v>0</v>
      </c>
    </row>
    <row r="37" spans="2:12" x14ac:dyDescent="0.3">
      <c r="B37" s="6" t="str">
        <f>'Data Sheet'!A65</f>
        <v>Other Assets</v>
      </c>
      <c r="C37" s="38">
        <f>'Data Sheet'!B74/'Data Sheet'!B$76</f>
        <v>0.19013268929520585</v>
      </c>
      <c r="D37" s="38">
        <f>'Data Sheet'!C74/'Data Sheet'!C$76</f>
        <v>0.20905018126043279</v>
      </c>
      <c r="E37" s="38">
        <f>'Data Sheet'!D74/'Data Sheet'!D$76</f>
        <v>0.23252793105853972</v>
      </c>
      <c r="F37" s="38">
        <f>'Data Sheet'!E74/'Data Sheet'!E$76</f>
        <v>0.24266262574503089</v>
      </c>
      <c r="G37" s="38">
        <f>'Data Sheet'!F74/'Data Sheet'!F$76</f>
        <v>0.2429158385630322</v>
      </c>
      <c r="H37" s="38">
        <f>'Data Sheet'!G74/'Data Sheet'!G$76</f>
        <v>0.19380376440819852</v>
      </c>
      <c r="I37" s="38">
        <f>'Data Sheet'!H74/'Data Sheet'!H$76</f>
        <v>0.19030686029068133</v>
      </c>
      <c r="J37" s="38">
        <f>'Data Sheet'!I74/'Data Sheet'!I$76</f>
        <v>0.1941755708222237</v>
      </c>
      <c r="K37" s="38">
        <f>'Data Sheet'!J74/'Data Sheet'!J$76</f>
        <v>0.18843330843962505</v>
      </c>
      <c r="L37" s="38">
        <f>'Data Sheet'!K74/'Data Sheet'!K$76</f>
        <v>0.21376634326314464</v>
      </c>
    </row>
    <row r="38" spans="2:12" x14ac:dyDescent="0.3">
      <c r="B38" s="6" t="str">
        <f>'Data Sheet'!A67</f>
        <v>Receivables</v>
      </c>
      <c r="C38" s="38">
        <f>'Data Sheet'!B67/'Data Sheet'!B$76</f>
        <v>9.5970826859452726E-2</v>
      </c>
      <c r="D38" s="38">
        <f>'Data Sheet'!C67/'Data Sheet'!C$76</f>
        <v>0.14618508792142393</v>
      </c>
      <c r="E38" s="38">
        <f>'Data Sheet'!D67/'Data Sheet'!D$76</f>
        <v>0.11926719799075775</v>
      </c>
      <c r="F38" s="38">
        <f>'Data Sheet'!E67/'Data Sheet'!E$76</f>
        <v>0.16981984411661588</v>
      </c>
      <c r="G38" s="38">
        <f>'Data Sheet'!F67/'Data Sheet'!F$76</f>
        <v>0.15460327716914202</v>
      </c>
      <c r="H38" s="38">
        <f>'Data Sheet'!G67/'Data Sheet'!G$76</f>
        <v>0.11684008904074131</v>
      </c>
      <c r="I38" s="38">
        <f>'Data Sheet'!H67/'Data Sheet'!H$76</f>
        <v>9.8465882537653773E-2</v>
      </c>
      <c r="J38" s="38">
        <f>'Data Sheet'!I67/'Data Sheet'!I$76</f>
        <v>0.10780070364262495</v>
      </c>
      <c r="K38" s="38">
        <f>'Data Sheet'!J67/'Data Sheet'!J$76</f>
        <v>0.11880659343310554</v>
      </c>
      <c r="L38" s="38">
        <f>'Data Sheet'!K67/'Data Sheet'!K$76</f>
        <v>0.13532175727196358</v>
      </c>
    </row>
    <row r="39" spans="2:12" x14ac:dyDescent="0.3">
      <c r="B39" s="6" t="str">
        <f>'Data Sheet'!A68</f>
        <v>Inventory</v>
      </c>
      <c r="C39" s="38">
        <f>'Data Sheet'!B68/'Data Sheet'!B$76</f>
        <v>0</v>
      </c>
      <c r="D39" s="38">
        <f>'Data Sheet'!C68/'Data Sheet'!C$76</f>
        <v>0</v>
      </c>
      <c r="E39" s="38">
        <f>'Data Sheet'!D68/'Data Sheet'!D$76</f>
        <v>0</v>
      </c>
      <c r="F39" s="38">
        <f>'Data Sheet'!E68/'Data Sheet'!E$76</f>
        <v>0</v>
      </c>
      <c r="G39" s="38">
        <f>'Data Sheet'!F68/'Data Sheet'!F$76</f>
        <v>0</v>
      </c>
      <c r="H39" s="38">
        <f>'Data Sheet'!G68/'Data Sheet'!G$76</f>
        <v>0</v>
      </c>
      <c r="I39" s="38">
        <f>'Data Sheet'!H68/'Data Sheet'!H$76</f>
        <v>0</v>
      </c>
      <c r="J39" s="38">
        <f>'Data Sheet'!I68/'Data Sheet'!I$76</f>
        <v>0</v>
      </c>
      <c r="K39" s="38">
        <f>'Data Sheet'!J68/'Data Sheet'!J$76</f>
        <v>0</v>
      </c>
      <c r="L39" s="38">
        <f>'Data Sheet'!K68/'Data Sheet'!K$76</f>
        <v>0</v>
      </c>
    </row>
    <row r="40" spans="2:12" x14ac:dyDescent="0.3">
      <c r="B40" s="6" t="str">
        <f>'Data Sheet'!A69</f>
        <v>Cash &amp; Bank</v>
      </c>
      <c r="C40" s="38">
        <f>'Data Sheet'!B69/'Data Sheet'!B$76</f>
        <v>0.56850455750560713</v>
      </c>
      <c r="D40" s="38">
        <f>'Data Sheet'!C69/'Data Sheet'!C$76</f>
        <v>0.4899554808194625</v>
      </c>
      <c r="E40" s="38">
        <f>'Data Sheet'!D69/'Data Sheet'!D$76</f>
        <v>0.50358959366663447</v>
      </c>
      <c r="F40" s="38">
        <f>'Data Sheet'!E69/'Data Sheet'!E$76</f>
        <v>0.44601897300358695</v>
      </c>
      <c r="G40" s="38">
        <f>'Data Sheet'!F69/'Data Sheet'!F$76</f>
        <v>0.46144708458568712</v>
      </c>
      <c r="H40" s="38">
        <f>'Data Sheet'!G69/'Data Sheet'!G$76</f>
        <v>0.56778119109037029</v>
      </c>
      <c r="I40" s="38">
        <f>'Data Sheet'!H69/'Data Sheet'!H$76</f>
        <v>0.60277066004953039</v>
      </c>
      <c r="J40" s="38">
        <f>'Data Sheet'!I69/'Data Sheet'!I$76</f>
        <v>0.59616313429379109</v>
      </c>
      <c r="K40" s="38">
        <f>'Data Sheet'!J69/'Data Sheet'!J$76</f>
        <v>0.59983309152440512</v>
      </c>
      <c r="L40" s="38">
        <f>'Data Sheet'!K69/'Data Sheet'!K$76</f>
        <v>0.56805269641404676</v>
      </c>
    </row>
    <row r="41" spans="2:12" x14ac:dyDescent="0.3">
      <c r="B41" s="8"/>
      <c r="C41" s="38"/>
      <c r="D41" s="38"/>
      <c r="E41" s="38"/>
      <c r="F41" s="38"/>
      <c r="G41" s="38"/>
      <c r="H41" s="38"/>
      <c r="I41" s="38"/>
      <c r="J41" s="38"/>
      <c r="K41" s="38"/>
      <c r="L41" s="38"/>
    </row>
    <row r="42" spans="2:12" x14ac:dyDescent="0.3">
      <c r="B42" s="8"/>
    </row>
    <row r="43" spans="2:12" x14ac:dyDescent="0.3">
      <c r="B43" s="8"/>
    </row>
    <row r="44" spans="2:12" x14ac:dyDescent="0.3">
      <c r="B44" s="8"/>
    </row>
  </sheetData>
  <mergeCells count="3">
    <mergeCell ref="B6:L6"/>
    <mergeCell ref="B23:L23"/>
    <mergeCell ref="B2:L2"/>
  </mergeCells>
  <pageMargins left="0.15748031496062992" right="0" top="0.39370078740157483" bottom="0" header="0.31496062992125984" footer="0.31496062992125984"/>
  <pageSetup paperSize="9" scale="95"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L47"/>
  <sheetViews>
    <sheetView showGridLines="0" zoomScaleNormal="100" workbookViewId="0">
      <selection activeCell="O19" sqref="O19"/>
    </sheetView>
  </sheetViews>
  <sheetFormatPr defaultRowHeight="14.4" x14ac:dyDescent="0.3"/>
  <cols>
    <col min="1" max="1" width="1.88671875" customWidth="1"/>
    <col min="2" max="2" width="26.5546875" customWidth="1"/>
    <col min="3" max="3" width="10" bestFit="1" customWidth="1"/>
    <col min="4" max="4" width="8" bestFit="1" customWidth="1"/>
    <col min="5" max="5" width="9.5546875" bestFit="1" customWidth="1"/>
    <col min="6" max="6" width="11.44140625" bestFit="1" customWidth="1"/>
    <col min="10" max="10" width="10.109375" style="70" bestFit="1" customWidth="1"/>
    <col min="11" max="11" width="18.21875" style="70" bestFit="1" customWidth="1"/>
    <col min="21" max="21" width="11.44140625" customWidth="1"/>
  </cols>
  <sheetData>
    <row r="2" spans="1:12" ht="38.4" customHeight="1" x14ac:dyDescent="0.3">
      <c r="B2" s="271" t="str">
        <f>'Data Sheet'!B1</f>
        <v>ORACLE FINANCIAL SERVICES SOFTWARE LTD</v>
      </c>
      <c r="C2" s="271"/>
      <c r="D2" s="271"/>
      <c r="E2" s="271"/>
      <c r="F2" s="271"/>
      <c r="G2" s="271"/>
      <c r="H2" s="271"/>
      <c r="I2" s="271"/>
      <c r="J2" s="271"/>
      <c r="K2" s="271"/>
      <c r="L2" s="271"/>
    </row>
    <row r="3" spans="1:12" ht="12" customHeight="1" x14ac:dyDescent="0.3">
      <c r="B3" s="208" t="s">
        <v>374</v>
      </c>
      <c r="C3" s="206"/>
      <c r="D3" s="206"/>
      <c r="E3" s="206"/>
      <c r="F3" s="206"/>
      <c r="G3" s="206"/>
      <c r="H3" s="206"/>
      <c r="I3" s="206"/>
      <c r="J3" s="206"/>
      <c r="K3" s="206"/>
      <c r="L3" s="206"/>
    </row>
    <row r="4" spans="1:12" ht="11.4" customHeight="1" thickBot="1" x14ac:dyDescent="0.35">
      <c r="B4" s="209" t="s">
        <v>373</v>
      </c>
      <c r="C4" s="210"/>
      <c r="D4" s="210"/>
      <c r="E4" s="210"/>
      <c r="F4" s="210"/>
      <c r="G4" s="210"/>
      <c r="H4" s="210"/>
      <c r="I4" s="210"/>
      <c r="J4" s="210"/>
      <c r="K4" s="210"/>
      <c r="L4" s="206"/>
    </row>
    <row r="5" spans="1:12" ht="3.6" customHeight="1" x14ac:dyDescent="0.3">
      <c r="A5" s="188"/>
      <c r="B5" s="188"/>
      <c r="C5" s="188"/>
      <c r="D5" s="188"/>
      <c r="E5" s="188"/>
      <c r="F5" s="188"/>
      <c r="G5" s="188"/>
      <c r="H5" s="188"/>
      <c r="I5" s="188"/>
      <c r="J5" s="189"/>
      <c r="K5" s="189"/>
    </row>
    <row r="6" spans="1:12" ht="18" x14ac:dyDescent="0.35">
      <c r="B6" s="228" t="s">
        <v>218</v>
      </c>
      <c r="C6" s="228"/>
      <c r="D6" s="228"/>
      <c r="E6" s="228"/>
      <c r="F6" s="228"/>
      <c r="G6" s="228"/>
      <c r="H6" s="228"/>
      <c r="I6" s="228"/>
      <c r="J6" s="229"/>
      <c r="K6" s="229"/>
    </row>
    <row r="8" spans="1:12" x14ac:dyDescent="0.3">
      <c r="B8" s="125" t="s">
        <v>219</v>
      </c>
    </row>
    <row r="9" spans="1:12" x14ac:dyDescent="0.3">
      <c r="B9" s="77" t="s">
        <v>230</v>
      </c>
      <c r="K9" s="126"/>
    </row>
    <row r="10" spans="1:12" x14ac:dyDescent="0.3">
      <c r="B10" s="99"/>
      <c r="C10" s="99"/>
      <c r="D10" s="99"/>
      <c r="E10" s="99"/>
      <c r="F10" s="99"/>
      <c r="G10" s="99"/>
      <c r="H10" s="100" t="s">
        <v>227</v>
      </c>
      <c r="I10" s="100" t="s">
        <v>227</v>
      </c>
      <c r="J10" s="127" t="s">
        <v>232</v>
      </c>
      <c r="K10" s="127" t="s">
        <v>231</v>
      </c>
    </row>
    <row r="11" spans="1:12" ht="16.2" x14ac:dyDescent="0.3">
      <c r="B11" s="101" t="s">
        <v>220</v>
      </c>
      <c r="C11" s="101" t="s">
        <v>221</v>
      </c>
      <c r="D11" s="101"/>
      <c r="E11" s="101" t="s">
        <v>222</v>
      </c>
      <c r="F11" s="101" t="s">
        <v>223</v>
      </c>
      <c r="G11" s="101" t="s">
        <v>224</v>
      </c>
      <c r="H11" s="101" t="s">
        <v>225</v>
      </c>
      <c r="I11" s="101" t="s">
        <v>226</v>
      </c>
      <c r="J11" s="128" t="s">
        <v>228</v>
      </c>
      <c r="K11" s="128" t="s">
        <v>229</v>
      </c>
    </row>
    <row r="13" spans="1:12" x14ac:dyDescent="0.3">
      <c r="B13" s="102" t="s">
        <v>383</v>
      </c>
      <c r="C13" s="102" t="s">
        <v>233</v>
      </c>
      <c r="E13" s="114">
        <f>Sheet3!F13</f>
        <v>30.6</v>
      </c>
      <c r="F13" s="114">
        <f>Sheet3!E13</f>
        <v>71219.83</v>
      </c>
      <c r="G13" s="103">
        <v>0.3</v>
      </c>
      <c r="H13" s="105">
        <f>E13/F13</f>
        <v>4.2965561698195574E-4</v>
      </c>
      <c r="I13" s="105">
        <f>E13/(E13+F13)</f>
        <v>4.2947109231481129E-4</v>
      </c>
      <c r="J13" s="73">
        <f>'Beta - Regression'!J9</f>
        <v>0.59932544001006349</v>
      </c>
      <c r="K13" s="129">
        <f>J13/(1+(1-G13)*H13)</f>
        <v>0.59914524172711625</v>
      </c>
    </row>
    <row r="14" spans="1:12" x14ac:dyDescent="0.3">
      <c r="B14" s="102" t="str">
        <f>Sheet3!C6</f>
        <v>TCS</v>
      </c>
      <c r="C14" s="102" t="s">
        <v>233</v>
      </c>
      <c r="E14" s="114">
        <f>Sheet3!F6</f>
        <v>9046</v>
      </c>
      <c r="F14" s="114">
        <f>Sheet3!E6</f>
        <v>1313453.1000000001</v>
      </c>
      <c r="G14" s="104">
        <v>0.3</v>
      </c>
      <c r="H14" s="105">
        <f t="shared" ref="H14:H17" si="0">E14/F14</f>
        <v>6.8871891961730493E-3</v>
      </c>
      <c r="I14" s="105">
        <f>E14/(E14+F14)</f>
        <v>6.8400802692417705E-3</v>
      </c>
      <c r="J14" s="73">
        <v>0.83099999999999996</v>
      </c>
      <c r="K14" s="129">
        <f t="shared" ref="K14:K17" si="1">J14/(1+(1-G14)*H14)</f>
        <v>0.82701294377199064</v>
      </c>
    </row>
    <row r="15" spans="1:12" x14ac:dyDescent="0.3">
      <c r="B15" s="102" t="str">
        <f>Sheet3!C7</f>
        <v>Infosys</v>
      </c>
      <c r="C15" s="102" t="s">
        <v>233</v>
      </c>
      <c r="E15" s="114">
        <f>Sheet3!F7</f>
        <v>8221</v>
      </c>
      <c r="F15" s="114">
        <f>Sheet3!E7</f>
        <v>734057.94</v>
      </c>
      <c r="G15" s="104">
        <v>0.3</v>
      </c>
      <c r="H15" s="105">
        <f t="shared" si="0"/>
        <v>1.1199388429747114E-2</v>
      </c>
      <c r="I15" s="105">
        <f>E15/(E15+F15)</f>
        <v>1.1075351268890912E-2</v>
      </c>
      <c r="J15" s="73">
        <v>1.07</v>
      </c>
      <c r="K15" s="129">
        <f t="shared" si="1"/>
        <v>1.0616769075478354</v>
      </c>
    </row>
    <row r="16" spans="1:12" x14ac:dyDescent="0.3">
      <c r="B16" s="102" t="str">
        <f>Sheet3!C8</f>
        <v>HCL Technologies</v>
      </c>
      <c r="C16" s="102" t="s">
        <v>233</v>
      </c>
      <c r="E16" s="114">
        <f>Sheet3!F8</f>
        <v>5791</v>
      </c>
      <c r="F16" s="114">
        <f>Sheet3!E8</f>
        <v>443888.25</v>
      </c>
      <c r="G16" s="104">
        <v>0.3</v>
      </c>
      <c r="H16" s="105">
        <f t="shared" si="0"/>
        <v>1.3046076349171216E-2</v>
      </c>
      <c r="I16" s="105">
        <f>E16/(E16+F16)</f>
        <v>1.2878068089643896E-2</v>
      </c>
      <c r="J16" s="73">
        <v>1.05</v>
      </c>
      <c r="K16" s="129">
        <f t="shared" si="1"/>
        <v>1.0404979093831244</v>
      </c>
    </row>
    <row r="17" spans="2:11" x14ac:dyDescent="0.3">
      <c r="B17" s="102" t="str">
        <f>Sheet3!C9</f>
        <v>Wipro</v>
      </c>
      <c r="C17" s="102" t="s">
        <v>233</v>
      </c>
      <c r="E17" s="114">
        <f>Sheet3!F9</f>
        <v>19282.2</v>
      </c>
      <c r="F17" s="114">
        <f>Sheet3!E9</f>
        <v>305086.95</v>
      </c>
      <c r="G17" s="104">
        <v>0.3</v>
      </c>
      <c r="H17" s="105">
        <f t="shared" si="0"/>
        <v>6.3202310029976699E-2</v>
      </c>
      <c r="I17" s="105">
        <f>E17/(E17+F17)</f>
        <v>5.9445233925606057E-2</v>
      </c>
      <c r="J17" s="73">
        <v>1.17</v>
      </c>
      <c r="K17" s="129">
        <f t="shared" si="1"/>
        <v>1.1204303495753984</v>
      </c>
    </row>
    <row r="19" spans="2:11" x14ac:dyDescent="0.3">
      <c r="F19" s="106" t="s">
        <v>234</v>
      </c>
      <c r="G19" s="107">
        <f>AVERAGE(G13:G17)</f>
        <v>0.3</v>
      </c>
      <c r="H19" s="109">
        <f>AVERAGE(H13:H17)</f>
        <v>1.8952923924410007E-2</v>
      </c>
      <c r="I19" s="109">
        <f>AVERAGE(I13:I17)</f>
        <v>1.8133640929139487E-2</v>
      </c>
      <c r="J19" s="130">
        <f>AVERAGE(J13:J17)</f>
        <v>0.94406508800201261</v>
      </c>
      <c r="K19" s="130">
        <f>AVERAGE(K13:K17)</f>
        <v>0.92975267040109311</v>
      </c>
    </row>
    <row r="20" spans="2:11" x14ac:dyDescent="0.3">
      <c r="F20" s="88" t="s">
        <v>172</v>
      </c>
      <c r="G20" s="108">
        <f>MEDIAN(G13:G17)</f>
        <v>0.3</v>
      </c>
      <c r="H20" s="110">
        <f>MEDIAN(H13:H17)</f>
        <v>1.1199388429747114E-2</v>
      </c>
      <c r="I20" s="110">
        <f>MEDIAN(I13:I17)</f>
        <v>1.1075351268890912E-2</v>
      </c>
      <c r="J20" s="131">
        <f>MEDIAN(J13:J17)</f>
        <v>1.05</v>
      </c>
      <c r="K20" s="131">
        <f>MEDIAN(K13:K17)</f>
        <v>1.0404979093831244</v>
      </c>
    </row>
    <row r="23" spans="2:11" x14ac:dyDescent="0.3">
      <c r="B23" s="88" t="s">
        <v>235</v>
      </c>
      <c r="C23" s="101"/>
      <c r="D23" s="101"/>
      <c r="E23" s="101"/>
      <c r="G23" s="88" t="s">
        <v>239</v>
      </c>
      <c r="H23" s="101"/>
      <c r="I23" s="101"/>
      <c r="J23" s="89"/>
      <c r="K23" s="128"/>
    </row>
    <row r="25" spans="2:11" x14ac:dyDescent="0.3">
      <c r="B25" t="s">
        <v>236</v>
      </c>
      <c r="D25" s="38"/>
      <c r="E25" s="124">
        <f>69/712</f>
        <v>9.6910112359550563E-2</v>
      </c>
      <c r="G25" t="s">
        <v>240</v>
      </c>
      <c r="K25" s="132">
        <v>6.8199999999999997E-2</v>
      </c>
    </row>
    <row r="26" spans="2:11" x14ac:dyDescent="0.3">
      <c r="B26" t="s">
        <v>237</v>
      </c>
      <c r="E26" s="230">
        <f>G13</f>
        <v>0.3</v>
      </c>
      <c r="G26" t="s">
        <v>241</v>
      </c>
      <c r="K26" s="133">
        <f>Sheet2!H11-WACC!K25</f>
        <v>8.789166666666666E-2</v>
      </c>
    </row>
    <row r="27" spans="2:11" ht="16.2" x14ac:dyDescent="0.3">
      <c r="B27" s="56" t="s">
        <v>238</v>
      </c>
      <c r="C27" s="56"/>
      <c r="D27" s="56"/>
      <c r="E27" s="111">
        <f>E25*(1-E26)</f>
        <v>6.7837078651685395E-2</v>
      </c>
      <c r="G27" t="s">
        <v>242</v>
      </c>
      <c r="K27" s="129">
        <f>K36</f>
        <v>1.0539494455431879</v>
      </c>
    </row>
    <row r="28" spans="2:11" x14ac:dyDescent="0.3">
      <c r="G28" s="56" t="s">
        <v>239</v>
      </c>
      <c r="H28" s="56"/>
      <c r="I28" s="56"/>
      <c r="J28" s="138"/>
      <c r="K28" s="134">
        <f>K25+(K26*K27)</f>
        <v>0.16083337335120002</v>
      </c>
    </row>
    <row r="31" spans="2:11" x14ac:dyDescent="0.3">
      <c r="B31" s="88" t="s">
        <v>243</v>
      </c>
      <c r="C31" s="101"/>
      <c r="D31" s="101"/>
      <c r="E31" s="101"/>
      <c r="G31" s="88" t="s">
        <v>247</v>
      </c>
      <c r="H31" s="101"/>
      <c r="I31" s="101"/>
      <c r="J31" s="128"/>
      <c r="K31" s="128"/>
    </row>
    <row r="33" spans="2:11" x14ac:dyDescent="0.3">
      <c r="B33" s="11"/>
      <c r="D33" s="112" t="s">
        <v>244</v>
      </c>
      <c r="E33" s="112" t="s">
        <v>245</v>
      </c>
      <c r="G33" t="s">
        <v>248</v>
      </c>
      <c r="K33" s="73">
        <f>K20</f>
        <v>1.0404979093831244</v>
      </c>
    </row>
    <row r="34" spans="2:11" x14ac:dyDescent="0.3">
      <c r="B34" t="s">
        <v>222</v>
      </c>
      <c r="C34" s="114">
        <f>E13</f>
        <v>30.6</v>
      </c>
      <c r="D34" s="38">
        <f>C34/$C$36</f>
        <v>4.2947109231481129E-4</v>
      </c>
      <c r="E34" s="104">
        <f>I19</f>
        <v>1.8133640929139487E-2</v>
      </c>
      <c r="G34" t="s">
        <v>249</v>
      </c>
      <c r="K34" s="121">
        <f>E38</f>
        <v>1.8468542853733515E-2</v>
      </c>
    </row>
    <row r="35" spans="2:11" x14ac:dyDescent="0.3">
      <c r="B35" t="s">
        <v>70</v>
      </c>
      <c r="C35" s="114">
        <f>F13</f>
        <v>71219.83</v>
      </c>
      <c r="D35" s="38">
        <f>C35/$C$36</f>
        <v>0.99957052890768505</v>
      </c>
      <c r="E35" s="117">
        <f>E36-E34</f>
        <v>0.98186635907086051</v>
      </c>
      <c r="G35" t="s">
        <v>237</v>
      </c>
      <c r="K35" s="122">
        <f>E26</f>
        <v>0.3</v>
      </c>
    </row>
    <row r="36" spans="2:11" x14ac:dyDescent="0.3">
      <c r="B36" s="56" t="s">
        <v>246</v>
      </c>
      <c r="C36" s="115">
        <f>SUM(C34:C35)</f>
        <v>71250.430000000008</v>
      </c>
      <c r="D36" s="38">
        <f>C36/$C$36</f>
        <v>1</v>
      </c>
      <c r="E36" s="38">
        <v>1</v>
      </c>
      <c r="G36" s="56" t="s">
        <v>247</v>
      </c>
      <c r="H36" s="56"/>
      <c r="I36" s="56"/>
      <c r="J36" s="138"/>
      <c r="K36" s="135">
        <f>K33*(1+(1-K35)*K34)</f>
        <v>1.0539494455431879</v>
      </c>
    </row>
    <row r="38" spans="2:11" x14ac:dyDescent="0.3">
      <c r="B38" t="s">
        <v>250</v>
      </c>
      <c r="D38" s="113">
        <f>D34/D35</f>
        <v>4.2965561698195579E-4</v>
      </c>
      <c r="E38" s="113">
        <f>E34/E35</f>
        <v>1.8468542853733515E-2</v>
      </c>
      <c r="G38" s="88" t="s">
        <v>251</v>
      </c>
      <c r="H38" s="101"/>
      <c r="I38" s="101"/>
      <c r="J38" s="128"/>
      <c r="K38" s="128"/>
    </row>
    <row r="40" spans="2:11" x14ac:dyDescent="0.3">
      <c r="B40" s="118" t="s">
        <v>253</v>
      </c>
      <c r="C40" s="98"/>
      <c r="D40" s="98"/>
      <c r="J40" s="116"/>
      <c r="K40" s="116" t="s">
        <v>252</v>
      </c>
    </row>
    <row r="41" spans="2:11" x14ac:dyDescent="0.3">
      <c r="B41" s="118" t="s">
        <v>254</v>
      </c>
      <c r="C41" s="119"/>
      <c r="D41" s="119"/>
      <c r="G41" t="s">
        <v>239</v>
      </c>
      <c r="J41" s="121"/>
      <c r="K41" s="121">
        <f>K28</f>
        <v>0.16083337335120002</v>
      </c>
    </row>
    <row r="42" spans="2:11" x14ac:dyDescent="0.3">
      <c r="B42" s="118" t="s">
        <v>255</v>
      </c>
      <c r="C42" s="119"/>
      <c r="D42" s="119"/>
      <c r="G42" s="11" t="s">
        <v>267</v>
      </c>
      <c r="H42" s="11"/>
      <c r="I42" s="11"/>
      <c r="J42" s="136"/>
      <c r="K42" s="136">
        <f>E35</f>
        <v>0.98186635907086051</v>
      </c>
    </row>
    <row r="43" spans="2:11" x14ac:dyDescent="0.3">
      <c r="B43" s="118" t="s">
        <v>256</v>
      </c>
      <c r="C43" s="119"/>
      <c r="D43" s="119"/>
      <c r="G43" s="11"/>
      <c r="H43" s="11"/>
      <c r="I43" s="11"/>
      <c r="J43" s="139"/>
      <c r="K43" s="137"/>
    </row>
    <row r="44" spans="2:11" x14ac:dyDescent="0.3">
      <c r="G44" t="s">
        <v>235</v>
      </c>
      <c r="K44" s="121">
        <f>E27</f>
        <v>6.7837078651685395E-2</v>
      </c>
    </row>
    <row r="45" spans="2:11" x14ac:dyDescent="0.3">
      <c r="G45" t="s">
        <v>268</v>
      </c>
      <c r="K45" s="121">
        <f>E34</f>
        <v>1.8133640929139487E-2</v>
      </c>
    </row>
    <row r="47" spans="2:11" x14ac:dyDescent="0.3">
      <c r="G47" s="167" t="s">
        <v>269</v>
      </c>
      <c r="H47" s="167"/>
      <c r="I47" s="167"/>
      <c r="J47" s="168"/>
      <c r="K47" s="169">
        <f>(K41*K42)+(K44*K45)</f>
        <v>0.15914701193537856</v>
      </c>
    </row>
  </sheetData>
  <mergeCells count="1">
    <mergeCell ref="B2:L2"/>
  </mergeCells>
  <pageMargins left="0.59055118110236227" right="0.59055118110236227" top="0.39370078740157483" bottom="0" header="0.31496062992125984" footer="0.31496062992125984"/>
  <pageSetup paperSize="9" scale="6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4"/>
  <sheetViews>
    <sheetView showGridLines="0" zoomScale="103" workbookViewId="0">
      <selection activeCell="J83" sqref="J83"/>
    </sheetView>
  </sheetViews>
  <sheetFormatPr defaultRowHeight="14.4" x14ac:dyDescent="0.3"/>
  <cols>
    <col min="1" max="1" width="1.88671875" customWidth="1"/>
    <col min="2" max="2" width="30.6640625" customWidth="1"/>
  </cols>
  <sheetData>
    <row r="1" spans="2:9" x14ac:dyDescent="0.3">
      <c r="B1" s="120"/>
      <c r="C1" s="120"/>
      <c r="D1" s="120"/>
      <c r="E1" s="120"/>
      <c r="F1" s="120"/>
      <c r="G1" s="120"/>
      <c r="H1" s="120"/>
      <c r="I1" s="120"/>
    </row>
    <row r="2" spans="2:9" ht="34.799999999999997" customHeight="1" x14ac:dyDescent="0.5">
      <c r="B2" s="267" t="str">
        <f>'Data Sheet'!B1</f>
        <v>ORACLE FINANCIAL SERVICES SOFTWARE LTD</v>
      </c>
      <c r="C2" s="259"/>
      <c r="D2" s="259"/>
      <c r="E2" s="259"/>
      <c r="F2" s="259"/>
    </row>
    <row r="4" spans="2:9" x14ac:dyDescent="0.3">
      <c r="B4" s="77" t="str">
        <f>CONCATENATE(" ","INR "&amp;'Data Sheet'!B8)</f>
        <v xml:space="preserve"> INR 8082.3</v>
      </c>
    </row>
    <row r="5" spans="2:9" x14ac:dyDescent="0.3">
      <c r="B5" s="260" t="s">
        <v>423</v>
      </c>
      <c r="C5" s="260"/>
      <c r="D5" s="260"/>
      <c r="E5" s="260"/>
      <c r="F5" s="260"/>
      <c r="G5" s="260"/>
      <c r="H5" s="260"/>
      <c r="I5" s="260"/>
    </row>
    <row r="6" spans="2:9" ht="4.2" customHeight="1" x14ac:dyDescent="0.3"/>
    <row r="7" spans="2:9" x14ac:dyDescent="0.3">
      <c r="B7" s="266" t="s">
        <v>420</v>
      </c>
      <c r="C7" s="68"/>
      <c r="D7" s="68"/>
      <c r="E7" s="68"/>
      <c r="F7" s="68"/>
      <c r="G7" s="68"/>
      <c r="H7" s="68"/>
      <c r="I7" s="68"/>
    </row>
    <row r="8" spans="2:9" ht="14.4" customHeight="1" x14ac:dyDescent="0.3">
      <c r="B8" s="275" t="s">
        <v>421</v>
      </c>
      <c r="C8" s="276"/>
      <c r="D8" s="276"/>
      <c r="E8" s="276"/>
      <c r="F8" s="276"/>
      <c r="G8" s="276"/>
      <c r="H8" s="276"/>
      <c r="I8" s="276"/>
    </row>
    <row r="9" spans="2:9" x14ac:dyDescent="0.3">
      <c r="B9" s="276"/>
      <c r="C9" s="276"/>
      <c r="D9" s="276"/>
      <c r="E9" s="276"/>
      <c r="F9" s="276"/>
      <c r="G9" s="276"/>
      <c r="H9" s="276"/>
      <c r="I9" s="276"/>
    </row>
    <row r="10" spans="2:9" x14ac:dyDescent="0.3">
      <c r="B10" s="276"/>
      <c r="C10" s="276"/>
      <c r="D10" s="276"/>
      <c r="E10" s="276"/>
      <c r="F10" s="276"/>
      <c r="G10" s="276"/>
      <c r="H10" s="276"/>
      <c r="I10" s="276"/>
    </row>
    <row r="11" spans="2:9" x14ac:dyDescent="0.3">
      <c r="B11" s="276"/>
      <c r="C11" s="276"/>
      <c r="D11" s="276"/>
      <c r="E11" s="276"/>
      <c r="F11" s="276"/>
      <c r="G11" s="276"/>
      <c r="H11" s="276"/>
      <c r="I11" s="276"/>
    </row>
    <row r="12" spans="2:9" ht="7.2" customHeight="1" x14ac:dyDescent="0.3"/>
    <row r="13" spans="2:9" x14ac:dyDescent="0.3">
      <c r="B13" s="77" t="s">
        <v>435</v>
      </c>
    </row>
    <row r="26" s="11" customFormat="1" x14ac:dyDescent="0.3"/>
    <row r="44" s="11" customFormat="1" x14ac:dyDescent="0.3"/>
    <row r="51" spans="2:9" ht="12.6" customHeight="1" x14ac:dyDescent="0.3"/>
    <row r="52" spans="2:9" x14ac:dyDescent="0.3">
      <c r="B52" s="120"/>
      <c r="C52" s="120"/>
      <c r="D52" s="120"/>
      <c r="E52" s="120"/>
      <c r="F52" s="120"/>
      <c r="G52" s="120"/>
      <c r="H52" s="120"/>
      <c r="I52" s="120"/>
    </row>
    <row r="53" spans="2:9" x14ac:dyDescent="0.3">
      <c r="B53" s="120"/>
      <c r="C53" s="120"/>
      <c r="D53" s="120"/>
      <c r="E53" s="120"/>
      <c r="F53" s="120"/>
      <c r="G53" s="120"/>
      <c r="H53" s="120"/>
      <c r="I53" s="120"/>
    </row>
    <row r="56" spans="2:9" x14ac:dyDescent="0.3">
      <c r="B56" s="270" t="s">
        <v>422</v>
      </c>
      <c r="C56" s="270"/>
      <c r="D56" s="270"/>
      <c r="E56" s="270"/>
      <c r="F56" s="270"/>
      <c r="G56" s="270"/>
      <c r="H56" s="270"/>
      <c r="I56" s="270"/>
    </row>
    <row r="57" spans="2:9" x14ac:dyDescent="0.3">
      <c r="D57" s="264">
        <f>'Historical FS'!G7</f>
        <v>43555</v>
      </c>
      <c r="E57" s="264">
        <f>'Historical FS'!H7</f>
        <v>43921</v>
      </c>
      <c r="F57" s="264">
        <f>'Historical FS'!I7</f>
        <v>44286</v>
      </c>
      <c r="G57" s="264">
        <f>'Historical FS'!J7</f>
        <v>44651</v>
      </c>
      <c r="H57" s="264">
        <f>'Historical FS'!K7</f>
        <v>45016</v>
      </c>
      <c r="I57" s="264">
        <f>'Historical FS'!L7</f>
        <v>45382</v>
      </c>
    </row>
    <row r="58" spans="2:9" x14ac:dyDescent="0.3">
      <c r="B58" t="s">
        <v>98</v>
      </c>
      <c r="D58" s="263">
        <f>'Data Sheet'!F30</f>
        <v>1385.9</v>
      </c>
      <c r="E58" s="263">
        <f>'Data Sheet'!G30</f>
        <v>1462.22</v>
      </c>
      <c r="F58" s="263">
        <f>'Data Sheet'!H30</f>
        <v>1761.86</v>
      </c>
      <c r="G58" s="263">
        <f>'Data Sheet'!I30</f>
        <v>1888.83</v>
      </c>
      <c r="H58" s="263">
        <f>'Data Sheet'!J30</f>
        <v>1806.14</v>
      </c>
      <c r="I58" s="263">
        <f>'Data Sheet'!K30</f>
        <v>2219.36</v>
      </c>
    </row>
    <row r="59" spans="2:9" x14ac:dyDescent="0.3">
      <c r="B59" t="s">
        <v>424</v>
      </c>
      <c r="D59" s="263">
        <f>(('Data Sheet'!F57+'Data Sheet'!F58)+('Data Sheet'!E57+'Data Sheet'!E58))/2</f>
        <v>4821.97</v>
      </c>
      <c r="E59" s="263">
        <f>(('Data Sheet'!G57+'Data Sheet'!G58)+('Data Sheet'!F57+'Data Sheet'!F58))/2</f>
        <v>5753.0650000000005</v>
      </c>
      <c r="F59" s="263">
        <f>(('Data Sheet'!H57+'Data Sheet'!H58)+('Data Sheet'!G57+'Data Sheet'!G58))/2</f>
        <v>6709.1749999999993</v>
      </c>
      <c r="G59" s="263">
        <f>(('Data Sheet'!I57+'Data Sheet'!I58)+('Data Sheet'!H57+'Data Sheet'!H58))/2</f>
        <v>6974.23</v>
      </c>
      <c r="H59" s="263">
        <f>(('Data Sheet'!J57+'Data Sheet'!J58)+('Data Sheet'!I57+'Data Sheet'!I58))/2</f>
        <v>7279.2999999999993</v>
      </c>
      <c r="I59" s="263">
        <f>(('Data Sheet'!K57+'Data Sheet'!K58)+('Data Sheet'!J57+'Data Sheet'!J58))/2</f>
        <v>7658.875</v>
      </c>
    </row>
    <row r="60" spans="2:9" x14ac:dyDescent="0.3">
      <c r="B60" s="261" t="s">
        <v>425</v>
      </c>
      <c r="C60" s="261"/>
      <c r="D60" s="262">
        <f>D58/D59</f>
        <v>0.2874136504374768</v>
      </c>
      <c r="E60" s="262">
        <f t="shared" ref="E60:I60" si="0">E58/E59</f>
        <v>0.25416365015865455</v>
      </c>
      <c r="F60" s="262">
        <f t="shared" si="0"/>
        <v>0.2626045676256768</v>
      </c>
      <c r="G60" s="262">
        <f t="shared" si="0"/>
        <v>0.27082989806760033</v>
      </c>
      <c r="H60" s="262">
        <f t="shared" si="0"/>
        <v>0.24812001153957114</v>
      </c>
      <c r="I60" s="262">
        <f t="shared" si="0"/>
        <v>0.28977623998302626</v>
      </c>
    </row>
    <row r="62" spans="2:9" x14ac:dyDescent="0.3">
      <c r="B62" s="270" t="s">
        <v>426</v>
      </c>
      <c r="C62" s="270"/>
      <c r="D62" s="270"/>
      <c r="E62" s="270"/>
      <c r="F62" s="270"/>
      <c r="G62" s="270"/>
      <c r="H62" s="270"/>
      <c r="I62" s="270"/>
    </row>
    <row r="63" spans="2:9" x14ac:dyDescent="0.3">
      <c r="D63" s="264">
        <f>D57</f>
        <v>43555</v>
      </c>
      <c r="E63" s="264">
        <f t="shared" ref="E63:I63" si="1">E57</f>
        <v>43921</v>
      </c>
      <c r="F63" s="264">
        <f t="shared" si="1"/>
        <v>44286</v>
      </c>
      <c r="G63" s="264">
        <f t="shared" si="1"/>
        <v>44651</v>
      </c>
      <c r="H63" s="264">
        <f t="shared" si="1"/>
        <v>45016</v>
      </c>
      <c r="I63" s="264">
        <f t="shared" si="1"/>
        <v>45382</v>
      </c>
    </row>
    <row r="64" spans="2:9" x14ac:dyDescent="0.3">
      <c r="B64" t="str">
        <f>B58</f>
        <v>Net Profit</v>
      </c>
      <c r="D64" s="263">
        <f>D58</f>
        <v>1385.9</v>
      </c>
      <c r="E64" s="263">
        <f t="shared" ref="E64:I64" si="2">E58</f>
        <v>1462.22</v>
      </c>
      <c r="F64" s="263">
        <f t="shared" si="2"/>
        <v>1761.86</v>
      </c>
      <c r="G64" s="263">
        <f t="shared" si="2"/>
        <v>1888.83</v>
      </c>
      <c r="H64" s="263">
        <f t="shared" si="2"/>
        <v>1806.14</v>
      </c>
      <c r="I64" s="263">
        <f t="shared" si="2"/>
        <v>2219.36</v>
      </c>
    </row>
    <row r="65" spans="2:10" x14ac:dyDescent="0.3">
      <c r="B65" t="s">
        <v>348</v>
      </c>
      <c r="D65" s="263">
        <f>'Data Sheet'!F17</f>
        <v>4958.8999999999996</v>
      </c>
      <c r="E65" s="263">
        <f>'Data Sheet'!G17</f>
        <v>4861.28</v>
      </c>
      <c r="F65" s="263">
        <f>'Data Sheet'!H17</f>
        <v>4983.9399999999996</v>
      </c>
      <c r="G65" s="263">
        <f>'Data Sheet'!I17</f>
        <v>5221.46</v>
      </c>
      <c r="H65" s="263">
        <f>'Data Sheet'!J17</f>
        <v>5698.31</v>
      </c>
      <c r="I65" s="263">
        <f>'Data Sheet'!K17</f>
        <v>6372.96</v>
      </c>
    </row>
    <row r="66" spans="2:10" x14ac:dyDescent="0.3">
      <c r="B66" s="261" t="s">
        <v>427</v>
      </c>
      <c r="C66" s="261"/>
      <c r="D66" s="262">
        <f>D64/D65</f>
        <v>0.27947730343422938</v>
      </c>
      <c r="E66" s="262">
        <f t="shared" ref="E66:I66" si="3">E64/E65</f>
        <v>0.30078909258466907</v>
      </c>
      <c r="F66" s="262">
        <f t="shared" si="3"/>
        <v>0.35350746598073013</v>
      </c>
      <c r="G66" s="262">
        <f t="shared" si="3"/>
        <v>0.36174365024341848</v>
      </c>
      <c r="H66" s="262">
        <f t="shared" si="3"/>
        <v>0.31696064271687568</v>
      </c>
      <c r="I66" s="262">
        <f t="shared" si="3"/>
        <v>0.34824634078983707</v>
      </c>
    </row>
    <row r="68" spans="2:10" x14ac:dyDescent="0.3">
      <c r="B68" t="str">
        <f>B65</f>
        <v>Revenue</v>
      </c>
      <c r="D68" s="263">
        <f>D65</f>
        <v>4958.8999999999996</v>
      </c>
      <c r="E68" s="263">
        <f t="shared" ref="E68:I68" si="4">E65</f>
        <v>4861.28</v>
      </c>
      <c r="F68" s="263">
        <f t="shared" si="4"/>
        <v>4983.9399999999996</v>
      </c>
      <c r="G68" s="263">
        <f t="shared" si="4"/>
        <v>5221.46</v>
      </c>
      <c r="H68" s="263">
        <f t="shared" si="4"/>
        <v>5698.31</v>
      </c>
      <c r="I68" s="263">
        <f t="shared" si="4"/>
        <v>6372.96</v>
      </c>
    </row>
    <row r="69" spans="2:10" x14ac:dyDescent="0.3">
      <c r="B69" t="s">
        <v>432</v>
      </c>
      <c r="D69" s="263">
        <f>'Data Sheet'!F76</f>
        <v>6128.46</v>
      </c>
      <c r="E69" s="263">
        <f>'Data Sheet'!G76</f>
        <v>7919.97</v>
      </c>
      <c r="F69" s="263">
        <f>'Data Sheet'!H76</f>
        <v>8152.57</v>
      </c>
      <c r="G69" s="263">
        <f>'Data Sheet'!I76</f>
        <v>8592.43</v>
      </c>
      <c r="H69" s="263">
        <f>'Data Sheet'!J76</f>
        <v>9118.77</v>
      </c>
      <c r="I69" s="263">
        <f>'Data Sheet'!K76</f>
        <v>9749.43</v>
      </c>
    </row>
    <row r="70" spans="2:10" x14ac:dyDescent="0.3">
      <c r="B70" s="261" t="s">
        <v>428</v>
      </c>
      <c r="C70" s="261"/>
      <c r="D70" s="265">
        <f>D68/D69</f>
        <v>0.8091592341305972</v>
      </c>
      <c r="E70" s="265">
        <f t="shared" ref="E70" si="5">E68/E69</f>
        <v>0.61380030479913428</v>
      </c>
      <c r="F70" s="265">
        <f t="shared" ref="F70" si="6">F68/F69</f>
        <v>0.61133360400462677</v>
      </c>
      <c r="G70" s="265">
        <f t="shared" ref="G70" si="7">G68/G69</f>
        <v>0.60768141259224684</v>
      </c>
      <c r="H70" s="265">
        <f t="shared" ref="H70" si="8">H68/H69</f>
        <v>0.62489897212014345</v>
      </c>
      <c r="I70" s="265">
        <f t="shared" ref="I70" si="9">I68/I69</f>
        <v>0.65367513793114063</v>
      </c>
    </row>
    <row r="72" spans="2:10" x14ac:dyDescent="0.3">
      <c r="B72" t="str">
        <f>B69</f>
        <v>Average Total Asset</v>
      </c>
      <c r="D72" s="263">
        <f>D69</f>
        <v>6128.46</v>
      </c>
      <c r="E72" s="263">
        <f t="shared" ref="E72:I72" si="10">E69</f>
        <v>7919.97</v>
      </c>
      <c r="F72" s="263">
        <f t="shared" si="10"/>
        <v>8152.57</v>
      </c>
      <c r="G72" s="263">
        <f t="shared" si="10"/>
        <v>8592.43</v>
      </c>
      <c r="H72" s="263">
        <f t="shared" si="10"/>
        <v>9118.77</v>
      </c>
      <c r="I72" s="263">
        <f t="shared" si="10"/>
        <v>9749.43</v>
      </c>
    </row>
    <row r="73" spans="2:10" x14ac:dyDescent="0.3">
      <c r="B73" t="str">
        <f>B59</f>
        <v xml:space="preserve">Average ShareHolder Equity </v>
      </c>
      <c r="D73" s="263">
        <f>D59</f>
        <v>4821.97</v>
      </c>
      <c r="E73" s="263">
        <f t="shared" ref="E73:I73" si="11">E59</f>
        <v>5753.0650000000005</v>
      </c>
      <c r="F73" s="263">
        <f t="shared" si="11"/>
        <v>6709.1749999999993</v>
      </c>
      <c r="G73" s="263">
        <f t="shared" si="11"/>
        <v>6974.23</v>
      </c>
      <c r="H73" s="263">
        <f t="shared" si="11"/>
        <v>7279.2999999999993</v>
      </c>
      <c r="I73" s="263">
        <f t="shared" si="11"/>
        <v>7658.875</v>
      </c>
    </row>
    <row r="74" spans="2:10" x14ac:dyDescent="0.3">
      <c r="B74" s="261" t="s">
        <v>429</v>
      </c>
      <c r="C74" s="261"/>
      <c r="D74" s="265">
        <f>D72/D73</f>
        <v>1.2709452775525356</v>
      </c>
      <c r="E74" s="265">
        <f t="shared" ref="E74" si="12">E72/E73</f>
        <v>1.3766522714413969</v>
      </c>
      <c r="F74" s="265">
        <f t="shared" ref="F74" si="13">F72/F73</f>
        <v>1.2151374796454111</v>
      </c>
      <c r="G74" s="265">
        <f t="shared" ref="G74" si="14">G72/G73</f>
        <v>1.2320256142972057</v>
      </c>
      <c r="H74" s="265">
        <f t="shared" ref="H74" si="15">H72/H73</f>
        <v>1.2526987485060379</v>
      </c>
      <c r="I74" s="265">
        <f t="shared" ref="I74" si="16">I72/I73</f>
        <v>1.272958495862643</v>
      </c>
    </row>
    <row r="76" spans="2:10" x14ac:dyDescent="0.3">
      <c r="B76" s="261" t="s">
        <v>430</v>
      </c>
      <c r="C76" s="265"/>
      <c r="D76" s="262">
        <f>D74*D70*D66</f>
        <v>0.2874136504374768</v>
      </c>
      <c r="E76" s="262">
        <f t="shared" ref="E76:H76" si="17">E74*E70*E66</f>
        <v>0.25416365015865455</v>
      </c>
      <c r="F76" s="262">
        <f t="shared" si="17"/>
        <v>0.26260456762567685</v>
      </c>
      <c r="G76" s="262">
        <f t="shared" si="17"/>
        <v>0.27082989806760027</v>
      </c>
      <c r="H76" s="262">
        <f t="shared" si="17"/>
        <v>0.24812001153957117</v>
      </c>
      <c r="I76" s="262">
        <f>I74*I70*I66</f>
        <v>0.28977623998302626</v>
      </c>
    </row>
    <row r="78" spans="2:10" x14ac:dyDescent="0.3">
      <c r="B78" s="270" t="s">
        <v>431</v>
      </c>
      <c r="C78" s="270"/>
      <c r="D78" s="270"/>
      <c r="E78" s="270"/>
      <c r="F78" s="270"/>
      <c r="G78" s="270"/>
      <c r="H78" s="270"/>
      <c r="I78" s="270"/>
    </row>
    <row r="79" spans="2:10" x14ac:dyDescent="0.3">
      <c r="D79" s="264">
        <f>D63</f>
        <v>43555</v>
      </c>
      <c r="E79" s="264">
        <f t="shared" ref="E79:I79" si="18">E63</f>
        <v>43921</v>
      </c>
      <c r="F79" s="264">
        <f t="shared" si="18"/>
        <v>44286</v>
      </c>
      <c r="G79" s="264">
        <f t="shared" si="18"/>
        <v>44651</v>
      </c>
      <c r="H79" s="264">
        <f t="shared" si="18"/>
        <v>45016</v>
      </c>
      <c r="I79" s="264">
        <f t="shared" si="18"/>
        <v>45382</v>
      </c>
    </row>
    <row r="80" spans="2:10" x14ac:dyDescent="0.3">
      <c r="B80" t="str">
        <f>B64</f>
        <v>Net Profit</v>
      </c>
      <c r="D80" s="263">
        <f>D64</f>
        <v>1385.9</v>
      </c>
      <c r="E80" s="263">
        <f t="shared" ref="E80:I80" si="19">E64</f>
        <v>1462.22</v>
      </c>
      <c r="F80" s="263">
        <f t="shared" si="19"/>
        <v>1761.86</v>
      </c>
      <c r="G80" s="263">
        <f t="shared" si="19"/>
        <v>1888.83</v>
      </c>
      <c r="H80" s="263">
        <f t="shared" si="19"/>
        <v>1806.14</v>
      </c>
      <c r="I80" s="263">
        <f t="shared" si="19"/>
        <v>2219.36</v>
      </c>
      <c r="J80" s="263"/>
    </row>
    <row r="81" spans="2:9" x14ac:dyDescent="0.3">
      <c r="B81" t="str">
        <f>B69</f>
        <v>Average Total Asset</v>
      </c>
      <c r="D81" s="263">
        <f>D69</f>
        <v>6128.46</v>
      </c>
      <c r="E81" s="263">
        <f t="shared" ref="E81:I81" si="20">E69</f>
        <v>7919.97</v>
      </c>
      <c r="F81" s="263">
        <f t="shared" si="20"/>
        <v>8152.57</v>
      </c>
      <c r="G81" s="263">
        <f t="shared" si="20"/>
        <v>8592.43</v>
      </c>
      <c r="H81" s="263">
        <f t="shared" si="20"/>
        <v>9118.77</v>
      </c>
      <c r="I81" s="263">
        <f t="shared" si="20"/>
        <v>9749.43</v>
      </c>
    </row>
    <row r="82" spans="2:9" x14ac:dyDescent="0.3">
      <c r="B82" s="261" t="s">
        <v>431</v>
      </c>
      <c r="C82" s="261"/>
      <c r="D82" s="262">
        <f>D80/D81</f>
        <v>0.22614164080372559</v>
      </c>
      <c r="E82" s="262">
        <f t="shared" ref="E82" si="21">E80/E81</f>
        <v>0.18462443670872491</v>
      </c>
      <c r="F82" s="262">
        <f t="shared" ref="F82" si="22">F80/F81</f>
        <v>0.21611099322054272</v>
      </c>
      <c r="G82" s="262">
        <f t="shared" ref="G82" si="23">G80/G81</f>
        <v>0.21982489237619623</v>
      </c>
      <c r="H82" s="262">
        <f t="shared" ref="H82" si="24">H80/H81</f>
        <v>0.19806837983631564</v>
      </c>
      <c r="I82" s="262">
        <f t="shared" ref="I82" si="25">I80/I81</f>
        <v>0.22763997484981174</v>
      </c>
    </row>
    <row r="84" spans="2:9" x14ac:dyDescent="0.3">
      <c r="B84" s="270" t="s">
        <v>433</v>
      </c>
      <c r="C84" s="270"/>
      <c r="D84" s="270"/>
      <c r="E84" s="270"/>
      <c r="F84" s="270"/>
      <c r="G84" s="270"/>
      <c r="H84" s="270"/>
      <c r="I84" s="270"/>
    </row>
    <row r="85" spans="2:9" x14ac:dyDescent="0.3">
      <c r="D85" s="264">
        <f>D79</f>
        <v>43555</v>
      </c>
      <c r="E85" s="264">
        <f t="shared" ref="E85:I85" si="26">E79</f>
        <v>43921</v>
      </c>
      <c r="F85" s="264">
        <f t="shared" si="26"/>
        <v>44286</v>
      </c>
      <c r="G85" s="264">
        <f t="shared" si="26"/>
        <v>44651</v>
      </c>
      <c r="H85" s="264">
        <f t="shared" si="26"/>
        <v>45016</v>
      </c>
      <c r="I85" s="264">
        <f t="shared" si="26"/>
        <v>45382</v>
      </c>
    </row>
    <row r="86" spans="2:9" x14ac:dyDescent="0.3">
      <c r="B86" t="str">
        <f>B80</f>
        <v>Net Profit</v>
      </c>
      <c r="D86" s="263">
        <f>D64</f>
        <v>1385.9</v>
      </c>
      <c r="E86" s="263">
        <f t="shared" ref="E86:I86" si="27">E64</f>
        <v>1462.22</v>
      </c>
      <c r="F86" s="263">
        <f t="shared" si="27"/>
        <v>1761.86</v>
      </c>
      <c r="G86" s="263">
        <f t="shared" si="27"/>
        <v>1888.83</v>
      </c>
      <c r="H86" s="263">
        <f t="shared" si="27"/>
        <v>1806.14</v>
      </c>
      <c r="I86" s="263">
        <f t="shared" si="27"/>
        <v>2219.36</v>
      </c>
    </row>
    <row r="87" spans="2:9" x14ac:dyDescent="0.3">
      <c r="B87" t="s">
        <v>348</v>
      </c>
      <c r="D87" s="263">
        <f>D65</f>
        <v>4958.8999999999996</v>
      </c>
      <c r="E87" s="263">
        <f t="shared" ref="E87:I87" si="28">E65</f>
        <v>4861.28</v>
      </c>
      <c r="F87" s="263">
        <f t="shared" si="28"/>
        <v>4983.9399999999996</v>
      </c>
      <c r="G87" s="263">
        <f t="shared" si="28"/>
        <v>5221.46</v>
      </c>
      <c r="H87" s="263">
        <f t="shared" si="28"/>
        <v>5698.31</v>
      </c>
      <c r="I87" s="263">
        <f t="shared" si="28"/>
        <v>6372.96</v>
      </c>
    </row>
    <row r="88" spans="2:9" x14ac:dyDescent="0.3">
      <c r="B88" s="261" t="s">
        <v>427</v>
      </c>
      <c r="C88" s="261"/>
      <c r="D88" s="262">
        <f>D86/D87</f>
        <v>0.27947730343422938</v>
      </c>
      <c r="E88" s="262">
        <f t="shared" ref="E88" si="29">E86/E87</f>
        <v>0.30078909258466907</v>
      </c>
      <c r="F88" s="262">
        <f t="shared" ref="F88" si="30">F86/F87</f>
        <v>0.35350746598073013</v>
      </c>
      <c r="G88" s="262">
        <f t="shared" ref="G88" si="31">G86/G87</f>
        <v>0.36174365024341848</v>
      </c>
      <c r="H88" s="262">
        <f t="shared" ref="H88" si="32">H86/H87</f>
        <v>0.31696064271687568</v>
      </c>
      <c r="I88" s="262">
        <f t="shared" ref="I88" si="33">I86/I87</f>
        <v>0.34824634078983707</v>
      </c>
    </row>
    <row r="90" spans="2:9" x14ac:dyDescent="0.3">
      <c r="B90" t="str">
        <f>B68</f>
        <v>Revenue</v>
      </c>
      <c r="D90">
        <f t="shared" ref="D90:I90" si="34">D68</f>
        <v>4958.8999999999996</v>
      </c>
      <c r="E90">
        <f t="shared" si="34"/>
        <v>4861.28</v>
      </c>
      <c r="F90">
        <f t="shared" si="34"/>
        <v>4983.9399999999996</v>
      </c>
      <c r="G90">
        <f t="shared" si="34"/>
        <v>5221.46</v>
      </c>
      <c r="H90">
        <f t="shared" si="34"/>
        <v>5698.31</v>
      </c>
      <c r="I90">
        <f t="shared" si="34"/>
        <v>6372.96</v>
      </c>
    </row>
    <row r="91" spans="2:9" x14ac:dyDescent="0.3">
      <c r="B91" t="str">
        <f>B69</f>
        <v>Average Total Asset</v>
      </c>
      <c r="D91">
        <f t="shared" ref="D91:I91" si="35">D69</f>
        <v>6128.46</v>
      </c>
      <c r="E91">
        <f t="shared" si="35"/>
        <v>7919.97</v>
      </c>
      <c r="F91">
        <f t="shared" si="35"/>
        <v>8152.57</v>
      </c>
      <c r="G91">
        <f t="shared" si="35"/>
        <v>8592.43</v>
      </c>
      <c r="H91">
        <f t="shared" si="35"/>
        <v>9118.77</v>
      </c>
      <c r="I91">
        <f t="shared" si="35"/>
        <v>9749.43</v>
      </c>
    </row>
    <row r="92" spans="2:9" x14ac:dyDescent="0.3">
      <c r="B92" s="261" t="str">
        <f>B70</f>
        <v>Asset Turnover Ratio (B)</v>
      </c>
      <c r="C92" s="261"/>
      <c r="D92" s="265">
        <f>D90/D91</f>
        <v>0.8091592341305972</v>
      </c>
      <c r="E92" s="265">
        <f t="shared" ref="E92" si="36">E90/E91</f>
        <v>0.61380030479913428</v>
      </c>
      <c r="F92" s="265">
        <f t="shared" ref="F92" si="37">F90/F91</f>
        <v>0.61133360400462677</v>
      </c>
      <c r="G92" s="265">
        <f t="shared" ref="G92" si="38">G90/G91</f>
        <v>0.60768141259224684</v>
      </c>
      <c r="H92" s="265">
        <f t="shared" ref="H92" si="39">H90/H91</f>
        <v>0.62489897212014345</v>
      </c>
      <c r="I92" s="265">
        <f t="shared" ref="I92" si="40">I90/I91</f>
        <v>0.65367513793114063</v>
      </c>
    </row>
    <row r="94" spans="2:9" x14ac:dyDescent="0.3">
      <c r="B94" s="261" t="s">
        <v>434</v>
      </c>
      <c r="C94" s="261"/>
      <c r="D94" s="262">
        <f>D92*D88</f>
        <v>0.22614164080372556</v>
      </c>
      <c r="E94" s="262">
        <f t="shared" ref="E94:I94" si="41">E92*E88</f>
        <v>0.18462443670872489</v>
      </c>
      <c r="F94" s="262">
        <f t="shared" si="41"/>
        <v>0.21611099322054275</v>
      </c>
      <c r="G94" s="262">
        <f t="shared" si="41"/>
        <v>0.21982489237619621</v>
      </c>
      <c r="H94" s="262">
        <f t="shared" si="41"/>
        <v>0.19806837983631564</v>
      </c>
      <c r="I94" s="262">
        <f t="shared" si="41"/>
        <v>0.22763997484981174</v>
      </c>
    </row>
    <row r="103" spans="2:9" ht="24" customHeight="1" x14ac:dyDescent="0.3"/>
    <row r="104" spans="2:9" x14ac:dyDescent="0.3">
      <c r="B104" s="120"/>
      <c r="C104" s="120"/>
      <c r="D104" s="120"/>
      <c r="E104" s="120"/>
      <c r="F104" s="120"/>
      <c r="G104" s="120"/>
      <c r="H104" s="120"/>
      <c r="I104" s="120"/>
    </row>
  </sheetData>
  <mergeCells count="5">
    <mergeCell ref="B8:I11"/>
    <mergeCell ref="B56:I56"/>
    <mergeCell ref="B62:I62"/>
    <mergeCell ref="B78:I78"/>
    <mergeCell ref="B84:I84"/>
  </mergeCells>
  <pageMargins left="0.35" right="0.35" top="0.5" bottom="0.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252"/>
  <sheetViews>
    <sheetView showGridLines="0" workbookViewId="0">
      <selection activeCell="N18" sqref="N18"/>
    </sheetView>
  </sheetViews>
  <sheetFormatPr defaultRowHeight="14.4" x14ac:dyDescent="0.3"/>
  <cols>
    <col min="1" max="1" width="1.88671875" style="50" customWidth="1"/>
    <col min="2" max="2" width="14.33203125" style="50" bestFit="1" customWidth="1"/>
    <col min="3" max="3" width="12" style="50" customWidth="1"/>
    <col min="4" max="4" width="12.21875" style="87" customWidth="1"/>
    <col min="5" max="5" width="5.5546875" style="50" customWidth="1"/>
    <col min="6" max="6" width="12.88671875" style="50" customWidth="1"/>
    <col min="7" max="7" width="12.88671875" style="87" customWidth="1"/>
    <col min="8" max="8" width="5.5546875" style="85" customWidth="1"/>
    <col min="9" max="9" width="17.5546875" style="85" bestFit="1" customWidth="1"/>
    <col min="10" max="10" width="13.33203125" style="85" customWidth="1"/>
    <col min="11" max="11" width="4.77734375" style="50" customWidth="1"/>
    <col min="12" max="12" width="17.44140625" style="50" bestFit="1" customWidth="1"/>
    <col min="13" max="13" width="12.6640625" style="50" bestFit="1" customWidth="1"/>
    <col min="14" max="14" width="13.44140625" style="50" bestFit="1" customWidth="1"/>
    <col min="15" max="15" width="11.77734375" style="50" customWidth="1"/>
    <col min="16" max="16" width="11.44140625" style="50" customWidth="1"/>
    <col min="17" max="17" width="11.88671875" style="50" customWidth="1"/>
    <col min="18" max="18" width="10.33203125" style="50" customWidth="1"/>
    <col min="19" max="19" width="11.5546875" style="50" customWidth="1"/>
    <col min="20" max="20" width="12.109375" style="50" bestFit="1" customWidth="1"/>
    <col min="21" max="16384" width="8.88671875" style="50"/>
  </cols>
  <sheetData>
    <row r="1" spans="2:20" x14ac:dyDescent="0.3">
      <c r="B1" s="190"/>
      <c r="C1" s="190"/>
      <c r="D1" s="191"/>
      <c r="E1" s="190"/>
      <c r="F1" s="190"/>
      <c r="G1" s="191"/>
      <c r="H1" s="192"/>
      <c r="I1" s="192"/>
      <c r="J1" s="192"/>
    </row>
    <row r="2" spans="2:20" ht="34.799999999999997" customHeight="1" x14ac:dyDescent="0.3">
      <c r="B2" s="271" t="str">
        <f>'Data Sheet'!B1</f>
        <v>ORACLE FINANCIAL SERVICES SOFTWARE LTD</v>
      </c>
      <c r="C2" s="271"/>
      <c r="D2" s="271"/>
      <c r="E2" s="271"/>
      <c r="F2" s="271"/>
      <c r="G2" s="271"/>
      <c r="H2" s="271"/>
      <c r="I2" s="271"/>
      <c r="J2" s="271"/>
      <c r="K2" s="271"/>
      <c r="L2" s="271"/>
    </row>
    <row r="3" spans="2:20" ht="11.4" customHeight="1" x14ac:dyDescent="0.3">
      <c r="B3" s="208" t="s">
        <v>374</v>
      </c>
      <c r="C3" s="206"/>
      <c r="D3" s="206"/>
      <c r="E3" s="206"/>
      <c r="F3" s="206"/>
      <c r="G3" s="206"/>
      <c r="H3" s="206"/>
      <c r="I3" s="206"/>
      <c r="J3" s="206"/>
      <c r="K3" s="206"/>
      <c r="L3" s="206"/>
    </row>
    <row r="4" spans="2:20" ht="11.4" customHeight="1" thickBot="1" x14ac:dyDescent="0.35">
      <c r="B4" s="223" t="s">
        <v>373</v>
      </c>
      <c r="C4" s="224"/>
      <c r="D4" s="224"/>
      <c r="E4" s="224"/>
      <c r="F4" s="224"/>
      <c r="G4" s="224"/>
      <c r="H4" s="224"/>
      <c r="I4" s="224"/>
      <c r="J4" s="224"/>
      <c r="K4" s="206"/>
      <c r="L4" s="206"/>
    </row>
    <row r="5" spans="2:20" x14ac:dyDescent="0.3">
      <c r="B5" s="273" t="s">
        <v>217</v>
      </c>
      <c r="C5" s="273"/>
      <c r="D5" s="273"/>
    </row>
    <row r="7" spans="2:20" x14ac:dyDescent="0.3">
      <c r="B7" s="270" t="s">
        <v>181</v>
      </c>
      <c r="C7" s="270"/>
      <c r="D7" s="270"/>
      <c r="F7" s="270" t="s">
        <v>183</v>
      </c>
      <c r="G7" s="270"/>
      <c r="I7" s="270" t="s">
        <v>211</v>
      </c>
      <c r="J7" s="270"/>
    </row>
    <row r="9" spans="2:20" x14ac:dyDescent="0.3">
      <c r="B9" s="88" t="s">
        <v>179</v>
      </c>
      <c r="C9" s="193" t="s">
        <v>180</v>
      </c>
      <c r="D9" s="89" t="s">
        <v>182</v>
      </c>
      <c r="F9" s="193" t="s">
        <v>180</v>
      </c>
      <c r="G9" s="89" t="s">
        <v>182</v>
      </c>
      <c r="I9" s="85" t="s">
        <v>212</v>
      </c>
      <c r="J9" s="90">
        <f>M12</f>
        <v>0.59932544001006349</v>
      </c>
      <c r="L9" s="50" t="s">
        <v>184</v>
      </c>
      <c r="M9" s="90">
        <f>SLOPE(D11:D115,G11:G115)</f>
        <v>0.59932544001006316</v>
      </c>
    </row>
    <row r="10" spans="2:20" x14ac:dyDescent="0.3">
      <c r="B10" s="207">
        <v>44983</v>
      </c>
      <c r="C10" s="48">
        <v>3153.2</v>
      </c>
      <c r="D10" s="67"/>
      <c r="F10" s="48">
        <v>17594.349999999999</v>
      </c>
      <c r="H10" s="86"/>
      <c r="I10" s="86" t="s">
        <v>213</v>
      </c>
      <c r="J10" s="95">
        <v>0.75</v>
      </c>
      <c r="K10" s="84"/>
      <c r="L10" s="50" t="s">
        <v>185</v>
      </c>
      <c r="M10" s="90">
        <f>_xlfn.COVARIANCE.S(D10:D115,G10:G115)/_xlfn.VAR.S(G10:G115)</f>
        <v>0.59932544001006294</v>
      </c>
    </row>
    <row r="11" spans="2:20" x14ac:dyDescent="0.3">
      <c r="B11" s="207">
        <v>44990</v>
      </c>
      <c r="C11" s="48">
        <v>3242.2</v>
      </c>
      <c r="D11" s="67">
        <f>C11/C10-1</f>
        <v>2.8225294938475143E-2</v>
      </c>
      <c r="F11" s="48">
        <v>17412.900000000001</v>
      </c>
      <c r="G11" s="67">
        <f>F11/F10-1</f>
        <v>-1.0312969788596749E-2</v>
      </c>
      <c r="H11" s="86"/>
      <c r="I11" s="50"/>
      <c r="J11" s="50"/>
      <c r="K11" s="84"/>
    </row>
    <row r="12" spans="2:20" ht="16.8" customHeight="1" x14ac:dyDescent="0.3">
      <c r="B12" s="207">
        <v>44997</v>
      </c>
      <c r="C12" s="48">
        <v>3237.8</v>
      </c>
      <c r="D12" s="67">
        <f t="shared" ref="D12:D75" si="0">C12/C11-1</f>
        <v>-1.357103201529708E-3</v>
      </c>
      <c r="F12" s="48">
        <v>17100.05</v>
      </c>
      <c r="G12" s="67">
        <f t="shared" ref="G12:G75" si="1">F12/F11-1</f>
        <v>-1.796656501788918E-2</v>
      </c>
      <c r="H12" s="86"/>
      <c r="I12" s="50" t="s">
        <v>215</v>
      </c>
      <c r="J12" s="90">
        <v>1</v>
      </c>
      <c r="K12" s="84"/>
      <c r="L12" s="50" t="s">
        <v>186</v>
      </c>
      <c r="M12" s="90">
        <f>M32</f>
        <v>0.59932544001006349</v>
      </c>
    </row>
    <row r="13" spans="2:20" x14ac:dyDescent="0.3">
      <c r="B13" s="207">
        <v>45004</v>
      </c>
      <c r="C13" s="48">
        <v>3201.15</v>
      </c>
      <c r="D13" s="67">
        <f t="shared" si="0"/>
        <v>-1.131941441719686E-2</v>
      </c>
      <c r="F13" s="48">
        <v>16945.05</v>
      </c>
      <c r="G13" s="67">
        <f t="shared" si="1"/>
        <v>-9.0643009815760678E-3</v>
      </c>
      <c r="H13" s="86"/>
      <c r="I13" s="86" t="s">
        <v>214</v>
      </c>
      <c r="J13" s="95">
        <v>0.25</v>
      </c>
      <c r="K13" s="84"/>
    </row>
    <row r="14" spans="2:20" x14ac:dyDescent="0.3">
      <c r="B14" s="207">
        <v>45011</v>
      </c>
      <c r="C14" s="48">
        <v>3263.75</v>
      </c>
      <c r="D14" s="67">
        <f t="shared" si="0"/>
        <v>1.9555472252159367E-2</v>
      </c>
      <c r="F14" s="48">
        <v>17359.75</v>
      </c>
      <c r="G14" s="67">
        <f t="shared" si="1"/>
        <v>2.4473223743807226E-2</v>
      </c>
      <c r="H14" s="86"/>
      <c r="I14" s="86"/>
      <c r="J14" s="86"/>
      <c r="K14" s="84"/>
    </row>
    <row r="15" spans="2:20" x14ac:dyDescent="0.3">
      <c r="B15" s="207">
        <v>45018</v>
      </c>
      <c r="C15" s="48">
        <v>3254.55</v>
      </c>
      <c r="D15" s="67">
        <f t="shared" si="0"/>
        <v>-2.818843355036349E-3</v>
      </c>
      <c r="F15" s="48">
        <v>17599.150000000001</v>
      </c>
      <c r="G15" s="67">
        <f t="shared" si="1"/>
        <v>1.3790521176860304E-2</v>
      </c>
      <c r="H15" s="86"/>
      <c r="I15" s="96" t="s">
        <v>216</v>
      </c>
      <c r="J15" s="97">
        <f>(J9*J10)+(J12*J13)</f>
        <v>0.69949408000754765</v>
      </c>
      <c r="K15" s="84"/>
      <c r="L15" t="s">
        <v>187</v>
      </c>
      <c r="M15"/>
      <c r="N15"/>
      <c r="O15"/>
      <c r="P15"/>
      <c r="Q15"/>
      <c r="R15"/>
      <c r="S15"/>
      <c r="T15"/>
    </row>
    <row r="16" spans="2:20" ht="15" thickBot="1" x14ac:dyDescent="0.35">
      <c r="B16" s="207">
        <v>45025</v>
      </c>
      <c r="C16" s="48">
        <v>3301.75</v>
      </c>
      <c r="D16" s="67">
        <f t="shared" si="0"/>
        <v>1.4502773040819816E-2</v>
      </c>
      <c r="F16" s="48">
        <v>17828</v>
      </c>
      <c r="G16" s="67">
        <f t="shared" si="1"/>
        <v>1.3003468917532901E-2</v>
      </c>
      <c r="H16" s="86"/>
      <c r="I16" s="86"/>
      <c r="J16" s="86"/>
      <c r="K16" s="84"/>
      <c r="L16"/>
      <c r="M16"/>
      <c r="N16"/>
      <c r="O16"/>
      <c r="P16"/>
      <c r="Q16"/>
      <c r="R16"/>
      <c r="S16"/>
      <c r="T16"/>
    </row>
    <row r="17" spans="2:20" x14ac:dyDescent="0.3">
      <c r="B17" s="207">
        <v>45032</v>
      </c>
      <c r="C17" s="48">
        <v>3309.2</v>
      </c>
      <c r="D17" s="67">
        <f t="shared" si="0"/>
        <v>2.2563791928522647E-3</v>
      </c>
      <c r="F17" s="48">
        <v>17624.05</v>
      </c>
      <c r="G17" s="67">
        <f t="shared" si="1"/>
        <v>-1.143986986762402E-2</v>
      </c>
      <c r="H17" s="86"/>
      <c r="I17" s="86"/>
      <c r="J17" s="86"/>
      <c r="K17" s="84"/>
      <c r="L17" s="94" t="s">
        <v>188</v>
      </c>
      <c r="M17" s="94"/>
      <c r="N17"/>
      <c r="O17"/>
      <c r="P17"/>
      <c r="Q17"/>
      <c r="R17"/>
      <c r="S17"/>
      <c r="T17"/>
    </row>
    <row r="18" spans="2:20" x14ac:dyDescent="0.3">
      <c r="B18" s="207">
        <v>45039</v>
      </c>
      <c r="C18" s="48">
        <v>3561.85</v>
      </c>
      <c r="D18" s="67">
        <f t="shared" si="0"/>
        <v>7.6347757766227486E-2</v>
      </c>
      <c r="F18" s="48">
        <v>18065</v>
      </c>
      <c r="G18" s="67">
        <f t="shared" si="1"/>
        <v>2.5019788300645995E-2</v>
      </c>
      <c r="H18" s="86"/>
      <c r="I18" s="86"/>
      <c r="J18" s="86"/>
      <c r="K18" s="84"/>
      <c r="L18" s="91" t="s">
        <v>189</v>
      </c>
      <c r="M18" s="91">
        <v>0.16164725925057916</v>
      </c>
      <c r="N18"/>
      <c r="O18"/>
      <c r="P18"/>
      <c r="Q18"/>
      <c r="R18"/>
      <c r="S18"/>
      <c r="T18"/>
    </row>
    <row r="19" spans="2:20" x14ac:dyDescent="0.3">
      <c r="B19" s="207">
        <v>45046</v>
      </c>
      <c r="C19" s="48">
        <v>3665.9</v>
      </c>
      <c r="D19" s="67">
        <f t="shared" si="0"/>
        <v>2.9212347516037962E-2</v>
      </c>
      <c r="F19" s="48">
        <v>18069</v>
      </c>
      <c r="G19" s="67">
        <f t="shared" si="1"/>
        <v>2.2142264046509652E-4</v>
      </c>
      <c r="H19" s="86"/>
      <c r="I19" s="86"/>
      <c r="J19" s="86"/>
      <c r="K19" s="84"/>
      <c r="L19" s="91" t="s">
        <v>190</v>
      </c>
      <c r="M19" s="91">
        <v>2.6129836423223952E-2</v>
      </c>
      <c r="N19"/>
      <c r="O19"/>
      <c r="P19"/>
      <c r="Q19"/>
      <c r="R19"/>
      <c r="S19"/>
      <c r="T19"/>
    </row>
    <row r="20" spans="2:20" x14ac:dyDescent="0.3">
      <c r="B20" s="207">
        <v>45053</v>
      </c>
      <c r="C20" s="48">
        <v>3551.45</v>
      </c>
      <c r="D20" s="67">
        <f t="shared" si="0"/>
        <v>-3.1220164216154367E-2</v>
      </c>
      <c r="F20" s="48">
        <v>18314.8</v>
      </c>
      <c r="G20" s="67">
        <f t="shared" si="1"/>
        <v>1.3603409153799317E-2</v>
      </c>
      <c r="H20" s="86"/>
      <c r="I20" s="86"/>
      <c r="J20" s="86"/>
      <c r="K20" s="84"/>
      <c r="L20" s="91" t="s">
        <v>191</v>
      </c>
      <c r="M20" s="91">
        <v>1.6674786291410591E-2</v>
      </c>
      <c r="N20"/>
      <c r="O20"/>
      <c r="P20"/>
      <c r="Q20"/>
      <c r="R20"/>
      <c r="S20"/>
      <c r="T20"/>
    </row>
    <row r="21" spans="2:20" x14ac:dyDescent="0.3">
      <c r="B21" s="207">
        <v>45060</v>
      </c>
      <c r="C21" s="48">
        <v>3550.1</v>
      </c>
      <c r="D21" s="67">
        <f t="shared" si="0"/>
        <v>-3.8012642723395107E-4</v>
      </c>
      <c r="F21" s="48">
        <v>18203.400000000001</v>
      </c>
      <c r="G21" s="67">
        <f t="shared" si="1"/>
        <v>-6.0825125035489647E-3</v>
      </c>
      <c r="H21" s="86"/>
      <c r="I21" s="86"/>
      <c r="J21" s="86"/>
      <c r="K21" s="84"/>
      <c r="L21" s="91" t="s">
        <v>192</v>
      </c>
      <c r="M21" s="91">
        <v>6.3883484620649675E-2</v>
      </c>
      <c r="N21"/>
      <c r="O21"/>
      <c r="P21"/>
      <c r="Q21"/>
      <c r="R21"/>
      <c r="S21"/>
      <c r="T21"/>
    </row>
    <row r="22" spans="2:20" ht="15" thickBot="1" x14ac:dyDescent="0.35">
      <c r="B22" s="207">
        <v>45067</v>
      </c>
      <c r="C22" s="48">
        <v>3596.8</v>
      </c>
      <c r="D22" s="67">
        <f t="shared" si="0"/>
        <v>1.3154559026506307E-2</v>
      </c>
      <c r="F22" s="48">
        <v>18499.349999999999</v>
      </c>
      <c r="G22" s="67">
        <f t="shared" si="1"/>
        <v>1.6257951811200044E-2</v>
      </c>
      <c r="H22" s="86"/>
      <c r="I22" s="86"/>
      <c r="J22" s="86"/>
      <c r="K22" s="84"/>
      <c r="L22" s="92" t="s">
        <v>193</v>
      </c>
      <c r="M22" s="92">
        <v>105</v>
      </c>
      <c r="N22"/>
      <c r="O22"/>
      <c r="P22"/>
      <c r="Q22"/>
      <c r="R22"/>
      <c r="S22"/>
      <c r="T22"/>
    </row>
    <row r="23" spans="2:20" x14ac:dyDescent="0.3">
      <c r="B23" s="207">
        <v>45074</v>
      </c>
      <c r="C23" s="48">
        <v>3613.55</v>
      </c>
      <c r="D23" s="67">
        <f t="shared" si="0"/>
        <v>4.6569172597865638E-3</v>
      </c>
      <c r="F23" s="48">
        <v>18534.099999999999</v>
      </c>
      <c r="G23" s="67">
        <f t="shared" si="1"/>
        <v>1.8784443777755122E-3</v>
      </c>
      <c r="H23" s="86"/>
      <c r="I23" s="86"/>
      <c r="J23" s="86"/>
      <c r="K23" s="84"/>
      <c r="L23"/>
      <c r="M23"/>
      <c r="N23"/>
      <c r="O23"/>
      <c r="P23"/>
      <c r="Q23"/>
      <c r="R23"/>
      <c r="S23"/>
      <c r="T23"/>
    </row>
    <row r="24" spans="2:20" ht="15" thickBot="1" x14ac:dyDescent="0.35">
      <c r="B24" s="207">
        <v>45081</v>
      </c>
      <c r="C24" s="48">
        <v>3540.95</v>
      </c>
      <c r="D24" s="67">
        <f t="shared" si="0"/>
        <v>-2.0091046201104246E-2</v>
      </c>
      <c r="F24" s="48">
        <v>18563.400000000001</v>
      </c>
      <c r="G24" s="67">
        <f t="shared" si="1"/>
        <v>1.5808698561032841E-3</v>
      </c>
      <c r="H24" s="86"/>
      <c r="I24" s="86"/>
      <c r="J24" s="86"/>
      <c r="K24" s="84"/>
      <c r="L24" t="s">
        <v>194</v>
      </c>
      <c r="M24"/>
      <c r="N24"/>
      <c r="O24"/>
      <c r="P24"/>
      <c r="Q24"/>
      <c r="R24"/>
      <c r="S24"/>
      <c r="T24"/>
    </row>
    <row r="25" spans="2:20" x14ac:dyDescent="0.3">
      <c r="B25" s="207">
        <v>45088</v>
      </c>
      <c r="C25" s="48">
        <v>3869.9</v>
      </c>
      <c r="D25" s="67">
        <f t="shared" si="0"/>
        <v>9.2898798345076861E-2</v>
      </c>
      <c r="F25" s="48">
        <v>18826</v>
      </c>
      <c r="G25" s="67">
        <f t="shared" si="1"/>
        <v>1.4146115474535925E-2</v>
      </c>
      <c r="H25" s="86"/>
      <c r="I25" s="86"/>
      <c r="J25" s="86"/>
      <c r="K25" s="84"/>
      <c r="L25" s="93"/>
      <c r="M25" s="93" t="s">
        <v>198</v>
      </c>
      <c r="N25" s="93" t="s">
        <v>199</v>
      </c>
      <c r="O25" s="93" t="s">
        <v>200</v>
      </c>
      <c r="P25" s="93" t="s">
        <v>201</v>
      </c>
      <c r="Q25" s="93" t="s">
        <v>202</v>
      </c>
      <c r="R25"/>
      <c r="S25"/>
      <c r="T25"/>
    </row>
    <row r="26" spans="2:20" x14ac:dyDescent="0.3">
      <c r="B26" s="207">
        <v>45095</v>
      </c>
      <c r="C26" s="48">
        <v>3813.25</v>
      </c>
      <c r="D26" s="67">
        <f t="shared" si="0"/>
        <v>-1.4638621153001408E-2</v>
      </c>
      <c r="F26" s="48">
        <v>18665.5</v>
      </c>
      <c r="G26" s="67">
        <f t="shared" si="1"/>
        <v>-8.5254435355359703E-3</v>
      </c>
      <c r="H26" s="86"/>
      <c r="I26" s="86"/>
      <c r="J26" s="86"/>
      <c r="K26" s="84"/>
      <c r="L26" s="91" t="s">
        <v>195</v>
      </c>
      <c r="M26" s="91">
        <v>1</v>
      </c>
      <c r="N26" s="91">
        <v>1.1278466393977116E-2</v>
      </c>
      <c r="O26" s="91">
        <v>1.1278466393977116E-2</v>
      </c>
      <c r="P26" s="91">
        <v>2.7635851802948164</v>
      </c>
      <c r="Q26" s="91">
        <v>9.9472326615720197E-2</v>
      </c>
      <c r="R26"/>
      <c r="S26"/>
      <c r="T26"/>
    </row>
    <row r="27" spans="2:20" x14ac:dyDescent="0.3">
      <c r="B27" s="207">
        <v>45102</v>
      </c>
      <c r="C27" s="48">
        <v>3858.65</v>
      </c>
      <c r="D27" s="67">
        <f t="shared" si="0"/>
        <v>1.1905854585983144E-2</v>
      </c>
      <c r="F27" s="48">
        <v>19189.05</v>
      </c>
      <c r="G27" s="67">
        <f t="shared" si="1"/>
        <v>2.8049074495727355E-2</v>
      </c>
      <c r="H27" s="86"/>
      <c r="I27" s="86"/>
      <c r="J27" s="86"/>
      <c r="K27" s="84"/>
      <c r="L27" s="91" t="s">
        <v>196</v>
      </c>
      <c r="M27" s="91">
        <v>103</v>
      </c>
      <c r="N27" s="91">
        <v>0.42035325954950875</v>
      </c>
      <c r="O27" s="91">
        <v>4.0810996072767839E-3</v>
      </c>
      <c r="P27" s="91"/>
      <c r="Q27" s="91"/>
      <c r="R27"/>
      <c r="S27"/>
      <c r="T27"/>
    </row>
    <row r="28" spans="2:20" ht="15" thickBot="1" x14ac:dyDescent="0.35">
      <c r="B28" s="207">
        <v>45109</v>
      </c>
      <c r="C28" s="48">
        <v>3806.4</v>
      </c>
      <c r="D28" s="67">
        <f t="shared" si="0"/>
        <v>-1.3541005273865259E-2</v>
      </c>
      <c r="F28" s="48">
        <v>19331.8</v>
      </c>
      <c r="G28" s="67">
        <f t="shared" si="1"/>
        <v>7.4391384669902916E-3</v>
      </c>
      <c r="H28" s="86"/>
      <c r="I28" s="86"/>
      <c r="J28" s="86"/>
      <c r="K28" s="84"/>
      <c r="L28" s="92" t="s">
        <v>26</v>
      </c>
      <c r="M28" s="92">
        <v>104</v>
      </c>
      <c r="N28" s="92">
        <v>0.43163172594348587</v>
      </c>
      <c r="O28" s="92"/>
      <c r="P28" s="92"/>
      <c r="Q28" s="92"/>
      <c r="R28"/>
      <c r="S28"/>
      <c r="T28"/>
    </row>
    <row r="29" spans="2:20" ht="15" thickBot="1" x14ac:dyDescent="0.35">
      <c r="B29" s="207">
        <v>45116</v>
      </c>
      <c r="C29" s="48">
        <v>4021.5</v>
      </c>
      <c r="D29" s="67">
        <f t="shared" si="0"/>
        <v>5.6510088272383241E-2</v>
      </c>
      <c r="F29" s="48">
        <v>19564.5</v>
      </c>
      <c r="G29" s="67">
        <f t="shared" si="1"/>
        <v>1.2037161567986399E-2</v>
      </c>
      <c r="H29" s="86"/>
      <c r="I29" s="86"/>
      <c r="J29" s="86"/>
      <c r="K29" s="84"/>
      <c r="L29"/>
      <c r="M29"/>
      <c r="N29"/>
      <c r="O29"/>
      <c r="P29"/>
      <c r="Q29"/>
      <c r="R29"/>
      <c r="S29"/>
      <c r="T29"/>
    </row>
    <row r="30" spans="2:20" x14ac:dyDescent="0.3">
      <c r="B30" s="207">
        <v>45123</v>
      </c>
      <c r="C30" s="48">
        <v>3856.55</v>
      </c>
      <c r="D30" s="67">
        <f t="shared" si="0"/>
        <v>-4.1017033445231887E-2</v>
      </c>
      <c r="F30" s="48">
        <v>19745</v>
      </c>
      <c r="G30" s="67">
        <f t="shared" si="1"/>
        <v>9.225893838329613E-3</v>
      </c>
      <c r="H30" s="86"/>
      <c r="I30" s="86"/>
      <c r="J30" s="86"/>
      <c r="K30" s="84"/>
      <c r="L30" s="93"/>
      <c r="M30" s="93" t="s">
        <v>203</v>
      </c>
      <c r="N30" s="93" t="s">
        <v>192</v>
      </c>
      <c r="O30" s="93" t="s">
        <v>204</v>
      </c>
      <c r="P30" s="93" t="s">
        <v>205</v>
      </c>
      <c r="Q30" s="93" t="s">
        <v>206</v>
      </c>
      <c r="R30" s="93" t="s">
        <v>207</v>
      </c>
      <c r="S30" s="93" t="s">
        <v>208</v>
      </c>
      <c r="T30" s="93" t="s">
        <v>209</v>
      </c>
    </row>
    <row r="31" spans="2:20" x14ac:dyDescent="0.3">
      <c r="B31" s="207">
        <v>45130</v>
      </c>
      <c r="C31" s="48">
        <v>3818.85</v>
      </c>
      <c r="D31" s="67">
        <f t="shared" si="0"/>
        <v>-9.7755766164059343E-3</v>
      </c>
      <c r="F31" s="48">
        <v>19646.05</v>
      </c>
      <c r="G31" s="67">
        <f t="shared" si="1"/>
        <v>-5.0113952899468739E-3</v>
      </c>
      <c r="H31" s="86"/>
      <c r="I31" s="86"/>
      <c r="J31" s="86"/>
      <c r="K31" s="84"/>
      <c r="L31" s="91" t="s">
        <v>197</v>
      </c>
      <c r="M31" s="91">
        <v>9.1542937974463095E-3</v>
      </c>
      <c r="N31" s="91">
        <v>6.3447078450046789E-3</v>
      </c>
      <c r="O31" s="91">
        <v>1.4428235343655227</v>
      </c>
      <c r="P31" s="91">
        <v>0.15210443574768295</v>
      </c>
      <c r="Q31" s="91">
        <v>-3.4289377806143596E-3</v>
      </c>
      <c r="R31" s="91">
        <v>2.173752537550698E-2</v>
      </c>
      <c r="S31" s="91">
        <v>-3.4289377806143596E-3</v>
      </c>
      <c r="T31" s="91">
        <v>2.173752537550698E-2</v>
      </c>
    </row>
    <row r="32" spans="2:20" ht="15" thickBot="1" x14ac:dyDescent="0.35">
      <c r="B32" s="207">
        <v>45137</v>
      </c>
      <c r="C32" s="48">
        <v>3883.3</v>
      </c>
      <c r="D32" s="67">
        <f t="shared" si="0"/>
        <v>1.6876808463280879E-2</v>
      </c>
      <c r="F32" s="48">
        <v>19517</v>
      </c>
      <c r="G32" s="67">
        <f t="shared" si="1"/>
        <v>-6.568750461288575E-3</v>
      </c>
      <c r="H32" s="86"/>
      <c r="I32" s="86"/>
      <c r="J32" s="86"/>
      <c r="K32" s="84"/>
      <c r="L32" s="92" t="s">
        <v>210</v>
      </c>
      <c r="M32" s="92">
        <v>0.59932544001006349</v>
      </c>
      <c r="N32" s="92">
        <v>0.36051744566683847</v>
      </c>
      <c r="O32" s="92">
        <v>1.66240343487819</v>
      </c>
      <c r="P32" s="92">
        <v>9.9472326615720918E-2</v>
      </c>
      <c r="Q32" s="92">
        <v>-0.11567588354629144</v>
      </c>
      <c r="R32" s="92">
        <v>1.3143267635664184</v>
      </c>
      <c r="S32" s="92">
        <v>-0.11567588354629144</v>
      </c>
      <c r="T32" s="92">
        <v>1.3143267635664184</v>
      </c>
    </row>
    <row r="33" spans="2:20" x14ac:dyDescent="0.3">
      <c r="B33" s="207">
        <v>45144</v>
      </c>
      <c r="C33" s="48">
        <v>3958.4</v>
      </c>
      <c r="D33" s="67">
        <f t="shared" si="0"/>
        <v>1.9339221795895201E-2</v>
      </c>
      <c r="F33" s="48">
        <v>19428.3</v>
      </c>
      <c r="G33" s="67">
        <f t="shared" si="1"/>
        <v>-4.5447558538710409E-3</v>
      </c>
      <c r="H33" s="86"/>
      <c r="I33" s="86"/>
      <c r="J33" s="86"/>
      <c r="K33" s="84"/>
      <c r="L33"/>
      <c r="M33"/>
      <c r="N33"/>
      <c r="O33"/>
      <c r="P33"/>
      <c r="Q33"/>
      <c r="R33"/>
      <c r="S33"/>
      <c r="T33"/>
    </row>
    <row r="34" spans="2:20" x14ac:dyDescent="0.3">
      <c r="B34" s="207">
        <v>45151</v>
      </c>
      <c r="C34" s="48">
        <v>3997.05</v>
      </c>
      <c r="D34" s="67">
        <f t="shared" si="0"/>
        <v>9.7640460792238759E-3</v>
      </c>
      <c r="F34" s="48">
        <v>19310.150000000001</v>
      </c>
      <c r="G34" s="67">
        <f t="shared" si="1"/>
        <v>-6.0813349598265454E-3</v>
      </c>
      <c r="H34" s="86"/>
      <c r="I34" s="86"/>
      <c r="J34" s="86"/>
      <c r="K34" s="84"/>
      <c r="L34"/>
      <c r="M34"/>
      <c r="N34"/>
      <c r="O34"/>
      <c r="P34"/>
      <c r="Q34"/>
      <c r="R34"/>
      <c r="S34"/>
      <c r="T34"/>
    </row>
    <row r="35" spans="2:20" x14ac:dyDescent="0.3">
      <c r="B35" s="207">
        <v>45158</v>
      </c>
      <c r="C35" s="48">
        <v>3964.1</v>
      </c>
      <c r="D35" s="67">
        <f t="shared" si="0"/>
        <v>-8.2435796399845662E-3</v>
      </c>
      <c r="F35" s="48">
        <v>19265.8</v>
      </c>
      <c r="G35" s="67">
        <f t="shared" si="1"/>
        <v>-2.2967196008317758E-3</v>
      </c>
      <c r="H35" s="86"/>
      <c r="I35" s="86"/>
      <c r="J35" s="86"/>
      <c r="K35" s="84"/>
      <c r="L35"/>
      <c r="M35"/>
      <c r="N35"/>
      <c r="O35"/>
      <c r="P35"/>
      <c r="Q35"/>
      <c r="R35"/>
      <c r="S35"/>
      <c r="T35"/>
    </row>
    <row r="36" spans="2:20" x14ac:dyDescent="0.3">
      <c r="B36" s="207">
        <v>45165</v>
      </c>
      <c r="C36" s="48">
        <v>4136.25</v>
      </c>
      <c r="D36" s="67">
        <f t="shared" si="0"/>
        <v>4.342725965540728E-2</v>
      </c>
      <c r="F36" s="48">
        <v>19435.3</v>
      </c>
      <c r="G36" s="67">
        <f t="shared" si="1"/>
        <v>8.7979736112697715E-3</v>
      </c>
      <c r="H36" s="86"/>
      <c r="I36" s="86"/>
      <c r="J36" s="86"/>
      <c r="K36" s="84"/>
      <c r="L36"/>
      <c r="M36"/>
      <c r="N36"/>
      <c r="O36"/>
      <c r="P36"/>
      <c r="Q36"/>
      <c r="R36"/>
      <c r="S36"/>
      <c r="T36"/>
    </row>
    <row r="37" spans="2:20" x14ac:dyDescent="0.3">
      <c r="B37" s="207">
        <v>45172</v>
      </c>
      <c r="C37" s="48">
        <v>4347.75</v>
      </c>
      <c r="D37" s="67">
        <f t="shared" si="0"/>
        <v>5.1133272892112336E-2</v>
      </c>
      <c r="F37" s="48">
        <v>19819.95</v>
      </c>
      <c r="G37" s="67">
        <f t="shared" si="1"/>
        <v>1.9791307569216876E-2</v>
      </c>
      <c r="H37" s="86"/>
      <c r="I37" s="86"/>
      <c r="J37" s="86"/>
      <c r="K37" s="84"/>
    </row>
    <row r="38" spans="2:20" x14ac:dyDescent="0.3">
      <c r="B38" s="207">
        <v>45179</v>
      </c>
      <c r="C38" s="48">
        <v>4298.95</v>
      </c>
      <c r="D38" s="67">
        <f t="shared" si="0"/>
        <v>-1.1224196423437416E-2</v>
      </c>
      <c r="F38" s="48">
        <v>20192.349999999999</v>
      </c>
      <c r="G38" s="67">
        <f t="shared" si="1"/>
        <v>1.8789149316723597E-2</v>
      </c>
      <c r="H38" s="86"/>
      <c r="I38" s="86"/>
      <c r="J38" s="86"/>
      <c r="K38" s="84"/>
    </row>
    <row r="39" spans="2:20" x14ac:dyDescent="0.3">
      <c r="B39" s="207">
        <v>45186</v>
      </c>
      <c r="C39" s="48">
        <v>4195.3</v>
      </c>
      <c r="D39" s="67">
        <f t="shared" si="0"/>
        <v>-2.4110538619895427E-2</v>
      </c>
      <c r="F39" s="48">
        <v>19674.25</v>
      </c>
      <c r="G39" s="67">
        <f t="shared" si="1"/>
        <v>-2.5658231954180599E-2</v>
      </c>
      <c r="H39" s="86"/>
      <c r="I39" s="86"/>
      <c r="J39" s="86"/>
      <c r="K39" s="84"/>
    </row>
    <row r="40" spans="2:20" x14ac:dyDescent="0.3">
      <c r="B40" s="207">
        <v>45193</v>
      </c>
      <c r="C40" s="48">
        <v>4110.8500000000004</v>
      </c>
      <c r="D40" s="67">
        <f t="shared" si="0"/>
        <v>-2.0129668915214616E-2</v>
      </c>
      <c r="F40" s="48">
        <v>19638.3</v>
      </c>
      <c r="G40" s="67">
        <f t="shared" si="1"/>
        <v>-1.8272615220402688E-3</v>
      </c>
      <c r="H40" s="86"/>
      <c r="I40" s="86"/>
      <c r="J40" s="86"/>
      <c r="K40" s="84"/>
    </row>
    <row r="41" spans="2:20" x14ac:dyDescent="0.3">
      <c r="B41" s="207">
        <v>45200</v>
      </c>
      <c r="C41" s="48">
        <v>4102.2</v>
      </c>
      <c r="D41" s="67">
        <f t="shared" si="0"/>
        <v>-2.1041876984080332E-3</v>
      </c>
      <c r="F41" s="48">
        <v>19653.5</v>
      </c>
      <c r="G41" s="67">
        <f t="shared" si="1"/>
        <v>7.7399774929598486E-4</v>
      </c>
      <c r="H41" s="86"/>
      <c r="I41" s="86"/>
      <c r="J41" s="86"/>
      <c r="K41" s="84"/>
    </row>
    <row r="42" spans="2:20" x14ac:dyDescent="0.3">
      <c r="B42" s="207">
        <v>45207</v>
      </c>
      <c r="C42" s="48">
        <v>4100.1499999999996</v>
      </c>
      <c r="D42" s="67">
        <f t="shared" si="0"/>
        <v>-4.9973185120189001E-4</v>
      </c>
      <c r="F42" s="48">
        <v>19751.05</v>
      </c>
      <c r="G42" s="67">
        <f t="shared" si="1"/>
        <v>4.9634925076957881E-3</v>
      </c>
      <c r="H42" s="86"/>
      <c r="I42" s="86"/>
      <c r="J42" s="86"/>
      <c r="K42" s="84"/>
    </row>
    <row r="43" spans="2:20" x14ac:dyDescent="0.3">
      <c r="B43" s="207">
        <v>45214</v>
      </c>
      <c r="C43" s="48">
        <v>3926.8</v>
      </c>
      <c r="D43" s="67">
        <f t="shared" si="0"/>
        <v>-4.2278941014353033E-2</v>
      </c>
      <c r="F43" s="48">
        <v>19542.650000000001</v>
      </c>
      <c r="G43" s="67">
        <f t="shared" si="1"/>
        <v>-1.0551337776978809E-2</v>
      </c>
      <c r="H43" s="86"/>
      <c r="I43" s="86"/>
      <c r="J43" s="86"/>
      <c r="K43" s="84"/>
    </row>
    <row r="44" spans="2:20" x14ac:dyDescent="0.3">
      <c r="B44" s="207">
        <v>45221</v>
      </c>
      <c r="C44" s="48">
        <v>3932.55</v>
      </c>
      <c r="D44" s="67">
        <f t="shared" si="0"/>
        <v>1.4642966282978342E-3</v>
      </c>
      <c r="F44" s="48">
        <v>19047.25</v>
      </c>
      <c r="G44" s="67">
        <f t="shared" si="1"/>
        <v>-2.5349683896503383E-2</v>
      </c>
      <c r="H44" s="86"/>
      <c r="I44" s="86"/>
      <c r="J44" s="86"/>
      <c r="K44" s="84"/>
    </row>
    <row r="45" spans="2:20" x14ac:dyDescent="0.3">
      <c r="B45" s="207">
        <v>45228</v>
      </c>
      <c r="C45" s="48">
        <v>3933.9</v>
      </c>
      <c r="D45" s="67">
        <f t="shared" si="0"/>
        <v>3.4328870580146997E-4</v>
      </c>
      <c r="F45" s="48">
        <v>19230.599999999999</v>
      </c>
      <c r="G45" s="67">
        <f t="shared" si="1"/>
        <v>9.6260615049414966E-3</v>
      </c>
      <c r="H45" s="86"/>
      <c r="I45" s="86"/>
      <c r="J45" s="86"/>
      <c r="K45" s="84"/>
    </row>
    <row r="46" spans="2:20" x14ac:dyDescent="0.3">
      <c r="B46" s="207">
        <v>45235</v>
      </c>
      <c r="C46" s="48">
        <v>4019.15</v>
      </c>
      <c r="D46" s="67">
        <f t="shared" si="0"/>
        <v>2.1670606776989843E-2</v>
      </c>
      <c r="F46" s="48">
        <v>19425.349999999999</v>
      </c>
      <c r="G46" s="67">
        <f t="shared" si="1"/>
        <v>1.0127089118384225E-2</v>
      </c>
      <c r="H46" s="86"/>
      <c r="I46" s="86"/>
      <c r="J46" s="86"/>
      <c r="K46" s="84"/>
    </row>
    <row r="47" spans="2:20" x14ac:dyDescent="0.3">
      <c r="B47" s="207">
        <v>45242</v>
      </c>
      <c r="C47" s="48">
        <v>4180</v>
      </c>
      <c r="D47" s="67">
        <f t="shared" si="0"/>
        <v>4.0020899941529908E-2</v>
      </c>
      <c r="F47" s="48">
        <v>19731.8</v>
      </c>
      <c r="G47" s="67">
        <f t="shared" si="1"/>
        <v>1.5775777527818002E-2</v>
      </c>
      <c r="H47" s="86"/>
      <c r="I47" s="86"/>
      <c r="J47" s="86"/>
      <c r="K47" s="84"/>
    </row>
    <row r="48" spans="2:20" x14ac:dyDescent="0.3">
      <c r="B48" s="207">
        <v>45249</v>
      </c>
      <c r="C48" s="48">
        <v>4031.15</v>
      </c>
      <c r="D48" s="67">
        <f t="shared" si="0"/>
        <v>-3.5610047846889925E-2</v>
      </c>
      <c r="F48" s="48">
        <v>19794.7</v>
      </c>
      <c r="G48" s="67">
        <f t="shared" si="1"/>
        <v>3.1877476966115648E-3</v>
      </c>
      <c r="H48" s="86"/>
      <c r="I48" s="86"/>
      <c r="J48" s="86"/>
      <c r="K48" s="84"/>
    </row>
    <row r="49" spans="2:11" x14ac:dyDescent="0.3">
      <c r="B49" s="207">
        <v>45256</v>
      </c>
      <c r="C49" s="48">
        <v>4043.3</v>
      </c>
      <c r="D49" s="67">
        <f t="shared" si="0"/>
        <v>3.0140282549644404E-3</v>
      </c>
      <c r="F49" s="48">
        <v>20267.900000000001</v>
      </c>
      <c r="G49" s="67">
        <f t="shared" si="1"/>
        <v>2.3905388816198414E-2</v>
      </c>
      <c r="H49" s="86"/>
      <c r="I49" s="86"/>
      <c r="J49" s="86"/>
      <c r="K49" s="84"/>
    </row>
    <row r="50" spans="2:11" x14ac:dyDescent="0.3">
      <c r="B50" s="207">
        <v>45263</v>
      </c>
      <c r="C50" s="48">
        <v>4131.3500000000004</v>
      </c>
      <c r="D50" s="67">
        <f t="shared" si="0"/>
        <v>2.1776766502609401E-2</v>
      </c>
      <c r="F50" s="48">
        <v>20969.400000000001</v>
      </c>
      <c r="G50" s="67">
        <f t="shared" si="1"/>
        <v>3.4611380557433069E-2</v>
      </c>
      <c r="H50" s="86"/>
      <c r="I50" s="86"/>
      <c r="J50" s="86"/>
      <c r="K50" s="84"/>
    </row>
    <row r="51" spans="2:11" x14ac:dyDescent="0.3">
      <c r="B51" s="207">
        <v>45270</v>
      </c>
      <c r="C51" s="48">
        <v>4360.75</v>
      </c>
      <c r="D51" s="67">
        <f t="shared" si="0"/>
        <v>5.5526643833129441E-2</v>
      </c>
      <c r="F51" s="48">
        <v>21456.65</v>
      </c>
      <c r="G51" s="67">
        <f t="shared" si="1"/>
        <v>2.3236239472755438E-2</v>
      </c>
      <c r="H51" s="86"/>
      <c r="I51" s="86"/>
      <c r="J51" s="86"/>
      <c r="K51" s="84"/>
    </row>
    <row r="52" spans="2:11" x14ac:dyDescent="0.3">
      <c r="B52" s="207">
        <v>45277</v>
      </c>
      <c r="C52" s="48">
        <v>4212.1499999999996</v>
      </c>
      <c r="D52" s="67">
        <f t="shared" si="0"/>
        <v>-3.4076706988476868E-2</v>
      </c>
      <c r="F52" s="48">
        <v>21349.4</v>
      </c>
      <c r="G52" s="67">
        <f t="shared" si="1"/>
        <v>-4.9984503638732525E-3</v>
      </c>
      <c r="H52" s="86"/>
      <c r="I52" s="86"/>
      <c r="J52" s="86"/>
      <c r="K52" s="84"/>
    </row>
    <row r="53" spans="2:11" x14ac:dyDescent="0.3">
      <c r="B53" s="207">
        <v>45284</v>
      </c>
      <c r="C53" s="48">
        <v>4212.8</v>
      </c>
      <c r="D53" s="67">
        <f t="shared" si="0"/>
        <v>1.5431549208844153E-4</v>
      </c>
      <c r="F53" s="48">
        <v>21731.4</v>
      </c>
      <c r="G53" s="67">
        <f t="shared" si="1"/>
        <v>1.7892774504201459E-2</v>
      </c>
      <c r="H53" s="86"/>
      <c r="I53" s="86"/>
      <c r="J53" s="86"/>
      <c r="K53" s="84"/>
    </row>
    <row r="54" spans="2:11" x14ac:dyDescent="0.3">
      <c r="B54" s="207">
        <v>45291</v>
      </c>
      <c r="C54" s="48">
        <v>4457.6499999999996</v>
      </c>
      <c r="D54" s="67">
        <f t="shared" si="0"/>
        <v>5.8120489935434838E-2</v>
      </c>
      <c r="F54" s="48">
        <v>21710.799999999999</v>
      </c>
      <c r="G54" s="67">
        <f t="shared" si="1"/>
        <v>-9.479370864280412E-4</v>
      </c>
      <c r="H54" s="86"/>
      <c r="I54" s="86"/>
      <c r="J54" s="86"/>
      <c r="K54" s="84"/>
    </row>
    <row r="55" spans="2:11" x14ac:dyDescent="0.3">
      <c r="B55" s="207">
        <v>45298</v>
      </c>
      <c r="C55" s="48">
        <v>4656.75</v>
      </c>
      <c r="D55" s="67">
        <f t="shared" si="0"/>
        <v>4.4664789743474875E-2</v>
      </c>
      <c r="F55" s="48">
        <v>21894.55</v>
      </c>
      <c r="G55" s="67">
        <f t="shared" si="1"/>
        <v>8.4635296718684749E-3</v>
      </c>
      <c r="H55" s="86"/>
      <c r="I55" s="86"/>
      <c r="J55" s="86"/>
      <c r="K55" s="84"/>
    </row>
    <row r="56" spans="2:11" x14ac:dyDescent="0.3">
      <c r="B56" s="207">
        <v>45305</v>
      </c>
      <c r="C56" s="48">
        <v>6877.1</v>
      </c>
      <c r="D56" s="67">
        <f t="shared" si="0"/>
        <v>0.47680249100767713</v>
      </c>
      <c r="F56" s="48">
        <v>21622.400000000001</v>
      </c>
      <c r="G56" s="67">
        <f t="shared" si="1"/>
        <v>-1.2430033958222397E-2</v>
      </c>
      <c r="H56" s="86"/>
      <c r="I56" s="86"/>
      <c r="J56" s="86"/>
      <c r="K56" s="84"/>
    </row>
    <row r="57" spans="2:11" x14ac:dyDescent="0.3">
      <c r="B57" s="207">
        <v>45312</v>
      </c>
      <c r="C57" s="48">
        <v>6707.3</v>
      </c>
      <c r="D57" s="67">
        <f t="shared" si="0"/>
        <v>-2.4690639949978888E-2</v>
      </c>
      <c r="F57" s="48">
        <v>21352.6</v>
      </c>
      <c r="G57" s="67">
        <f t="shared" si="1"/>
        <v>-1.2477800799171379E-2</v>
      </c>
      <c r="H57" s="86"/>
      <c r="I57" s="86"/>
      <c r="J57" s="86"/>
      <c r="K57" s="84"/>
    </row>
    <row r="58" spans="2:11" x14ac:dyDescent="0.3">
      <c r="B58" s="207">
        <v>45319</v>
      </c>
      <c r="C58" s="48">
        <v>6564.1</v>
      </c>
      <c r="D58" s="67">
        <f t="shared" si="0"/>
        <v>-2.1349872526948199E-2</v>
      </c>
      <c r="F58" s="48">
        <v>21853.8</v>
      </c>
      <c r="G58" s="67">
        <f t="shared" si="1"/>
        <v>2.3472551352060167E-2</v>
      </c>
      <c r="H58" s="86"/>
      <c r="I58" s="86"/>
      <c r="J58" s="86"/>
      <c r="K58" s="84"/>
    </row>
    <row r="59" spans="2:11" x14ac:dyDescent="0.3">
      <c r="B59" s="207">
        <v>45326</v>
      </c>
      <c r="C59" s="48">
        <v>7525.75</v>
      </c>
      <c r="D59" s="67">
        <f t="shared" si="0"/>
        <v>0.14650142441461877</v>
      </c>
      <c r="F59" s="48">
        <v>21782.5</v>
      </c>
      <c r="G59" s="67">
        <f t="shared" si="1"/>
        <v>-3.2625904876955047E-3</v>
      </c>
      <c r="H59" s="86"/>
      <c r="I59" s="86"/>
      <c r="J59" s="86"/>
      <c r="K59" s="84"/>
    </row>
    <row r="60" spans="2:11" x14ac:dyDescent="0.3">
      <c r="B60" s="207">
        <v>45333</v>
      </c>
      <c r="C60" s="48">
        <v>7917.5</v>
      </c>
      <c r="D60" s="67">
        <f t="shared" si="0"/>
        <v>5.2054612497093311E-2</v>
      </c>
      <c r="F60" s="48">
        <v>22040.7</v>
      </c>
      <c r="G60" s="67">
        <f t="shared" si="1"/>
        <v>1.1853552163433978E-2</v>
      </c>
      <c r="H60" s="86"/>
      <c r="I60" s="86"/>
      <c r="J60" s="86"/>
      <c r="K60" s="84"/>
    </row>
    <row r="61" spans="2:11" x14ac:dyDescent="0.3">
      <c r="B61" s="207">
        <v>45340</v>
      </c>
      <c r="C61" s="48">
        <v>7890.3</v>
      </c>
      <c r="D61" s="67">
        <f t="shared" si="0"/>
        <v>-3.435427849699968E-3</v>
      </c>
      <c r="F61" s="48">
        <v>22212.7</v>
      </c>
      <c r="G61" s="67">
        <f t="shared" si="1"/>
        <v>7.8037448901351336E-3</v>
      </c>
      <c r="H61" s="86"/>
      <c r="I61" s="86"/>
      <c r="J61" s="86"/>
      <c r="K61" s="84"/>
    </row>
    <row r="62" spans="2:11" x14ac:dyDescent="0.3">
      <c r="B62" s="207">
        <v>45347</v>
      </c>
      <c r="C62" s="48">
        <v>7710.05</v>
      </c>
      <c r="D62" s="67">
        <f t="shared" si="0"/>
        <v>-2.2844505278633243E-2</v>
      </c>
      <c r="F62" s="48">
        <v>22338.75</v>
      </c>
      <c r="G62" s="67">
        <f t="shared" si="1"/>
        <v>5.6746816010659895E-3</v>
      </c>
      <c r="H62" s="86"/>
      <c r="I62" s="86"/>
      <c r="J62" s="86"/>
      <c r="K62" s="84"/>
    </row>
    <row r="63" spans="2:11" x14ac:dyDescent="0.3">
      <c r="B63" s="207">
        <v>45354</v>
      </c>
      <c r="C63" s="48">
        <v>8301.7999999999993</v>
      </c>
      <c r="D63" s="67">
        <f t="shared" si="0"/>
        <v>7.6750475029344623E-2</v>
      </c>
      <c r="F63" s="48">
        <v>22493.55</v>
      </c>
      <c r="G63" s="67">
        <f t="shared" si="1"/>
        <v>6.929662581836471E-3</v>
      </c>
      <c r="H63" s="86"/>
      <c r="I63" s="86"/>
      <c r="J63" s="86"/>
      <c r="K63" s="84"/>
    </row>
    <row r="64" spans="2:11" x14ac:dyDescent="0.3">
      <c r="B64" s="207">
        <v>45361</v>
      </c>
      <c r="C64" s="48">
        <v>8453.2999999999993</v>
      </c>
      <c r="D64" s="67">
        <f t="shared" si="0"/>
        <v>1.8249054421932698E-2</v>
      </c>
      <c r="F64" s="48">
        <v>22023.35</v>
      </c>
      <c r="G64" s="67">
        <f t="shared" si="1"/>
        <v>-2.0903770191899484E-2</v>
      </c>
      <c r="H64" s="86"/>
      <c r="I64" s="86"/>
      <c r="J64" s="86"/>
      <c r="K64" s="84"/>
    </row>
    <row r="65" spans="2:11" x14ac:dyDescent="0.3">
      <c r="B65" s="207">
        <v>45368</v>
      </c>
      <c r="C65" s="48">
        <v>8378.9500000000007</v>
      </c>
      <c r="D65" s="67">
        <f t="shared" si="0"/>
        <v>-8.7953816852588407E-3</v>
      </c>
      <c r="F65" s="48">
        <v>22096.75</v>
      </c>
      <c r="G65" s="67">
        <f t="shared" si="1"/>
        <v>3.3328262957270649E-3</v>
      </c>
      <c r="H65" s="86"/>
      <c r="I65" s="86"/>
      <c r="J65" s="86"/>
      <c r="K65" s="84"/>
    </row>
    <row r="66" spans="2:11" x14ac:dyDescent="0.3">
      <c r="B66" s="207">
        <v>45375</v>
      </c>
      <c r="C66" s="48">
        <v>8774.1</v>
      </c>
      <c r="D66" s="67">
        <f t="shared" si="0"/>
        <v>4.7159846997535393E-2</v>
      </c>
      <c r="F66" s="48">
        <v>22326.9</v>
      </c>
      <c r="G66" s="67">
        <f t="shared" si="1"/>
        <v>1.0415558849152129E-2</v>
      </c>
      <c r="H66" s="86"/>
      <c r="I66" s="86"/>
      <c r="J66" s="86"/>
      <c r="K66" s="84"/>
    </row>
    <row r="67" spans="2:11" x14ac:dyDescent="0.3">
      <c r="B67" s="207">
        <v>45382</v>
      </c>
      <c r="C67" s="48">
        <v>8775.4500000000007</v>
      </c>
      <c r="D67" s="67">
        <f t="shared" si="0"/>
        <v>1.5386193455735331E-4</v>
      </c>
      <c r="F67" s="48">
        <v>22513.7</v>
      </c>
      <c r="G67" s="67">
        <f t="shared" si="1"/>
        <v>8.3665891816597782E-3</v>
      </c>
      <c r="H67" s="86"/>
      <c r="I67" s="86"/>
      <c r="J67" s="86"/>
      <c r="K67" s="84"/>
    </row>
    <row r="68" spans="2:11" x14ac:dyDescent="0.3">
      <c r="B68" s="207">
        <v>45389</v>
      </c>
      <c r="C68" s="48">
        <v>8204.2000000000007</v>
      </c>
      <c r="D68" s="67">
        <f t="shared" si="0"/>
        <v>-6.5096376823980506E-2</v>
      </c>
      <c r="F68" s="48">
        <v>22519.4</v>
      </c>
      <c r="G68" s="67">
        <f t="shared" si="1"/>
        <v>2.5317917534661838E-4</v>
      </c>
      <c r="H68" s="86"/>
      <c r="I68" s="86"/>
      <c r="J68" s="86"/>
      <c r="K68" s="84"/>
    </row>
    <row r="69" spans="2:11" x14ac:dyDescent="0.3">
      <c r="B69" s="207">
        <v>45396</v>
      </c>
      <c r="C69" s="48">
        <v>7602.75</v>
      </c>
      <c r="D69" s="67">
        <f t="shared" si="0"/>
        <v>-7.3310011945101339E-2</v>
      </c>
      <c r="F69" s="48">
        <v>22147</v>
      </c>
      <c r="G69" s="67">
        <f t="shared" si="1"/>
        <v>-1.6536852669254087E-2</v>
      </c>
      <c r="H69" s="86"/>
      <c r="I69" s="86"/>
      <c r="J69" s="86"/>
      <c r="K69" s="84"/>
    </row>
    <row r="70" spans="2:11" x14ac:dyDescent="0.3">
      <c r="B70" s="207">
        <v>45403</v>
      </c>
      <c r="C70" s="48">
        <v>7490.6</v>
      </c>
      <c r="D70" s="67">
        <f t="shared" si="0"/>
        <v>-1.4751241327151332E-2</v>
      </c>
      <c r="F70" s="48">
        <v>22419.95</v>
      </c>
      <c r="G70" s="67">
        <f t="shared" si="1"/>
        <v>1.2324468325281002E-2</v>
      </c>
      <c r="H70" s="86"/>
      <c r="I70" s="86"/>
      <c r="J70" s="86"/>
      <c r="K70" s="84"/>
    </row>
    <row r="71" spans="2:11" x14ac:dyDescent="0.3">
      <c r="B71" s="207">
        <v>45410</v>
      </c>
      <c r="C71" s="48">
        <v>7780.7</v>
      </c>
      <c r="D71" s="67">
        <f t="shared" si="0"/>
        <v>3.8728539769844694E-2</v>
      </c>
      <c r="F71" s="48">
        <v>22475.85</v>
      </c>
      <c r="G71" s="67">
        <f t="shared" si="1"/>
        <v>2.4933151055197555E-3</v>
      </c>
      <c r="H71" s="86"/>
      <c r="I71" s="86"/>
      <c r="J71" s="86"/>
      <c r="K71" s="84"/>
    </row>
    <row r="72" spans="2:11" x14ac:dyDescent="0.3">
      <c r="B72" s="207">
        <v>45417</v>
      </c>
      <c r="C72" s="48">
        <v>7580.75</v>
      </c>
      <c r="D72" s="67">
        <f t="shared" si="0"/>
        <v>-2.5698201961263156E-2</v>
      </c>
      <c r="F72" s="48">
        <v>22055.200000000001</v>
      </c>
      <c r="G72" s="67">
        <f t="shared" si="1"/>
        <v>-1.8715643679771743E-2</v>
      </c>
      <c r="H72" s="86"/>
      <c r="I72" s="86"/>
      <c r="J72" s="86"/>
      <c r="K72" s="84"/>
    </row>
    <row r="73" spans="2:11" x14ac:dyDescent="0.3">
      <c r="B73" s="207">
        <v>45424</v>
      </c>
      <c r="C73" s="48">
        <v>7786</v>
      </c>
      <c r="D73" s="67">
        <f t="shared" si="0"/>
        <v>2.7075157471226463E-2</v>
      </c>
      <c r="F73" s="48">
        <v>22466.1</v>
      </c>
      <c r="G73" s="67">
        <f t="shared" si="1"/>
        <v>1.8630527041241907E-2</v>
      </c>
      <c r="H73" s="86"/>
      <c r="I73" s="86"/>
      <c r="J73" s="86"/>
      <c r="K73" s="84"/>
    </row>
    <row r="74" spans="2:11" x14ac:dyDescent="0.3">
      <c r="B74" s="207">
        <v>45431</v>
      </c>
      <c r="C74" s="48">
        <v>7542.4</v>
      </c>
      <c r="D74" s="67">
        <f t="shared" si="0"/>
        <v>-3.1286925250449626E-2</v>
      </c>
      <c r="F74" s="48">
        <v>22957.1</v>
      </c>
      <c r="G74" s="67">
        <f t="shared" si="1"/>
        <v>2.1855150649200406E-2</v>
      </c>
      <c r="H74" s="86"/>
      <c r="I74" s="86"/>
      <c r="J74" s="86"/>
      <c r="K74" s="84"/>
    </row>
    <row r="75" spans="2:11" x14ac:dyDescent="0.3">
      <c r="B75" s="207">
        <v>45438</v>
      </c>
      <c r="C75" s="48">
        <v>7454.95</v>
      </c>
      <c r="D75" s="67">
        <f t="shared" si="0"/>
        <v>-1.1594452694102642E-2</v>
      </c>
      <c r="F75" s="48">
        <v>22530.7</v>
      </c>
      <c r="G75" s="67">
        <f t="shared" si="1"/>
        <v>-1.8573774562117951E-2</v>
      </c>
      <c r="H75" s="86"/>
      <c r="I75" s="86"/>
      <c r="J75" s="86"/>
      <c r="K75" s="84"/>
    </row>
    <row r="76" spans="2:11" x14ac:dyDescent="0.3">
      <c r="B76" s="207">
        <v>45445</v>
      </c>
      <c r="C76" s="48">
        <v>8406.2999999999993</v>
      </c>
      <c r="D76" s="67">
        <f t="shared" ref="D76:D115" si="2">C76/C75-1</f>
        <v>0.12761319660091619</v>
      </c>
      <c r="F76" s="48">
        <v>23290.15</v>
      </c>
      <c r="G76" s="67">
        <f t="shared" ref="G76:G114" si="3">F76/F75-1</f>
        <v>3.3707341538434354E-2</v>
      </c>
      <c r="H76" s="86"/>
      <c r="I76" s="86"/>
      <c r="J76" s="86"/>
      <c r="K76" s="84"/>
    </row>
    <row r="77" spans="2:11" x14ac:dyDescent="0.3">
      <c r="B77" s="207">
        <v>45452</v>
      </c>
      <c r="C77" s="48">
        <v>9510.7000000000007</v>
      </c>
      <c r="D77" s="67">
        <f t="shared" si="2"/>
        <v>0.13137765723326567</v>
      </c>
      <c r="F77" s="48">
        <v>23465.599999999999</v>
      </c>
      <c r="G77" s="67">
        <f t="shared" si="3"/>
        <v>7.5332275661599279E-3</v>
      </c>
      <c r="H77" s="86"/>
      <c r="I77" s="86"/>
      <c r="J77" s="86"/>
      <c r="K77" s="84"/>
    </row>
    <row r="78" spans="2:11" x14ac:dyDescent="0.3">
      <c r="B78" s="207">
        <v>45459</v>
      </c>
      <c r="C78" s="48">
        <v>9738.9</v>
      </c>
      <c r="D78" s="67">
        <f t="shared" si="2"/>
        <v>2.3994027779238092E-2</v>
      </c>
      <c r="F78" s="48">
        <v>23501.1</v>
      </c>
      <c r="G78" s="67">
        <f t="shared" si="3"/>
        <v>1.5128528569481325E-3</v>
      </c>
      <c r="H78" s="86"/>
      <c r="I78" s="86"/>
      <c r="J78" s="86"/>
      <c r="K78" s="84"/>
    </row>
    <row r="79" spans="2:11" x14ac:dyDescent="0.3">
      <c r="B79" s="207">
        <v>45466</v>
      </c>
      <c r="C79" s="48">
        <v>9882.25</v>
      </c>
      <c r="D79" s="67">
        <f t="shared" si="2"/>
        <v>1.4719321483945835E-2</v>
      </c>
      <c r="F79" s="48">
        <v>24010.6</v>
      </c>
      <c r="G79" s="67">
        <f t="shared" si="3"/>
        <v>2.1679836262983532E-2</v>
      </c>
      <c r="H79" s="86"/>
      <c r="I79" s="86"/>
      <c r="J79" s="86"/>
      <c r="K79" s="84"/>
    </row>
    <row r="80" spans="2:11" x14ac:dyDescent="0.3">
      <c r="B80" s="207">
        <v>45473</v>
      </c>
      <c r="C80" s="48">
        <v>10425.450000000001</v>
      </c>
      <c r="D80" s="67">
        <f t="shared" si="2"/>
        <v>5.4967239242075472E-2</v>
      </c>
      <c r="F80" s="48">
        <v>24323.85</v>
      </c>
      <c r="G80" s="67">
        <f t="shared" si="3"/>
        <v>1.3046321208133094E-2</v>
      </c>
      <c r="H80" s="86"/>
      <c r="I80" s="86"/>
      <c r="J80" s="86"/>
      <c r="K80" s="84"/>
    </row>
    <row r="81" spans="2:11" x14ac:dyDescent="0.3">
      <c r="B81" s="207">
        <v>45480</v>
      </c>
      <c r="C81" s="48">
        <v>10556.85</v>
      </c>
      <c r="D81" s="67">
        <f t="shared" si="2"/>
        <v>1.2603772499028887E-2</v>
      </c>
      <c r="F81" s="48">
        <v>24502.15</v>
      </c>
      <c r="G81" s="67">
        <f t="shared" si="3"/>
        <v>7.3302540510651326E-3</v>
      </c>
      <c r="H81" s="86"/>
      <c r="I81" s="86"/>
      <c r="J81" s="86"/>
      <c r="K81" s="84"/>
    </row>
    <row r="82" spans="2:11" x14ac:dyDescent="0.3">
      <c r="B82" s="207">
        <v>45487</v>
      </c>
      <c r="C82" s="48">
        <v>10822.3</v>
      </c>
      <c r="D82" s="67">
        <f t="shared" si="2"/>
        <v>2.5144811188943628E-2</v>
      </c>
      <c r="F82" s="48">
        <v>24530.9</v>
      </c>
      <c r="G82" s="67">
        <f t="shared" si="3"/>
        <v>1.1733664188653403E-3</v>
      </c>
      <c r="H82" s="86"/>
      <c r="I82" s="86"/>
      <c r="J82" s="86"/>
      <c r="K82" s="84"/>
    </row>
    <row r="83" spans="2:11" x14ac:dyDescent="0.3">
      <c r="B83" s="207">
        <v>45494</v>
      </c>
      <c r="C83" s="48">
        <v>11093.65</v>
      </c>
      <c r="D83" s="67">
        <f t="shared" si="2"/>
        <v>2.5073228426489846E-2</v>
      </c>
      <c r="F83" s="48">
        <v>24834.85</v>
      </c>
      <c r="G83" s="67">
        <f t="shared" si="3"/>
        <v>1.2390495252925682E-2</v>
      </c>
      <c r="H83" s="86"/>
      <c r="I83" s="86"/>
      <c r="J83" s="86"/>
      <c r="K83" s="84"/>
    </row>
    <row r="84" spans="2:11" x14ac:dyDescent="0.3">
      <c r="B84" s="207">
        <v>45501</v>
      </c>
      <c r="C84" s="48">
        <v>10389.6</v>
      </c>
      <c r="D84" s="67">
        <f t="shared" si="2"/>
        <v>-6.346423404379975E-2</v>
      </c>
      <c r="F84" s="48">
        <v>24717.7</v>
      </c>
      <c r="G84" s="67">
        <f t="shared" si="3"/>
        <v>-4.7171615693268887E-3</v>
      </c>
      <c r="H84" s="86"/>
      <c r="I84" s="86"/>
      <c r="J84" s="86"/>
      <c r="K84" s="84"/>
    </row>
    <row r="85" spans="2:11" x14ac:dyDescent="0.3">
      <c r="B85" s="207">
        <v>45508</v>
      </c>
      <c r="C85" s="48">
        <v>10564.1</v>
      </c>
      <c r="D85" s="67">
        <f t="shared" si="2"/>
        <v>1.6795641795641858E-2</v>
      </c>
      <c r="F85" s="48">
        <v>24367.5</v>
      </c>
      <c r="G85" s="67">
        <f t="shared" si="3"/>
        <v>-1.4167984885325113E-2</v>
      </c>
      <c r="H85" s="86"/>
      <c r="I85" s="86"/>
      <c r="J85" s="86"/>
      <c r="K85" s="84"/>
    </row>
    <row r="86" spans="2:11" x14ac:dyDescent="0.3">
      <c r="B86" s="207">
        <v>45515</v>
      </c>
      <c r="C86" s="48">
        <v>10898.45</v>
      </c>
      <c r="D86" s="67">
        <f t="shared" si="2"/>
        <v>3.1649643604282351E-2</v>
      </c>
      <c r="F86" s="48">
        <v>24541.15</v>
      </c>
      <c r="G86" s="67">
        <f t="shared" si="3"/>
        <v>7.1262952703396998E-3</v>
      </c>
      <c r="H86" s="86"/>
      <c r="I86" s="86"/>
      <c r="J86" s="86"/>
      <c r="K86" s="84"/>
    </row>
    <row r="87" spans="2:11" x14ac:dyDescent="0.3">
      <c r="B87" s="207">
        <v>45522</v>
      </c>
      <c r="C87" s="48">
        <v>10931.5</v>
      </c>
      <c r="D87" s="67">
        <f t="shared" si="2"/>
        <v>3.0325413246836685E-3</v>
      </c>
      <c r="F87" s="48">
        <v>24823.15</v>
      </c>
      <c r="G87" s="67">
        <f t="shared" si="3"/>
        <v>1.1490904052988471E-2</v>
      </c>
      <c r="H87" s="86"/>
      <c r="I87" s="86"/>
      <c r="J87" s="86"/>
      <c r="K87" s="84"/>
    </row>
    <row r="88" spans="2:11" x14ac:dyDescent="0.3">
      <c r="B88" s="207">
        <v>45529</v>
      </c>
      <c r="C88" s="48">
        <v>10988.7</v>
      </c>
      <c r="D88" s="67">
        <f t="shared" si="2"/>
        <v>5.2325847321961216E-3</v>
      </c>
      <c r="F88" s="48">
        <v>25235.9</v>
      </c>
      <c r="G88" s="67">
        <f t="shared" si="3"/>
        <v>1.6627623810837822E-2</v>
      </c>
      <c r="H88" s="86"/>
      <c r="I88" s="86"/>
      <c r="J88" s="86"/>
      <c r="K88" s="84"/>
    </row>
    <row r="89" spans="2:11" x14ac:dyDescent="0.3">
      <c r="B89" s="207">
        <v>45536</v>
      </c>
      <c r="C89" s="48">
        <v>10847.8</v>
      </c>
      <c r="D89" s="67">
        <f t="shared" si="2"/>
        <v>-1.2822262870039403E-2</v>
      </c>
      <c r="F89" s="48">
        <v>24852.15</v>
      </c>
      <c r="G89" s="67">
        <f t="shared" si="3"/>
        <v>-1.5206511358818231E-2</v>
      </c>
      <c r="H89" s="86"/>
      <c r="I89" s="86"/>
      <c r="J89" s="86"/>
      <c r="K89" s="84"/>
    </row>
    <row r="90" spans="2:11" x14ac:dyDescent="0.3">
      <c r="B90" s="207">
        <v>45543</v>
      </c>
      <c r="C90" s="48">
        <v>12261.9</v>
      </c>
      <c r="D90" s="67">
        <f t="shared" si="2"/>
        <v>0.13035822931838714</v>
      </c>
      <c r="F90" s="48">
        <v>25356.5</v>
      </c>
      <c r="G90" s="67">
        <f t="shared" si="3"/>
        <v>2.0294018827344829E-2</v>
      </c>
      <c r="H90" s="86"/>
      <c r="I90" s="86"/>
      <c r="J90" s="86"/>
      <c r="K90" s="84"/>
    </row>
    <row r="91" spans="2:11" x14ac:dyDescent="0.3">
      <c r="B91" s="207">
        <v>45550</v>
      </c>
      <c r="C91" s="48">
        <v>11371.6</v>
      </c>
      <c r="D91" s="67">
        <f t="shared" si="2"/>
        <v>-7.2607018488162423E-2</v>
      </c>
      <c r="F91" s="48">
        <v>25790.95</v>
      </c>
      <c r="G91" s="67">
        <f t="shared" si="3"/>
        <v>1.7133673811448702E-2</v>
      </c>
      <c r="H91" s="86"/>
      <c r="I91" s="86"/>
      <c r="J91" s="86"/>
      <c r="K91" s="84"/>
    </row>
    <row r="92" spans="2:11" x14ac:dyDescent="0.3">
      <c r="B92" s="207">
        <v>45557</v>
      </c>
      <c r="C92" s="48">
        <v>11392.8</v>
      </c>
      <c r="D92" s="67">
        <f t="shared" si="2"/>
        <v>1.8642935031130126E-3</v>
      </c>
      <c r="F92" s="48">
        <v>26178.95</v>
      </c>
      <c r="G92" s="67">
        <f t="shared" si="3"/>
        <v>1.5044036764834123E-2</v>
      </c>
      <c r="H92" s="86"/>
      <c r="I92" s="86"/>
      <c r="J92" s="86"/>
      <c r="K92" s="84"/>
    </row>
    <row r="93" spans="2:11" x14ac:dyDescent="0.3">
      <c r="B93" s="207">
        <v>45564</v>
      </c>
      <c r="C93" s="48">
        <v>10951.2</v>
      </c>
      <c r="D93" s="67">
        <f t="shared" si="2"/>
        <v>-3.8761322940804588E-2</v>
      </c>
      <c r="F93" s="48">
        <v>25014.6</v>
      </c>
      <c r="G93" s="67">
        <f t="shared" si="3"/>
        <v>-4.4476573735768743E-2</v>
      </c>
      <c r="H93" s="86"/>
      <c r="I93" s="86"/>
      <c r="J93" s="86"/>
      <c r="K93" s="84"/>
    </row>
    <row r="94" spans="2:11" x14ac:dyDescent="0.3">
      <c r="B94" s="207">
        <v>45571</v>
      </c>
      <c r="C94" s="48">
        <v>11556.4</v>
      </c>
      <c r="D94" s="67">
        <f t="shared" si="2"/>
        <v>5.526335013514494E-2</v>
      </c>
      <c r="F94" s="48">
        <v>24964.25</v>
      </c>
      <c r="G94" s="67">
        <f t="shared" si="3"/>
        <v>-2.0128245104857889E-3</v>
      </c>
      <c r="H94" s="86"/>
      <c r="I94" s="86"/>
      <c r="J94" s="86"/>
      <c r="K94" s="84"/>
    </row>
    <row r="95" spans="2:11" x14ac:dyDescent="0.3">
      <c r="B95" s="207">
        <v>45578</v>
      </c>
      <c r="C95" s="48">
        <v>11583.6</v>
      </c>
      <c r="D95" s="67">
        <f t="shared" si="2"/>
        <v>2.353674154581098E-3</v>
      </c>
      <c r="F95" s="48">
        <v>24854.05</v>
      </c>
      <c r="G95" s="67">
        <f t="shared" si="3"/>
        <v>-4.4143124668275524E-3</v>
      </c>
      <c r="H95" s="86"/>
      <c r="I95" s="86"/>
      <c r="J95" s="86"/>
      <c r="K95" s="84"/>
    </row>
    <row r="96" spans="2:11" x14ac:dyDescent="0.3">
      <c r="B96" s="207">
        <v>45585</v>
      </c>
      <c r="C96" s="48">
        <v>10888.05</v>
      </c>
      <c r="D96" s="67">
        <f t="shared" si="2"/>
        <v>-6.0046099658137453E-2</v>
      </c>
      <c r="F96" s="48">
        <v>24180.799999999999</v>
      </c>
      <c r="G96" s="67">
        <f t="shared" si="3"/>
        <v>-2.7088140564616281E-2</v>
      </c>
      <c r="H96" s="86"/>
      <c r="I96" s="86"/>
      <c r="J96" s="86"/>
      <c r="K96" s="84"/>
    </row>
    <row r="97" spans="2:11" x14ac:dyDescent="0.3">
      <c r="B97" s="207">
        <v>45592</v>
      </c>
      <c r="C97" s="48">
        <v>10822.35</v>
      </c>
      <c r="D97" s="67">
        <f t="shared" si="2"/>
        <v>-6.03413834433153E-3</v>
      </c>
      <c r="F97" s="48">
        <v>24304.35</v>
      </c>
      <c r="G97" s="67">
        <f t="shared" si="3"/>
        <v>5.1094256600276999E-3</v>
      </c>
      <c r="H97" s="86"/>
      <c r="I97" s="86"/>
      <c r="J97" s="86"/>
      <c r="K97" s="84"/>
    </row>
    <row r="98" spans="2:11" x14ac:dyDescent="0.3">
      <c r="B98" s="207">
        <v>45599</v>
      </c>
      <c r="C98" s="48">
        <v>11518.15</v>
      </c>
      <c r="D98" s="67">
        <f t="shared" si="2"/>
        <v>6.4292875392128357E-2</v>
      </c>
      <c r="F98" s="48">
        <v>24148.2</v>
      </c>
      <c r="G98" s="67">
        <f t="shared" si="3"/>
        <v>-6.4247758117372822E-3</v>
      </c>
      <c r="H98" s="86"/>
      <c r="I98" s="86"/>
      <c r="J98" s="86"/>
      <c r="K98" s="84"/>
    </row>
    <row r="99" spans="2:11" x14ac:dyDescent="0.3">
      <c r="B99" s="207">
        <v>45606</v>
      </c>
      <c r="C99" s="48">
        <v>11768.55</v>
      </c>
      <c r="D99" s="67">
        <f t="shared" si="2"/>
        <v>2.1739602279879922E-2</v>
      </c>
      <c r="F99" s="48">
        <v>23532.7</v>
      </c>
      <c r="G99" s="67">
        <f t="shared" si="3"/>
        <v>-2.5488442202731498E-2</v>
      </c>
      <c r="H99" s="86"/>
      <c r="I99" s="86"/>
      <c r="J99" s="86"/>
      <c r="K99" s="84"/>
    </row>
    <row r="100" spans="2:11" x14ac:dyDescent="0.3">
      <c r="B100" s="207">
        <v>45613</v>
      </c>
      <c r="C100" s="48">
        <v>11516.4</v>
      </c>
      <c r="D100" s="67">
        <f t="shared" si="2"/>
        <v>-2.1425749136469663E-2</v>
      </c>
      <c r="F100" s="48">
        <v>23907.25</v>
      </c>
      <c r="G100" s="67">
        <f t="shared" si="3"/>
        <v>1.5916150717937061E-2</v>
      </c>
      <c r="H100" s="86"/>
      <c r="I100" s="86"/>
      <c r="J100" s="86"/>
      <c r="K100" s="84"/>
    </row>
    <row r="101" spans="2:11" x14ac:dyDescent="0.3">
      <c r="B101" s="207">
        <v>45620</v>
      </c>
      <c r="C101" s="48">
        <v>11696.45</v>
      </c>
      <c r="D101" s="67">
        <f t="shared" si="2"/>
        <v>1.5634225973394589E-2</v>
      </c>
      <c r="F101" s="48">
        <v>24131.1</v>
      </c>
      <c r="G101" s="67">
        <f t="shared" si="3"/>
        <v>9.3632684645870157E-3</v>
      </c>
      <c r="H101" s="86"/>
      <c r="I101" s="86"/>
      <c r="J101" s="86"/>
      <c r="K101" s="84"/>
    </row>
    <row r="102" spans="2:11" x14ac:dyDescent="0.3">
      <c r="B102" s="207">
        <v>45627</v>
      </c>
      <c r="C102" s="48">
        <v>12579.5</v>
      </c>
      <c r="D102" s="67">
        <f t="shared" si="2"/>
        <v>7.5497266264550333E-2</v>
      </c>
      <c r="F102" s="48">
        <v>24677.8</v>
      </c>
      <c r="G102" s="67">
        <f t="shared" si="3"/>
        <v>2.2655411481449228E-2</v>
      </c>
      <c r="H102" s="86"/>
      <c r="I102" s="86"/>
      <c r="J102" s="86"/>
      <c r="K102" s="84"/>
    </row>
    <row r="103" spans="2:11" x14ac:dyDescent="0.3">
      <c r="B103" s="207">
        <v>45634</v>
      </c>
      <c r="C103" s="48">
        <v>12283.8</v>
      </c>
      <c r="D103" s="67">
        <f t="shared" si="2"/>
        <v>-2.3506498668468545E-2</v>
      </c>
      <c r="F103" s="48">
        <v>24768.3</v>
      </c>
      <c r="G103" s="67">
        <f t="shared" si="3"/>
        <v>3.6672636944945491E-3</v>
      </c>
      <c r="H103" s="86"/>
      <c r="I103" s="86"/>
      <c r="J103" s="86"/>
      <c r="K103" s="84"/>
    </row>
    <row r="104" spans="2:11" x14ac:dyDescent="0.3">
      <c r="B104" s="207">
        <v>45641</v>
      </c>
      <c r="C104" s="48">
        <v>12247.55</v>
      </c>
      <c r="D104" s="67">
        <f t="shared" si="2"/>
        <v>-2.9510412087464521E-3</v>
      </c>
      <c r="F104" s="48">
        <v>23587.5</v>
      </c>
      <c r="G104" s="67">
        <f t="shared" si="3"/>
        <v>-4.7673841159869612E-2</v>
      </c>
      <c r="H104" s="86"/>
      <c r="I104" s="86"/>
      <c r="J104" s="86"/>
      <c r="K104" s="84"/>
    </row>
    <row r="105" spans="2:11" x14ac:dyDescent="0.3">
      <c r="B105" s="207">
        <v>45648</v>
      </c>
      <c r="C105" s="48">
        <v>12646.6</v>
      </c>
      <c r="D105" s="67">
        <f t="shared" si="2"/>
        <v>3.258202660940368E-2</v>
      </c>
      <c r="F105" s="48">
        <v>23813.4</v>
      </c>
      <c r="G105" s="67">
        <f t="shared" si="3"/>
        <v>9.5771065182830295E-3</v>
      </c>
      <c r="H105" s="86"/>
      <c r="I105" s="86"/>
      <c r="J105" s="86"/>
      <c r="K105" s="84"/>
    </row>
    <row r="106" spans="2:11" x14ac:dyDescent="0.3">
      <c r="B106" s="207">
        <v>45655</v>
      </c>
      <c r="C106" s="48">
        <v>12518.05</v>
      </c>
      <c r="D106" s="67">
        <f t="shared" si="2"/>
        <v>-1.0164787373681539E-2</v>
      </c>
      <c r="F106" s="48">
        <v>24004.75</v>
      </c>
      <c r="G106" s="67">
        <f t="shared" si="3"/>
        <v>8.035391838208783E-3</v>
      </c>
      <c r="H106" s="86"/>
      <c r="I106" s="86"/>
      <c r="J106" s="86"/>
      <c r="K106" s="84"/>
    </row>
    <row r="107" spans="2:11" x14ac:dyDescent="0.3">
      <c r="B107" s="207">
        <v>45662</v>
      </c>
      <c r="C107" s="48">
        <v>11451.35</v>
      </c>
      <c r="D107" s="67">
        <f t="shared" si="2"/>
        <v>-8.5212952496594885E-2</v>
      </c>
      <c r="F107" s="48">
        <v>23431.5</v>
      </c>
      <c r="G107" s="67">
        <f t="shared" si="3"/>
        <v>-2.3880690280048689E-2</v>
      </c>
      <c r="H107" s="86"/>
      <c r="I107" s="86"/>
      <c r="J107" s="86"/>
      <c r="K107" s="84"/>
    </row>
    <row r="108" spans="2:11" x14ac:dyDescent="0.3">
      <c r="B108" s="207">
        <v>45669</v>
      </c>
      <c r="C108" s="48">
        <v>10027.15</v>
      </c>
      <c r="D108" s="67">
        <f t="shared" si="2"/>
        <v>-0.1243696158094898</v>
      </c>
      <c r="F108" s="48">
        <v>23203.200000000001</v>
      </c>
      <c r="G108" s="67">
        <f t="shared" si="3"/>
        <v>-9.7432942833365344E-3</v>
      </c>
      <c r="H108" s="86"/>
      <c r="I108" s="86"/>
      <c r="J108" s="86"/>
      <c r="K108" s="84"/>
    </row>
    <row r="109" spans="2:11" x14ac:dyDescent="0.3">
      <c r="B109" s="207">
        <v>45676</v>
      </c>
      <c r="C109" s="48">
        <v>9805.65</v>
      </c>
      <c r="D109" s="67">
        <f t="shared" si="2"/>
        <v>-2.2090025580548844E-2</v>
      </c>
      <c r="F109" s="48">
        <v>23092.2</v>
      </c>
      <c r="G109" s="67">
        <f t="shared" si="3"/>
        <v>-4.7838229209764549E-3</v>
      </c>
      <c r="H109" s="86"/>
      <c r="I109" s="86"/>
      <c r="J109" s="86"/>
      <c r="K109" s="84"/>
    </row>
    <row r="110" spans="2:11" x14ac:dyDescent="0.3">
      <c r="B110" s="207">
        <v>45683</v>
      </c>
      <c r="C110" s="48">
        <v>9122.0499999999993</v>
      </c>
      <c r="D110" s="67">
        <f t="shared" si="2"/>
        <v>-6.971490926149726E-2</v>
      </c>
      <c r="F110" s="48">
        <v>23508.400000000001</v>
      </c>
      <c r="G110" s="67">
        <f t="shared" si="3"/>
        <v>1.8023401841314346E-2</v>
      </c>
      <c r="H110" s="86"/>
      <c r="I110" s="86"/>
      <c r="J110" s="86"/>
      <c r="K110" s="84"/>
    </row>
    <row r="111" spans="2:11" x14ac:dyDescent="0.3">
      <c r="B111" s="207">
        <v>45690</v>
      </c>
      <c r="C111" s="48">
        <v>9452.7000000000007</v>
      </c>
      <c r="D111" s="67">
        <f t="shared" si="2"/>
        <v>3.6247334754797578E-2</v>
      </c>
      <c r="F111" s="48">
        <v>23559.95</v>
      </c>
      <c r="G111" s="67">
        <f t="shared" si="3"/>
        <v>2.1928332000475947E-3</v>
      </c>
      <c r="H111" s="86"/>
      <c r="I111" s="86"/>
      <c r="J111" s="86"/>
      <c r="K111" s="84"/>
    </row>
    <row r="112" spans="2:11" x14ac:dyDescent="0.3">
      <c r="B112" s="207">
        <v>45697</v>
      </c>
      <c r="C112" s="48">
        <v>8962.9500000000007</v>
      </c>
      <c r="D112" s="67">
        <f t="shared" si="2"/>
        <v>-5.1810593798597204E-2</v>
      </c>
      <c r="F112" s="48">
        <v>22929.25</v>
      </c>
      <c r="G112" s="67">
        <f t="shared" si="3"/>
        <v>-2.6770005878620329E-2</v>
      </c>
      <c r="H112" s="86"/>
      <c r="I112" s="86"/>
      <c r="J112" s="86"/>
      <c r="K112" s="84"/>
    </row>
    <row r="113" spans="2:11" x14ac:dyDescent="0.3">
      <c r="B113" s="207">
        <v>45704</v>
      </c>
      <c r="C113" s="48">
        <v>8405</v>
      </c>
      <c r="D113" s="67">
        <f t="shared" si="2"/>
        <v>-6.2250709866729204E-2</v>
      </c>
      <c r="F113" s="48">
        <v>22795.9</v>
      </c>
      <c r="G113" s="67">
        <f t="shared" si="3"/>
        <v>-5.8157157342695331E-3</v>
      </c>
      <c r="H113" s="86"/>
      <c r="I113" s="86"/>
      <c r="J113" s="86"/>
      <c r="K113" s="84"/>
    </row>
    <row r="114" spans="2:11" x14ac:dyDescent="0.3">
      <c r="B114" s="207">
        <v>45711</v>
      </c>
      <c r="C114" s="48">
        <v>8333.25</v>
      </c>
      <c r="D114" s="67">
        <f t="shared" si="2"/>
        <v>-8.5365853658536661E-3</v>
      </c>
      <c r="F114" s="48">
        <v>22561.35</v>
      </c>
      <c r="G114" s="67">
        <f t="shared" si="3"/>
        <v>-1.0289130940213109E-2</v>
      </c>
      <c r="H114" s="86"/>
      <c r="I114" s="86"/>
      <c r="J114" s="86"/>
      <c r="K114" s="84"/>
    </row>
    <row r="115" spans="2:11" x14ac:dyDescent="0.3">
      <c r="B115" s="207">
        <v>45711</v>
      </c>
      <c r="C115" s="48">
        <v>8348.65</v>
      </c>
      <c r="D115" s="67">
        <f t="shared" si="2"/>
        <v>1.8480184801847876E-3</v>
      </c>
      <c r="F115" s="84">
        <v>24399.4</v>
      </c>
      <c r="G115" s="67">
        <f>F115/F114-1</f>
        <v>8.14689723797557E-2</v>
      </c>
      <c r="H115" s="86"/>
      <c r="I115" s="86"/>
      <c r="J115" s="86"/>
      <c r="K115" s="84"/>
    </row>
    <row r="116" spans="2:11" x14ac:dyDescent="0.3">
      <c r="F116" s="84"/>
      <c r="H116" s="86"/>
      <c r="I116" s="86"/>
      <c r="J116" s="86"/>
    </row>
    <row r="117" spans="2:11" x14ac:dyDescent="0.3">
      <c r="F117" s="84"/>
      <c r="H117" s="86"/>
      <c r="I117" s="86"/>
      <c r="J117" s="86"/>
    </row>
    <row r="118" spans="2:11" x14ac:dyDescent="0.3">
      <c r="F118" s="84"/>
      <c r="H118" s="86"/>
      <c r="I118" s="86"/>
      <c r="J118" s="86"/>
    </row>
    <row r="119" spans="2:11" x14ac:dyDescent="0.3">
      <c r="H119" s="86"/>
      <c r="I119" s="86"/>
      <c r="J119" s="86"/>
    </row>
    <row r="120" spans="2:11" x14ac:dyDescent="0.3">
      <c r="H120" s="86"/>
      <c r="I120" s="86"/>
      <c r="J120" s="86"/>
    </row>
    <row r="121" spans="2:11" x14ac:dyDescent="0.3">
      <c r="H121" s="86"/>
      <c r="I121" s="86"/>
      <c r="J121" s="86"/>
    </row>
    <row r="122" spans="2:11" x14ac:dyDescent="0.3">
      <c r="H122" s="86"/>
      <c r="I122" s="86"/>
      <c r="J122" s="86"/>
    </row>
    <row r="123" spans="2:11" x14ac:dyDescent="0.3">
      <c r="H123" s="86"/>
      <c r="I123" s="86"/>
      <c r="J123" s="86"/>
    </row>
    <row r="124" spans="2:11" x14ac:dyDescent="0.3">
      <c r="H124" s="86"/>
      <c r="I124" s="86"/>
      <c r="J124" s="86"/>
    </row>
    <row r="125" spans="2:11" x14ac:dyDescent="0.3">
      <c r="H125" s="86"/>
      <c r="I125" s="86"/>
      <c r="J125" s="86"/>
    </row>
    <row r="126" spans="2:11" x14ac:dyDescent="0.3">
      <c r="H126" s="86"/>
      <c r="I126" s="86"/>
      <c r="J126" s="86"/>
    </row>
    <row r="127" spans="2:11" x14ac:dyDescent="0.3">
      <c r="H127" s="86"/>
      <c r="I127" s="86"/>
      <c r="J127" s="86"/>
    </row>
    <row r="128" spans="2:11" x14ac:dyDescent="0.3">
      <c r="H128" s="86"/>
      <c r="I128" s="86"/>
      <c r="J128" s="86"/>
    </row>
    <row r="129" spans="8:10" x14ac:dyDescent="0.3">
      <c r="H129" s="86"/>
      <c r="I129" s="86"/>
      <c r="J129" s="86"/>
    </row>
    <row r="130" spans="8:10" x14ac:dyDescent="0.3">
      <c r="H130" s="86"/>
      <c r="I130" s="86"/>
      <c r="J130" s="86"/>
    </row>
    <row r="131" spans="8:10" x14ac:dyDescent="0.3">
      <c r="H131" s="86"/>
      <c r="I131" s="86"/>
      <c r="J131" s="86"/>
    </row>
    <row r="132" spans="8:10" x14ac:dyDescent="0.3">
      <c r="H132" s="86"/>
      <c r="I132" s="86"/>
      <c r="J132" s="86"/>
    </row>
    <row r="133" spans="8:10" x14ac:dyDescent="0.3">
      <c r="H133" s="86"/>
      <c r="I133" s="86"/>
      <c r="J133" s="86"/>
    </row>
    <row r="134" spans="8:10" x14ac:dyDescent="0.3">
      <c r="H134" s="86"/>
      <c r="I134" s="86"/>
      <c r="J134" s="86"/>
    </row>
    <row r="135" spans="8:10" x14ac:dyDescent="0.3">
      <c r="H135" s="86"/>
      <c r="I135" s="86"/>
      <c r="J135" s="86"/>
    </row>
    <row r="136" spans="8:10" x14ac:dyDescent="0.3">
      <c r="H136" s="86"/>
      <c r="I136" s="86"/>
      <c r="J136" s="86"/>
    </row>
    <row r="137" spans="8:10" x14ac:dyDescent="0.3">
      <c r="H137" s="86"/>
      <c r="I137" s="86"/>
      <c r="J137" s="86"/>
    </row>
    <row r="138" spans="8:10" x14ac:dyDescent="0.3">
      <c r="H138" s="86"/>
      <c r="I138" s="86"/>
      <c r="J138" s="86"/>
    </row>
    <row r="139" spans="8:10" x14ac:dyDescent="0.3">
      <c r="H139" s="86"/>
      <c r="I139" s="86"/>
      <c r="J139" s="86"/>
    </row>
    <row r="140" spans="8:10" x14ac:dyDescent="0.3">
      <c r="H140" s="86"/>
      <c r="I140" s="86"/>
      <c r="J140" s="86"/>
    </row>
    <row r="141" spans="8:10" x14ac:dyDescent="0.3">
      <c r="H141" s="86"/>
      <c r="I141" s="86"/>
      <c r="J141" s="86"/>
    </row>
    <row r="142" spans="8:10" x14ac:dyDescent="0.3">
      <c r="H142" s="86"/>
      <c r="I142" s="86"/>
      <c r="J142" s="86"/>
    </row>
    <row r="143" spans="8:10" x14ac:dyDescent="0.3">
      <c r="H143" s="86"/>
      <c r="I143" s="86"/>
      <c r="J143" s="86"/>
    </row>
    <row r="144" spans="8:10" x14ac:dyDescent="0.3">
      <c r="H144" s="86"/>
      <c r="I144" s="86"/>
      <c r="J144" s="86"/>
    </row>
    <row r="145" spans="8:10" x14ac:dyDescent="0.3">
      <c r="H145" s="86"/>
      <c r="I145" s="86"/>
      <c r="J145" s="86"/>
    </row>
    <row r="146" spans="8:10" x14ac:dyDescent="0.3">
      <c r="H146" s="86"/>
      <c r="I146" s="86"/>
      <c r="J146" s="86"/>
    </row>
    <row r="147" spans="8:10" x14ac:dyDescent="0.3">
      <c r="H147" s="86"/>
      <c r="I147" s="86"/>
      <c r="J147" s="86"/>
    </row>
    <row r="148" spans="8:10" x14ac:dyDescent="0.3">
      <c r="H148" s="86"/>
      <c r="I148" s="86"/>
      <c r="J148" s="86"/>
    </row>
    <row r="149" spans="8:10" x14ac:dyDescent="0.3">
      <c r="H149" s="86"/>
      <c r="I149" s="86"/>
      <c r="J149" s="86"/>
    </row>
    <row r="150" spans="8:10" x14ac:dyDescent="0.3">
      <c r="H150" s="86"/>
      <c r="I150" s="86"/>
      <c r="J150" s="86"/>
    </row>
    <row r="151" spans="8:10" x14ac:dyDescent="0.3">
      <c r="H151" s="86"/>
      <c r="I151" s="86"/>
      <c r="J151" s="86"/>
    </row>
    <row r="152" spans="8:10" x14ac:dyDescent="0.3">
      <c r="H152" s="86"/>
      <c r="I152" s="86"/>
      <c r="J152" s="86"/>
    </row>
    <row r="153" spans="8:10" x14ac:dyDescent="0.3">
      <c r="H153" s="86"/>
      <c r="I153" s="86"/>
      <c r="J153" s="86"/>
    </row>
    <row r="154" spans="8:10" x14ac:dyDescent="0.3">
      <c r="H154" s="86"/>
      <c r="I154" s="86"/>
      <c r="J154" s="86"/>
    </row>
    <row r="155" spans="8:10" x14ac:dyDescent="0.3">
      <c r="H155" s="86"/>
      <c r="I155" s="86"/>
      <c r="J155" s="86"/>
    </row>
    <row r="156" spans="8:10" x14ac:dyDescent="0.3">
      <c r="H156" s="86"/>
      <c r="I156" s="86"/>
      <c r="J156" s="86"/>
    </row>
    <row r="157" spans="8:10" x14ac:dyDescent="0.3">
      <c r="H157" s="86"/>
      <c r="I157" s="86"/>
      <c r="J157" s="86"/>
    </row>
    <row r="158" spans="8:10" x14ac:dyDescent="0.3">
      <c r="H158" s="86"/>
      <c r="I158" s="86"/>
      <c r="J158" s="86"/>
    </row>
    <row r="159" spans="8:10" x14ac:dyDescent="0.3">
      <c r="H159" s="86"/>
      <c r="I159" s="86"/>
      <c r="J159" s="86"/>
    </row>
    <row r="160" spans="8:10" x14ac:dyDescent="0.3">
      <c r="H160" s="86"/>
      <c r="I160" s="86"/>
      <c r="J160" s="86"/>
    </row>
    <row r="161" spans="8:10" x14ac:dyDescent="0.3">
      <c r="H161" s="86"/>
      <c r="I161" s="86"/>
      <c r="J161" s="86"/>
    </row>
    <row r="162" spans="8:10" x14ac:dyDescent="0.3">
      <c r="H162" s="86"/>
      <c r="I162" s="86"/>
      <c r="J162" s="86"/>
    </row>
    <row r="163" spans="8:10" x14ac:dyDescent="0.3">
      <c r="H163" s="86"/>
      <c r="I163" s="86"/>
      <c r="J163" s="86"/>
    </row>
    <row r="164" spans="8:10" x14ac:dyDescent="0.3">
      <c r="H164" s="86"/>
      <c r="I164" s="86"/>
      <c r="J164" s="86"/>
    </row>
    <row r="165" spans="8:10" x14ac:dyDescent="0.3">
      <c r="H165" s="86"/>
      <c r="I165" s="86"/>
      <c r="J165" s="86"/>
    </row>
    <row r="166" spans="8:10" x14ac:dyDescent="0.3">
      <c r="H166" s="86"/>
      <c r="I166" s="86"/>
      <c r="J166" s="86"/>
    </row>
    <row r="167" spans="8:10" x14ac:dyDescent="0.3">
      <c r="H167" s="86"/>
      <c r="I167" s="86"/>
      <c r="J167" s="86"/>
    </row>
    <row r="168" spans="8:10" x14ac:dyDescent="0.3">
      <c r="H168" s="86"/>
      <c r="I168" s="86"/>
      <c r="J168" s="86"/>
    </row>
    <row r="169" spans="8:10" x14ac:dyDescent="0.3">
      <c r="H169" s="86"/>
      <c r="I169" s="86"/>
      <c r="J169" s="86"/>
    </row>
    <row r="170" spans="8:10" x14ac:dyDescent="0.3">
      <c r="H170" s="86"/>
      <c r="I170" s="86"/>
      <c r="J170" s="86"/>
    </row>
    <row r="171" spans="8:10" x14ac:dyDescent="0.3">
      <c r="H171" s="86"/>
      <c r="I171" s="86"/>
      <c r="J171" s="86"/>
    </row>
    <row r="172" spans="8:10" x14ac:dyDescent="0.3">
      <c r="H172" s="86"/>
      <c r="I172" s="86"/>
      <c r="J172" s="86"/>
    </row>
    <row r="173" spans="8:10" x14ac:dyDescent="0.3">
      <c r="H173" s="86"/>
      <c r="I173" s="86"/>
      <c r="J173" s="86"/>
    </row>
    <row r="174" spans="8:10" x14ac:dyDescent="0.3">
      <c r="H174" s="86"/>
      <c r="I174" s="86"/>
      <c r="J174" s="86"/>
    </row>
    <row r="175" spans="8:10" x14ac:dyDescent="0.3">
      <c r="H175" s="86"/>
      <c r="I175" s="86"/>
      <c r="J175" s="86"/>
    </row>
    <row r="176" spans="8:10" x14ac:dyDescent="0.3">
      <c r="H176" s="86"/>
      <c r="I176" s="86"/>
      <c r="J176" s="86"/>
    </row>
    <row r="177" spans="8:10" x14ac:dyDescent="0.3">
      <c r="H177" s="86"/>
      <c r="I177" s="86"/>
      <c r="J177" s="86"/>
    </row>
    <row r="178" spans="8:10" x14ac:dyDescent="0.3">
      <c r="H178" s="86"/>
      <c r="I178" s="86"/>
      <c r="J178" s="86"/>
    </row>
    <row r="179" spans="8:10" x14ac:dyDescent="0.3">
      <c r="H179" s="86"/>
      <c r="I179" s="86"/>
      <c r="J179" s="86"/>
    </row>
    <row r="180" spans="8:10" x14ac:dyDescent="0.3">
      <c r="H180" s="86"/>
      <c r="I180" s="86"/>
      <c r="J180" s="86"/>
    </row>
    <row r="181" spans="8:10" x14ac:dyDescent="0.3">
      <c r="H181" s="86"/>
      <c r="I181" s="86"/>
      <c r="J181" s="86"/>
    </row>
    <row r="182" spans="8:10" x14ac:dyDescent="0.3">
      <c r="H182" s="86"/>
      <c r="I182" s="86"/>
      <c r="J182" s="86"/>
    </row>
    <row r="183" spans="8:10" x14ac:dyDescent="0.3">
      <c r="H183" s="86"/>
      <c r="I183" s="86"/>
      <c r="J183" s="86"/>
    </row>
    <row r="184" spans="8:10" x14ac:dyDescent="0.3">
      <c r="H184" s="86"/>
      <c r="I184" s="86"/>
      <c r="J184" s="86"/>
    </row>
    <row r="185" spans="8:10" x14ac:dyDescent="0.3">
      <c r="H185" s="86"/>
      <c r="I185" s="86"/>
      <c r="J185" s="86"/>
    </row>
    <row r="186" spans="8:10" x14ac:dyDescent="0.3">
      <c r="H186" s="86"/>
      <c r="I186" s="86"/>
      <c r="J186" s="86"/>
    </row>
    <row r="187" spans="8:10" x14ac:dyDescent="0.3">
      <c r="H187" s="86"/>
      <c r="I187" s="86"/>
      <c r="J187" s="86"/>
    </row>
    <row r="188" spans="8:10" x14ac:dyDescent="0.3">
      <c r="H188" s="86"/>
      <c r="I188" s="86"/>
      <c r="J188" s="86"/>
    </row>
    <row r="189" spans="8:10" x14ac:dyDescent="0.3">
      <c r="H189" s="86"/>
      <c r="I189" s="86"/>
      <c r="J189" s="86"/>
    </row>
    <row r="190" spans="8:10" x14ac:dyDescent="0.3">
      <c r="H190" s="86"/>
      <c r="I190" s="86"/>
      <c r="J190" s="86"/>
    </row>
    <row r="191" spans="8:10" x14ac:dyDescent="0.3">
      <c r="H191" s="86"/>
      <c r="I191" s="86"/>
      <c r="J191" s="86"/>
    </row>
    <row r="192" spans="8:10" x14ac:dyDescent="0.3">
      <c r="H192" s="86"/>
      <c r="I192" s="86"/>
      <c r="J192" s="86"/>
    </row>
    <row r="193" spans="8:10" x14ac:dyDescent="0.3">
      <c r="H193" s="86"/>
      <c r="I193" s="86"/>
      <c r="J193" s="86"/>
    </row>
    <row r="194" spans="8:10" x14ac:dyDescent="0.3">
      <c r="H194" s="86"/>
      <c r="I194" s="86"/>
      <c r="J194" s="86"/>
    </row>
    <row r="195" spans="8:10" x14ac:dyDescent="0.3">
      <c r="H195" s="86"/>
      <c r="I195" s="86"/>
      <c r="J195" s="86"/>
    </row>
    <row r="196" spans="8:10" x14ac:dyDescent="0.3">
      <c r="H196" s="86"/>
      <c r="I196" s="86"/>
      <c r="J196" s="86"/>
    </row>
    <row r="197" spans="8:10" x14ac:dyDescent="0.3">
      <c r="H197" s="86"/>
      <c r="I197" s="86"/>
      <c r="J197" s="86"/>
    </row>
    <row r="198" spans="8:10" x14ac:dyDescent="0.3">
      <c r="H198" s="86"/>
      <c r="I198" s="86"/>
      <c r="J198" s="86"/>
    </row>
    <row r="199" spans="8:10" x14ac:dyDescent="0.3">
      <c r="H199" s="86"/>
      <c r="I199" s="86"/>
      <c r="J199" s="86"/>
    </row>
    <row r="200" spans="8:10" x14ac:dyDescent="0.3">
      <c r="H200" s="86"/>
      <c r="I200" s="86"/>
      <c r="J200" s="86"/>
    </row>
    <row r="201" spans="8:10" x14ac:dyDescent="0.3">
      <c r="H201" s="86"/>
      <c r="I201" s="86"/>
      <c r="J201" s="86"/>
    </row>
    <row r="202" spans="8:10" x14ac:dyDescent="0.3">
      <c r="H202" s="86"/>
      <c r="I202" s="86"/>
      <c r="J202" s="86"/>
    </row>
    <row r="203" spans="8:10" x14ac:dyDescent="0.3">
      <c r="H203" s="86"/>
      <c r="I203" s="86"/>
      <c r="J203" s="86"/>
    </row>
    <row r="204" spans="8:10" x14ac:dyDescent="0.3">
      <c r="H204" s="86"/>
      <c r="I204" s="86"/>
      <c r="J204" s="86"/>
    </row>
    <row r="205" spans="8:10" x14ac:dyDescent="0.3">
      <c r="H205" s="86"/>
      <c r="I205" s="86"/>
      <c r="J205" s="86"/>
    </row>
    <row r="206" spans="8:10" x14ac:dyDescent="0.3">
      <c r="H206" s="86"/>
      <c r="I206" s="86"/>
      <c r="J206" s="86"/>
    </row>
    <row r="207" spans="8:10" x14ac:dyDescent="0.3">
      <c r="H207" s="86"/>
      <c r="I207" s="86"/>
      <c r="J207" s="86"/>
    </row>
    <row r="208" spans="8:10" x14ac:dyDescent="0.3">
      <c r="H208" s="86"/>
      <c r="I208" s="86"/>
      <c r="J208" s="86"/>
    </row>
    <row r="209" spans="8:10" x14ac:dyDescent="0.3">
      <c r="H209" s="86"/>
      <c r="I209" s="86"/>
      <c r="J209" s="86"/>
    </row>
    <row r="210" spans="8:10" x14ac:dyDescent="0.3">
      <c r="H210" s="86"/>
      <c r="I210" s="86"/>
      <c r="J210" s="86"/>
    </row>
    <row r="211" spans="8:10" x14ac:dyDescent="0.3">
      <c r="H211" s="86"/>
      <c r="I211" s="86"/>
      <c r="J211" s="86"/>
    </row>
    <row r="212" spans="8:10" x14ac:dyDescent="0.3">
      <c r="H212" s="86"/>
      <c r="I212" s="86"/>
      <c r="J212" s="86"/>
    </row>
    <row r="213" spans="8:10" x14ac:dyDescent="0.3">
      <c r="H213" s="86"/>
      <c r="I213" s="86"/>
      <c r="J213" s="86"/>
    </row>
    <row r="214" spans="8:10" x14ac:dyDescent="0.3">
      <c r="H214" s="86"/>
      <c r="I214" s="86"/>
      <c r="J214" s="86"/>
    </row>
    <row r="215" spans="8:10" x14ac:dyDescent="0.3">
      <c r="H215" s="86"/>
      <c r="I215" s="86"/>
      <c r="J215" s="86"/>
    </row>
    <row r="216" spans="8:10" x14ac:dyDescent="0.3">
      <c r="H216" s="86"/>
      <c r="I216" s="86"/>
      <c r="J216" s="86"/>
    </row>
    <row r="217" spans="8:10" x14ac:dyDescent="0.3">
      <c r="H217" s="86"/>
      <c r="I217" s="86"/>
      <c r="J217" s="86"/>
    </row>
    <row r="218" spans="8:10" x14ac:dyDescent="0.3">
      <c r="H218" s="86"/>
      <c r="I218" s="86"/>
      <c r="J218" s="86"/>
    </row>
    <row r="219" spans="8:10" x14ac:dyDescent="0.3">
      <c r="H219" s="86"/>
      <c r="I219" s="86"/>
      <c r="J219" s="86"/>
    </row>
    <row r="220" spans="8:10" x14ac:dyDescent="0.3">
      <c r="H220" s="86"/>
      <c r="I220" s="86"/>
      <c r="J220" s="86"/>
    </row>
    <row r="221" spans="8:10" x14ac:dyDescent="0.3">
      <c r="H221" s="86"/>
      <c r="I221" s="86"/>
      <c r="J221" s="86"/>
    </row>
    <row r="222" spans="8:10" x14ac:dyDescent="0.3">
      <c r="H222" s="86"/>
      <c r="I222" s="86"/>
      <c r="J222" s="86"/>
    </row>
    <row r="223" spans="8:10" x14ac:dyDescent="0.3">
      <c r="H223" s="86"/>
      <c r="I223" s="86"/>
      <c r="J223" s="86"/>
    </row>
    <row r="224" spans="8:10" x14ac:dyDescent="0.3">
      <c r="H224" s="86"/>
      <c r="I224" s="86"/>
      <c r="J224" s="86"/>
    </row>
    <row r="225" spans="8:10" x14ac:dyDescent="0.3">
      <c r="H225" s="86"/>
      <c r="I225" s="86"/>
      <c r="J225" s="86"/>
    </row>
    <row r="226" spans="8:10" x14ac:dyDescent="0.3">
      <c r="H226" s="86"/>
      <c r="I226" s="86"/>
      <c r="J226" s="86"/>
    </row>
    <row r="227" spans="8:10" x14ac:dyDescent="0.3">
      <c r="H227" s="86"/>
      <c r="I227" s="86"/>
      <c r="J227" s="86"/>
    </row>
    <row r="228" spans="8:10" x14ac:dyDescent="0.3">
      <c r="H228" s="86"/>
      <c r="I228" s="86"/>
      <c r="J228" s="86"/>
    </row>
    <row r="229" spans="8:10" x14ac:dyDescent="0.3">
      <c r="H229" s="86"/>
      <c r="I229" s="86"/>
      <c r="J229" s="86"/>
    </row>
    <row r="230" spans="8:10" x14ac:dyDescent="0.3">
      <c r="H230" s="86"/>
      <c r="I230" s="86"/>
      <c r="J230" s="86"/>
    </row>
    <row r="231" spans="8:10" x14ac:dyDescent="0.3">
      <c r="H231" s="86"/>
      <c r="I231" s="86"/>
      <c r="J231" s="86"/>
    </row>
    <row r="232" spans="8:10" x14ac:dyDescent="0.3">
      <c r="H232" s="86"/>
      <c r="I232" s="86"/>
      <c r="J232" s="86"/>
    </row>
    <row r="233" spans="8:10" x14ac:dyDescent="0.3">
      <c r="H233" s="86"/>
      <c r="I233" s="86"/>
      <c r="J233" s="86"/>
    </row>
    <row r="234" spans="8:10" x14ac:dyDescent="0.3">
      <c r="H234" s="86"/>
      <c r="I234" s="86"/>
      <c r="J234" s="86"/>
    </row>
    <row r="235" spans="8:10" x14ac:dyDescent="0.3">
      <c r="H235" s="86"/>
      <c r="I235" s="86"/>
      <c r="J235" s="86"/>
    </row>
    <row r="236" spans="8:10" x14ac:dyDescent="0.3">
      <c r="H236" s="86"/>
      <c r="I236" s="86"/>
      <c r="J236" s="86"/>
    </row>
    <row r="237" spans="8:10" x14ac:dyDescent="0.3">
      <c r="H237" s="86"/>
      <c r="I237" s="86"/>
      <c r="J237" s="86"/>
    </row>
    <row r="238" spans="8:10" x14ac:dyDescent="0.3">
      <c r="H238" s="86"/>
      <c r="I238" s="86"/>
      <c r="J238" s="86"/>
    </row>
    <row r="239" spans="8:10" x14ac:dyDescent="0.3">
      <c r="H239" s="86"/>
      <c r="I239" s="86"/>
      <c r="J239" s="86"/>
    </row>
    <row r="240" spans="8:10" x14ac:dyDescent="0.3">
      <c r="H240" s="86"/>
      <c r="I240" s="86"/>
      <c r="J240" s="86"/>
    </row>
    <row r="241" spans="8:10" x14ac:dyDescent="0.3">
      <c r="H241" s="86"/>
      <c r="I241" s="86"/>
      <c r="J241" s="86"/>
    </row>
    <row r="242" spans="8:10" x14ac:dyDescent="0.3">
      <c r="H242" s="86"/>
      <c r="I242" s="86"/>
      <c r="J242" s="86"/>
    </row>
    <row r="243" spans="8:10" x14ac:dyDescent="0.3">
      <c r="H243" s="86"/>
      <c r="I243" s="86"/>
      <c r="J243" s="86"/>
    </row>
    <row r="244" spans="8:10" x14ac:dyDescent="0.3">
      <c r="H244" s="86"/>
      <c r="I244" s="86"/>
      <c r="J244" s="86"/>
    </row>
    <row r="245" spans="8:10" x14ac:dyDescent="0.3">
      <c r="H245" s="86"/>
      <c r="I245" s="86"/>
      <c r="J245" s="86"/>
    </row>
    <row r="246" spans="8:10" x14ac:dyDescent="0.3">
      <c r="H246" s="86"/>
      <c r="I246" s="86"/>
      <c r="J246" s="86"/>
    </row>
    <row r="247" spans="8:10" x14ac:dyDescent="0.3">
      <c r="H247" s="86"/>
      <c r="I247" s="86"/>
      <c r="J247" s="86"/>
    </row>
    <row r="248" spans="8:10" x14ac:dyDescent="0.3">
      <c r="H248" s="86"/>
      <c r="I248" s="86"/>
      <c r="J248" s="86"/>
    </row>
    <row r="249" spans="8:10" x14ac:dyDescent="0.3">
      <c r="H249" s="86"/>
      <c r="I249" s="86"/>
      <c r="J249" s="86"/>
    </row>
    <row r="250" spans="8:10" x14ac:dyDescent="0.3">
      <c r="H250" s="86"/>
      <c r="I250" s="86"/>
      <c r="J250" s="86"/>
    </row>
    <row r="251" spans="8:10" x14ac:dyDescent="0.3">
      <c r="H251" s="86"/>
      <c r="I251" s="86"/>
      <c r="J251" s="86"/>
    </row>
    <row r="252" spans="8:10" x14ac:dyDescent="0.3">
      <c r="H252" s="86"/>
      <c r="I252" s="86"/>
      <c r="J252" s="86"/>
    </row>
    <row r="253" spans="8:10" x14ac:dyDescent="0.3">
      <c r="H253" s="86"/>
      <c r="I253" s="86"/>
      <c r="J253" s="86"/>
    </row>
    <row r="254" spans="8:10" x14ac:dyDescent="0.3">
      <c r="H254" s="86"/>
      <c r="I254" s="86"/>
      <c r="J254" s="86"/>
    </row>
    <row r="255" spans="8:10" x14ac:dyDescent="0.3">
      <c r="H255" s="86"/>
      <c r="I255" s="86"/>
      <c r="J255" s="86"/>
    </row>
    <row r="256" spans="8:10" x14ac:dyDescent="0.3">
      <c r="H256" s="86"/>
      <c r="I256" s="86"/>
      <c r="J256" s="86"/>
    </row>
    <row r="257" spans="8:10" x14ac:dyDescent="0.3">
      <c r="H257" s="86"/>
      <c r="I257" s="86"/>
      <c r="J257" s="86"/>
    </row>
    <row r="258" spans="8:10" x14ac:dyDescent="0.3">
      <c r="H258" s="86"/>
      <c r="I258" s="86"/>
      <c r="J258" s="86"/>
    </row>
    <row r="259" spans="8:10" x14ac:dyDescent="0.3">
      <c r="H259" s="86"/>
      <c r="I259" s="86"/>
      <c r="J259" s="86"/>
    </row>
    <row r="260" spans="8:10" x14ac:dyDescent="0.3">
      <c r="H260" s="86"/>
      <c r="I260" s="86"/>
      <c r="J260" s="86"/>
    </row>
    <row r="261" spans="8:10" x14ac:dyDescent="0.3">
      <c r="H261" s="86"/>
      <c r="I261" s="86"/>
      <c r="J261" s="86"/>
    </row>
    <row r="262" spans="8:10" x14ac:dyDescent="0.3">
      <c r="H262" s="86"/>
      <c r="I262" s="86"/>
      <c r="J262" s="86"/>
    </row>
    <row r="263" spans="8:10" x14ac:dyDescent="0.3">
      <c r="H263" s="86"/>
      <c r="I263" s="86"/>
      <c r="J263" s="86"/>
    </row>
    <row r="264" spans="8:10" x14ac:dyDescent="0.3">
      <c r="H264" s="86"/>
      <c r="I264" s="86"/>
      <c r="J264" s="86"/>
    </row>
    <row r="265" spans="8:10" x14ac:dyDescent="0.3">
      <c r="H265" s="86"/>
      <c r="I265" s="86"/>
      <c r="J265" s="86"/>
    </row>
    <row r="266" spans="8:10" x14ac:dyDescent="0.3">
      <c r="H266" s="86"/>
      <c r="I266" s="86"/>
      <c r="J266" s="86"/>
    </row>
    <row r="267" spans="8:10" x14ac:dyDescent="0.3">
      <c r="H267" s="86"/>
      <c r="I267" s="86"/>
      <c r="J267" s="86"/>
    </row>
    <row r="268" spans="8:10" x14ac:dyDescent="0.3">
      <c r="H268" s="86"/>
      <c r="I268" s="86"/>
      <c r="J268" s="86"/>
    </row>
    <row r="269" spans="8:10" x14ac:dyDescent="0.3">
      <c r="H269" s="86"/>
      <c r="I269" s="86"/>
      <c r="J269" s="86"/>
    </row>
    <row r="270" spans="8:10" x14ac:dyDescent="0.3">
      <c r="H270" s="86"/>
      <c r="I270" s="86"/>
      <c r="J270" s="86"/>
    </row>
    <row r="271" spans="8:10" x14ac:dyDescent="0.3">
      <c r="H271" s="86"/>
      <c r="I271" s="86"/>
      <c r="J271" s="86"/>
    </row>
    <row r="272" spans="8:10" x14ac:dyDescent="0.3">
      <c r="H272" s="86"/>
      <c r="I272" s="86"/>
      <c r="J272" s="86"/>
    </row>
    <row r="273" spans="8:10" x14ac:dyDescent="0.3">
      <c r="H273" s="86"/>
      <c r="I273" s="86"/>
      <c r="J273" s="86"/>
    </row>
    <row r="274" spans="8:10" x14ac:dyDescent="0.3">
      <c r="H274" s="86"/>
      <c r="I274" s="86"/>
      <c r="J274" s="86"/>
    </row>
    <row r="275" spans="8:10" x14ac:dyDescent="0.3">
      <c r="H275" s="86"/>
      <c r="I275" s="86"/>
      <c r="J275" s="86"/>
    </row>
    <row r="276" spans="8:10" x14ac:dyDescent="0.3">
      <c r="H276" s="86"/>
      <c r="I276" s="86"/>
      <c r="J276" s="86"/>
    </row>
    <row r="277" spans="8:10" x14ac:dyDescent="0.3">
      <c r="H277" s="86"/>
      <c r="I277" s="86"/>
      <c r="J277" s="86"/>
    </row>
    <row r="278" spans="8:10" x14ac:dyDescent="0.3">
      <c r="H278" s="86"/>
      <c r="I278" s="86"/>
      <c r="J278" s="86"/>
    </row>
    <row r="279" spans="8:10" x14ac:dyDescent="0.3">
      <c r="H279" s="86"/>
      <c r="I279" s="86"/>
      <c r="J279" s="86"/>
    </row>
    <row r="280" spans="8:10" x14ac:dyDescent="0.3">
      <c r="H280" s="86"/>
      <c r="I280" s="86"/>
      <c r="J280" s="86"/>
    </row>
    <row r="281" spans="8:10" x14ac:dyDescent="0.3">
      <c r="H281" s="86"/>
      <c r="I281" s="86"/>
      <c r="J281" s="86"/>
    </row>
    <row r="282" spans="8:10" x14ac:dyDescent="0.3">
      <c r="H282" s="86"/>
      <c r="I282" s="86"/>
      <c r="J282" s="86"/>
    </row>
    <row r="283" spans="8:10" x14ac:dyDescent="0.3">
      <c r="H283" s="86"/>
      <c r="I283" s="86"/>
      <c r="J283" s="86"/>
    </row>
    <row r="284" spans="8:10" x14ac:dyDescent="0.3">
      <c r="H284" s="86"/>
      <c r="I284" s="86"/>
      <c r="J284" s="86"/>
    </row>
    <row r="285" spans="8:10" x14ac:dyDescent="0.3">
      <c r="H285" s="86"/>
      <c r="I285" s="86"/>
      <c r="J285" s="86"/>
    </row>
    <row r="286" spans="8:10" x14ac:dyDescent="0.3">
      <c r="H286" s="86"/>
      <c r="I286" s="86"/>
      <c r="J286" s="86"/>
    </row>
    <row r="287" spans="8:10" x14ac:dyDescent="0.3">
      <c r="H287" s="86"/>
      <c r="I287" s="86"/>
      <c r="J287" s="86"/>
    </row>
    <row r="288" spans="8:10" x14ac:dyDescent="0.3">
      <c r="H288" s="86"/>
      <c r="I288" s="86"/>
      <c r="J288" s="86"/>
    </row>
    <row r="289" spans="8:10" x14ac:dyDescent="0.3">
      <c r="H289" s="86"/>
      <c r="I289" s="86"/>
      <c r="J289" s="86"/>
    </row>
    <row r="290" spans="8:10" x14ac:dyDescent="0.3">
      <c r="H290" s="86"/>
      <c r="I290" s="86"/>
      <c r="J290" s="86"/>
    </row>
    <row r="291" spans="8:10" x14ac:dyDescent="0.3">
      <c r="H291" s="86"/>
      <c r="I291" s="86"/>
      <c r="J291" s="86"/>
    </row>
    <row r="292" spans="8:10" x14ac:dyDescent="0.3">
      <c r="H292" s="86"/>
      <c r="I292" s="86"/>
      <c r="J292" s="86"/>
    </row>
    <row r="293" spans="8:10" x14ac:dyDescent="0.3">
      <c r="H293" s="86"/>
      <c r="I293" s="86"/>
      <c r="J293" s="86"/>
    </row>
    <row r="294" spans="8:10" x14ac:dyDescent="0.3">
      <c r="H294" s="86"/>
      <c r="I294" s="86"/>
      <c r="J294" s="86"/>
    </row>
    <row r="295" spans="8:10" x14ac:dyDescent="0.3">
      <c r="H295" s="86"/>
      <c r="I295" s="86"/>
      <c r="J295" s="86"/>
    </row>
    <row r="296" spans="8:10" x14ac:dyDescent="0.3">
      <c r="H296" s="86"/>
      <c r="I296" s="86"/>
      <c r="J296" s="86"/>
    </row>
    <row r="297" spans="8:10" x14ac:dyDescent="0.3">
      <c r="H297" s="86"/>
      <c r="I297" s="86"/>
      <c r="J297" s="86"/>
    </row>
    <row r="298" spans="8:10" x14ac:dyDescent="0.3">
      <c r="H298" s="86"/>
      <c r="I298" s="86"/>
      <c r="J298" s="86"/>
    </row>
    <row r="299" spans="8:10" x14ac:dyDescent="0.3">
      <c r="H299" s="86"/>
      <c r="I299" s="86"/>
      <c r="J299" s="86"/>
    </row>
    <row r="300" spans="8:10" x14ac:dyDescent="0.3">
      <c r="H300" s="86"/>
      <c r="I300" s="86"/>
      <c r="J300" s="86"/>
    </row>
    <row r="301" spans="8:10" x14ac:dyDescent="0.3">
      <c r="H301" s="86"/>
      <c r="I301" s="86"/>
      <c r="J301" s="86"/>
    </row>
    <row r="302" spans="8:10" x14ac:dyDescent="0.3">
      <c r="H302" s="86"/>
      <c r="I302" s="86"/>
      <c r="J302" s="86"/>
    </row>
    <row r="303" spans="8:10" x14ac:dyDescent="0.3">
      <c r="H303" s="86"/>
      <c r="I303" s="86"/>
      <c r="J303" s="86"/>
    </row>
    <row r="304" spans="8:10" x14ac:dyDescent="0.3">
      <c r="H304" s="86"/>
      <c r="I304" s="86"/>
      <c r="J304" s="86"/>
    </row>
    <row r="305" spans="8:10" x14ac:dyDescent="0.3">
      <c r="H305" s="86"/>
      <c r="I305" s="86"/>
      <c r="J305" s="86"/>
    </row>
    <row r="306" spans="8:10" x14ac:dyDescent="0.3">
      <c r="H306" s="86"/>
      <c r="I306" s="86"/>
      <c r="J306" s="86"/>
    </row>
    <row r="307" spans="8:10" x14ac:dyDescent="0.3">
      <c r="H307" s="86"/>
      <c r="I307" s="86"/>
      <c r="J307" s="86"/>
    </row>
    <row r="308" spans="8:10" x14ac:dyDescent="0.3">
      <c r="H308" s="86"/>
      <c r="I308" s="86"/>
      <c r="J308" s="86"/>
    </row>
    <row r="309" spans="8:10" x14ac:dyDescent="0.3">
      <c r="H309" s="86"/>
      <c r="I309" s="86"/>
      <c r="J309" s="86"/>
    </row>
    <row r="310" spans="8:10" x14ac:dyDescent="0.3">
      <c r="H310" s="86"/>
      <c r="I310" s="86"/>
      <c r="J310" s="86"/>
    </row>
    <row r="311" spans="8:10" x14ac:dyDescent="0.3">
      <c r="H311" s="86"/>
      <c r="I311" s="86"/>
      <c r="J311" s="86"/>
    </row>
    <row r="312" spans="8:10" x14ac:dyDescent="0.3">
      <c r="H312" s="86"/>
      <c r="I312" s="86"/>
      <c r="J312" s="86"/>
    </row>
    <row r="313" spans="8:10" x14ac:dyDescent="0.3">
      <c r="H313" s="86"/>
      <c r="I313" s="86"/>
      <c r="J313" s="86"/>
    </row>
    <row r="314" spans="8:10" x14ac:dyDescent="0.3">
      <c r="H314" s="86"/>
      <c r="I314" s="86"/>
      <c r="J314" s="86"/>
    </row>
    <row r="315" spans="8:10" x14ac:dyDescent="0.3">
      <c r="H315" s="86"/>
      <c r="I315" s="86"/>
      <c r="J315" s="86"/>
    </row>
    <row r="316" spans="8:10" x14ac:dyDescent="0.3">
      <c r="H316" s="86"/>
      <c r="I316" s="86"/>
      <c r="J316" s="86"/>
    </row>
    <row r="317" spans="8:10" x14ac:dyDescent="0.3">
      <c r="H317" s="86"/>
      <c r="I317" s="86"/>
      <c r="J317" s="86"/>
    </row>
    <row r="318" spans="8:10" x14ac:dyDescent="0.3">
      <c r="H318" s="86"/>
      <c r="I318" s="86"/>
      <c r="J318" s="86"/>
    </row>
    <row r="319" spans="8:10" x14ac:dyDescent="0.3">
      <c r="H319" s="86"/>
      <c r="I319" s="86"/>
      <c r="J319" s="86"/>
    </row>
    <row r="320" spans="8:10" x14ac:dyDescent="0.3">
      <c r="H320" s="86"/>
      <c r="I320" s="86"/>
      <c r="J320" s="86"/>
    </row>
    <row r="321" spans="8:10" x14ac:dyDescent="0.3">
      <c r="H321" s="86"/>
      <c r="I321" s="86"/>
      <c r="J321" s="86"/>
    </row>
    <row r="322" spans="8:10" x14ac:dyDescent="0.3">
      <c r="H322" s="86"/>
      <c r="I322" s="86"/>
      <c r="J322" s="86"/>
    </row>
    <row r="323" spans="8:10" x14ac:dyDescent="0.3">
      <c r="H323" s="86"/>
      <c r="I323" s="86"/>
      <c r="J323" s="86"/>
    </row>
    <row r="324" spans="8:10" x14ac:dyDescent="0.3">
      <c r="H324" s="86"/>
      <c r="I324" s="86"/>
      <c r="J324" s="86"/>
    </row>
    <row r="325" spans="8:10" x14ac:dyDescent="0.3">
      <c r="H325" s="86"/>
      <c r="I325" s="86"/>
      <c r="J325" s="86"/>
    </row>
    <row r="326" spans="8:10" x14ac:dyDescent="0.3">
      <c r="H326" s="86"/>
      <c r="I326" s="86"/>
      <c r="J326" s="86"/>
    </row>
    <row r="327" spans="8:10" x14ac:dyDescent="0.3">
      <c r="H327" s="86"/>
      <c r="I327" s="86"/>
      <c r="J327" s="86"/>
    </row>
    <row r="328" spans="8:10" x14ac:dyDescent="0.3">
      <c r="H328" s="86"/>
      <c r="I328" s="86"/>
      <c r="J328" s="86"/>
    </row>
    <row r="329" spans="8:10" x14ac:dyDescent="0.3">
      <c r="H329" s="86"/>
      <c r="I329" s="86"/>
      <c r="J329" s="86"/>
    </row>
    <row r="330" spans="8:10" x14ac:dyDescent="0.3">
      <c r="H330" s="86"/>
      <c r="I330" s="86"/>
      <c r="J330" s="86"/>
    </row>
    <row r="331" spans="8:10" x14ac:dyDescent="0.3">
      <c r="H331" s="86"/>
      <c r="I331" s="86"/>
      <c r="J331" s="86"/>
    </row>
    <row r="332" spans="8:10" x14ac:dyDescent="0.3">
      <c r="H332" s="86"/>
      <c r="I332" s="86"/>
      <c r="J332" s="86"/>
    </row>
    <row r="333" spans="8:10" x14ac:dyDescent="0.3">
      <c r="H333" s="86"/>
      <c r="I333" s="86"/>
      <c r="J333" s="86"/>
    </row>
    <row r="334" spans="8:10" x14ac:dyDescent="0.3">
      <c r="H334" s="86"/>
      <c r="I334" s="86"/>
      <c r="J334" s="86"/>
    </row>
    <row r="335" spans="8:10" x14ac:dyDescent="0.3">
      <c r="H335" s="86"/>
      <c r="I335" s="86"/>
      <c r="J335" s="86"/>
    </row>
    <row r="336" spans="8:10" x14ac:dyDescent="0.3">
      <c r="H336" s="86"/>
      <c r="I336" s="86"/>
      <c r="J336" s="86"/>
    </row>
    <row r="337" spans="8:10" x14ac:dyDescent="0.3">
      <c r="H337" s="86"/>
      <c r="I337" s="86"/>
      <c r="J337" s="86"/>
    </row>
    <row r="338" spans="8:10" x14ac:dyDescent="0.3">
      <c r="H338" s="86"/>
      <c r="I338" s="86"/>
      <c r="J338" s="86"/>
    </row>
    <row r="339" spans="8:10" x14ac:dyDescent="0.3">
      <c r="H339" s="86"/>
      <c r="I339" s="86"/>
      <c r="J339" s="86"/>
    </row>
    <row r="340" spans="8:10" x14ac:dyDescent="0.3">
      <c r="H340" s="86"/>
      <c r="I340" s="86"/>
      <c r="J340" s="86"/>
    </row>
    <row r="341" spans="8:10" x14ac:dyDescent="0.3">
      <c r="H341" s="86"/>
      <c r="I341" s="86"/>
      <c r="J341" s="86"/>
    </row>
    <row r="342" spans="8:10" x14ac:dyDescent="0.3">
      <c r="H342" s="86"/>
      <c r="I342" s="86"/>
      <c r="J342" s="86"/>
    </row>
    <row r="343" spans="8:10" x14ac:dyDescent="0.3">
      <c r="H343" s="86"/>
      <c r="I343" s="86"/>
      <c r="J343" s="86"/>
    </row>
    <row r="344" spans="8:10" x14ac:dyDescent="0.3">
      <c r="H344" s="86"/>
      <c r="I344" s="86"/>
      <c r="J344" s="86"/>
    </row>
    <row r="345" spans="8:10" x14ac:dyDescent="0.3">
      <c r="H345" s="86"/>
      <c r="I345" s="86"/>
      <c r="J345" s="86"/>
    </row>
    <row r="346" spans="8:10" x14ac:dyDescent="0.3">
      <c r="H346" s="86"/>
      <c r="I346" s="86"/>
      <c r="J346" s="86"/>
    </row>
    <row r="347" spans="8:10" x14ac:dyDescent="0.3">
      <c r="H347" s="86"/>
      <c r="I347" s="86"/>
      <c r="J347" s="86"/>
    </row>
    <row r="348" spans="8:10" x14ac:dyDescent="0.3">
      <c r="H348" s="86"/>
      <c r="I348" s="86"/>
      <c r="J348" s="86"/>
    </row>
    <row r="349" spans="8:10" x14ac:dyDescent="0.3">
      <c r="H349" s="86"/>
      <c r="I349" s="86"/>
      <c r="J349" s="86"/>
    </row>
    <row r="350" spans="8:10" x14ac:dyDescent="0.3">
      <c r="H350" s="86"/>
      <c r="I350" s="86"/>
      <c r="J350" s="86"/>
    </row>
    <row r="351" spans="8:10" x14ac:dyDescent="0.3">
      <c r="H351" s="86"/>
      <c r="I351" s="86"/>
      <c r="J351" s="86"/>
    </row>
    <row r="352" spans="8:10" x14ac:dyDescent="0.3">
      <c r="H352" s="86"/>
      <c r="I352" s="86"/>
      <c r="J352" s="86"/>
    </row>
    <row r="353" spans="8:10" x14ac:dyDescent="0.3">
      <c r="H353" s="86"/>
      <c r="I353" s="86"/>
      <c r="J353" s="86"/>
    </row>
    <row r="354" spans="8:10" x14ac:dyDescent="0.3">
      <c r="H354" s="86"/>
      <c r="I354" s="86"/>
      <c r="J354" s="86"/>
    </row>
    <row r="355" spans="8:10" x14ac:dyDescent="0.3">
      <c r="H355" s="86"/>
      <c r="I355" s="86"/>
      <c r="J355" s="86"/>
    </row>
    <row r="356" spans="8:10" x14ac:dyDescent="0.3">
      <c r="H356" s="86"/>
      <c r="I356" s="86"/>
      <c r="J356" s="86"/>
    </row>
    <row r="357" spans="8:10" x14ac:dyDescent="0.3">
      <c r="H357" s="86"/>
      <c r="I357" s="86"/>
      <c r="J357" s="86"/>
    </row>
    <row r="358" spans="8:10" x14ac:dyDescent="0.3">
      <c r="H358" s="86"/>
      <c r="I358" s="86"/>
      <c r="J358" s="86"/>
    </row>
    <row r="359" spans="8:10" x14ac:dyDescent="0.3">
      <c r="H359" s="86"/>
      <c r="I359" s="86"/>
      <c r="J359" s="86"/>
    </row>
    <row r="360" spans="8:10" x14ac:dyDescent="0.3">
      <c r="H360" s="86"/>
      <c r="I360" s="86"/>
      <c r="J360" s="86"/>
    </row>
    <row r="361" spans="8:10" x14ac:dyDescent="0.3">
      <c r="H361" s="86"/>
      <c r="I361" s="86"/>
      <c r="J361" s="86"/>
    </row>
    <row r="362" spans="8:10" x14ac:dyDescent="0.3">
      <c r="H362" s="86"/>
      <c r="I362" s="86"/>
      <c r="J362" s="86"/>
    </row>
    <row r="363" spans="8:10" x14ac:dyDescent="0.3">
      <c r="H363" s="86"/>
      <c r="I363" s="86"/>
      <c r="J363" s="86"/>
    </row>
    <row r="364" spans="8:10" x14ac:dyDescent="0.3">
      <c r="H364" s="86"/>
      <c r="I364" s="86"/>
      <c r="J364" s="86"/>
    </row>
    <row r="365" spans="8:10" x14ac:dyDescent="0.3">
      <c r="H365" s="86"/>
      <c r="I365" s="86"/>
      <c r="J365" s="86"/>
    </row>
    <row r="366" spans="8:10" x14ac:dyDescent="0.3">
      <c r="H366" s="86"/>
      <c r="I366" s="86"/>
      <c r="J366" s="86"/>
    </row>
    <row r="367" spans="8:10" x14ac:dyDescent="0.3">
      <c r="H367" s="86"/>
      <c r="I367" s="86"/>
      <c r="J367" s="86"/>
    </row>
    <row r="368" spans="8:10" x14ac:dyDescent="0.3">
      <c r="H368" s="86"/>
      <c r="I368" s="86"/>
      <c r="J368" s="86"/>
    </row>
    <row r="369" spans="8:10" x14ac:dyDescent="0.3">
      <c r="H369" s="86"/>
      <c r="I369" s="86"/>
      <c r="J369" s="86"/>
    </row>
    <row r="370" spans="8:10" x14ac:dyDescent="0.3">
      <c r="H370" s="86"/>
      <c r="I370" s="86"/>
      <c r="J370" s="86"/>
    </row>
    <row r="371" spans="8:10" x14ac:dyDescent="0.3">
      <c r="H371" s="86"/>
      <c r="I371" s="86"/>
      <c r="J371" s="86"/>
    </row>
    <row r="372" spans="8:10" x14ac:dyDescent="0.3">
      <c r="H372" s="86"/>
      <c r="I372" s="86"/>
      <c r="J372" s="86"/>
    </row>
    <row r="373" spans="8:10" x14ac:dyDescent="0.3">
      <c r="H373" s="86"/>
      <c r="I373" s="86"/>
      <c r="J373" s="86"/>
    </row>
    <row r="374" spans="8:10" x14ac:dyDescent="0.3">
      <c r="H374" s="86"/>
      <c r="I374" s="86"/>
      <c r="J374" s="86"/>
    </row>
    <row r="375" spans="8:10" x14ac:dyDescent="0.3">
      <c r="H375" s="86"/>
      <c r="I375" s="86"/>
      <c r="J375" s="86"/>
    </row>
    <row r="376" spans="8:10" x14ac:dyDescent="0.3">
      <c r="H376" s="86"/>
      <c r="I376" s="86"/>
      <c r="J376" s="86"/>
    </row>
    <row r="377" spans="8:10" x14ac:dyDescent="0.3">
      <c r="H377" s="86"/>
      <c r="I377" s="86"/>
      <c r="J377" s="86"/>
    </row>
    <row r="378" spans="8:10" x14ac:dyDescent="0.3">
      <c r="H378" s="86"/>
      <c r="I378" s="86"/>
      <c r="J378" s="86"/>
    </row>
    <row r="379" spans="8:10" x14ac:dyDescent="0.3">
      <c r="H379" s="86"/>
      <c r="I379" s="86"/>
      <c r="J379" s="86"/>
    </row>
    <row r="380" spans="8:10" x14ac:dyDescent="0.3">
      <c r="H380" s="86"/>
      <c r="I380" s="86"/>
      <c r="J380" s="86"/>
    </row>
    <row r="381" spans="8:10" x14ac:dyDescent="0.3">
      <c r="H381" s="86"/>
      <c r="I381" s="86"/>
      <c r="J381" s="86"/>
    </row>
    <row r="382" spans="8:10" x14ac:dyDescent="0.3">
      <c r="H382" s="86"/>
      <c r="I382" s="86"/>
      <c r="J382" s="86"/>
    </row>
    <row r="383" spans="8:10" x14ac:dyDescent="0.3">
      <c r="H383" s="86"/>
      <c r="I383" s="86"/>
      <c r="J383" s="86"/>
    </row>
    <row r="384" spans="8:10" x14ac:dyDescent="0.3">
      <c r="H384" s="86"/>
      <c r="I384" s="86"/>
      <c r="J384" s="86"/>
    </row>
    <row r="385" spans="8:10" x14ac:dyDescent="0.3">
      <c r="H385" s="86"/>
      <c r="I385" s="86"/>
      <c r="J385" s="86"/>
    </row>
    <row r="386" spans="8:10" x14ac:dyDescent="0.3">
      <c r="H386" s="86"/>
      <c r="I386" s="86"/>
      <c r="J386" s="86"/>
    </row>
    <row r="387" spans="8:10" x14ac:dyDescent="0.3">
      <c r="H387" s="86"/>
      <c r="I387" s="86"/>
      <c r="J387" s="86"/>
    </row>
    <row r="388" spans="8:10" x14ac:dyDescent="0.3">
      <c r="H388" s="86"/>
      <c r="I388" s="86"/>
      <c r="J388" s="86"/>
    </row>
    <row r="389" spans="8:10" x14ac:dyDescent="0.3">
      <c r="H389" s="86"/>
      <c r="I389" s="86"/>
      <c r="J389" s="86"/>
    </row>
    <row r="390" spans="8:10" x14ac:dyDescent="0.3">
      <c r="H390" s="86"/>
      <c r="I390" s="86"/>
      <c r="J390" s="86"/>
    </row>
    <row r="391" spans="8:10" x14ac:dyDescent="0.3">
      <c r="H391" s="86"/>
      <c r="I391" s="86"/>
      <c r="J391" s="86"/>
    </row>
    <row r="392" spans="8:10" x14ac:dyDescent="0.3">
      <c r="H392" s="86"/>
      <c r="I392" s="86"/>
      <c r="J392" s="86"/>
    </row>
    <row r="393" spans="8:10" x14ac:dyDescent="0.3">
      <c r="H393" s="86"/>
      <c r="I393" s="86"/>
      <c r="J393" s="86"/>
    </row>
    <row r="394" spans="8:10" x14ac:dyDescent="0.3">
      <c r="H394" s="86"/>
      <c r="I394" s="86"/>
      <c r="J394" s="86"/>
    </row>
    <row r="395" spans="8:10" x14ac:dyDescent="0.3">
      <c r="H395" s="86"/>
      <c r="I395" s="86"/>
      <c r="J395" s="86"/>
    </row>
    <row r="396" spans="8:10" x14ac:dyDescent="0.3">
      <c r="H396" s="86"/>
      <c r="I396" s="86"/>
      <c r="J396" s="86"/>
    </row>
    <row r="397" spans="8:10" x14ac:dyDescent="0.3">
      <c r="H397" s="86"/>
      <c r="I397" s="86"/>
      <c r="J397" s="86"/>
    </row>
    <row r="398" spans="8:10" x14ac:dyDescent="0.3">
      <c r="H398" s="86"/>
      <c r="I398" s="86"/>
      <c r="J398" s="86"/>
    </row>
    <row r="399" spans="8:10" x14ac:dyDescent="0.3">
      <c r="H399" s="86"/>
      <c r="I399" s="86"/>
      <c r="J399" s="86"/>
    </row>
    <row r="400" spans="8:10" x14ac:dyDescent="0.3">
      <c r="H400" s="86"/>
      <c r="I400" s="86"/>
      <c r="J400" s="86"/>
    </row>
    <row r="401" spans="8:10" x14ac:dyDescent="0.3">
      <c r="H401" s="86"/>
      <c r="I401" s="86"/>
      <c r="J401" s="86"/>
    </row>
    <row r="402" spans="8:10" x14ac:dyDescent="0.3">
      <c r="H402" s="86"/>
      <c r="I402" s="86"/>
      <c r="J402" s="86"/>
    </row>
    <row r="403" spans="8:10" x14ac:dyDescent="0.3">
      <c r="H403" s="86"/>
      <c r="I403" s="86"/>
      <c r="J403" s="86"/>
    </row>
    <row r="404" spans="8:10" x14ac:dyDescent="0.3">
      <c r="H404" s="86"/>
      <c r="I404" s="86"/>
      <c r="J404" s="86"/>
    </row>
    <row r="405" spans="8:10" x14ac:dyDescent="0.3">
      <c r="H405" s="86"/>
      <c r="I405" s="86"/>
      <c r="J405" s="86"/>
    </row>
    <row r="406" spans="8:10" x14ac:dyDescent="0.3">
      <c r="H406" s="86"/>
      <c r="I406" s="86"/>
      <c r="J406" s="86"/>
    </row>
    <row r="407" spans="8:10" x14ac:dyDescent="0.3">
      <c r="H407" s="86"/>
      <c r="I407" s="86"/>
      <c r="J407" s="86"/>
    </row>
    <row r="408" spans="8:10" x14ac:dyDescent="0.3">
      <c r="H408" s="86"/>
      <c r="I408" s="86"/>
      <c r="J408" s="86"/>
    </row>
    <row r="409" spans="8:10" x14ac:dyDescent="0.3">
      <c r="H409" s="86"/>
      <c r="I409" s="86"/>
      <c r="J409" s="86"/>
    </row>
    <row r="410" spans="8:10" x14ac:dyDescent="0.3">
      <c r="H410" s="86"/>
      <c r="I410" s="86"/>
      <c r="J410" s="86"/>
    </row>
    <row r="411" spans="8:10" x14ac:dyDescent="0.3">
      <c r="H411" s="86"/>
      <c r="I411" s="86"/>
      <c r="J411" s="86"/>
    </row>
    <row r="412" spans="8:10" x14ac:dyDescent="0.3">
      <c r="H412" s="86"/>
      <c r="I412" s="86"/>
      <c r="J412" s="86"/>
    </row>
    <row r="413" spans="8:10" x14ac:dyDescent="0.3">
      <c r="H413" s="86"/>
      <c r="I413" s="86"/>
      <c r="J413" s="86"/>
    </row>
    <row r="414" spans="8:10" x14ac:dyDescent="0.3">
      <c r="H414" s="86"/>
      <c r="I414" s="86"/>
      <c r="J414" s="86"/>
    </row>
    <row r="415" spans="8:10" x14ac:dyDescent="0.3">
      <c r="H415" s="86"/>
      <c r="I415" s="86"/>
      <c r="J415" s="86"/>
    </row>
    <row r="416" spans="8:10" x14ac:dyDescent="0.3">
      <c r="H416" s="86"/>
      <c r="I416" s="86"/>
      <c r="J416" s="86"/>
    </row>
    <row r="417" spans="8:10" x14ac:dyDescent="0.3">
      <c r="H417" s="86"/>
      <c r="I417" s="86"/>
      <c r="J417" s="86"/>
    </row>
    <row r="418" spans="8:10" x14ac:dyDescent="0.3">
      <c r="H418" s="86"/>
      <c r="I418" s="86"/>
      <c r="J418" s="86"/>
    </row>
    <row r="419" spans="8:10" x14ac:dyDescent="0.3">
      <c r="H419" s="86"/>
      <c r="I419" s="86"/>
      <c r="J419" s="86"/>
    </row>
    <row r="420" spans="8:10" x14ac:dyDescent="0.3">
      <c r="H420" s="86"/>
      <c r="I420" s="86"/>
      <c r="J420" s="86"/>
    </row>
    <row r="421" spans="8:10" x14ac:dyDescent="0.3">
      <c r="H421" s="86"/>
      <c r="I421" s="86"/>
      <c r="J421" s="86"/>
    </row>
    <row r="422" spans="8:10" x14ac:dyDescent="0.3">
      <c r="H422" s="86"/>
      <c r="I422" s="86"/>
      <c r="J422" s="86"/>
    </row>
    <row r="423" spans="8:10" x14ac:dyDescent="0.3">
      <c r="H423" s="86"/>
      <c r="I423" s="86"/>
      <c r="J423" s="86"/>
    </row>
    <row r="424" spans="8:10" x14ac:dyDescent="0.3">
      <c r="H424" s="86"/>
      <c r="I424" s="86"/>
      <c r="J424" s="86"/>
    </row>
    <row r="425" spans="8:10" x14ac:dyDescent="0.3">
      <c r="H425" s="86"/>
      <c r="I425" s="86"/>
      <c r="J425" s="86"/>
    </row>
    <row r="426" spans="8:10" x14ac:dyDescent="0.3">
      <c r="H426" s="86"/>
      <c r="I426" s="86"/>
      <c r="J426" s="86"/>
    </row>
    <row r="427" spans="8:10" x14ac:dyDescent="0.3">
      <c r="H427" s="86"/>
      <c r="I427" s="86"/>
      <c r="J427" s="86"/>
    </row>
    <row r="428" spans="8:10" x14ac:dyDescent="0.3">
      <c r="H428" s="86"/>
      <c r="I428" s="86"/>
      <c r="J428" s="86"/>
    </row>
    <row r="429" spans="8:10" x14ac:dyDescent="0.3">
      <c r="H429" s="86"/>
      <c r="I429" s="86"/>
      <c r="J429" s="86"/>
    </row>
    <row r="430" spans="8:10" x14ac:dyDescent="0.3">
      <c r="H430" s="86"/>
      <c r="I430" s="86"/>
      <c r="J430" s="86"/>
    </row>
    <row r="431" spans="8:10" x14ac:dyDescent="0.3">
      <c r="H431" s="86"/>
      <c r="I431" s="86"/>
      <c r="J431" s="86"/>
    </row>
    <row r="432" spans="8:10" x14ac:dyDescent="0.3">
      <c r="H432" s="86"/>
      <c r="I432" s="86"/>
      <c r="J432" s="86"/>
    </row>
    <row r="433" spans="8:10" x14ac:dyDescent="0.3">
      <c r="H433" s="86"/>
      <c r="I433" s="86"/>
      <c r="J433" s="86"/>
    </row>
    <row r="434" spans="8:10" x14ac:dyDescent="0.3">
      <c r="H434" s="86"/>
      <c r="I434" s="86"/>
      <c r="J434" s="86"/>
    </row>
    <row r="435" spans="8:10" x14ac:dyDescent="0.3">
      <c r="H435" s="86"/>
      <c r="I435" s="86"/>
      <c r="J435" s="86"/>
    </row>
    <row r="436" spans="8:10" x14ac:dyDescent="0.3">
      <c r="H436" s="86"/>
      <c r="I436" s="86"/>
      <c r="J436" s="86"/>
    </row>
    <row r="437" spans="8:10" x14ac:dyDescent="0.3">
      <c r="H437" s="86"/>
      <c r="I437" s="86"/>
      <c r="J437" s="86"/>
    </row>
    <row r="438" spans="8:10" x14ac:dyDescent="0.3">
      <c r="H438" s="86"/>
      <c r="I438" s="86"/>
      <c r="J438" s="86"/>
    </row>
    <row r="439" spans="8:10" x14ac:dyDescent="0.3">
      <c r="H439" s="86"/>
      <c r="I439" s="86"/>
      <c r="J439" s="86"/>
    </row>
    <row r="440" spans="8:10" x14ac:dyDescent="0.3">
      <c r="H440" s="86"/>
      <c r="I440" s="86"/>
      <c r="J440" s="86"/>
    </row>
    <row r="441" spans="8:10" x14ac:dyDescent="0.3">
      <c r="H441" s="86"/>
      <c r="I441" s="86"/>
      <c r="J441" s="86"/>
    </row>
    <row r="442" spans="8:10" x14ac:dyDescent="0.3">
      <c r="H442" s="86"/>
      <c r="I442" s="86"/>
      <c r="J442" s="86"/>
    </row>
    <row r="443" spans="8:10" x14ac:dyDescent="0.3">
      <c r="H443" s="86"/>
      <c r="I443" s="86"/>
      <c r="J443" s="86"/>
    </row>
    <row r="444" spans="8:10" x14ac:dyDescent="0.3">
      <c r="H444" s="86"/>
      <c r="I444" s="86"/>
      <c r="J444" s="86"/>
    </row>
    <row r="445" spans="8:10" x14ac:dyDescent="0.3">
      <c r="H445" s="86"/>
      <c r="I445" s="86"/>
      <c r="J445" s="86"/>
    </row>
    <row r="446" spans="8:10" x14ac:dyDescent="0.3">
      <c r="H446" s="86"/>
      <c r="I446" s="86"/>
      <c r="J446" s="86"/>
    </row>
    <row r="447" spans="8:10" x14ac:dyDescent="0.3">
      <c r="H447" s="86"/>
      <c r="I447" s="86"/>
      <c r="J447" s="86"/>
    </row>
    <row r="448" spans="8:10" x14ac:dyDescent="0.3">
      <c r="H448" s="86"/>
      <c r="I448" s="86"/>
      <c r="J448" s="86"/>
    </row>
    <row r="449" spans="8:10" x14ac:dyDescent="0.3">
      <c r="H449" s="86"/>
      <c r="I449" s="86"/>
      <c r="J449" s="86"/>
    </row>
    <row r="450" spans="8:10" x14ac:dyDescent="0.3">
      <c r="H450" s="86"/>
      <c r="I450" s="86"/>
      <c r="J450" s="86"/>
    </row>
    <row r="451" spans="8:10" x14ac:dyDescent="0.3">
      <c r="H451" s="86"/>
      <c r="I451" s="86"/>
      <c r="J451" s="86"/>
    </row>
    <row r="452" spans="8:10" x14ac:dyDescent="0.3">
      <c r="H452" s="86"/>
      <c r="I452" s="86"/>
      <c r="J452" s="86"/>
    </row>
    <row r="453" spans="8:10" x14ac:dyDescent="0.3">
      <c r="H453" s="86"/>
      <c r="I453" s="86"/>
      <c r="J453" s="86"/>
    </row>
    <row r="454" spans="8:10" x14ac:dyDescent="0.3">
      <c r="H454" s="86"/>
      <c r="I454" s="86"/>
      <c r="J454" s="86"/>
    </row>
    <row r="455" spans="8:10" x14ac:dyDescent="0.3">
      <c r="H455" s="86"/>
      <c r="I455" s="86"/>
      <c r="J455" s="86"/>
    </row>
    <row r="456" spans="8:10" x14ac:dyDescent="0.3">
      <c r="H456" s="86"/>
      <c r="I456" s="86"/>
      <c r="J456" s="86"/>
    </row>
    <row r="457" spans="8:10" x14ac:dyDescent="0.3">
      <c r="H457" s="86"/>
      <c r="I457" s="86"/>
      <c r="J457" s="86"/>
    </row>
    <row r="458" spans="8:10" x14ac:dyDescent="0.3">
      <c r="H458" s="86"/>
      <c r="I458" s="86"/>
      <c r="J458" s="86"/>
    </row>
    <row r="459" spans="8:10" x14ac:dyDescent="0.3">
      <c r="H459" s="86"/>
      <c r="I459" s="86"/>
      <c r="J459" s="86"/>
    </row>
    <row r="460" spans="8:10" x14ac:dyDescent="0.3">
      <c r="H460" s="86"/>
      <c r="I460" s="86"/>
      <c r="J460" s="86"/>
    </row>
    <row r="461" spans="8:10" x14ac:dyDescent="0.3">
      <c r="H461" s="86"/>
      <c r="I461" s="86"/>
      <c r="J461" s="86"/>
    </row>
    <row r="462" spans="8:10" x14ac:dyDescent="0.3">
      <c r="H462" s="86"/>
      <c r="I462" s="86"/>
      <c r="J462" s="86"/>
    </row>
    <row r="463" spans="8:10" x14ac:dyDescent="0.3">
      <c r="H463" s="86"/>
      <c r="I463" s="86"/>
      <c r="J463" s="86"/>
    </row>
    <row r="464" spans="8:10" x14ac:dyDescent="0.3">
      <c r="H464" s="86"/>
      <c r="I464" s="86"/>
      <c r="J464" s="86"/>
    </row>
    <row r="465" spans="8:10" x14ac:dyDescent="0.3">
      <c r="H465" s="86"/>
      <c r="I465" s="86"/>
      <c r="J465" s="86"/>
    </row>
    <row r="466" spans="8:10" x14ac:dyDescent="0.3">
      <c r="H466" s="86"/>
      <c r="I466" s="86"/>
      <c r="J466" s="86"/>
    </row>
    <row r="467" spans="8:10" x14ac:dyDescent="0.3">
      <c r="H467" s="86"/>
      <c r="I467" s="86"/>
      <c r="J467" s="86"/>
    </row>
    <row r="468" spans="8:10" x14ac:dyDescent="0.3">
      <c r="H468" s="86"/>
      <c r="I468" s="86"/>
      <c r="J468" s="86"/>
    </row>
    <row r="469" spans="8:10" x14ac:dyDescent="0.3">
      <c r="H469" s="86"/>
      <c r="I469" s="86"/>
      <c r="J469" s="86"/>
    </row>
    <row r="470" spans="8:10" x14ac:dyDescent="0.3">
      <c r="H470" s="86"/>
      <c r="I470" s="86"/>
      <c r="J470" s="86"/>
    </row>
    <row r="471" spans="8:10" x14ac:dyDescent="0.3">
      <c r="H471" s="86"/>
      <c r="I471" s="86"/>
      <c r="J471" s="86"/>
    </row>
    <row r="472" spans="8:10" x14ac:dyDescent="0.3">
      <c r="H472" s="86"/>
      <c r="I472" s="86"/>
      <c r="J472" s="86"/>
    </row>
    <row r="473" spans="8:10" x14ac:dyDescent="0.3">
      <c r="H473" s="86"/>
      <c r="I473" s="86"/>
      <c r="J473" s="86"/>
    </row>
    <row r="474" spans="8:10" x14ac:dyDescent="0.3">
      <c r="H474" s="86"/>
      <c r="I474" s="86"/>
      <c r="J474" s="86"/>
    </row>
    <row r="475" spans="8:10" x14ac:dyDescent="0.3">
      <c r="H475" s="86"/>
      <c r="I475" s="86"/>
      <c r="J475" s="86"/>
    </row>
    <row r="476" spans="8:10" x14ac:dyDescent="0.3">
      <c r="H476" s="86"/>
      <c r="I476" s="86"/>
      <c r="J476" s="86"/>
    </row>
    <row r="477" spans="8:10" x14ac:dyDescent="0.3">
      <c r="H477" s="86"/>
      <c r="I477" s="86"/>
      <c r="J477" s="86"/>
    </row>
    <row r="478" spans="8:10" x14ac:dyDescent="0.3">
      <c r="H478" s="86"/>
      <c r="I478" s="86"/>
      <c r="J478" s="86"/>
    </row>
    <row r="479" spans="8:10" x14ac:dyDescent="0.3">
      <c r="H479" s="86"/>
      <c r="I479" s="86"/>
      <c r="J479" s="86"/>
    </row>
    <row r="480" spans="8:10" x14ac:dyDescent="0.3">
      <c r="H480" s="86"/>
      <c r="I480" s="86"/>
      <c r="J480" s="86"/>
    </row>
    <row r="481" spans="8:10" x14ac:dyDescent="0.3">
      <c r="H481" s="86"/>
      <c r="I481" s="86"/>
      <c r="J481" s="86"/>
    </row>
    <row r="482" spans="8:10" x14ac:dyDescent="0.3">
      <c r="H482" s="86"/>
      <c r="I482" s="86"/>
      <c r="J482" s="86"/>
    </row>
    <row r="483" spans="8:10" x14ac:dyDescent="0.3">
      <c r="H483" s="86"/>
      <c r="I483" s="86"/>
      <c r="J483" s="86"/>
    </row>
    <row r="484" spans="8:10" x14ac:dyDescent="0.3">
      <c r="H484" s="86"/>
      <c r="I484" s="86"/>
      <c r="J484" s="86"/>
    </row>
    <row r="485" spans="8:10" x14ac:dyDescent="0.3">
      <c r="H485" s="86"/>
      <c r="I485" s="86"/>
      <c r="J485" s="86"/>
    </row>
    <row r="486" spans="8:10" x14ac:dyDescent="0.3">
      <c r="H486" s="86"/>
      <c r="I486" s="86"/>
      <c r="J486" s="86"/>
    </row>
    <row r="487" spans="8:10" x14ac:dyDescent="0.3">
      <c r="H487" s="86"/>
      <c r="I487" s="86"/>
      <c r="J487" s="86"/>
    </row>
    <row r="488" spans="8:10" x14ac:dyDescent="0.3">
      <c r="H488" s="86"/>
      <c r="I488" s="86"/>
      <c r="J488" s="86"/>
    </row>
    <row r="489" spans="8:10" x14ac:dyDescent="0.3">
      <c r="H489" s="86"/>
      <c r="I489" s="86"/>
      <c r="J489" s="86"/>
    </row>
    <row r="490" spans="8:10" x14ac:dyDescent="0.3">
      <c r="H490" s="86"/>
      <c r="I490" s="86"/>
      <c r="J490" s="86"/>
    </row>
    <row r="491" spans="8:10" x14ac:dyDescent="0.3">
      <c r="H491" s="86"/>
      <c r="I491" s="86"/>
      <c r="J491" s="86"/>
    </row>
    <row r="492" spans="8:10" x14ac:dyDescent="0.3">
      <c r="H492" s="86"/>
      <c r="I492" s="86"/>
      <c r="J492" s="86"/>
    </row>
    <row r="493" spans="8:10" x14ac:dyDescent="0.3">
      <c r="H493" s="86"/>
      <c r="I493" s="86"/>
      <c r="J493" s="86"/>
    </row>
    <row r="494" spans="8:10" x14ac:dyDescent="0.3">
      <c r="H494" s="86"/>
      <c r="I494" s="86"/>
      <c r="J494" s="86"/>
    </row>
    <row r="495" spans="8:10" x14ac:dyDescent="0.3">
      <c r="H495" s="86"/>
      <c r="I495" s="86"/>
      <c r="J495" s="86"/>
    </row>
    <row r="496" spans="8:10" x14ac:dyDescent="0.3">
      <c r="H496" s="86"/>
      <c r="I496" s="86"/>
      <c r="J496" s="86"/>
    </row>
    <row r="497" spans="8:10" x14ac:dyDescent="0.3">
      <c r="H497" s="86"/>
      <c r="I497" s="86"/>
      <c r="J497" s="86"/>
    </row>
    <row r="498" spans="8:10" x14ac:dyDescent="0.3">
      <c r="H498" s="86"/>
      <c r="I498" s="86"/>
      <c r="J498" s="86"/>
    </row>
    <row r="499" spans="8:10" x14ac:dyDescent="0.3">
      <c r="H499" s="86"/>
      <c r="I499" s="86"/>
      <c r="J499" s="86"/>
    </row>
    <row r="500" spans="8:10" x14ac:dyDescent="0.3">
      <c r="H500" s="86"/>
      <c r="I500" s="86"/>
      <c r="J500" s="86"/>
    </row>
    <row r="501" spans="8:10" x14ac:dyDescent="0.3">
      <c r="H501" s="86"/>
      <c r="I501" s="86"/>
      <c r="J501" s="86"/>
    </row>
    <row r="502" spans="8:10" x14ac:dyDescent="0.3">
      <c r="H502" s="86"/>
      <c r="I502" s="86"/>
      <c r="J502" s="86"/>
    </row>
    <row r="503" spans="8:10" x14ac:dyDescent="0.3">
      <c r="H503" s="86"/>
      <c r="I503" s="86"/>
      <c r="J503" s="86"/>
    </row>
    <row r="504" spans="8:10" x14ac:dyDescent="0.3">
      <c r="H504" s="86"/>
      <c r="I504" s="86"/>
      <c r="J504" s="86"/>
    </row>
    <row r="505" spans="8:10" x14ac:dyDescent="0.3">
      <c r="H505" s="86"/>
      <c r="I505" s="86"/>
      <c r="J505" s="86"/>
    </row>
    <row r="506" spans="8:10" x14ac:dyDescent="0.3">
      <c r="H506" s="86"/>
      <c r="I506" s="86"/>
      <c r="J506" s="86"/>
    </row>
    <row r="507" spans="8:10" x14ac:dyDescent="0.3">
      <c r="H507" s="86"/>
      <c r="I507" s="86"/>
      <c r="J507" s="86"/>
    </row>
    <row r="508" spans="8:10" x14ac:dyDescent="0.3">
      <c r="H508" s="86"/>
      <c r="I508" s="86"/>
      <c r="J508" s="86"/>
    </row>
    <row r="509" spans="8:10" x14ac:dyDescent="0.3">
      <c r="H509" s="86"/>
      <c r="I509" s="86"/>
      <c r="J509" s="86"/>
    </row>
    <row r="510" spans="8:10" x14ac:dyDescent="0.3">
      <c r="H510" s="86"/>
      <c r="I510" s="86"/>
      <c r="J510" s="86"/>
    </row>
    <row r="511" spans="8:10" x14ac:dyDescent="0.3">
      <c r="H511" s="86"/>
      <c r="I511" s="86"/>
      <c r="J511" s="86"/>
    </row>
    <row r="512" spans="8:10" x14ac:dyDescent="0.3">
      <c r="H512" s="86"/>
      <c r="I512" s="86"/>
      <c r="J512" s="86"/>
    </row>
    <row r="513" spans="8:10" x14ac:dyDescent="0.3">
      <c r="H513" s="86"/>
      <c r="I513" s="86"/>
      <c r="J513" s="86"/>
    </row>
    <row r="514" spans="8:10" x14ac:dyDescent="0.3">
      <c r="H514" s="86"/>
      <c r="I514" s="86"/>
      <c r="J514" s="86"/>
    </row>
    <row r="515" spans="8:10" x14ac:dyDescent="0.3">
      <c r="H515" s="86"/>
      <c r="I515" s="86"/>
      <c r="J515" s="86"/>
    </row>
    <row r="516" spans="8:10" x14ac:dyDescent="0.3">
      <c r="H516" s="86"/>
      <c r="I516" s="86"/>
      <c r="J516" s="86"/>
    </row>
    <row r="517" spans="8:10" x14ac:dyDescent="0.3">
      <c r="H517" s="86"/>
      <c r="I517" s="86"/>
      <c r="J517" s="86"/>
    </row>
    <row r="518" spans="8:10" x14ac:dyDescent="0.3">
      <c r="H518" s="86"/>
      <c r="I518" s="86"/>
      <c r="J518" s="86"/>
    </row>
    <row r="519" spans="8:10" x14ac:dyDescent="0.3">
      <c r="H519" s="86"/>
      <c r="I519" s="86"/>
      <c r="J519" s="86"/>
    </row>
    <row r="520" spans="8:10" x14ac:dyDescent="0.3">
      <c r="H520" s="86"/>
      <c r="I520" s="86"/>
      <c r="J520" s="86"/>
    </row>
    <row r="521" spans="8:10" x14ac:dyDescent="0.3">
      <c r="H521" s="86"/>
      <c r="I521" s="86"/>
      <c r="J521" s="86"/>
    </row>
    <row r="522" spans="8:10" x14ac:dyDescent="0.3">
      <c r="H522" s="86"/>
      <c r="I522" s="86"/>
      <c r="J522" s="86"/>
    </row>
    <row r="523" spans="8:10" x14ac:dyDescent="0.3">
      <c r="H523" s="86"/>
      <c r="I523" s="86"/>
      <c r="J523" s="86"/>
    </row>
    <row r="524" spans="8:10" x14ac:dyDescent="0.3">
      <c r="H524" s="86"/>
      <c r="I524" s="86"/>
      <c r="J524" s="86"/>
    </row>
    <row r="525" spans="8:10" x14ac:dyDescent="0.3">
      <c r="H525" s="86"/>
      <c r="I525" s="86"/>
      <c r="J525" s="86"/>
    </row>
    <row r="526" spans="8:10" x14ac:dyDescent="0.3">
      <c r="H526" s="86"/>
      <c r="I526" s="86"/>
      <c r="J526" s="86"/>
    </row>
    <row r="527" spans="8:10" x14ac:dyDescent="0.3">
      <c r="H527" s="86"/>
      <c r="I527" s="86"/>
      <c r="J527" s="86"/>
    </row>
    <row r="528" spans="8:10" x14ac:dyDescent="0.3">
      <c r="H528" s="86"/>
      <c r="I528" s="86"/>
      <c r="J528" s="86"/>
    </row>
    <row r="529" spans="8:10" x14ac:dyDescent="0.3">
      <c r="H529" s="86"/>
      <c r="I529" s="86"/>
      <c r="J529" s="86"/>
    </row>
    <row r="530" spans="8:10" x14ac:dyDescent="0.3">
      <c r="H530" s="86"/>
      <c r="I530" s="86"/>
      <c r="J530" s="86"/>
    </row>
    <row r="531" spans="8:10" x14ac:dyDescent="0.3">
      <c r="H531" s="86"/>
      <c r="I531" s="86"/>
      <c r="J531" s="86"/>
    </row>
    <row r="532" spans="8:10" x14ac:dyDescent="0.3">
      <c r="H532" s="86"/>
      <c r="I532" s="86"/>
      <c r="J532" s="86"/>
    </row>
    <row r="533" spans="8:10" x14ac:dyDescent="0.3">
      <c r="H533" s="86"/>
      <c r="I533" s="86"/>
      <c r="J533" s="86"/>
    </row>
    <row r="534" spans="8:10" x14ac:dyDescent="0.3">
      <c r="H534" s="86"/>
      <c r="I534" s="86"/>
      <c r="J534" s="86"/>
    </row>
    <row r="535" spans="8:10" x14ac:dyDescent="0.3">
      <c r="H535" s="86"/>
      <c r="I535" s="86"/>
      <c r="J535" s="86"/>
    </row>
    <row r="536" spans="8:10" x14ac:dyDescent="0.3">
      <c r="H536" s="86"/>
      <c r="I536" s="86"/>
      <c r="J536" s="86"/>
    </row>
    <row r="537" spans="8:10" x14ac:dyDescent="0.3">
      <c r="H537" s="86"/>
      <c r="I537" s="86"/>
      <c r="J537" s="86"/>
    </row>
    <row r="538" spans="8:10" x14ac:dyDescent="0.3">
      <c r="H538" s="86"/>
      <c r="I538" s="86"/>
      <c r="J538" s="86"/>
    </row>
    <row r="539" spans="8:10" x14ac:dyDescent="0.3">
      <c r="H539" s="86"/>
      <c r="I539" s="86"/>
      <c r="J539" s="86"/>
    </row>
    <row r="540" spans="8:10" x14ac:dyDescent="0.3">
      <c r="H540" s="86"/>
      <c r="I540" s="86"/>
      <c r="J540" s="86"/>
    </row>
    <row r="541" spans="8:10" x14ac:dyDescent="0.3">
      <c r="H541" s="86"/>
      <c r="I541" s="86"/>
      <c r="J541" s="86"/>
    </row>
    <row r="542" spans="8:10" x14ac:dyDescent="0.3">
      <c r="H542" s="86"/>
      <c r="I542" s="86"/>
      <c r="J542" s="86"/>
    </row>
    <row r="543" spans="8:10" x14ac:dyDescent="0.3">
      <c r="H543" s="86"/>
      <c r="I543" s="86"/>
      <c r="J543" s="86"/>
    </row>
    <row r="544" spans="8:10" x14ac:dyDescent="0.3">
      <c r="H544" s="86"/>
      <c r="I544" s="86"/>
      <c r="J544" s="86"/>
    </row>
    <row r="545" spans="8:10" x14ac:dyDescent="0.3">
      <c r="H545" s="86"/>
      <c r="I545" s="86"/>
      <c r="J545" s="86"/>
    </row>
    <row r="546" spans="8:10" x14ac:dyDescent="0.3">
      <c r="H546" s="86"/>
      <c r="I546" s="86"/>
      <c r="J546" s="86"/>
    </row>
    <row r="547" spans="8:10" x14ac:dyDescent="0.3">
      <c r="H547" s="86"/>
      <c r="I547" s="86"/>
      <c r="J547" s="86"/>
    </row>
    <row r="548" spans="8:10" x14ac:dyDescent="0.3">
      <c r="H548" s="86"/>
      <c r="I548" s="86"/>
      <c r="J548" s="86"/>
    </row>
    <row r="549" spans="8:10" x14ac:dyDescent="0.3">
      <c r="H549" s="86"/>
      <c r="I549" s="86"/>
      <c r="J549" s="86"/>
    </row>
    <row r="550" spans="8:10" x14ac:dyDescent="0.3">
      <c r="H550" s="86"/>
      <c r="I550" s="86"/>
      <c r="J550" s="86"/>
    </row>
    <row r="551" spans="8:10" x14ac:dyDescent="0.3">
      <c r="H551" s="86"/>
      <c r="I551" s="86"/>
      <c r="J551" s="86"/>
    </row>
    <row r="552" spans="8:10" x14ac:dyDescent="0.3">
      <c r="H552" s="86"/>
      <c r="I552" s="86"/>
      <c r="J552" s="86"/>
    </row>
    <row r="553" spans="8:10" x14ac:dyDescent="0.3">
      <c r="H553" s="86"/>
      <c r="I553" s="86"/>
      <c r="J553" s="86"/>
    </row>
    <row r="554" spans="8:10" x14ac:dyDescent="0.3">
      <c r="H554" s="86"/>
      <c r="I554" s="86"/>
      <c r="J554" s="86"/>
    </row>
    <row r="555" spans="8:10" x14ac:dyDescent="0.3">
      <c r="H555" s="86"/>
      <c r="I555" s="86"/>
      <c r="J555" s="86"/>
    </row>
    <row r="556" spans="8:10" x14ac:dyDescent="0.3">
      <c r="H556" s="86"/>
      <c r="I556" s="86"/>
      <c r="J556" s="86"/>
    </row>
    <row r="557" spans="8:10" x14ac:dyDescent="0.3">
      <c r="H557" s="86"/>
      <c r="I557" s="86"/>
      <c r="J557" s="86"/>
    </row>
    <row r="558" spans="8:10" x14ac:dyDescent="0.3">
      <c r="H558" s="86"/>
      <c r="I558" s="86"/>
      <c r="J558" s="86"/>
    </row>
    <row r="559" spans="8:10" x14ac:dyDescent="0.3">
      <c r="H559" s="86"/>
      <c r="I559" s="86"/>
      <c r="J559" s="86"/>
    </row>
    <row r="560" spans="8:10" x14ac:dyDescent="0.3">
      <c r="H560" s="86"/>
      <c r="I560" s="86"/>
      <c r="J560" s="86"/>
    </row>
    <row r="561" spans="8:10" x14ac:dyDescent="0.3">
      <c r="H561" s="86"/>
      <c r="I561" s="86"/>
      <c r="J561" s="86"/>
    </row>
    <row r="562" spans="8:10" x14ac:dyDescent="0.3">
      <c r="H562" s="86"/>
      <c r="I562" s="86"/>
      <c r="J562" s="86"/>
    </row>
    <row r="563" spans="8:10" x14ac:dyDescent="0.3">
      <c r="H563" s="86"/>
      <c r="I563" s="86"/>
      <c r="J563" s="86"/>
    </row>
    <row r="564" spans="8:10" x14ac:dyDescent="0.3">
      <c r="H564" s="86"/>
      <c r="I564" s="86"/>
      <c r="J564" s="86"/>
    </row>
    <row r="565" spans="8:10" x14ac:dyDescent="0.3">
      <c r="H565" s="86"/>
      <c r="I565" s="86"/>
      <c r="J565" s="86"/>
    </row>
    <row r="566" spans="8:10" x14ac:dyDescent="0.3">
      <c r="H566" s="86"/>
      <c r="I566" s="86"/>
      <c r="J566" s="86"/>
    </row>
    <row r="567" spans="8:10" x14ac:dyDescent="0.3">
      <c r="H567" s="86"/>
      <c r="I567" s="86"/>
      <c r="J567" s="86"/>
    </row>
    <row r="568" spans="8:10" x14ac:dyDescent="0.3">
      <c r="H568" s="86"/>
      <c r="I568" s="86"/>
      <c r="J568" s="86"/>
    </row>
    <row r="569" spans="8:10" x14ac:dyDescent="0.3">
      <c r="H569" s="86"/>
      <c r="I569" s="86"/>
      <c r="J569" s="86"/>
    </row>
    <row r="570" spans="8:10" x14ac:dyDescent="0.3">
      <c r="H570" s="86"/>
      <c r="I570" s="86"/>
      <c r="J570" s="86"/>
    </row>
    <row r="571" spans="8:10" x14ac:dyDescent="0.3">
      <c r="H571" s="86"/>
      <c r="I571" s="86"/>
      <c r="J571" s="86"/>
    </row>
    <row r="572" spans="8:10" x14ac:dyDescent="0.3">
      <c r="H572" s="86"/>
      <c r="I572" s="86"/>
      <c r="J572" s="86"/>
    </row>
    <row r="573" spans="8:10" x14ac:dyDescent="0.3">
      <c r="H573" s="86"/>
      <c r="I573" s="86"/>
      <c r="J573" s="86"/>
    </row>
    <row r="574" spans="8:10" x14ac:dyDescent="0.3">
      <c r="H574" s="86"/>
      <c r="I574" s="86"/>
      <c r="J574" s="86"/>
    </row>
    <row r="575" spans="8:10" x14ac:dyDescent="0.3">
      <c r="H575" s="86"/>
      <c r="I575" s="86"/>
      <c r="J575" s="86"/>
    </row>
    <row r="576" spans="8:10" x14ac:dyDescent="0.3">
      <c r="H576" s="86"/>
      <c r="I576" s="86"/>
      <c r="J576" s="86"/>
    </row>
    <row r="577" spans="8:10" x14ac:dyDescent="0.3">
      <c r="H577" s="86"/>
      <c r="I577" s="86"/>
      <c r="J577" s="86"/>
    </row>
    <row r="578" spans="8:10" x14ac:dyDescent="0.3">
      <c r="H578" s="86"/>
      <c r="I578" s="86"/>
      <c r="J578" s="86"/>
    </row>
    <row r="579" spans="8:10" x14ac:dyDescent="0.3">
      <c r="H579" s="86"/>
      <c r="I579" s="86"/>
      <c r="J579" s="86"/>
    </row>
    <row r="580" spans="8:10" x14ac:dyDescent="0.3">
      <c r="H580" s="86"/>
      <c r="I580" s="86"/>
      <c r="J580" s="86"/>
    </row>
    <row r="581" spans="8:10" x14ac:dyDescent="0.3">
      <c r="H581" s="86"/>
      <c r="I581" s="86"/>
      <c r="J581" s="86"/>
    </row>
    <row r="582" spans="8:10" x14ac:dyDescent="0.3">
      <c r="H582" s="86"/>
      <c r="I582" s="86"/>
      <c r="J582" s="86"/>
    </row>
    <row r="583" spans="8:10" x14ac:dyDescent="0.3">
      <c r="H583" s="86"/>
      <c r="I583" s="86"/>
      <c r="J583" s="86"/>
    </row>
    <row r="584" spans="8:10" x14ac:dyDescent="0.3">
      <c r="H584" s="86"/>
      <c r="I584" s="86"/>
      <c r="J584" s="86"/>
    </row>
    <row r="585" spans="8:10" x14ac:dyDescent="0.3">
      <c r="H585" s="86"/>
      <c r="I585" s="86"/>
      <c r="J585" s="86"/>
    </row>
    <row r="586" spans="8:10" x14ac:dyDescent="0.3">
      <c r="H586" s="86"/>
      <c r="I586" s="86"/>
      <c r="J586" s="86"/>
    </row>
    <row r="587" spans="8:10" x14ac:dyDescent="0.3">
      <c r="H587" s="86"/>
      <c r="I587" s="86"/>
      <c r="J587" s="86"/>
    </row>
    <row r="588" spans="8:10" x14ac:dyDescent="0.3">
      <c r="H588" s="86"/>
      <c r="I588" s="86"/>
      <c r="J588" s="86"/>
    </row>
    <row r="589" spans="8:10" x14ac:dyDescent="0.3">
      <c r="H589" s="86"/>
      <c r="I589" s="86"/>
      <c r="J589" s="86"/>
    </row>
    <row r="590" spans="8:10" x14ac:dyDescent="0.3">
      <c r="H590" s="86"/>
      <c r="I590" s="86"/>
      <c r="J590" s="86"/>
    </row>
    <row r="591" spans="8:10" x14ac:dyDescent="0.3">
      <c r="H591" s="86"/>
      <c r="I591" s="86"/>
      <c r="J591" s="86"/>
    </row>
    <row r="592" spans="8:10" x14ac:dyDescent="0.3">
      <c r="H592" s="86"/>
      <c r="I592" s="86"/>
      <c r="J592" s="86"/>
    </row>
    <row r="593" spans="8:10" x14ac:dyDescent="0.3">
      <c r="H593" s="86"/>
      <c r="I593" s="86"/>
      <c r="J593" s="86"/>
    </row>
    <row r="594" spans="8:10" x14ac:dyDescent="0.3">
      <c r="H594" s="86"/>
      <c r="I594" s="86"/>
      <c r="J594" s="86"/>
    </row>
    <row r="595" spans="8:10" x14ac:dyDescent="0.3">
      <c r="H595" s="86"/>
      <c r="I595" s="86"/>
      <c r="J595" s="86"/>
    </row>
    <row r="596" spans="8:10" x14ac:dyDescent="0.3">
      <c r="H596" s="86"/>
      <c r="I596" s="86"/>
      <c r="J596" s="86"/>
    </row>
    <row r="597" spans="8:10" x14ac:dyDescent="0.3">
      <c r="H597" s="86"/>
      <c r="I597" s="86"/>
      <c r="J597" s="86"/>
    </row>
    <row r="598" spans="8:10" x14ac:dyDescent="0.3">
      <c r="H598" s="86"/>
      <c r="I598" s="86"/>
      <c r="J598" s="86"/>
    </row>
    <row r="599" spans="8:10" x14ac:dyDescent="0.3">
      <c r="H599" s="86"/>
      <c r="I599" s="86"/>
      <c r="J599" s="86"/>
    </row>
    <row r="600" spans="8:10" x14ac:dyDescent="0.3">
      <c r="H600" s="86"/>
      <c r="I600" s="86"/>
      <c r="J600" s="86"/>
    </row>
    <row r="601" spans="8:10" x14ac:dyDescent="0.3">
      <c r="H601" s="86"/>
      <c r="I601" s="86"/>
      <c r="J601" s="86"/>
    </row>
    <row r="602" spans="8:10" x14ac:dyDescent="0.3">
      <c r="H602" s="86"/>
      <c r="I602" s="86"/>
      <c r="J602" s="86"/>
    </row>
    <row r="603" spans="8:10" x14ac:dyDescent="0.3">
      <c r="H603" s="86"/>
      <c r="I603" s="86"/>
      <c r="J603" s="86"/>
    </row>
    <row r="604" spans="8:10" x14ac:dyDescent="0.3">
      <c r="H604" s="86"/>
      <c r="I604" s="86"/>
      <c r="J604" s="86"/>
    </row>
    <row r="605" spans="8:10" x14ac:dyDescent="0.3">
      <c r="H605" s="86"/>
      <c r="I605" s="86"/>
      <c r="J605" s="86"/>
    </row>
    <row r="606" spans="8:10" x14ac:dyDescent="0.3">
      <c r="H606" s="86"/>
      <c r="I606" s="86"/>
      <c r="J606" s="86"/>
    </row>
    <row r="607" spans="8:10" x14ac:dyDescent="0.3">
      <c r="H607" s="86"/>
      <c r="I607" s="86"/>
      <c r="J607" s="86"/>
    </row>
    <row r="608" spans="8:10" x14ac:dyDescent="0.3">
      <c r="H608" s="86"/>
      <c r="I608" s="86"/>
      <c r="J608" s="86"/>
    </row>
    <row r="609" spans="8:10" x14ac:dyDescent="0.3">
      <c r="H609" s="86"/>
      <c r="I609" s="86"/>
      <c r="J609" s="86"/>
    </row>
    <row r="610" spans="8:10" x14ac:dyDescent="0.3">
      <c r="H610" s="86"/>
      <c r="I610" s="86"/>
      <c r="J610" s="86"/>
    </row>
    <row r="611" spans="8:10" x14ac:dyDescent="0.3">
      <c r="H611" s="86"/>
      <c r="I611" s="86"/>
      <c r="J611" s="86"/>
    </row>
    <row r="612" spans="8:10" x14ac:dyDescent="0.3">
      <c r="H612" s="86"/>
      <c r="I612" s="86"/>
      <c r="J612" s="86"/>
    </row>
    <row r="613" spans="8:10" x14ac:dyDescent="0.3">
      <c r="H613" s="86"/>
      <c r="I613" s="86"/>
      <c r="J613" s="86"/>
    </row>
    <row r="614" spans="8:10" x14ac:dyDescent="0.3">
      <c r="H614" s="86"/>
      <c r="I614" s="86"/>
      <c r="J614" s="86"/>
    </row>
    <row r="615" spans="8:10" x14ac:dyDescent="0.3">
      <c r="H615" s="86"/>
      <c r="I615" s="86"/>
      <c r="J615" s="86"/>
    </row>
    <row r="616" spans="8:10" x14ac:dyDescent="0.3">
      <c r="H616" s="86"/>
      <c r="I616" s="86"/>
      <c r="J616" s="86"/>
    </row>
    <row r="617" spans="8:10" x14ac:dyDescent="0.3">
      <c r="H617" s="86"/>
      <c r="I617" s="86"/>
      <c r="J617" s="86"/>
    </row>
    <row r="618" spans="8:10" x14ac:dyDescent="0.3">
      <c r="H618" s="86"/>
      <c r="I618" s="86"/>
      <c r="J618" s="86"/>
    </row>
    <row r="619" spans="8:10" x14ac:dyDescent="0.3">
      <c r="H619" s="86"/>
      <c r="I619" s="86"/>
      <c r="J619" s="86"/>
    </row>
    <row r="620" spans="8:10" x14ac:dyDescent="0.3">
      <c r="H620" s="86"/>
      <c r="I620" s="86"/>
      <c r="J620" s="86"/>
    </row>
    <row r="621" spans="8:10" x14ac:dyDescent="0.3">
      <c r="H621" s="86"/>
      <c r="I621" s="86"/>
      <c r="J621" s="86"/>
    </row>
    <row r="622" spans="8:10" x14ac:dyDescent="0.3">
      <c r="H622" s="86"/>
      <c r="I622" s="86"/>
      <c r="J622" s="86"/>
    </row>
    <row r="623" spans="8:10" x14ac:dyDescent="0.3">
      <c r="H623" s="86"/>
      <c r="I623" s="86"/>
      <c r="J623" s="86"/>
    </row>
    <row r="624" spans="8:10" x14ac:dyDescent="0.3">
      <c r="H624" s="86"/>
      <c r="I624" s="86"/>
      <c r="J624" s="86"/>
    </row>
    <row r="625" spans="8:10" x14ac:dyDescent="0.3">
      <c r="H625" s="86"/>
      <c r="I625" s="86"/>
      <c r="J625" s="86"/>
    </row>
    <row r="626" spans="8:10" x14ac:dyDescent="0.3">
      <c r="H626" s="86"/>
      <c r="I626" s="86"/>
      <c r="J626" s="86"/>
    </row>
    <row r="627" spans="8:10" x14ac:dyDescent="0.3">
      <c r="H627" s="86"/>
      <c r="I627" s="86"/>
      <c r="J627" s="86"/>
    </row>
    <row r="628" spans="8:10" x14ac:dyDescent="0.3">
      <c r="H628" s="86"/>
      <c r="I628" s="86"/>
      <c r="J628" s="86"/>
    </row>
    <row r="629" spans="8:10" x14ac:dyDescent="0.3">
      <c r="H629" s="86"/>
      <c r="I629" s="86"/>
      <c r="J629" s="86"/>
    </row>
    <row r="630" spans="8:10" x14ac:dyDescent="0.3">
      <c r="H630" s="86"/>
      <c r="I630" s="86"/>
      <c r="J630" s="86"/>
    </row>
    <row r="631" spans="8:10" x14ac:dyDescent="0.3">
      <c r="H631" s="86"/>
      <c r="I631" s="86"/>
      <c r="J631" s="86"/>
    </row>
    <row r="632" spans="8:10" x14ac:dyDescent="0.3">
      <c r="H632" s="86"/>
      <c r="I632" s="86"/>
      <c r="J632" s="86"/>
    </row>
    <row r="633" spans="8:10" x14ac:dyDescent="0.3">
      <c r="H633" s="86"/>
      <c r="I633" s="86"/>
      <c r="J633" s="86"/>
    </row>
    <row r="634" spans="8:10" x14ac:dyDescent="0.3">
      <c r="H634" s="86"/>
      <c r="I634" s="86"/>
      <c r="J634" s="86"/>
    </row>
    <row r="635" spans="8:10" x14ac:dyDescent="0.3">
      <c r="H635" s="86"/>
      <c r="I635" s="86"/>
      <c r="J635" s="86"/>
    </row>
    <row r="636" spans="8:10" x14ac:dyDescent="0.3">
      <c r="H636" s="86"/>
      <c r="I636" s="86"/>
      <c r="J636" s="86"/>
    </row>
    <row r="637" spans="8:10" x14ac:dyDescent="0.3">
      <c r="H637" s="86"/>
      <c r="I637" s="86"/>
      <c r="J637" s="86"/>
    </row>
    <row r="638" spans="8:10" x14ac:dyDescent="0.3">
      <c r="H638" s="86"/>
      <c r="I638" s="86"/>
      <c r="J638" s="86"/>
    </row>
    <row r="639" spans="8:10" x14ac:dyDescent="0.3">
      <c r="H639" s="86"/>
      <c r="I639" s="86"/>
      <c r="J639" s="86"/>
    </row>
    <row r="640" spans="8:10" x14ac:dyDescent="0.3">
      <c r="H640" s="86"/>
      <c r="I640" s="86"/>
      <c r="J640" s="86"/>
    </row>
    <row r="641" spans="8:10" x14ac:dyDescent="0.3">
      <c r="H641" s="86"/>
      <c r="I641" s="86"/>
      <c r="J641" s="86"/>
    </row>
    <row r="642" spans="8:10" x14ac:dyDescent="0.3">
      <c r="H642" s="86"/>
      <c r="I642" s="86"/>
      <c r="J642" s="86"/>
    </row>
    <row r="643" spans="8:10" x14ac:dyDescent="0.3">
      <c r="H643" s="86"/>
      <c r="I643" s="86"/>
      <c r="J643" s="86"/>
    </row>
    <row r="644" spans="8:10" x14ac:dyDescent="0.3">
      <c r="H644" s="86"/>
      <c r="I644" s="86"/>
      <c r="J644" s="86"/>
    </row>
    <row r="645" spans="8:10" x14ac:dyDescent="0.3">
      <c r="H645" s="86"/>
      <c r="I645" s="86"/>
      <c r="J645" s="86"/>
    </row>
    <row r="646" spans="8:10" x14ac:dyDescent="0.3">
      <c r="H646" s="86"/>
      <c r="I646" s="86"/>
      <c r="J646" s="86"/>
    </row>
    <row r="647" spans="8:10" x14ac:dyDescent="0.3">
      <c r="H647" s="86"/>
      <c r="I647" s="86"/>
      <c r="J647" s="86"/>
    </row>
    <row r="648" spans="8:10" x14ac:dyDescent="0.3">
      <c r="H648" s="86"/>
      <c r="I648" s="86"/>
      <c r="J648" s="86"/>
    </row>
    <row r="649" spans="8:10" x14ac:dyDescent="0.3">
      <c r="H649" s="86"/>
      <c r="I649" s="86"/>
      <c r="J649" s="86"/>
    </row>
    <row r="650" spans="8:10" x14ac:dyDescent="0.3">
      <c r="H650" s="86"/>
      <c r="I650" s="86"/>
      <c r="J650" s="86"/>
    </row>
    <row r="651" spans="8:10" x14ac:dyDescent="0.3">
      <c r="H651" s="86"/>
      <c r="I651" s="86"/>
      <c r="J651" s="86"/>
    </row>
    <row r="652" spans="8:10" x14ac:dyDescent="0.3">
      <c r="H652" s="86"/>
      <c r="I652" s="86"/>
      <c r="J652" s="86"/>
    </row>
    <row r="653" spans="8:10" x14ac:dyDescent="0.3">
      <c r="H653" s="86"/>
      <c r="I653" s="86"/>
      <c r="J653" s="86"/>
    </row>
    <row r="654" spans="8:10" x14ac:dyDescent="0.3">
      <c r="H654" s="86"/>
      <c r="I654" s="86"/>
      <c r="J654" s="86"/>
    </row>
    <row r="655" spans="8:10" x14ac:dyDescent="0.3">
      <c r="H655" s="86"/>
      <c r="I655" s="86"/>
      <c r="J655" s="86"/>
    </row>
    <row r="656" spans="8:10" x14ac:dyDescent="0.3">
      <c r="H656" s="86"/>
      <c r="I656" s="86"/>
      <c r="J656" s="86"/>
    </row>
    <row r="657" spans="8:10" x14ac:dyDescent="0.3">
      <c r="H657" s="86"/>
      <c r="I657" s="86"/>
      <c r="J657" s="86"/>
    </row>
    <row r="658" spans="8:10" x14ac:dyDescent="0.3">
      <c r="H658" s="86"/>
      <c r="I658" s="86"/>
      <c r="J658" s="86"/>
    </row>
    <row r="659" spans="8:10" x14ac:dyDescent="0.3">
      <c r="H659" s="86"/>
      <c r="I659" s="86"/>
      <c r="J659" s="86"/>
    </row>
    <row r="660" spans="8:10" x14ac:dyDescent="0.3">
      <c r="H660" s="86"/>
      <c r="I660" s="86"/>
      <c r="J660" s="86"/>
    </row>
    <row r="661" spans="8:10" x14ac:dyDescent="0.3">
      <c r="H661" s="86"/>
      <c r="I661" s="86"/>
      <c r="J661" s="86"/>
    </row>
    <row r="662" spans="8:10" x14ac:dyDescent="0.3">
      <c r="H662" s="86"/>
      <c r="I662" s="86"/>
      <c r="J662" s="86"/>
    </row>
    <row r="663" spans="8:10" x14ac:dyDescent="0.3">
      <c r="H663" s="86"/>
      <c r="I663" s="86"/>
      <c r="J663" s="86"/>
    </row>
    <row r="664" spans="8:10" x14ac:dyDescent="0.3">
      <c r="H664" s="86"/>
      <c r="I664" s="86"/>
      <c r="J664" s="86"/>
    </row>
    <row r="665" spans="8:10" x14ac:dyDescent="0.3">
      <c r="H665" s="86"/>
      <c r="I665" s="86"/>
      <c r="J665" s="86"/>
    </row>
    <row r="666" spans="8:10" x14ac:dyDescent="0.3">
      <c r="H666" s="86"/>
      <c r="I666" s="86"/>
      <c r="J666" s="86"/>
    </row>
    <row r="667" spans="8:10" x14ac:dyDescent="0.3">
      <c r="H667" s="86"/>
      <c r="I667" s="86"/>
      <c r="J667" s="86"/>
    </row>
    <row r="668" spans="8:10" x14ac:dyDescent="0.3">
      <c r="H668" s="86"/>
      <c r="I668" s="86"/>
      <c r="J668" s="86"/>
    </row>
    <row r="669" spans="8:10" x14ac:dyDescent="0.3">
      <c r="H669" s="86"/>
      <c r="I669" s="86"/>
      <c r="J669" s="86"/>
    </row>
    <row r="670" spans="8:10" x14ac:dyDescent="0.3">
      <c r="H670" s="86"/>
      <c r="I670" s="86"/>
      <c r="J670" s="86"/>
    </row>
    <row r="671" spans="8:10" x14ac:dyDescent="0.3">
      <c r="H671" s="86"/>
      <c r="I671" s="86"/>
      <c r="J671" s="86"/>
    </row>
    <row r="672" spans="8:10" x14ac:dyDescent="0.3">
      <c r="H672" s="86"/>
      <c r="I672" s="86"/>
      <c r="J672" s="86"/>
    </row>
    <row r="673" spans="8:10" x14ac:dyDescent="0.3">
      <c r="H673" s="86"/>
      <c r="I673" s="86"/>
      <c r="J673" s="86"/>
    </row>
    <row r="674" spans="8:10" x14ac:dyDescent="0.3">
      <c r="H674" s="86"/>
      <c r="I674" s="86"/>
      <c r="J674" s="86"/>
    </row>
    <row r="675" spans="8:10" x14ac:dyDescent="0.3">
      <c r="H675" s="86"/>
      <c r="I675" s="86"/>
      <c r="J675" s="86"/>
    </row>
    <row r="676" spans="8:10" x14ac:dyDescent="0.3">
      <c r="H676" s="86"/>
      <c r="I676" s="86"/>
      <c r="J676" s="86"/>
    </row>
    <row r="677" spans="8:10" x14ac:dyDescent="0.3">
      <c r="H677" s="86"/>
      <c r="I677" s="86"/>
      <c r="J677" s="86"/>
    </row>
    <row r="678" spans="8:10" x14ac:dyDescent="0.3">
      <c r="H678" s="86"/>
      <c r="I678" s="86"/>
      <c r="J678" s="86"/>
    </row>
    <row r="679" spans="8:10" x14ac:dyDescent="0.3">
      <c r="H679" s="86"/>
      <c r="I679" s="86"/>
      <c r="J679" s="86"/>
    </row>
    <row r="680" spans="8:10" x14ac:dyDescent="0.3">
      <c r="H680" s="86"/>
      <c r="I680" s="86"/>
      <c r="J680" s="86"/>
    </row>
    <row r="681" spans="8:10" x14ac:dyDescent="0.3">
      <c r="H681" s="86"/>
      <c r="I681" s="86"/>
      <c r="J681" s="86"/>
    </row>
    <row r="682" spans="8:10" x14ac:dyDescent="0.3">
      <c r="H682" s="86"/>
      <c r="I682" s="86"/>
      <c r="J682" s="86"/>
    </row>
    <row r="683" spans="8:10" x14ac:dyDescent="0.3">
      <c r="H683" s="86"/>
      <c r="I683" s="86"/>
      <c r="J683" s="86"/>
    </row>
    <row r="684" spans="8:10" x14ac:dyDescent="0.3">
      <c r="H684" s="86"/>
      <c r="I684" s="86"/>
      <c r="J684" s="86"/>
    </row>
    <row r="685" spans="8:10" x14ac:dyDescent="0.3">
      <c r="H685" s="86"/>
      <c r="I685" s="86"/>
      <c r="J685" s="86"/>
    </row>
    <row r="686" spans="8:10" x14ac:dyDescent="0.3">
      <c r="H686" s="86"/>
      <c r="I686" s="86"/>
      <c r="J686" s="86"/>
    </row>
    <row r="687" spans="8:10" x14ac:dyDescent="0.3">
      <c r="H687" s="86"/>
      <c r="I687" s="86"/>
      <c r="J687" s="86"/>
    </row>
    <row r="688" spans="8:10" x14ac:dyDescent="0.3">
      <c r="H688" s="86"/>
      <c r="I688" s="86"/>
      <c r="J688" s="86"/>
    </row>
    <row r="689" spans="8:10" x14ac:dyDescent="0.3">
      <c r="H689" s="86"/>
      <c r="I689" s="86"/>
      <c r="J689" s="86"/>
    </row>
    <row r="690" spans="8:10" x14ac:dyDescent="0.3">
      <c r="H690" s="86"/>
      <c r="I690" s="86"/>
      <c r="J690" s="86"/>
    </row>
    <row r="691" spans="8:10" x14ac:dyDescent="0.3">
      <c r="H691" s="86"/>
      <c r="I691" s="86"/>
      <c r="J691" s="86"/>
    </row>
    <row r="692" spans="8:10" x14ac:dyDescent="0.3">
      <c r="H692" s="86"/>
      <c r="I692" s="86"/>
      <c r="J692" s="86"/>
    </row>
    <row r="693" spans="8:10" x14ac:dyDescent="0.3">
      <c r="H693" s="86"/>
      <c r="I693" s="86"/>
      <c r="J693" s="86"/>
    </row>
    <row r="694" spans="8:10" x14ac:dyDescent="0.3">
      <c r="H694" s="86"/>
      <c r="I694" s="86"/>
      <c r="J694" s="86"/>
    </row>
    <row r="695" spans="8:10" x14ac:dyDescent="0.3">
      <c r="H695" s="86"/>
      <c r="I695" s="86"/>
      <c r="J695" s="86"/>
    </row>
    <row r="696" spans="8:10" x14ac:dyDescent="0.3">
      <c r="H696" s="86"/>
      <c r="I696" s="86"/>
      <c r="J696" s="86"/>
    </row>
    <row r="697" spans="8:10" x14ac:dyDescent="0.3">
      <c r="H697" s="86"/>
      <c r="I697" s="86"/>
      <c r="J697" s="86"/>
    </row>
    <row r="698" spans="8:10" x14ac:dyDescent="0.3">
      <c r="H698" s="86"/>
      <c r="I698" s="86"/>
      <c r="J698" s="86"/>
    </row>
    <row r="699" spans="8:10" x14ac:dyDescent="0.3">
      <c r="H699" s="86"/>
      <c r="I699" s="86"/>
      <c r="J699" s="86"/>
    </row>
    <row r="700" spans="8:10" x14ac:dyDescent="0.3">
      <c r="H700" s="86"/>
      <c r="I700" s="86"/>
      <c r="J700" s="86"/>
    </row>
    <row r="701" spans="8:10" x14ac:dyDescent="0.3">
      <c r="H701" s="86"/>
      <c r="I701" s="86"/>
      <c r="J701" s="86"/>
    </row>
    <row r="702" spans="8:10" x14ac:dyDescent="0.3">
      <c r="H702" s="86"/>
      <c r="I702" s="86"/>
      <c r="J702" s="86"/>
    </row>
    <row r="703" spans="8:10" x14ac:dyDescent="0.3">
      <c r="H703" s="86"/>
      <c r="I703" s="86"/>
      <c r="J703" s="86"/>
    </row>
    <row r="704" spans="8:10" x14ac:dyDescent="0.3">
      <c r="H704" s="86"/>
      <c r="I704" s="86"/>
      <c r="J704" s="86"/>
    </row>
    <row r="705" spans="8:10" x14ac:dyDescent="0.3">
      <c r="H705" s="86"/>
      <c r="I705" s="86"/>
      <c r="J705" s="86"/>
    </row>
    <row r="706" spans="8:10" x14ac:dyDescent="0.3">
      <c r="H706" s="86"/>
      <c r="I706" s="86"/>
      <c r="J706" s="86"/>
    </row>
    <row r="707" spans="8:10" x14ac:dyDescent="0.3">
      <c r="H707" s="86"/>
      <c r="I707" s="86"/>
      <c r="J707" s="86"/>
    </row>
    <row r="708" spans="8:10" x14ac:dyDescent="0.3">
      <c r="H708" s="86"/>
      <c r="I708" s="86"/>
      <c r="J708" s="86"/>
    </row>
    <row r="709" spans="8:10" x14ac:dyDescent="0.3">
      <c r="H709" s="86"/>
      <c r="I709" s="86"/>
      <c r="J709" s="86"/>
    </row>
    <row r="710" spans="8:10" x14ac:dyDescent="0.3">
      <c r="H710" s="86"/>
      <c r="I710" s="86"/>
      <c r="J710" s="86"/>
    </row>
    <row r="711" spans="8:10" x14ac:dyDescent="0.3">
      <c r="H711" s="86"/>
      <c r="I711" s="86"/>
      <c r="J711" s="86"/>
    </row>
    <row r="712" spans="8:10" x14ac:dyDescent="0.3">
      <c r="H712" s="86"/>
      <c r="I712" s="86"/>
      <c r="J712" s="86"/>
    </row>
    <row r="713" spans="8:10" x14ac:dyDescent="0.3">
      <c r="H713" s="86"/>
      <c r="I713" s="86"/>
      <c r="J713" s="86"/>
    </row>
    <row r="714" spans="8:10" x14ac:dyDescent="0.3">
      <c r="H714" s="86"/>
      <c r="I714" s="86"/>
      <c r="J714" s="86"/>
    </row>
    <row r="715" spans="8:10" x14ac:dyDescent="0.3">
      <c r="H715" s="86"/>
      <c r="I715" s="86"/>
      <c r="J715" s="86"/>
    </row>
    <row r="716" spans="8:10" x14ac:dyDescent="0.3">
      <c r="H716" s="86"/>
      <c r="I716" s="86"/>
      <c r="J716" s="86"/>
    </row>
    <row r="717" spans="8:10" x14ac:dyDescent="0.3">
      <c r="H717" s="86"/>
      <c r="I717" s="86"/>
      <c r="J717" s="86"/>
    </row>
    <row r="718" spans="8:10" x14ac:dyDescent="0.3">
      <c r="H718" s="86"/>
      <c r="I718" s="86"/>
      <c r="J718" s="86"/>
    </row>
    <row r="719" spans="8:10" x14ac:dyDescent="0.3">
      <c r="H719" s="86"/>
      <c r="I719" s="86"/>
      <c r="J719" s="86"/>
    </row>
    <row r="720" spans="8:10" x14ac:dyDescent="0.3">
      <c r="H720" s="86"/>
      <c r="I720" s="86"/>
      <c r="J720" s="86"/>
    </row>
    <row r="721" spans="8:10" x14ac:dyDescent="0.3">
      <c r="H721" s="86"/>
      <c r="I721" s="86"/>
      <c r="J721" s="86"/>
    </row>
    <row r="722" spans="8:10" x14ac:dyDescent="0.3">
      <c r="H722" s="86"/>
      <c r="I722" s="86"/>
      <c r="J722" s="86"/>
    </row>
    <row r="723" spans="8:10" x14ac:dyDescent="0.3">
      <c r="H723" s="86"/>
      <c r="I723" s="86"/>
      <c r="J723" s="86"/>
    </row>
    <row r="724" spans="8:10" x14ac:dyDescent="0.3">
      <c r="H724" s="86"/>
      <c r="I724" s="86"/>
      <c r="J724" s="86"/>
    </row>
    <row r="725" spans="8:10" x14ac:dyDescent="0.3">
      <c r="H725" s="86"/>
      <c r="I725" s="86"/>
      <c r="J725" s="86"/>
    </row>
    <row r="726" spans="8:10" x14ac:dyDescent="0.3">
      <c r="H726" s="86"/>
      <c r="I726" s="86"/>
      <c r="J726" s="86"/>
    </row>
    <row r="727" spans="8:10" x14ac:dyDescent="0.3">
      <c r="H727" s="86"/>
      <c r="I727" s="86"/>
      <c r="J727" s="86"/>
    </row>
    <row r="728" spans="8:10" x14ac:dyDescent="0.3">
      <c r="H728" s="86"/>
      <c r="I728" s="86"/>
      <c r="J728" s="86"/>
    </row>
    <row r="729" spans="8:10" x14ac:dyDescent="0.3">
      <c r="H729" s="86"/>
      <c r="I729" s="86"/>
      <c r="J729" s="86"/>
    </row>
    <row r="730" spans="8:10" x14ac:dyDescent="0.3">
      <c r="H730" s="86"/>
      <c r="I730" s="86"/>
      <c r="J730" s="86"/>
    </row>
    <row r="731" spans="8:10" x14ac:dyDescent="0.3">
      <c r="H731" s="86"/>
      <c r="I731" s="86"/>
      <c r="J731" s="86"/>
    </row>
    <row r="732" spans="8:10" x14ac:dyDescent="0.3">
      <c r="H732" s="86"/>
      <c r="I732" s="86"/>
      <c r="J732" s="86"/>
    </row>
    <row r="733" spans="8:10" x14ac:dyDescent="0.3">
      <c r="H733" s="86"/>
      <c r="I733" s="86"/>
      <c r="J733" s="86"/>
    </row>
    <row r="734" spans="8:10" x14ac:dyDescent="0.3">
      <c r="H734" s="86"/>
      <c r="I734" s="86"/>
      <c r="J734" s="86"/>
    </row>
    <row r="735" spans="8:10" x14ac:dyDescent="0.3">
      <c r="H735" s="86"/>
      <c r="I735" s="86"/>
      <c r="J735" s="86"/>
    </row>
    <row r="736" spans="8:10" x14ac:dyDescent="0.3">
      <c r="H736" s="86"/>
      <c r="I736" s="86"/>
      <c r="J736" s="86"/>
    </row>
    <row r="737" spans="8:10" x14ac:dyDescent="0.3">
      <c r="H737" s="86"/>
      <c r="I737" s="86"/>
      <c r="J737" s="86"/>
    </row>
    <row r="738" spans="8:10" x14ac:dyDescent="0.3">
      <c r="H738" s="86"/>
      <c r="I738" s="86"/>
      <c r="J738" s="86"/>
    </row>
    <row r="739" spans="8:10" x14ac:dyDescent="0.3">
      <c r="H739" s="86"/>
      <c r="I739" s="86"/>
      <c r="J739" s="86"/>
    </row>
    <row r="740" spans="8:10" x14ac:dyDescent="0.3">
      <c r="H740" s="86"/>
      <c r="I740" s="86"/>
      <c r="J740" s="86"/>
    </row>
    <row r="741" spans="8:10" x14ac:dyDescent="0.3">
      <c r="H741" s="86"/>
      <c r="I741" s="86"/>
      <c r="J741" s="86"/>
    </row>
    <row r="742" spans="8:10" x14ac:dyDescent="0.3">
      <c r="H742" s="86"/>
      <c r="I742" s="86"/>
      <c r="J742" s="86"/>
    </row>
    <row r="743" spans="8:10" x14ac:dyDescent="0.3">
      <c r="H743" s="86"/>
      <c r="I743" s="86"/>
      <c r="J743" s="86"/>
    </row>
    <row r="744" spans="8:10" x14ac:dyDescent="0.3">
      <c r="H744" s="86"/>
      <c r="I744" s="86"/>
      <c r="J744" s="86"/>
    </row>
    <row r="745" spans="8:10" x14ac:dyDescent="0.3">
      <c r="H745" s="86"/>
      <c r="I745" s="86"/>
      <c r="J745" s="86"/>
    </row>
    <row r="746" spans="8:10" x14ac:dyDescent="0.3">
      <c r="H746" s="86"/>
      <c r="I746" s="86"/>
      <c r="J746" s="86"/>
    </row>
    <row r="747" spans="8:10" x14ac:dyDescent="0.3">
      <c r="H747" s="86"/>
      <c r="I747" s="86"/>
      <c r="J747" s="86"/>
    </row>
    <row r="748" spans="8:10" x14ac:dyDescent="0.3">
      <c r="H748" s="86"/>
      <c r="I748" s="86"/>
      <c r="J748" s="86"/>
    </row>
    <row r="749" spans="8:10" x14ac:dyDescent="0.3">
      <c r="H749" s="86"/>
      <c r="I749" s="86"/>
      <c r="J749" s="86"/>
    </row>
    <row r="750" spans="8:10" x14ac:dyDescent="0.3">
      <c r="H750" s="86"/>
      <c r="I750" s="86"/>
      <c r="J750" s="86"/>
    </row>
    <row r="751" spans="8:10" x14ac:dyDescent="0.3">
      <c r="H751" s="86"/>
      <c r="I751" s="86"/>
      <c r="J751" s="86"/>
    </row>
    <row r="752" spans="8:10" x14ac:dyDescent="0.3">
      <c r="H752" s="86"/>
      <c r="I752" s="86"/>
      <c r="J752" s="86"/>
    </row>
    <row r="753" spans="8:10" x14ac:dyDescent="0.3">
      <c r="H753" s="86"/>
      <c r="I753" s="86"/>
      <c r="J753" s="86"/>
    </row>
    <row r="754" spans="8:10" x14ac:dyDescent="0.3">
      <c r="H754" s="86"/>
      <c r="I754" s="86"/>
      <c r="J754" s="86"/>
    </row>
    <row r="755" spans="8:10" x14ac:dyDescent="0.3">
      <c r="H755" s="86"/>
      <c r="I755" s="86"/>
      <c r="J755" s="86"/>
    </row>
    <row r="756" spans="8:10" x14ac:dyDescent="0.3">
      <c r="H756" s="86"/>
      <c r="I756" s="86"/>
      <c r="J756" s="86"/>
    </row>
    <row r="757" spans="8:10" x14ac:dyDescent="0.3">
      <c r="H757" s="86"/>
      <c r="I757" s="86"/>
      <c r="J757" s="86"/>
    </row>
    <row r="758" spans="8:10" x14ac:dyDescent="0.3">
      <c r="H758" s="86"/>
      <c r="I758" s="86"/>
      <c r="J758" s="86"/>
    </row>
    <row r="759" spans="8:10" x14ac:dyDescent="0.3">
      <c r="H759" s="86"/>
      <c r="I759" s="86"/>
      <c r="J759" s="86"/>
    </row>
    <row r="760" spans="8:10" x14ac:dyDescent="0.3">
      <c r="H760" s="86"/>
      <c r="I760" s="86"/>
      <c r="J760" s="86"/>
    </row>
    <row r="761" spans="8:10" x14ac:dyDescent="0.3">
      <c r="H761" s="86"/>
      <c r="I761" s="86"/>
      <c r="J761" s="86"/>
    </row>
    <row r="762" spans="8:10" x14ac:dyDescent="0.3">
      <c r="H762" s="86"/>
      <c r="I762" s="86"/>
      <c r="J762" s="86"/>
    </row>
    <row r="763" spans="8:10" x14ac:dyDescent="0.3">
      <c r="H763" s="86"/>
      <c r="I763" s="86"/>
      <c r="J763" s="86"/>
    </row>
    <row r="764" spans="8:10" x14ac:dyDescent="0.3">
      <c r="H764" s="86"/>
      <c r="I764" s="86"/>
      <c r="J764" s="86"/>
    </row>
    <row r="765" spans="8:10" x14ac:dyDescent="0.3">
      <c r="H765" s="86"/>
      <c r="I765" s="86"/>
      <c r="J765" s="86"/>
    </row>
    <row r="766" spans="8:10" x14ac:dyDescent="0.3">
      <c r="H766" s="86"/>
      <c r="I766" s="86"/>
      <c r="J766" s="86"/>
    </row>
    <row r="767" spans="8:10" x14ac:dyDescent="0.3">
      <c r="H767" s="86"/>
      <c r="I767" s="86"/>
      <c r="J767" s="86"/>
    </row>
    <row r="768" spans="8:10" x14ac:dyDescent="0.3">
      <c r="H768" s="86"/>
      <c r="I768" s="86"/>
      <c r="J768" s="86"/>
    </row>
    <row r="769" spans="8:10" x14ac:dyDescent="0.3">
      <c r="H769" s="86"/>
      <c r="I769" s="86"/>
      <c r="J769" s="86"/>
    </row>
    <row r="770" spans="8:10" x14ac:dyDescent="0.3">
      <c r="H770" s="86"/>
      <c r="I770" s="86"/>
      <c r="J770" s="86"/>
    </row>
    <row r="771" spans="8:10" x14ac:dyDescent="0.3">
      <c r="H771" s="86"/>
      <c r="I771" s="86"/>
      <c r="J771" s="86"/>
    </row>
    <row r="772" spans="8:10" x14ac:dyDescent="0.3">
      <c r="H772" s="86"/>
      <c r="I772" s="86"/>
      <c r="J772" s="86"/>
    </row>
    <row r="773" spans="8:10" x14ac:dyDescent="0.3">
      <c r="H773" s="86"/>
      <c r="I773" s="86"/>
      <c r="J773" s="86"/>
    </row>
    <row r="774" spans="8:10" x14ac:dyDescent="0.3">
      <c r="H774" s="86"/>
      <c r="I774" s="86"/>
      <c r="J774" s="86"/>
    </row>
    <row r="775" spans="8:10" x14ac:dyDescent="0.3">
      <c r="H775" s="86"/>
      <c r="I775" s="86"/>
      <c r="J775" s="86"/>
    </row>
    <row r="776" spans="8:10" x14ac:dyDescent="0.3">
      <c r="H776" s="86"/>
      <c r="I776" s="86"/>
      <c r="J776" s="86"/>
    </row>
    <row r="777" spans="8:10" x14ac:dyDescent="0.3">
      <c r="H777" s="86"/>
      <c r="I777" s="86"/>
      <c r="J777" s="86"/>
    </row>
    <row r="778" spans="8:10" x14ac:dyDescent="0.3">
      <c r="H778" s="86"/>
      <c r="I778" s="86"/>
      <c r="J778" s="86"/>
    </row>
    <row r="779" spans="8:10" x14ac:dyDescent="0.3">
      <c r="H779" s="86"/>
      <c r="I779" s="86"/>
      <c r="J779" s="86"/>
    </row>
    <row r="780" spans="8:10" x14ac:dyDescent="0.3">
      <c r="H780" s="86"/>
      <c r="I780" s="86"/>
      <c r="J780" s="86"/>
    </row>
    <row r="781" spans="8:10" x14ac:dyDescent="0.3">
      <c r="H781" s="86"/>
      <c r="I781" s="86"/>
      <c r="J781" s="86"/>
    </row>
    <row r="782" spans="8:10" x14ac:dyDescent="0.3">
      <c r="H782" s="86"/>
      <c r="I782" s="86"/>
      <c r="J782" s="86"/>
    </row>
    <row r="783" spans="8:10" x14ac:dyDescent="0.3">
      <c r="H783" s="86"/>
      <c r="I783" s="86"/>
      <c r="J783" s="86"/>
    </row>
    <row r="784" spans="8:10" x14ac:dyDescent="0.3">
      <c r="H784" s="86"/>
      <c r="I784" s="86"/>
      <c r="J784" s="86"/>
    </row>
    <row r="785" spans="8:10" x14ac:dyDescent="0.3">
      <c r="H785" s="86"/>
      <c r="I785" s="86"/>
      <c r="J785" s="86"/>
    </row>
    <row r="786" spans="8:10" x14ac:dyDescent="0.3">
      <c r="H786" s="86"/>
      <c r="I786" s="86"/>
      <c r="J786" s="86"/>
    </row>
    <row r="787" spans="8:10" x14ac:dyDescent="0.3">
      <c r="H787" s="86"/>
      <c r="I787" s="86"/>
      <c r="J787" s="86"/>
    </row>
    <row r="788" spans="8:10" x14ac:dyDescent="0.3">
      <c r="H788" s="86"/>
      <c r="I788" s="86"/>
      <c r="J788" s="86"/>
    </row>
    <row r="789" spans="8:10" x14ac:dyDescent="0.3">
      <c r="H789" s="86"/>
      <c r="I789" s="86"/>
      <c r="J789" s="86"/>
    </row>
    <row r="790" spans="8:10" x14ac:dyDescent="0.3">
      <c r="H790" s="86"/>
      <c r="I790" s="86"/>
      <c r="J790" s="86"/>
    </row>
    <row r="791" spans="8:10" x14ac:dyDescent="0.3">
      <c r="H791" s="86"/>
      <c r="I791" s="86"/>
      <c r="J791" s="86"/>
    </row>
    <row r="792" spans="8:10" x14ac:dyDescent="0.3">
      <c r="H792" s="86"/>
      <c r="I792" s="86"/>
      <c r="J792" s="86"/>
    </row>
    <row r="793" spans="8:10" x14ac:dyDescent="0.3">
      <c r="H793" s="86"/>
      <c r="I793" s="86"/>
      <c r="J793" s="86"/>
    </row>
    <row r="794" spans="8:10" x14ac:dyDescent="0.3">
      <c r="H794" s="86"/>
      <c r="I794" s="86"/>
      <c r="J794" s="86"/>
    </row>
    <row r="795" spans="8:10" x14ac:dyDescent="0.3">
      <c r="H795" s="86"/>
      <c r="I795" s="86"/>
      <c r="J795" s="86"/>
    </row>
    <row r="796" spans="8:10" x14ac:dyDescent="0.3">
      <c r="H796" s="86"/>
      <c r="I796" s="86"/>
      <c r="J796" s="86"/>
    </row>
    <row r="797" spans="8:10" x14ac:dyDescent="0.3">
      <c r="H797" s="86"/>
      <c r="I797" s="86"/>
      <c r="J797" s="86"/>
    </row>
    <row r="798" spans="8:10" x14ac:dyDescent="0.3">
      <c r="H798" s="86"/>
      <c r="I798" s="86"/>
      <c r="J798" s="86"/>
    </row>
    <row r="799" spans="8:10" x14ac:dyDescent="0.3">
      <c r="H799" s="86"/>
      <c r="I799" s="86"/>
      <c r="J799" s="86"/>
    </row>
    <row r="800" spans="8:10" x14ac:dyDescent="0.3">
      <c r="H800" s="86"/>
      <c r="I800" s="86"/>
      <c r="J800" s="86"/>
    </row>
    <row r="801" spans="8:10" x14ac:dyDescent="0.3">
      <c r="H801" s="86"/>
      <c r="I801" s="86"/>
      <c r="J801" s="86"/>
    </row>
    <row r="802" spans="8:10" x14ac:dyDescent="0.3">
      <c r="H802" s="86"/>
      <c r="I802" s="86"/>
      <c r="J802" s="86"/>
    </row>
    <row r="803" spans="8:10" x14ac:dyDescent="0.3">
      <c r="H803" s="86"/>
      <c r="I803" s="86"/>
      <c r="J803" s="86"/>
    </row>
    <row r="804" spans="8:10" x14ac:dyDescent="0.3">
      <c r="H804" s="86"/>
      <c r="I804" s="86"/>
      <c r="J804" s="86"/>
    </row>
    <row r="805" spans="8:10" x14ac:dyDescent="0.3">
      <c r="H805" s="86"/>
      <c r="I805" s="86"/>
      <c r="J805" s="86"/>
    </row>
    <row r="806" spans="8:10" x14ac:dyDescent="0.3">
      <c r="H806" s="86"/>
      <c r="I806" s="86"/>
      <c r="J806" s="86"/>
    </row>
    <row r="807" spans="8:10" x14ac:dyDescent="0.3">
      <c r="H807" s="86"/>
      <c r="I807" s="86"/>
      <c r="J807" s="86"/>
    </row>
    <row r="808" spans="8:10" x14ac:dyDescent="0.3">
      <c r="H808" s="86"/>
      <c r="I808" s="86"/>
      <c r="J808" s="86"/>
    </row>
    <row r="809" spans="8:10" x14ac:dyDescent="0.3">
      <c r="H809" s="86"/>
      <c r="I809" s="86"/>
      <c r="J809" s="86"/>
    </row>
    <row r="810" spans="8:10" x14ac:dyDescent="0.3">
      <c r="H810" s="86"/>
      <c r="I810" s="86"/>
      <c r="J810" s="86"/>
    </row>
    <row r="811" spans="8:10" x14ac:dyDescent="0.3">
      <c r="H811" s="86"/>
      <c r="I811" s="86"/>
      <c r="J811" s="86"/>
    </row>
    <row r="812" spans="8:10" x14ac:dyDescent="0.3">
      <c r="H812" s="86"/>
      <c r="I812" s="86"/>
      <c r="J812" s="86"/>
    </row>
    <row r="813" spans="8:10" x14ac:dyDescent="0.3">
      <c r="H813" s="86"/>
      <c r="I813" s="86"/>
      <c r="J813" s="86"/>
    </row>
    <row r="814" spans="8:10" x14ac:dyDescent="0.3">
      <c r="H814" s="86"/>
      <c r="I814" s="86"/>
      <c r="J814" s="86"/>
    </row>
    <row r="815" spans="8:10" x14ac:dyDescent="0.3">
      <c r="H815" s="86"/>
      <c r="I815" s="86"/>
      <c r="J815" s="86"/>
    </row>
    <row r="816" spans="8:10" x14ac:dyDescent="0.3">
      <c r="H816" s="86"/>
      <c r="I816" s="86"/>
      <c r="J816" s="86"/>
    </row>
    <row r="817" spans="8:10" x14ac:dyDescent="0.3">
      <c r="H817" s="86"/>
      <c r="I817" s="86"/>
      <c r="J817" s="86"/>
    </row>
    <row r="818" spans="8:10" x14ac:dyDescent="0.3">
      <c r="H818" s="86"/>
      <c r="I818" s="86"/>
      <c r="J818" s="86"/>
    </row>
    <row r="819" spans="8:10" x14ac:dyDescent="0.3">
      <c r="H819" s="86"/>
      <c r="I819" s="86"/>
      <c r="J819" s="86"/>
    </row>
    <row r="820" spans="8:10" x14ac:dyDescent="0.3">
      <c r="H820" s="86"/>
      <c r="I820" s="86"/>
      <c r="J820" s="86"/>
    </row>
    <row r="821" spans="8:10" x14ac:dyDescent="0.3">
      <c r="H821" s="86"/>
      <c r="I821" s="86"/>
      <c r="J821" s="86"/>
    </row>
    <row r="822" spans="8:10" x14ac:dyDescent="0.3">
      <c r="H822" s="86"/>
      <c r="I822" s="86"/>
      <c r="J822" s="86"/>
    </row>
    <row r="823" spans="8:10" x14ac:dyDescent="0.3">
      <c r="H823" s="86"/>
      <c r="I823" s="86"/>
      <c r="J823" s="86"/>
    </row>
    <row r="824" spans="8:10" x14ac:dyDescent="0.3">
      <c r="H824" s="86"/>
      <c r="I824" s="86"/>
      <c r="J824" s="86"/>
    </row>
    <row r="825" spans="8:10" x14ac:dyDescent="0.3">
      <c r="H825" s="86"/>
      <c r="I825" s="86"/>
      <c r="J825" s="86"/>
    </row>
    <row r="826" spans="8:10" x14ac:dyDescent="0.3">
      <c r="H826" s="86"/>
      <c r="I826" s="86"/>
      <c r="J826" s="86"/>
    </row>
    <row r="827" spans="8:10" x14ac:dyDescent="0.3">
      <c r="H827" s="86"/>
      <c r="I827" s="86"/>
      <c r="J827" s="86"/>
    </row>
    <row r="828" spans="8:10" x14ac:dyDescent="0.3">
      <c r="H828" s="86"/>
      <c r="I828" s="86"/>
      <c r="J828" s="86"/>
    </row>
    <row r="829" spans="8:10" x14ac:dyDescent="0.3">
      <c r="H829" s="86"/>
      <c r="I829" s="86"/>
      <c r="J829" s="86"/>
    </row>
    <row r="830" spans="8:10" x14ac:dyDescent="0.3">
      <c r="H830" s="86"/>
      <c r="I830" s="86"/>
      <c r="J830" s="86"/>
    </row>
    <row r="831" spans="8:10" x14ac:dyDescent="0.3">
      <c r="H831" s="86"/>
      <c r="I831" s="86"/>
      <c r="J831" s="86"/>
    </row>
    <row r="832" spans="8:10" x14ac:dyDescent="0.3">
      <c r="H832" s="86"/>
      <c r="I832" s="86"/>
      <c r="J832" s="86"/>
    </row>
    <row r="833" spans="8:10" x14ac:dyDescent="0.3">
      <c r="H833" s="86"/>
      <c r="I833" s="86"/>
      <c r="J833" s="86"/>
    </row>
    <row r="834" spans="8:10" x14ac:dyDescent="0.3">
      <c r="H834" s="86"/>
      <c r="I834" s="86"/>
      <c r="J834" s="86"/>
    </row>
    <row r="835" spans="8:10" x14ac:dyDescent="0.3">
      <c r="H835" s="86"/>
      <c r="I835" s="86"/>
      <c r="J835" s="86"/>
    </row>
    <row r="836" spans="8:10" x14ac:dyDescent="0.3">
      <c r="H836" s="86"/>
      <c r="I836" s="86"/>
      <c r="J836" s="86"/>
    </row>
    <row r="837" spans="8:10" x14ac:dyDescent="0.3">
      <c r="H837" s="86"/>
      <c r="I837" s="86"/>
      <c r="J837" s="86"/>
    </row>
    <row r="838" spans="8:10" x14ac:dyDescent="0.3">
      <c r="H838" s="86"/>
      <c r="I838" s="86"/>
      <c r="J838" s="86"/>
    </row>
    <row r="839" spans="8:10" x14ac:dyDescent="0.3">
      <c r="H839" s="86"/>
      <c r="I839" s="86"/>
      <c r="J839" s="86"/>
    </row>
    <row r="840" spans="8:10" x14ac:dyDescent="0.3">
      <c r="H840" s="86"/>
      <c r="I840" s="86"/>
      <c r="J840" s="86"/>
    </row>
    <row r="841" spans="8:10" x14ac:dyDescent="0.3">
      <c r="H841" s="86"/>
      <c r="I841" s="86"/>
      <c r="J841" s="86"/>
    </row>
    <row r="842" spans="8:10" x14ac:dyDescent="0.3">
      <c r="H842" s="86"/>
      <c r="I842" s="86"/>
      <c r="J842" s="86"/>
    </row>
    <row r="843" spans="8:10" x14ac:dyDescent="0.3">
      <c r="H843" s="86"/>
      <c r="I843" s="86"/>
      <c r="J843" s="86"/>
    </row>
    <row r="844" spans="8:10" x14ac:dyDescent="0.3">
      <c r="H844" s="86"/>
      <c r="I844" s="86"/>
      <c r="J844" s="86"/>
    </row>
    <row r="845" spans="8:10" x14ac:dyDescent="0.3">
      <c r="H845" s="86"/>
      <c r="I845" s="86"/>
      <c r="J845" s="86"/>
    </row>
    <row r="846" spans="8:10" x14ac:dyDescent="0.3">
      <c r="H846" s="86"/>
      <c r="I846" s="86"/>
      <c r="J846" s="86"/>
    </row>
    <row r="847" spans="8:10" x14ac:dyDescent="0.3">
      <c r="H847" s="86"/>
      <c r="I847" s="86"/>
      <c r="J847" s="86"/>
    </row>
    <row r="848" spans="8:10" x14ac:dyDescent="0.3">
      <c r="H848" s="86"/>
      <c r="I848" s="86"/>
      <c r="J848" s="86"/>
    </row>
    <row r="849" spans="8:10" x14ac:dyDescent="0.3">
      <c r="H849" s="86"/>
      <c r="I849" s="86"/>
      <c r="J849" s="86"/>
    </row>
    <row r="850" spans="8:10" x14ac:dyDescent="0.3">
      <c r="H850" s="86"/>
      <c r="I850" s="86"/>
      <c r="J850" s="86"/>
    </row>
    <row r="851" spans="8:10" x14ac:dyDescent="0.3">
      <c r="H851" s="86"/>
      <c r="I851" s="86"/>
      <c r="J851" s="86"/>
    </row>
    <row r="852" spans="8:10" x14ac:dyDescent="0.3">
      <c r="H852" s="86"/>
      <c r="I852" s="86"/>
      <c r="J852" s="86"/>
    </row>
    <row r="853" spans="8:10" x14ac:dyDescent="0.3">
      <c r="H853" s="86"/>
      <c r="I853" s="86"/>
      <c r="J853" s="86"/>
    </row>
    <row r="854" spans="8:10" x14ac:dyDescent="0.3">
      <c r="H854" s="86"/>
      <c r="I854" s="86"/>
      <c r="J854" s="86"/>
    </row>
    <row r="855" spans="8:10" x14ac:dyDescent="0.3">
      <c r="H855" s="86"/>
      <c r="I855" s="86"/>
      <c r="J855" s="86"/>
    </row>
    <row r="856" spans="8:10" x14ac:dyDescent="0.3">
      <c r="H856" s="86"/>
      <c r="I856" s="86"/>
      <c r="J856" s="86"/>
    </row>
    <row r="857" spans="8:10" x14ac:dyDescent="0.3">
      <c r="H857" s="86"/>
      <c r="I857" s="86"/>
      <c r="J857" s="86"/>
    </row>
    <row r="858" spans="8:10" x14ac:dyDescent="0.3">
      <c r="H858" s="86"/>
      <c r="I858" s="86"/>
      <c r="J858" s="86"/>
    </row>
    <row r="859" spans="8:10" x14ac:dyDescent="0.3">
      <c r="H859" s="86"/>
      <c r="I859" s="86"/>
      <c r="J859" s="86"/>
    </row>
    <row r="860" spans="8:10" x14ac:dyDescent="0.3">
      <c r="H860" s="86"/>
      <c r="I860" s="86"/>
      <c r="J860" s="86"/>
    </row>
    <row r="861" spans="8:10" x14ac:dyDescent="0.3">
      <c r="H861" s="86"/>
      <c r="I861" s="86"/>
      <c r="J861" s="86"/>
    </row>
    <row r="862" spans="8:10" x14ac:dyDescent="0.3">
      <c r="H862" s="86"/>
      <c r="I862" s="86"/>
      <c r="J862" s="86"/>
    </row>
    <row r="863" spans="8:10" x14ac:dyDescent="0.3">
      <c r="H863" s="86"/>
      <c r="I863" s="86"/>
      <c r="J863" s="86"/>
    </row>
    <row r="864" spans="8:10" x14ac:dyDescent="0.3">
      <c r="H864" s="86"/>
      <c r="I864" s="86"/>
      <c r="J864" s="86"/>
    </row>
    <row r="865" spans="8:10" x14ac:dyDescent="0.3">
      <c r="H865" s="86"/>
      <c r="I865" s="86"/>
      <c r="J865" s="86"/>
    </row>
    <row r="866" spans="8:10" x14ac:dyDescent="0.3">
      <c r="H866" s="86"/>
      <c r="I866" s="86"/>
      <c r="J866" s="86"/>
    </row>
    <row r="867" spans="8:10" x14ac:dyDescent="0.3">
      <c r="H867" s="86"/>
      <c r="I867" s="86"/>
      <c r="J867" s="86"/>
    </row>
    <row r="868" spans="8:10" x14ac:dyDescent="0.3">
      <c r="H868" s="86"/>
      <c r="I868" s="86"/>
      <c r="J868" s="86"/>
    </row>
    <row r="869" spans="8:10" x14ac:dyDescent="0.3">
      <c r="H869" s="86"/>
      <c r="I869" s="86"/>
      <c r="J869" s="86"/>
    </row>
    <row r="870" spans="8:10" x14ac:dyDescent="0.3">
      <c r="H870" s="86"/>
      <c r="I870" s="86"/>
      <c r="J870" s="86"/>
    </row>
    <row r="871" spans="8:10" x14ac:dyDescent="0.3">
      <c r="H871" s="86"/>
      <c r="I871" s="86"/>
      <c r="J871" s="86"/>
    </row>
    <row r="872" spans="8:10" x14ac:dyDescent="0.3">
      <c r="H872" s="86"/>
      <c r="I872" s="86"/>
      <c r="J872" s="86"/>
    </row>
    <row r="873" spans="8:10" x14ac:dyDescent="0.3">
      <c r="H873" s="86"/>
      <c r="I873" s="86"/>
      <c r="J873" s="86"/>
    </row>
    <row r="874" spans="8:10" x14ac:dyDescent="0.3">
      <c r="H874" s="86"/>
      <c r="I874" s="86"/>
      <c r="J874" s="86"/>
    </row>
    <row r="875" spans="8:10" x14ac:dyDescent="0.3">
      <c r="H875" s="86"/>
      <c r="I875" s="86"/>
      <c r="J875" s="86"/>
    </row>
    <row r="876" spans="8:10" x14ac:dyDescent="0.3">
      <c r="H876" s="86"/>
      <c r="I876" s="86"/>
      <c r="J876" s="86"/>
    </row>
    <row r="877" spans="8:10" x14ac:dyDescent="0.3">
      <c r="H877" s="86"/>
      <c r="I877" s="86"/>
      <c r="J877" s="86"/>
    </row>
    <row r="878" spans="8:10" x14ac:dyDescent="0.3">
      <c r="H878" s="86"/>
      <c r="I878" s="86"/>
      <c r="J878" s="86"/>
    </row>
    <row r="879" spans="8:10" x14ac:dyDescent="0.3">
      <c r="H879" s="86"/>
      <c r="I879" s="86"/>
      <c r="J879" s="86"/>
    </row>
    <row r="880" spans="8:10" x14ac:dyDescent="0.3">
      <c r="H880" s="86"/>
      <c r="I880" s="86"/>
      <c r="J880" s="86"/>
    </row>
    <row r="881" spans="8:10" x14ac:dyDescent="0.3">
      <c r="H881" s="86"/>
      <c r="I881" s="86"/>
      <c r="J881" s="86"/>
    </row>
    <row r="882" spans="8:10" x14ac:dyDescent="0.3">
      <c r="H882" s="86"/>
      <c r="I882" s="86"/>
      <c r="J882" s="86"/>
    </row>
    <row r="883" spans="8:10" x14ac:dyDescent="0.3">
      <c r="H883" s="86"/>
      <c r="I883" s="86"/>
      <c r="J883" s="86"/>
    </row>
    <row r="884" spans="8:10" x14ac:dyDescent="0.3">
      <c r="H884" s="86"/>
      <c r="I884" s="86"/>
      <c r="J884" s="86"/>
    </row>
    <row r="885" spans="8:10" x14ac:dyDescent="0.3">
      <c r="H885" s="86"/>
      <c r="I885" s="86"/>
      <c r="J885" s="86"/>
    </row>
    <row r="886" spans="8:10" x14ac:dyDescent="0.3">
      <c r="H886" s="86"/>
      <c r="I886" s="86"/>
      <c r="J886" s="86"/>
    </row>
    <row r="887" spans="8:10" x14ac:dyDescent="0.3">
      <c r="H887" s="86"/>
      <c r="I887" s="86"/>
      <c r="J887" s="86"/>
    </row>
    <row r="888" spans="8:10" x14ac:dyDescent="0.3">
      <c r="H888" s="86"/>
      <c r="I888" s="86"/>
      <c r="J888" s="86"/>
    </row>
    <row r="889" spans="8:10" x14ac:dyDescent="0.3">
      <c r="H889" s="86"/>
      <c r="I889" s="86"/>
      <c r="J889" s="86"/>
    </row>
    <row r="890" spans="8:10" x14ac:dyDescent="0.3">
      <c r="H890" s="86"/>
      <c r="I890" s="86"/>
      <c r="J890" s="86"/>
    </row>
    <row r="891" spans="8:10" x14ac:dyDescent="0.3">
      <c r="H891" s="86"/>
      <c r="I891" s="86"/>
      <c r="J891" s="86"/>
    </row>
    <row r="892" spans="8:10" x14ac:dyDescent="0.3">
      <c r="H892" s="86"/>
      <c r="I892" s="86"/>
      <c r="J892" s="86"/>
    </row>
    <row r="893" spans="8:10" x14ac:dyDescent="0.3">
      <c r="H893" s="86"/>
      <c r="I893" s="86"/>
      <c r="J893" s="86"/>
    </row>
    <row r="894" spans="8:10" x14ac:dyDescent="0.3">
      <c r="H894" s="86"/>
      <c r="I894" s="86"/>
      <c r="J894" s="86"/>
    </row>
    <row r="895" spans="8:10" x14ac:dyDescent="0.3">
      <c r="H895" s="86"/>
      <c r="I895" s="86"/>
      <c r="J895" s="86"/>
    </row>
    <row r="896" spans="8:10" x14ac:dyDescent="0.3">
      <c r="H896" s="86"/>
      <c r="I896" s="86"/>
      <c r="J896" s="86"/>
    </row>
    <row r="897" spans="8:10" x14ac:dyDescent="0.3">
      <c r="H897" s="86"/>
      <c r="I897" s="86"/>
      <c r="J897" s="86"/>
    </row>
    <row r="898" spans="8:10" x14ac:dyDescent="0.3">
      <c r="H898" s="86"/>
      <c r="I898" s="86"/>
      <c r="J898" s="86"/>
    </row>
    <row r="899" spans="8:10" x14ac:dyDescent="0.3">
      <c r="H899" s="86"/>
      <c r="I899" s="86"/>
      <c r="J899" s="86"/>
    </row>
    <row r="900" spans="8:10" x14ac:dyDescent="0.3">
      <c r="H900" s="86"/>
      <c r="I900" s="86"/>
      <c r="J900" s="86"/>
    </row>
    <row r="901" spans="8:10" x14ac:dyDescent="0.3">
      <c r="H901" s="86"/>
      <c r="I901" s="86"/>
      <c r="J901" s="86"/>
    </row>
    <row r="902" spans="8:10" x14ac:dyDescent="0.3">
      <c r="H902" s="86"/>
      <c r="I902" s="86"/>
      <c r="J902" s="86"/>
    </row>
    <row r="903" spans="8:10" x14ac:dyDescent="0.3">
      <c r="H903" s="86"/>
      <c r="I903" s="86"/>
      <c r="J903" s="86"/>
    </row>
    <row r="904" spans="8:10" x14ac:dyDescent="0.3">
      <c r="H904" s="86"/>
      <c r="I904" s="86"/>
      <c r="J904" s="86"/>
    </row>
    <row r="905" spans="8:10" x14ac:dyDescent="0.3">
      <c r="H905" s="86"/>
      <c r="I905" s="86"/>
      <c r="J905" s="86"/>
    </row>
    <row r="906" spans="8:10" x14ac:dyDescent="0.3">
      <c r="H906" s="86"/>
      <c r="I906" s="86"/>
      <c r="J906" s="86"/>
    </row>
    <row r="907" spans="8:10" x14ac:dyDescent="0.3">
      <c r="H907" s="86"/>
      <c r="I907" s="86"/>
      <c r="J907" s="86"/>
    </row>
    <row r="908" spans="8:10" x14ac:dyDescent="0.3">
      <c r="H908" s="86"/>
      <c r="I908" s="86"/>
      <c r="J908" s="86"/>
    </row>
    <row r="909" spans="8:10" x14ac:dyDescent="0.3">
      <c r="H909" s="86"/>
      <c r="I909" s="86"/>
      <c r="J909" s="86"/>
    </row>
    <row r="910" spans="8:10" x14ac:dyDescent="0.3">
      <c r="H910" s="86"/>
      <c r="I910" s="86"/>
      <c r="J910" s="86"/>
    </row>
    <row r="911" spans="8:10" x14ac:dyDescent="0.3">
      <c r="H911" s="86"/>
      <c r="I911" s="86"/>
      <c r="J911" s="86"/>
    </row>
    <row r="912" spans="8:10" x14ac:dyDescent="0.3">
      <c r="H912" s="86"/>
      <c r="I912" s="86"/>
      <c r="J912" s="86"/>
    </row>
    <row r="913" spans="8:10" x14ac:dyDescent="0.3">
      <c r="H913" s="86"/>
      <c r="I913" s="86"/>
      <c r="J913" s="86"/>
    </row>
    <row r="914" spans="8:10" x14ac:dyDescent="0.3">
      <c r="H914" s="86"/>
      <c r="I914" s="86"/>
      <c r="J914" s="86"/>
    </row>
    <row r="915" spans="8:10" x14ac:dyDescent="0.3">
      <c r="H915" s="86"/>
      <c r="I915" s="86"/>
      <c r="J915" s="86"/>
    </row>
    <row r="916" spans="8:10" x14ac:dyDescent="0.3">
      <c r="H916" s="86"/>
      <c r="I916" s="86"/>
      <c r="J916" s="86"/>
    </row>
    <row r="917" spans="8:10" x14ac:dyDescent="0.3">
      <c r="H917" s="86"/>
      <c r="I917" s="86"/>
      <c r="J917" s="86"/>
    </row>
    <row r="918" spans="8:10" x14ac:dyDescent="0.3">
      <c r="H918" s="86"/>
      <c r="I918" s="86"/>
      <c r="J918" s="86"/>
    </row>
    <row r="919" spans="8:10" x14ac:dyDescent="0.3">
      <c r="H919" s="86"/>
      <c r="I919" s="86"/>
      <c r="J919" s="86"/>
    </row>
    <row r="920" spans="8:10" x14ac:dyDescent="0.3">
      <c r="H920" s="86"/>
      <c r="I920" s="86"/>
      <c r="J920" s="86"/>
    </row>
    <row r="921" spans="8:10" x14ac:dyDescent="0.3">
      <c r="H921" s="86"/>
      <c r="I921" s="86"/>
      <c r="J921" s="86"/>
    </row>
    <row r="922" spans="8:10" x14ac:dyDescent="0.3">
      <c r="H922" s="86"/>
      <c r="I922" s="86"/>
      <c r="J922" s="86"/>
    </row>
    <row r="923" spans="8:10" x14ac:dyDescent="0.3">
      <c r="H923" s="86"/>
      <c r="I923" s="86"/>
      <c r="J923" s="86"/>
    </row>
    <row r="924" spans="8:10" x14ac:dyDescent="0.3">
      <c r="H924" s="86"/>
      <c r="I924" s="86"/>
      <c r="J924" s="86"/>
    </row>
    <row r="925" spans="8:10" x14ac:dyDescent="0.3">
      <c r="H925" s="86"/>
      <c r="I925" s="86"/>
      <c r="J925" s="86"/>
    </row>
    <row r="926" spans="8:10" x14ac:dyDescent="0.3">
      <c r="H926" s="86"/>
      <c r="I926" s="86"/>
      <c r="J926" s="86"/>
    </row>
    <row r="927" spans="8:10" x14ac:dyDescent="0.3">
      <c r="H927" s="86"/>
      <c r="I927" s="86"/>
      <c r="J927" s="86"/>
    </row>
    <row r="928" spans="8:10" x14ac:dyDescent="0.3">
      <c r="H928" s="86"/>
      <c r="I928" s="86"/>
      <c r="J928" s="86"/>
    </row>
    <row r="929" spans="8:10" x14ac:dyDescent="0.3">
      <c r="H929" s="86"/>
      <c r="I929" s="86"/>
      <c r="J929" s="86"/>
    </row>
    <row r="930" spans="8:10" x14ac:dyDescent="0.3">
      <c r="H930" s="86"/>
      <c r="I930" s="86"/>
      <c r="J930" s="86"/>
    </row>
    <row r="931" spans="8:10" x14ac:dyDescent="0.3">
      <c r="H931" s="86"/>
      <c r="I931" s="86"/>
      <c r="J931" s="86"/>
    </row>
    <row r="932" spans="8:10" x14ac:dyDescent="0.3">
      <c r="H932" s="86"/>
      <c r="I932" s="86"/>
      <c r="J932" s="86"/>
    </row>
    <row r="933" spans="8:10" x14ac:dyDescent="0.3">
      <c r="H933" s="86"/>
      <c r="I933" s="86"/>
      <c r="J933" s="86"/>
    </row>
    <row r="934" spans="8:10" x14ac:dyDescent="0.3">
      <c r="H934" s="86"/>
      <c r="I934" s="86"/>
      <c r="J934" s="86"/>
    </row>
    <row r="935" spans="8:10" x14ac:dyDescent="0.3">
      <c r="H935" s="86"/>
      <c r="I935" s="86"/>
      <c r="J935" s="86"/>
    </row>
    <row r="936" spans="8:10" x14ac:dyDescent="0.3">
      <c r="H936" s="86"/>
      <c r="I936" s="86"/>
      <c r="J936" s="86"/>
    </row>
    <row r="937" spans="8:10" x14ac:dyDescent="0.3">
      <c r="H937" s="86"/>
      <c r="I937" s="86"/>
      <c r="J937" s="86"/>
    </row>
    <row r="938" spans="8:10" x14ac:dyDescent="0.3">
      <c r="H938" s="86"/>
      <c r="I938" s="86"/>
      <c r="J938" s="86"/>
    </row>
    <row r="939" spans="8:10" x14ac:dyDescent="0.3">
      <c r="H939" s="86"/>
      <c r="I939" s="86"/>
      <c r="J939" s="86"/>
    </row>
    <row r="940" spans="8:10" x14ac:dyDescent="0.3">
      <c r="H940" s="86"/>
      <c r="I940" s="86"/>
      <c r="J940" s="86"/>
    </row>
    <row r="941" spans="8:10" x14ac:dyDescent="0.3">
      <c r="H941" s="86"/>
      <c r="I941" s="86"/>
      <c r="J941" s="86"/>
    </row>
    <row r="942" spans="8:10" x14ac:dyDescent="0.3">
      <c r="H942" s="86"/>
      <c r="I942" s="86"/>
      <c r="J942" s="86"/>
    </row>
    <row r="943" spans="8:10" x14ac:dyDescent="0.3">
      <c r="H943" s="86"/>
      <c r="I943" s="86"/>
      <c r="J943" s="86"/>
    </row>
    <row r="944" spans="8:10" x14ac:dyDescent="0.3">
      <c r="H944" s="86"/>
      <c r="I944" s="86"/>
      <c r="J944" s="86"/>
    </row>
    <row r="945" spans="8:10" x14ac:dyDescent="0.3">
      <c r="H945" s="86"/>
      <c r="I945" s="86"/>
      <c r="J945" s="86"/>
    </row>
    <row r="946" spans="8:10" x14ac:dyDescent="0.3">
      <c r="H946" s="86"/>
      <c r="I946" s="86"/>
      <c r="J946" s="86"/>
    </row>
    <row r="947" spans="8:10" x14ac:dyDescent="0.3">
      <c r="H947" s="86"/>
      <c r="I947" s="86"/>
      <c r="J947" s="86"/>
    </row>
    <row r="948" spans="8:10" x14ac:dyDescent="0.3">
      <c r="H948" s="86"/>
      <c r="I948" s="86"/>
      <c r="J948" s="86"/>
    </row>
    <row r="949" spans="8:10" x14ac:dyDescent="0.3">
      <c r="H949" s="86"/>
      <c r="I949" s="86"/>
      <c r="J949" s="86"/>
    </row>
    <row r="950" spans="8:10" x14ac:dyDescent="0.3">
      <c r="H950" s="86"/>
      <c r="I950" s="86"/>
      <c r="J950" s="86"/>
    </row>
    <row r="951" spans="8:10" x14ac:dyDescent="0.3">
      <c r="H951" s="86"/>
      <c r="I951" s="86"/>
      <c r="J951" s="86"/>
    </row>
    <row r="952" spans="8:10" x14ac:dyDescent="0.3">
      <c r="H952" s="86"/>
      <c r="I952" s="86"/>
      <c r="J952" s="86"/>
    </row>
    <row r="953" spans="8:10" x14ac:dyDescent="0.3">
      <c r="H953" s="86"/>
      <c r="I953" s="86"/>
      <c r="J953" s="86"/>
    </row>
    <row r="954" spans="8:10" x14ac:dyDescent="0.3">
      <c r="H954" s="86"/>
      <c r="I954" s="86"/>
      <c r="J954" s="86"/>
    </row>
    <row r="955" spans="8:10" x14ac:dyDescent="0.3">
      <c r="H955" s="86"/>
      <c r="I955" s="86"/>
      <c r="J955" s="86"/>
    </row>
    <row r="956" spans="8:10" x14ac:dyDescent="0.3">
      <c r="H956" s="86"/>
      <c r="I956" s="86"/>
      <c r="J956" s="86"/>
    </row>
    <row r="957" spans="8:10" x14ac:dyDescent="0.3">
      <c r="H957" s="86"/>
      <c r="I957" s="86"/>
      <c r="J957" s="86"/>
    </row>
    <row r="958" spans="8:10" x14ac:dyDescent="0.3">
      <c r="H958" s="86"/>
      <c r="I958" s="86"/>
      <c r="J958" s="86"/>
    </row>
    <row r="959" spans="8:10" x14ac:dyDescent="0.3">
      <c r="H959" s="86"/>
      <c r="I959" s="86"/>
      <c r="J959" s="86"/>
    </row>
    <row r="960" spans="8:10" x14ac:dyDescent="0.3">
      <c r="H960" s="86"/>
      <c r="I960" s="86"/>
      <c r="J960" s="86"/>
    </row>
    <row r="961" spans="8:10" x14ac:dyDescent="0.3">
      <c r="H961" s="86"/>
      <c r="I961" s="86"/>
      <c r="J961" s="86"/>
    </row>
    <row r="962" spans="8:10" x14ac:dyDescent="0.3">
      <c r="H962" s="86"/>
      <c r="I962" s="86"/>
      <c r="J962" s="86"/>
    </row>
    <row r="963" spans="8:10" x14ac:dyDescent="0.3">
      <c r="H963" s="86"/>
      <c r="I963" s="86"/>
      <c r="J963" s="86"/>
    </row>
    <row r="964" spans="8:10" x14ac:dyDescent="0.3">
      <c r="H964" s="86"/>
      <c r="I964" s="86"/>
      <c r="J964" s="86"/>
    </row>
    <row r="965" spans="8:10" x14ac:dyDescent="0.3">
      <c r="H965" s="86"/>
      <c r="I965" s="86"/>
      <c r="J965" s="86"/>
    </row>
    <row r="966" spans="8:10" x14ac:dyDescent="0.3">
      <c r="H966" s="86"/>
      <c r="I966" s="86"/>
      <c r="J966" s="86"/>
    </row>
    <row r="967" spans="8:10" x14ac:dyDescent="0.3">
      <c r="H967" s="86"/>
      <c r="I967" s="86"/>
      <c r="J967" s="86"/>
    </row>
    <row r="968" spans="8:10" x14ac:dyDescent="0.3">
      <c r="H968" s="86"/>
      <c r="I968" s="86"/>
      <c r="J968" s="86"/>
    </row>
    <row r="969" spans="8:10" x14ac:dyDescent="0.3">
      <c r="H969" s="86"/>
      <c r="I969" s="86"/>
      <c r="J969" s="86"/>
    </row>
    <row r="970" spans="8:10" x14ac:dyDescent="0.3">
      <c r="H970" s="86"/>
      <c r="I970" s="86"/>
      <c r="J970" s="86"/>
    </row>
    <row r="971" spans="8:10" x14ac:dyDescent="0.3">
      <c r="H971" s="86"/>
      <c r="I971" s="86"/>
      <c r="J971" s="86"/>
    </row>
    <row r="972" spans="8:10" x14ac:dyDescent="0.3">
      <c r="H972" s="86"/>
      <c r="I972" s="86"/>
      <c r="J972" s="86"/>
    </row>
    <row r="973" spans="8:10" x14ac:dyDescent="0.3">
      <c r="H973" s="86"/>
      <c r="I973" s="86"/>
      <c r="J973" s="86"/>
    </row>
    <row r="974" spans="8:10" x14ac:dyDescent="0.3">
      <c r="H974" s="86"/>
      <c r="I974" s="86"/>
      <c r="J974" s="86"/>
    </row>
    <row r="975" spans="8:10" x14ac:dyDescent="0.3">
      <c r="H975" s="86"/>
      <c r="I975" s="86"/>
      <c r="J975" s="86"/>
    </row>
    <row r="976" spans="8:10" x14ac:dyDescent="0.3">
      <c r="H976" s="86"/>
      <c r="I976" s="86"/>
      <c r="J976" s="86"/>
    </row>
    <row r="977" spans="8:10" x14ac:dyDescent="0.3">
      <c r="H977" s="86"/>
      <c r="I977" s="86"/>
      <c r="J977" s="86"/>
    </row>
    <row r="978" spans="8:10" x14ac:dyDescent="0.3">
      <c r="H978" s="86"/>
      <c r="I978" s="86"/>
      <c r="J978" s="86"/>
    </row>
    <row r="979" spans="8:10" x14ac:dyDescent="0.3">
      <c r="H979" s="86"/>
      <c r="I979" s="86"/>
      <c r="J979" s="86"/>
    </row>
    <row r="980" spans="8:10" x14ac:dyDescent="0.3">
      <c r="H980" s="86"/>
      <c r="I980" s="86"/>
      <c r="J980" s="86"/>
    </row>
    <row r="981" spans="8:10" x14ac:dyDescent="0.3">
      <c r="H981" s="86"/>
      <c r="I981" s="86"/>
      <c r="J981" s="86"/>
    </row>
    <row r="982" spans="8:10" x14ac:dyDescent="0.3">
      <c r="H982" s="86"/>
      <c r="I982" s="86"/>
      <c r="J982" s="86"/>
    </row>
    <row r="983" spans="8:10" x14ac:dyDescent="0.3">
      <c r="H983" s="86"/>
      <c r="I983" s="86"/>
      <c r="J983" s="86"/>
    </row>
    <row r="984" spans="8:10" x14ac:dyDescent="0.3">
      <c r="H984" s="86"/>
      <c r="I984" s="86"/>
      <c r="J984" s="86"/>
    </row>
    <row r="985" spans="8:10" x14ac:dyDescent="0.3">
      <c r="H985" s="86"/>
      <c r="I985" s="86"/>
      <c r="J985" s="86"/>
    </row>
    <row r="986" spans="8:10" x14ac:dyDescent="0.3">
      <c r="H986" s="86"/>
      <c r="I986" s="86"/>
      <c r="J986" s="86"/>
    </row>
    <row r="987" spans="8:10" x14ac:dyDescent="0.3">
      <c r="H987" s="86"/>
      <c r="I987" s="86"/>
      <c r="J987" s="86"/>
    </row>
    <row r="988" spans="8:10" x14ac:dyDescent="0.3">
      <c r="H988" s="86"/>
      <c r="I988" s="86"/>
      <c r="J988" s="86"/>
    </row>
    <row r="989" spans="8:10" x14ac:dyDescent="0.3">
      <c r="H989" s="86"/>
      <c r="I989" s="86"/>
      <c r="J989" s="86"/>
    </row>
    <row r="990" spans="8:10" x14ac:dyDescent="0.3">
      <c r="H990" s="86"/>
      <c r="I990" s="86"/>
      <c r="J990" s="86"/>
    </row>
    <row r="991" spans="8:10" x14ac:dyDescent="0.3">
      <c r="H991" s="86"/>
      <c r="I991" s="86"/>
      <c r="J991" s="86"/>
    </row>
    <row r="992" spans="8:10" x14ac:dyDescent="0.3">
      <c r="H992" s="86"/>
      <c r="I992" s="86"/>
      <c r="J992" s="86"/>
    </row>
    <row r="993" spans="8:10" x14ac:dyDescent="0.3">
      <c r="H993" s="86"/>
      <c r="I993" s="86"/>
      <c r="J993" s="86"/>
    </row>
    <row r="994" spans="8:10" x14ac:dyDescent="0.3">
      <c r="H994" s="86"/>
      <c r="I994" s="86"/>
      <c r="J994" s="86"/>
    </row>
    <row r="995" spans="8:10" x14ac:dyDescent="0.3">
      <c r="H995" s="86"/>
      <c r="I995" s="86"/>
      <c r="J995" s="86"/>
    </row>
    <row r="996" spans="8:10" x14ac:dyDescent="0.3">
      <c r="H996" s="86"/>
      <c r="I996" s="86"/>
      <c r="J996" s="86"/>
    </row>
    <row r="997" spans="8:10" x14ac:dyDescent="0.3">
      <c r="H997" s="86"/>
      <c r="I997" s="86"/>
      <c r="J997" s="86"/>
    </row>
    <row r="998" spans="8:10" x14ac:dyDescent="0.3">
      <c r="H998" s="86"/>
      <c r="I998" s="86"/>
      <c r="J998" s="86"/>
    </row>
    <row r="999" spans="8:10" x14ac:dyDescent="0.3">
      <c r="H999" s="86"/>
      <c r="I999" s="86"/>
      <c r="J999" s="86"/>
    </row>
    <row r="1000" spans="8:10" x14ac:dyDescent="0.3">
      <c r="H1000" s="86"/>
      <c r="I1000" s="86"/>
      <c r="J1000" s="86"/>
    </row>
    <row r="1001" spans="8:10" x14ac:dyDescent="0.3">
      <c r="H1001" s="86"/>
      <c r="I1001" s="86"/>
      <c r="J1001" s="86"/>
    </row>
    <row r="1002" spans="8:10" x14ac:dyDescent="0.3">
      <c r="H1002" s="86"/>
      <c r="I1002" s="86"/>
      <c r="J1002" s="86"/>
    </row>
    <row r="1003" spans="8:10" x14ac:dyDescent="0.3">
      <c r="H1003" s="86"/>
      <c r="I1003" s="86"/>
      <c r="J1003" s="86"/>
    </row>
    <row r="1004" spans="8:10" x14ac:dyDescent="0.3">
      <c r="H1004" s="86"/>
      <c r="I1004" s="86"/>
      <c r="J1004" s="86"/>
    </row>
    <row r="1005" spans="8:10" x14ac:dyDescent="0.3">
      <c r="H1005" s="86"/>
      <c r="I1005" s="86"/>
      <c r="J1005" s="86"/>
    </row>
    <row r="1006" spans="8:10" x14ac:dyDescent="0.3">
      <c r="H1006" s="86"/>
      <c r="I1006" s="86"/>
      <c r="J1006" s="86"/>
    </row>
    <row r="1007" spans="8:10" x14ac:dyDescent="0.3">
      <c r="H1007" s="86"/>
      <c r="I1007" s="86"/>
      <c r="J1007" s="86"/>
    </row>
    <row r="1008" spans="8:10" x14ac:dyDescent="0.3">
      <c r="H1008" s="86"/>
      <c r="I1008" s="86"/>
      <c r="J1008" s="86"/>
    </row>
    <row r="1009" spans="8:10" x14ac:dyDescent="0.3">
      <c r="H1009" s="86"/>
      <c r="I1009" s="86"/>
      <c r="J1009" s="86"/>
    </row>
    <row r="1010" spans="8:10" x14ac:dyDescent="0.3">
      <c r="H1010" s="86"/>
      <c r="I1010" s="86"/>
      <c r="J1010" s="86"/>
    </row>
    <row r="1011" spans="8:10" x14ac:dyDescent="0.3">
      <c r="H1011" s="86"/>
      <c r="I1011" s="86"/>
      <c r="J1011" s="86"/>
    </row>
    <row r="1012" spans="8:10" x14ac:dyDescent="0.3">
      <c r="H1012" s="86"/>
      <c r="I1012" s="86"/>
      <c r="J1012" s="86"/>
    </row>
    <row r="1013" spans="8:10" x14ac:dyDescent="0.3">
      <c r="H1013" s="86"/>
      <c r="I1013" s="86"/>
      <c r="J1013" s="86"/>
    </row>
    <row r="1014" spans="8:10" x14ac:dyDescent="0.3">
      <c r="H1014" s="86"/>
      <c r="I1014" s="86"/>
      <c r="J1014" s="86"/>
    </row>
    <row r="1015" spans="8:10" x14ac:dyDescent="0.3">
      <c r="H1015" s="86"/>
      <c r="I1015" s="86"/>
      <c r="J1015" s="86"/>
    </row>
    <row r="1016" spans="8:10" x14ac:dyDescent="0.3">
      <c r="H1016" s="86"/>
      <c r="I1016" s="86"/>
      <c r="J1016" s="86"/>
    </row>
    <row r="1017" spans="8:10" x14ac:dyDescent="0.3">
      <c r="H1017" s="86"/>
      <c r="I1017" s="86"/>
      <c r="J1017" s="86"/>
    </row>
    <row r="1018" spans="8:10" x14ac:dyDescent="0.3">
      <c r="H1018" s="86"/>
      <c r="I1018" s="86"/>
      <c r="J1018" s="86"/>
    </row>
    <row r="1019" spans="8:10" x14ac:dyDescent="0.3">
      <c r="H1019" s="86"/>
      <c r="I1019" s="86"/>
      <c r="J1019" s="86"/>
    </row>
    <row r="1020" spans="8:10" x14ac:dyDescent="0.3">
      <c r="H1020" s="86"/>
      <c r="I1020" s="86"/>
      <c r="J1020" s="86"/>
    </row>
    <row r="1021" spans="8:10" x14ac:dyDescent="0.3">
      <c r="H1021" s="86"/>
      <c r="I1021" s="86"/>
      <c r="J1021" s="86"/>
    </row>
    <row r="1022" spans="8:10" x14ac:dyDescent="0.3">
      <c r="H1022" s="86"/>
      <c r="I1022" s="86"/>
      <c r="J1022" s="86"/>
    </row>
    <row r="1023" spans="8:10" x14ac:dyDescent="0.3">
      <c r="H1023" s="86"/>
      <c r="I1023" s="86"/>
      <c r="J1023" s="86"/>
    </row>
    <row r="1024" spans="8:10" x14ac:dyDescent="0.3">
      <c r="H1024" s="86"/>
      <c r="I1024" s="86"/>
      <c r="J1024" s="86"/>
    </row>
    <row r="1025" spans="8:10" x14ac:dyDescent="0.3">
      <c r="H1025" s="86"/>
      <c r="I1025" s="86"/>
      <c r="J1025" s="86"/>
    </row>
    <row r="1026" spans="8:10" x14ac:dyDescent="0.3">
      <c r="H1026" s="86"/>
      <c r="I1026" s="86"/>
      <c r="J1026" s="86"/>
    </row>
    <row r="1027" spans="8:10" x14ac:dyDescent="0.3">
      <c r="H1027" s="86"/>
      <c r="I1027" s="86"/>
      <c r="J1027" s="86"/>
    </row>
    <row r="1028" spans="8:10" x14ac:dyDescent="0.3">
      <c r="H1028" s="86"/>
      <c r="I1028" s="86"/>
      <c r="J1028" s="86"/>
    </row>
    <row r="1029" spans="8:10" x14ac:dyDescent="0.3">
      <c r="H1029" s="86"/>
      <c r="I1029" s="86"/>
      <c r="J1029" s="86"/>
    </row>
    <row r="1030" spans="8:10" x14ac:dyDescent="0.3">
      <c r="H1030" s="86"/>
      <c r="I1030" s="86"/>
      <c r="J1030" s="86"/>
    </row>
    <row r="1031" spans="8:10" x14ac:dyDescent="0.3">
      <c r="H1031" s="86"/>
      <c r="I1031" s="86"/>
      <c r="J1031" s="86"/>
    </row>
    <row r="1032" spans="8:10" x14ac:dyDescent="0.3">
      <c r="H1032" s="86"/>
      <c r="I1032" s="86"/>
      <c r="J1032" s="86"/>
    </row>
    <row r="1033" spans="8:10" x14ac:dyDescent="0.3">
      <c r="H1033" s="86"/>
      <c r="I1033" s="86"/>
      <c r="J1033" s="86"/>
    </row>
    <row r="1034" spans="8:10" x14ac:dyDescent="0.3">
      <c r="H1034" s="86"/>
      <c r="I1034" s="86"/>
      <c r="J1034" s="86"/>
    </row>
    <row r="1035" spans="8:10" x14ac:dyDescent="0.3">
      <c r="H1035" s="86"/>
      <c r="I1035" s="86"/>
      <c r="J1035" s="86"/>
    </row>
    <row r="1036" spans="8:10" x14ac:dyDescent="0.3">
      <c r="H1036" s="86"/>
      <c r="I1036" s="86"/>
      <c r="J1036" s="86"/>
    </row>
    <row r="1037" spans="8:10" x14ac:dyDescent="0.3">
      <c r="H1037" s="86"/>
      <c r="I1037" s="86"/>
      <c r="J1037" s="86"/>
    </row>
    <row r="1038" spans="8:10" x14ac:dyDescent="0.3">
      <c r="H1038" s="86"/>
      <c r="I1038" s="86"/>
      <c r="J1038" s="86"/>
    </row>
    <row r="1039" spans="8:10" x14ac:dyDescent="0.3">
      <c r="H1039" s="86"/>
      <c r="I1039" s="86"/>
      <c r="J1039" s="86"/>
    </row>
    <row r="1040" spans="8:10" x14ac:dyDescent="0.3">
      <c r="H1040" s="86"/>
      <c r="I1040" s="86"/>
      <c r="J1040" s="86"/>
    </row>
    <row r="1041" spans="8:10" x14ac:dyDescent="0.3">
      <c r="H1041" s="86"/>
      <c r="I1041" s="86"/>
      <c r="J1041" s="86"/>
    </row>
    <row r="1042" spans="8:10" x14ac:dyDescent="0.3">
      <c r="H1042" s="86"/>
      <c r="I1042" s="86"/>
      <c r="J1042" s="86"/>
    </row>
    <row r="1043" spans="8:10" x14ac:dyDescent="0.3">
      <c r="H1043" s="86"/>
      <c r="I1043" s="86"/>
      <c r="J1043" s="86"/>
    </row>
    <row r="1044" spans="8:10" x14ac:dyDescent="0.3">
      <c r="H1044" s="86"/>
      <c r="I1044" s="86"/>
      <c r="J1044" s="86"/>
    </row>
    <row r="1045" spans="8:10" x14ac:dyDescent="0.3">
      <c r="H1045" s="86"/>
      <c r="I1045" s="86"/>
      <c r="J1045" s="86"/>
    </row>
    <row r="1046" spans="8:10" x14ac:dyDescent="0.3">
      <c r="H1046" s="86"/>
      <c r="I1046" s="86"/>
      <c r="J1046" s="86"/>
    </row>
    <row r="1047" spans="8:10" x14ac:dyDescent="0.3">
      <c r="H1047" s="86"/>
      <c r="I1047" s="86"/>
      <c r="J1047" s="86"/>
    </row>
    <row r="1048" spans="8:10" x14ac:dyDescent="0.3">
      <c r="H1048" s="86"/>
      <c r="I1048" s="86"/>
      <c r="J1048" s="86"/>
    </row>
    <row r="1049" spans="8:10" x14ac:dyDescent="0.3">
      <c r="H1049" s="86"/>
      <c r="I1049" s="86"/>
      <c r="J1049" s="86"/>
    </row>
    <row r="1050" spans="8:10" x14ac:dyDescent="0.3">
      <c r="H1050" s="86"/>
      <c r="I1050" s="86"/>
      <c r="J1050" s="86"/>
    </row>
    <row r="1051" spans="8:10" x14ac:dyDescent="0.3">
      <c r="H1051" s="86"/>
      <c r="I1051" s="86"/>
      <c r="J1051" s="86"/>
    </row>
    <row r="1052" spans="8:10" x14ac:dyDescent="0.3">
      <c r="H1052" s="86"/>
      <c r="I1052" s="86"/>
      <c r="J1052" s="86"/>
    </row>
    <row r="1053" spans="8:10" x14ac:dyDescent="0.3">
      <c r="H1053" s="86"/>
      <c r="I1053" s="86"/>
      <c r="J1053" s="86"/>
    </row>
    <row r="1054" spans="8:10" x14ac:dyDescent="0.3">
      <c r="H1054" s="86"/>
      <c r="I1054" s="86"/>
      <c r="J1054" s="86"/>
    </row>
    <row r="1055" spans="8:10" x14ac:dyDescent="0.3">
      <c r="H1055" s="86"/>
      <c r="I1055" s="86"/>
      <c r="J1055" s="86"/>
    </row>
    <row r="1056" spans="8:10" x14ac:dyDescent="0.3">
      <c r="H1056" s="86"/>
      <c r="I1056" s="86"/>
      <c r="J1056" s="86"/>
    </row>
    <row r="1057" spans="8:10" x14ac:dyDescent="0.3">
      <c r="H1057" s="86"/>
      <c r="I1057" s="86"/>
      <c r="J1057" s="86"/>
    </row>
    <row r="1058" spans="8:10" x14ac:dyDescent="0.3">
      <c r="H1058" s="86"/>
      <c r="I1058" s="86"/>
      <c r="J1058" s="86"/>
    </row>
    <row r="1059" spans="8:10" x14ac:dyDescent="0.3">
      <c r="H1059" s="86"/>
      <c r="I1059" s="86"/>
      <c r="J1059" s="86"/>
    </row>
    <row r="1060" spans="8:10" x14ac:dyDescent="0.3">
      <c r="H1060" s="86"/>
      <c r="I1060" s="86"/>
      <c r="J1060" s="86"/>
    </row>
    <row r="1061" spans="8:10" x14ac:dyDescent="0.3">
      <c r="H1061" s="86"/>
      <c r="I1061" s="86"/>
      <c r="J1061" s="86"/>
    </row>
    <row r="1062" spans="8:10" x14ac:dyDescent="0.3">
      <c r="H1062" s="86"/>
      <c r="I1062" s="86"/>
      <c r="J1062" s="86"/>
    </row>
    <row r="1063" spans="8:10" x14ac:dyDescent="0.3">
      <c r="H1063" s="86"/>
      <c r="I1063" s="86"/>
      <c r="J1063" s="86"/>
    </row>
    <row r="1064" spans="8:10" x14ac:dyDescent="0.3">
      <c r="H1064" s="86"/>
      <c r="I1064" s="86"/>
      <c r="J1064" s="86"/>
    </row>
    <row r="1065" spans="8:10" x14ac:dyDescent="0.3">
      <c r="H1065" s="86"/>
      <c r="I1065" s="86"/>
      <c r="J1065" s="86"/>
    </row>
    <row r="1066" spans="8:10" x14ac:dyDescent="0.3">
      <c r="H1066" s="86"/>
      <c r="I1066" s="86"/>
      <c r="J1066" s="86"/>
    </row>
    <row r="1067" spans="8:10" x14ac:dyDescent="0.3">
      <c r="H1067" s="86"/>
      <c r="I1067" s="86"/>
      <c r="J1067" s="86"/>
    </row>
    <row r="1068" spans="8:10" x14ac:dyDescent="0.3">
      <c r="H1068" s="86"/>
      <c r="I1068" s="86"/>
      <c r="J1068" s="86"/>
    </row>
    <row r="1069" spans="8:10" x14ac:dyDescent="0.3">
      <c r="H1069" s="86"/>
      <c r="I1069" s="86"/>
      <c r="J1069" s="86"/>
    </row>
    <row r="1070" spans="8:10" x14ac:dyDescent="0.3">
      <c r="H1070" s="86"/>
      <c r="I1070" s="86"/>
      <c r="J1070" s="86"/>
    </row>
    <row r="1071" spans="8:10" x14ac:dyDescent="0.3">
      <c r="H1071" s="86"/>
      <c r="I1071" s="86"/>
      <c r="J1071" s="86"/>
    </row>
    <row r="1072" spans="8:10" x14ac:dyDescent="0.3">
      <c r="H1072" s="86"/>
      <c r="I1072" s="86"/>
      <c r="J1072" s="86"/>
    </row>
    <row r="1073" spans="8:10" x14ac:dyDescent="0.3">
      <c r="H1073" s="86"/>
      <c r="I1073" s="86"/>
      <c r="J1073" s="86"/>
    </row>
    <row r="1074" spans="8:10" x14ac:dyDescent="0.3">
      <c r="H1074" s="86"/>
      <c r="I1074" s="86"/>
      <c r="J1074" s="86"/>
    </row>
    <row r="1075" spans="8:10" x14ac:dyDescent="0.3">
      <c r="H1075" s="86"/>
      <c r="I1075" s="86"/>
      <c r="J1075" s="86"/>
    </row>
    <row r="1076" spans="8:10" x14ac:dyDescent="0.3">
      <c r="H1076" s="86"/>
      <c r="I1076" s="86"/>
      <c r="J1076" s="86"/>
    </row>
    <row r="1077" spans="8:10" x14ac:dyDescent="0.3">
      <c r="H1077" s="86"/>
      <c r="I1077" s="86"/>
      <c r="J1077" s="86"/>
    </row>
    <row r="1078" spans="8:10" x14ac:dyDescent="0.3">
      <c r="H1078" s="86"/>
      <c r="I1078" s="86"/>
      <c r="J1078" s="86"/>
    </row>
    <row r="1079" spans="8:10" x14ac:dyDescent="0.3">
      <c r="H1079" s="86"/>
      <c r="I1079" s="86"/>
      <c r="J1079" s="86"/>
    </row>
    <row r="1080" spans="8:10" x14ac:dyDescent="0.3">
      <c r="H1080" s="86"/>
      <c r="I1080" s="86"/>
      <c r="J1080" s="86"/>
    </row>
    <row r="1081" spans="8:10" x14ac:dyDescent="0.3">
      <c r="H1081" s="86"/>
      <c r="I1081" s="86"/>
      <c r="J1081" s="86"/>
    </row>
    <row r="1082" spans="8:10" x14ac:dyDescent="0.3">
      <c r="H1082" s="86"/>
      <c r="I1082" s="86"/>
      <c r="J1082" s="86"/>
    </row>
    <row r="1083" spans="8:10" x14ac:dyDescent="0.3">
      <c r="H1083" s="86"/>
      <c r="I1083" s="86"/>
      <c r="J1083" s="86"/>
    </row>
    <row r="1084" spans="8:10" x14ac:dyDescent="0.3">
      <c r="H1084" s="86"/>
      <c r="I1084" s="86"/>
      <c r="J1084" s="86"/>
    </row>
    <row r="1085" spans="8:10" x14ac:dyDescent="0.3">
      <c r="H1085" s="86"/>
      <c r="I1085" s="86"/>
      <c r="J1085" s="86"/>
    </row>
    <row r="1086" spans="8:10" x14ac:dyDescent="0.3">
      <c r="H1086" s="86"/>
      <c r="I1086" s="86"/>
      <c r="J1086" s="86"/>
    </row>
    <row r="1087" spans="8:10" x14ac:dyDescent="0.3">
      <c r="H1087" s="86"/>
      <c r="I1087" s="86"/>
      <c r="J1087" s="86"/>
    </row>
    <row r="1088" spans="8:10" x14ac:dyDescent="0.3">
      <c r="H1088" s="86"/>
      <c r="I1088" s="86"/>
      <c r="J1088" s="86"/>
    </row>
    <row r="1089" spans="8:10" x14ac:dyDescent="0.3">
      <c r="H1089" s="86"/>
      <c r="I1089" s="86"/>
      <c r="J1089" s="86"/>
    </row>
    <row r="1090" spans="8:10" x14ac:dyDescent="0.3">
      <c r="H1090" s="86"/>
      <c r="I1090" s="86"/>
      <c r="J1090" s="86"/>
    </row>
    <row r="1091" spans="8:10" x14ac:dyDescent="0.3">
      <c r="H1091" s="86"/>
      <c r="I1091" s="86"/>
      <c r="J1091" s="86"/>
    </row>
    <row r="1092" spans="8:10" x14ac:dyDescent="0.3">
      <c r="H1092" s="86"/>
      <c r="I1092" s="86"/>
      <c r="J1092" s="86"/>
    </row>
    <row r="1093" spans="8:10" x14ac:dyDescent="0.3">
      <c r="H1093" s="86"/>
      <c r="I1093" s="86"/>
      <c r="J1093" s="86"/>
    </row>
    <row r="1094" spans="8:10" x14ac:dyDescent="0.3">
      <c r="H1094" s="86"/>
      <c r="I1094" s="86"/>
      <c r="J1094" s="86"/>
    </row>
    <row r="1095" spans="8:10" x14ac:dyDescent="0.3">
      <c r="H1095" s="86"/>
      <c r="I1095" s="86"/>
      <c r="J1095" s="86"/>
    </row>
    <row r="1096" spans="8:10" x14ac:dyDescent="0.3">
      <c r="H1096" s="86"/>
      <c r="I1096" s="86"/>
      <c r="J1096" s="86"/>
    </row>
    <row r="1097" spans="8:10" x14ac:dyDescent="0.3">
      <c r="H1097" s="86"/>
      <c r="I1097" s="86"/>
      <c r="J1097" s="86"/>
    </row>
    <row r="1098" spans="8:10" x14ac:dyDescent="0.3">
      <c r="H1098" s="86"/>
      <c r="I1098" s="86"/>
      <c r="J1098" s="86"/>
    </row>
    <row r="1099" spans="8:10" x14ac:dyDescent="0.3">
      <c r="H1099" s="86"/>
      <c r="I1099" s="86"/>
      <c r="J1099" s="86"/>
    </row>
    <row r="1100" spans="8:10" x14ac:dyDescent="0.3">
      <c r="H1100" s="86"/>
      <c r="I1100" s="86"/>
      <c r="J1100" s="86"/>
    </row>
    <row r="1101" spans="8:10" x14ac:dyDescent="0.3">
      <c r="H1101" s="86"/>
      <c r="I1101" s="86"/>
      <c r="J1101" s="86"/>
    </row>
    <row r="1102" spans="8:10" x14ac:dyDescent="0.3">
      <c r="H1102" s="86"/>
      <c r="I1102" s="86"/>
      <c r="J1102" s="86"/>
    </row>
    <row r="1103" spans="8:10" x14ac:dyDescent="0.3">
      <c r="H1103" s="86"/>
      <c r="I1103" s="86"/>
      <c r="J1103" s="86"/>
    </row>
    <row r="1104" spans="8:10" x14ac:dyDescent="0.3">
      <c r="H1104" s="86"/>
      <c r="I1104" s="86"/>
      <c r="J1104" s="86"/>
    </row>
    <row r="1105" spans="8:10" x14ac:dyDescent="0.3">
      <c r="H1105" s="86"/>
      <c r="I1105" s="86"/>
      <c r="J1105" s="86"/>
    </row>
    <row r="1106" spans="8:10" x14ac:dyDescent="0.3">
      <c r="H1106" s="86"/>
      <c r="I1106" s="86"/>
      <c r="J1106" s="86"/>
    </row>
    <row r="1107" spans="8:10" x14ac:dyDescent="0.3">
      <c r="H1107" s="86"/>
      <c r="I1107" s="86"/>
      <c r="J1107" s="86"/>
    </row>
    <row r="1108" spans="8:10" x14ac:dyDescent="0.3">
      <c r="H1108" s="86"/>
      <c r="I1108" s="86"/>
      <c r="J1108" s="86"/>
    </row>
    <row r="1109" spans="8:10" x14ac:dyDescent="0.3">
      <c r="H1109" s="86"/>
      <c r="I1109" s="86"/>
      <c r="J1109" s="86"/>
    </row>
    <row r="1110" spans="8:10" x14ac:dyDescent="0.3">
      <c r="H1110" s="86"/>
      <c r="I1110" s="86"/>
      <c r="J1110" s="86"/>
    </row>
    <row r="1111" spans="8:10" x14ac:dyDescent="0.3">
      <c r="H1111" s="86"/>
      <c r="I1111" s="86"/>
      <c r="J1111" s="86"/>
    </row>
    <row r="1112" spans="8:10" x14ac:dyDescent="0.3">
      <c r="H1112" s="86"/>
      <c r="I1112" s="86"/>
      <c r="J1112" s="86"/>
    </row>
    <row r="1113" spans="8:10" x14ac:dyDescent="0.3">
      <c r="H1113" s="86"/>
      <c r="I1113" s="86"/>
      <c r="J1113" s="86"/>
    </row>
    <row r="1114" spans="8:10" x14ac:dyDescent="0.3">
      <c r="H1114" s="86"/>
      <c r="I1114" s="86"/>
      <c r="J1114" s="86"/>
    </row>
    <row r="1115" spans="8:10" x14ac:dyDescent="0.3">
      <c r="H1115" s="86"/>
      <c r="I1115" s="86"/>
      <c r="J1115" s="86"/>
    </row>
    <row r="1116" spans="8:10" x14ac:dyDescent="0.3">
      <c r="H1116" s="86"/>
      <c r="I1116" s="86"/>
      <c r="J1116" s="86"/>
    </row>
    <row r="1117" spans="8:10" x14ac:dyDescent="0.3">
      <c r="H1117" s="86"/>
      <c r="I1117" s="86"/>
      <c r="J1117" s="86"/>
    </row>
    <row r="1118" spans="8:10" x14ac:dyDescent="0.3">
      <c r="H1118" s="86"/>
      <c r="I1118" s="86"/>
      <c r="J1118" s="86"/>
    </row>
    <row r="1119" spans="8:10" x14ac:dyDescent="0.3">
      <c r="H1119" s="86"/>
      <c r="I1119" s="86"/>
      <c r="J1119" s="86"/>
    </row>
    <row r="1120" spans="8:10" x14ac:dyDescent="0.3">
      <c r="H1120" s="86"/>
      <c r="I1120" s="86"/>
      <c r="J1120" s="86"/>
    </row>
    <row r="1121" spans="8:10" x14ac:dyDescent="0.3">
      <c r="H1121" s="86"/>
      <c r="I1121" s="86"/>
      <c r="J1121" s="86"/>
    </row>
    <row r="1122" spans="8:10" x14ac:dyDescent="0.3">
      <c r="H1122" s="86"/>
      <c r="I1122" s="86"/>
      <c r="J1122" s="86"/>
    </row>
    <row r="1123" spans="8:10" x14ac:dyDescent="0.3">
      <c r="H1123" s="86"/>
      <c r="I1123" s="86"/>
      <c r="J1123" s="86"/>
    </row>
    <row r="1124" spans="8:10" x14ac:dyDescent="0.3">
      <c r="H1124" s="86"/>
      <c r="I1124" s="86"/>
      <c r="J1124" s="86"/>
    </row>
    <row r="1125" spans="8:10" x14ac:dyDescent="0.3">
      <c r="H1125" s="86"/>
      <c r="I1125" s="86"/>
      <c r="J1125" s="86"/>
    </row>
    <row r="1126" spans="8:10" x14ac:dyDescent="0.3">
      <c r="H1126" s="86"/>
      <c r="I1126" s="86"/>
      <c r="J1126" s="86"/>
    </row>
    <row r="1127" spans="8:10" x14ac:dyDescent="0.3">
      <c r="H1127" s="86"/>
      <c r="I1127" s="86"/>
      <c r="J1127" s="86"/>
    </row>
    <row r="1128" spans="8:10" x14ac:dyDescent="0.3">
      <c r="H1128" s="86"/>
      <c r="I1128" s="86"/>
      <c r="J1128" s="86"/>
    </row>
    <row r="1129" spans="8:10" x14ac:dyDescent="0.3">
      <c r="H1129" s="86"/>
      <c r="I1129" s="86"/>
      <c r="J1129" s="86"/>
    </row>
    <row r="1130" spans="8:10" x14ac:dyDescent="0.3">
      <c r="H1130" s="86"/>
      <c r="I1130" s="86"/>
      <c r="J1130" s="86"/>
    </row>
    <row r="1131" spans="8:10" x14ac:dyDescent="0.3">
      <c r="H1131" s="86"/>
      <c r="I1131" s="86"/>
      <c r="J1131" s="86"/>
    </row>
    <row r="1132" spans="8:10" x14ac:dyDescent="0.3">
      <c r="H1132" s="86"/>
      <c r="I1132" s="86"/>
      <c r="J1132" s="86"/>
    </row>
    <row r="1133" spans="8:10" x14ac:dyDescent="0.3">
      <c r="H1133" s="86"/>
      <c r="I1133" s="86"/>
      <c r="J1133" s="86"/>
    </row>
    <row r="1134" spans="8:10" x14ac:dyDescent="0.3">
      <c r="H1134" s="86"/>
      <c r="I1134" s="86"/>
      <c r="J1134" s="86"/>
    </row>
    <row r="1135" spans="8:10" x14ac:dyDescent="0.3">
      <c r="H1135" s="86"/>
      <c r="I1135" s="86"/>
      <c r="J1135" s="86"/>
    </row>
    <row r="1136" spans="8:10" x14ac:dyDescent="0.3">
      <c r="H1136" s="86"/>
      <c r="I1136" s="86"/>
      <c r="J1136" s="86"/>
    </row>
    <row r="1137" spans="8:10" x14ac:dyDescent="0.3">
      <c r="H1137" s="86"/>
      <c r="I1137" s="86"/>
      <c r="J1137" s="86"/>
    </row>
    <row r="1138" spans="8:10" x14ac:dyDescent="0.3">
      <c r="H1138" s="86"/>
      <c r="I1138" s="86"/>
      <c r="J1138" s="86"/>
    </row>
    <row r="1139" spans="8:10" x14ac:dyDescent="0.3">
      <c r="H1139" s="86"/>
      <c r="I1139" s="86"/>
      <c r="J1139" s="86"/>
    </row>
    <row r="1140" spans="8:10" x14ac:dyDescent="0.3">
      <c r="H1140" s="86"/>
      <c r="I1140" s="86"/>
      <c r="J1140" s="86"/>
    </row>
    <row r="1141" spans="8:10" x14ac:dyDescent="0.3">
      <c r="H1141" s="86"/>
      <c r="I1141" s="86"/>
      <c r="J1141" s="86"/>
    </row>
    <row r="1142" spans="8:10" x14ac:dyDescent="0.3">
      <c r="H1142" s="86"/>
      <c r="I1142" s="86"/>
      <c r="J1142" s="86"/>
    </row>
    <row r="1143" spans="8:10" x14ac:dyDescent="0.3">
      <c r="H1143" s="86"/>
      <c r="I1143" s="86"/>
      <c r="J1143" s="86"/>
    </row>
    <row r="1144" spans="8:10" x14ac:dyDescent="0.3">
      <c r="H1144" s="86"/>
      <c r="I1144" s="86"/>
      <c r="J1144" s="86"/>
    </row>
    <row r="1145" spans="8:10" x14ac:dyDescent="0.3">
      <c r="H1145" s="86"/>
      <c r="I1145" s="86"/>
      <c r="J1145" s="86"/>
    </row>
    <row r="1146" spans="8:10" x14ac:dyDescent="0.3">
      <c r="H1146" s="86"/>
      <c r="I1146" s="86"/>
      <c r="J1146" s="86"/>
    </row>
    <row r="1147" spans="8:10" x14ac:dyDescent="0.3">
      <c r="H1147" s="86"/>
      <c r="I1147" s="86"/>
      <c r="J1147" s="86"/>
    </row>
    <row r="1148" spans="8:10" x14ac:dyDescent="0.3">
      <c r="H1148" s="86"/>
      <c r="I1148" s="86"/>
      <c r="J1148" s="86"/>
    </row>
    <row r="1149" spans="8:10" x14ac:dyDescent="0.3">
      <c r="H1149" s="86"/>
      <c r="I1149" s="86"/>
      <c r="J1149" s="86"/>
    </row>
    <row r="1150" spans="8:10" x14ac:dyDescent="0.3">
      <c r="H1150" s="86"/>
      <c r="I1150" s="86"/>
      <c r="J1150" s="86"/>
    </row>
    <row r="1151" spans="8:10" x14ac:dyDescent="0.3">
      <c r="H1151" s="86"/>
      <c r="I1151" s="86"/>
      <c r="J1151" s="86"/>
    </row>
    <row r="1152" spans="8:10" x14ac:dyDescent="0.3">
      <c r="H1152" s="86"/>
      <c r="I1152" s="86"/>
      <c r="J1152" s="86"/>
    </row>
    <row r="1153" spans="8:10" x14ac:dyDescent="0.3">
      <c r="H1153" s="86"/>
      <c r="I1153" s="86"/>
      <c r="J1153" s="86"/>
    </row>
    <row r="1154" spans="8:10" x14ac:dyDescent="0.3">
      <c r="H1154" s="86"/>
      <c r="I1154" s="86"/>
      <c r="J1154" s="86"/>
    </row>
    <row r="1155" spans="8:10" x14ac:dyDescent="0.3">
      <c r="H1155" s="86"/>
      <c r="I1155" s="86"/>
      <c r="J1155" s="86"/>
    </row>
    <row r="1156" spans="8:10" x14ac:dyDescent="0.3">
      <c r="H1156" s="86"/>
      <c r="I1156" s="86"/>
      <c r="J1156" s="86"/>
    </row>
    <row r="1157" spans="8:10" x14ac:dyDescent="0.3">
      <c r="H1157" s="86"/>
      <c r="I1157" s="86"/>
      <c r="J1157" s="86"/>
    </row>
    <row r="1158" spans="8:10" x14ac:dyDescent="0.3">
      <c r="H1158" s="86"/>
      <c r="I1158" s="86"/>
      <c r="J1158" s="86"/>
    </row>
    <row r="1159" spans="8:10" x14ac:dyDescent="0.3">
      <c r="H1159" s="86"/>
      <c r="I1159" s="86"/>
      <c r="J1159" s="86"/>
    </row>
    <row r="1160" spans="8:10" x14ac:dyDescent="0.3">
      <c r="H1160" s="86"/>
      <c r="I1160" s="86"/>
      <c r="J1160" s="86"/>
    </row>
    <row r="1161" spans="8:10" x14ac:dyDescent="0.3">
      <c r="H1161" s="86"/>
      <c r="I1161" s="86"/>
      <c r="J1161" s="86"/>
    </row>
    <row r="1162" spans="8:10" x14ac:dyDescent="0.3">
      <c r="H1162" s="86"/>
      <c r="I1162" s="86"/>
      <c r="J1162" s="86"/>
    </row>
    <row r="1163" spans="8:10" x14ac:dyDescent="0.3">
      <c r="H1163" s="86"/>
      <c r="I1163" s="86"/>
      <c r="J1163" s="86"/>
    </row>
    <row r="1164" spans="8:10" x14ac:dyDescent="0.3">
      <c r="H1164" s="86"/>
      <c r="I1164" s="86"/>
      <c r="J1164" s="86"/>
    </row>
    <row r="1165" spans="8:10" x14ac:dyDescent="0.3">
      <c r="H1165" s="86"/>
      <c r="I1165" s="86"/>
      <c r="J1165" s="86"/>
    </row>
    <row r="1166" spans="8:10" x14ac:dyDescent="0.3">
      <c r="H1166" s="86"/>
      <c r="I1166" s="86"/>
      <c r="J1166" s="86"/>
    </row>
    <row r="1167" spans="8:10" x14ac:dyDescent="0.3">
      <c r="H1167" s="86"/>
      <c r="I1167" s="86"/>
      <c r="J1167" s="86"/>
    </row>
    <row r="1168" spans="8:10" x14ac:dyDescent="0.3">
      <c r="H1168" s="86"/>
      <c r="I1168" s="86"/>
      <c r="J1168" s="86"/>
    </row>
    <row r="1169" spans="8:10" x14ac:dyDescent="0.3">
      <c r="H1169" s="86"/>
      <c r="I1169" s="86"/>
      <c r="J1169" s="86"/>
    </row>
    <row r="1170" spans="8:10" x14ac:dyDescent="0.3">
      <c r="H1170" s="86"/>
      <c r="I1170" s="86"/>
      <c r="J1170" s="86"/>
    </row>
    <row r="1171" spans="8:10" x14ac:dyDescent="0.3">
      <c r="H1171" s="86"/>
      <c r="I1171" s="86"/>
      <c r="J1171" s="86"/>
    </row>
    <row r="1172" spans="8:10" x14ac:dyDescent="0.3">
      <c r="H1172" s="86"/>
      <c r="I1172" s="86"/>
      <c r="J1172" s="86"/>
    </row>
    <row r="1173" spans="8:10" x14ac:dyDescent="0.3">
      <c r="H1173" s="86"/>
      <c r="I1173" s="86"/>
      <c r="J1173" s="86"/>
    </row>
    <row r="1174" spans="8:10" x14ac:dyDescent="0.3">
      <c r="H1174" s="86"/>
      <c r="I1174" s="86"/>
      <c r="J1174" s="86"/>
    </row>
    <row r="1175" spans="8:10" x14ac:dyDescent="0.3">
      <c r="H1175" s="86"/>
      <c r="I1175" s="86"/>
      <c r="J1175" s="86"/>
    </row>
    <row r="1176" spans="8:10" x14ac:dyDescent="0.3">
      <c r="H1176" s="86"/>
      <c r="I1176" s="86"/>
      <c r="J1176" s="86"/>
    </row>
    <row r="1177" spans="8:10" x14ac:dyDescent="0.3">
      <c r="H1177" s="86"/>
      <c r="I1177" s="86"/>
      <c r="J1177" s="86"/>
    </row>
    <row r="1178" spans="8:10" x14ac:dyDescent="0.3">
      <c r="H1178" s="86"/>
      <c r="I1178" s="86"/>
      <c r="J1178" s="86"/>
    </row>
    <row r="1179" spans="8:10" x14ac:dyDescent="0.3">
      <c r="H1179" s="86"/>
      <c r="I1179" s="86"/>
      <c r="J1179" s="86"/>
    </row>
    <row r="1180" spans="8:10" x14ac:dyDescent="0.3">
      <c r="H1180" s="86"/>
      <c r="I1180" s="86"/>
      <c r="J1180" s="86"/>
    </row>
    <row r="1181" spans="8:10" x14ac:dyDescent="0.3">
      <c r="H1181" s="86"/>
      <c r="I1181" s="86"/>
      <c r="J1181" s="86"/>
    </row>
    <row r="1182" spans="8:10" x14ac:dyDescent="0.3">
      <c r="H1182" s="86"/>
      <c r="I1182" s="86"/>
      <c r="J1182" s="86"/>
    </row>
    <row r="1183" spans="8:10" x14ac:dyDescent="0.3">
      <c r="H1183" s="86"/>
      <c r="I1183" s="86"/>
      <c r="J1183" s="86"/>
    </row>
    <row r="1184" spans="8:10" x14ac:dyDescent="0.3">
      <c r="H1184" s="86"/>
      <c r="I1184" s="86"/>
      <c r="J1184" s="86"/>
    </row>
    <row r="1185" spans="8:10" x14ac:dyDescent="0.3">
      <c r="H1185" s="86"/>
      <c r="I1185" s="86"/>
      <c r="J1185" s="86"/>
    </row>
    <row r="1186" spans="8:10" x14ac:dyDescent="0.3">
      <c r="H1186" s="86"/>
      <c r="I1186" s="86"/>
      <c r="J1186" s="86"/>
    </row>
    <row r="1187" spans="8:10" x14ac:dyDescent="0.3">
      <c r="H1187" s="86"/>
      <c r="I1187" s="86"/>
      <c r="J1187" s="86"/>
    </row>
    <row r="1188" spans="8:10" x14ac:dyDescent="0.3">
      <c r="H1188" s="86"/>
      <c r="I1188" s="86"/>
      <c r="J1188" s="86"/>
    </row>
    <row r="1189" spans="8:10" x14ac:dyDescent="0.3">
      <c r="H1189" s="86"/>
      <c r="I1189" s="86"/>
      <c r="J1189" s="86"/>
    </row>
    <row r="1190" spans="8:10" x14ac:dyDescent="0.3">
      <c r="H1190" s="86"/>
      <c r="I1190" s="86"/>
      <c r="J1190" s="86"/>
    </row>
    <row r="1191" spans="8:10" x14ac:dyDescent="0.3">
      <c r="H1191" s="86"/>
      <c r="I1191" s="86"/>
      <c r="J1191" s="86"/>
    </row>
    <row r="1192" spans="8:10" x14ac:dyDescent="0.3">
      <c r="H1192" s="86"/>
      <c r="I1192" s="86"/>
      <c r="J1192" s="86"/>
    </row>
    <row r="1193" spans="8:10" x14ac:dyDescent="0.3">
      <c r="H1193" s="86"/>
      <c r="I1193" s="86"/>
      <c r="J1193" s="86"/>
    </row>
    <row r="1194" spans="8:10" x14ac:dyDescent="0.3">
      <c r="H1194" s="86"/>
      <c r="I1194" s="86"/>
      <c r="J1194" s="86"/>
    </row>
    <row r="1195" spans="8:10" x14ac:dyDescent="0.3">
      <c r="H1195" s="86"/>
      <c r="I1195" s="86"/>
      <c r="J1195" s="86"/>
    </row>
    <row r="1196" spans="8:10" x14ac:dyDescent="0.3">
      <c r="H1196" s="86"/>
      <c r="I1196" s="86"/>
      <c r="J1196" s="86"/>
    </row>
    <row r="1197" spans="8:10" x14ac:dyDescent="0.3">
      <c r="H1197" s="86"/>
      <c r="I1197" s="86"/>
      <c r="J1197" s="86"/>
    </row>
    <row r="1198" spans="8:10" x14ac:dyDescent="0.3">
      <c r="H1198" s="86"/>
      <c r="I1198" s="86"/>
      <c r="J1198" s="86"/>
    </row>
    <row r="1199" spans="8:10" x14ac:dyDescent="0.3">
      <c r="H1199" s="86"/>
      <c r="I1199" s="86"/>
      <c r="J1199" s="86"/>
    </row>
    <row r="1200" spans="8:10" x14ac:dyDescent="0.3">
      <c r="H1200" s="86"/>
      <c r="I1200" s="86"/>
      <c r="J1200" s="86"/>
    </row>
    <row r="1201" spans="8:10" x14ac:dyDescent="0.3">
      <c r="H1201" s="86"/>
      <c r="I1201" s="86"/>
      <c r="J1201" s="86"/>
    </row>
    <row r="1202" spans="8:10" x14ac:dyDescent="0.3">
      <c r="H1202" s="86"/>
      <c r="I1202" s="86"/>
      <c r="J1202" s="86"/>
    </row>
    <row r="1203" spans="8:10" x14ac:dyDescent="0.3">
      <c r="H1203" s="86"/>
      <c r="I1203" s="86"/>
      <c r="J1203" s="86"/>
    </row>
    <row r="1204" spans="8:10" x14ac:dyDescent="0.3">
      <c r="H1204" s="86"/>
      <c r="I1204" s="86"/>
      <c r="J1204" s="86"/>
    </row>
    <row r="1205" spans="8:10" x14ac:dyDescent="0.3">
      <c r="H1205" s="86"/>
      <c r="I1205" s="86"/>
      <c r="J1205" s="86"/>
    </row>
    <row r="1206" spans="8:10" x14ac:dyDescent="0.3">
      <c r="H1206" s="86"/>
      <c r="I1206" s="86"/>
      <c r="J1206" s="86"/>
    </row>
    <row r="1207" spans="8:10" x14ac:dyDescent="0.3">
      <c r="H1207" s="86"/>
      <c r="I1207" s="86"/>
      <c r="J1207" s="86"/>
    </row>
    <row r="1208" spans="8:10" x14ac:dyDescent="0.3">
      <c r="H1208" s="86"/>
      <c r="I1208" s="86"/>
      <c r="J1208" s="86"/>
    </row>
    <row r="1209" spans="8:10" x14ac:dyDescent="0.3">
      <c r="H1209" s="86"/>
      <c r="I1209" s="86"/>
      <c r="J1209" s="86"/>
    </row>
    <row r="1210" spans="8:10" x14ac:dyDescent="0.3">
      <c r="H1210" s="86"/>
      <c r="I1210" s="86"/>
      <c r="J1210" s="86"/>
    </row>
    <row r="1211" spans="8:10" x14ac:dyDescent="0.3">
      <c r="H1211" s="86"/>
      <c r="I1211" s="86"/>
      <c r="J1211" s="86"/>
    </row>
    <row r="1212" spans="8:10" x14ac:dyDescent="0.3">
      <c r="H1212" s="86"/>
      <c r="I1212" s="86"/>
      <c r="J1212" s="86"/>
    </row>
    <row r="1213" spans="8:10" x14ac:dyDescent="0.3">
      <c r="H1213" s="86"/>
      <c r="I1213" s="86"/>
      <c r="J1213" s="86"/>
    </row>
    <row r="1214" spans="8:10" x14ac:dyDescent="0.3">
      <c r="H1214" s="86"/>
      <c r="I1214" s="86"/>
      <c r="J1214" s="86"/>
    </row>
    <row r="1215" spans="8:10" x14ac:dyDescent="0.3">
      <c r="H1215" s="86"/>
      <c r="I1215" s="86"/>
      <c r="J1215" s="86"/>
    </row>
    <row r="1216" spans="8:10" x14ac:dyDescent="0.3">
      <c r="H1216" s="86"/>
      <c r="I1216" s="86"/>
      <c r="J1216" s="86"/>
    </row>
    <row r="1217" spans="8:10" x14ac:dyDescent="0.3">
      <c r="H1217" s="86"/>
      <c r="I1217" s="86"/>
      <c r="J1217" s="86"/>
    </row>
    <row r="1218" spans="8:10" x14ac:dyDescent="0.3">
      <c r="H1218" s="86"/>
      <c r="I1218" s="86"/>
      <c r="J1218" s="86"/>
    </row>
    <row r="1219" spans="8:10" x14ac:dyDescent="0.3">
      <c r="H1219" s="86"/>
      <c r="I1219" s="86"/>
      <c r="J1219" s="86"/>
    </row>
    <row r="1220" spans="8:10" x14ac:dyDescent="0.3">
      <c r="H1220" s="86"/>
      <c r="I1220" s="86"/>
      <c r="J1220" s="86"/>
    </row>
    <row r="1221" spans="8:10" x14ac:dyDescent="0.3">
      <c r="H1221" s="86"/>
      <c r="I1221" s="86"/>
      <c r="J1221" s="86"/>
    </row>
    <row r="1222" spans="8:10" x14ac:dyDescent="0.3">
      <c r="H1222" s="86"/>
      <c r="I1222" s="86"/>
      <c r="J1222" s="86"/>
    </row>
    <row r="1223" spans="8:10" x14ac:dyDescent="0.3">
      <c r="H1223" s="86"/>
      <c r="I1223" s="86"/>
      <c r="J1223" s="86"/>
    </row>
    <row r="1224" spans="8:10" x14ac:dyDescent="0.3">
      <c r="H1224" s="86"/>
      <c r="I1224" s="86"/>
      <c r="J1224" s="86"/>
    </row>
    <row r="1225" spans="8:10" x14ac:dyDescent="0.3">
      <c r="H1225" s="86"/>
      <c r="I1225" s="86"/>
      <c r="J1225" s="86"/>
    </row>
    <row r="1226" spans="8:10" x14ac:dyDescent="0.3">
      <c r="H1226" s="86"/>
      <c r="I1226" s="86"/>
      <c r="J1226" s="86"/>
    </row>
    <row r="1227" spans="8:10" x14ac:dyDescent="0.3">
      <c r="H1227" s="86"/>
      <c r="I1227" s="86"/>
      <c r="J1227" s="86"/>
    </row>
    <row r="1228" spans="8:10" x14ac:dyDescent="0.3">
      <c r="H1228" s="86"/>
      <c r="I1228" s="86"/>
      <c r="J1228" s="86"/>
    </row>
    <row r="1229" spans="8:10" x14ac:dyDescent="0.3">
      <c r="H1229" s="86"/>
      <c r="I1229" s="86"/>
      <c r="J1229" s="86"/>
    </row>
    <row r="1230" spans="8:10" x14ac:dyDescent="0.3">
      <c r="H1230" s="86"/>
      <c r="I1230" s="86"/>
      <c r="J1230" s="86"/>
    </row>
    <row r="1231" spans="8:10" x14ac:dyDescent="0.3">
      <c r="H1231" s="86"/>
      <c r="I1231" s="86"/>
      <c r="J1231" s="86"/>
    </row>
    <row r="1232" spans="8:10" x14ac:dyDescent="0.3">
      <c r="H1232" s="86"/>
      <c r="I1232" s="86"/>
      <c r="J1232" s="86"/>
    </row>
    <row r="1233" spans="8:10" x14ac:dyDescent="0.3">
      <c r="H1233" s="86"/>
      <c r="I1233" s="86"/>
      <c r="J1233" s="86"/>
    </row>
    <row r="1234" spans="8:10" x14ac:dyDescent="0.3">
      <c r="H1234" s="86"/>
      <c r="I1234" s="86"/>
      <c r="J1234" s="86"/>
    </row>
    <row r="1235" spans="8:10" x14ac:dyDescent="0.3">
      <c r="H1235" s="86"/>
      <c r="I1235" s="86"/>
      <c r="J1235" s="86"/>
    </row>
    <row r="1236" spans="8:10" x14ac:dyDescent="0.3">
      <c r="H1236" s="86"/>
      <c r="I1236" s="86"/>
      <c r="J1236" s="86"/>
    </row>
    <row r="1237" spans="8:10" x14ac:dyDescent="0.3">
      <c r="H1237" s="86"/>
      <c r="I1237" s="86"/>
      <c r="J1237" s="86"/>
    </row>
    <row r="1238" spans="8:10" x14ac:dyDescent="0.3">
      <c r="H1238" s="86"/>
      <c r="I1238" s="86"/>
      <c r="J1238" s="86"/>
    </row>
    <row r="1239" spans="8:10" x14ac:dyDescent="0.3">
      <c r="H1239" s="86"/>
      <c r="I1239" s="86"/>
      <c r="J1239" s="86"/>
    </row>
    <row r="1240" spans="8:10" x14ac:dyDescent="0.3">
      <c r="H1240" s="86"/>
      <c r="I1240" s="86"/>
      <c r="J1240" s="86"/>
    </row>
    <row r="1241" spans="8:10" x14ac:dyDescent="0.3">
      <c r="H1241" s="86"/>
      <c r="I1241" s="86"/>
      <c r="J1241" s="86"/>
    </row>
    <row r="1242" spans="8:10" x14ac:dyDescent="0.3">
      <c r="H1242" s="86"/>
      <c r="I1242" s="86"/>
      <c r="J1242" s="86"/>
    </row>
    <row r="1243" spans="8:10" x14ac:dyDescent="0.3">
      <c r="H1243" s="86"/>
      <c r="I1243" s="86"/>
      <c r="J1243" s="86"/>
    </row>
    <row r="1244" spans="8:10" x14ac:dyDescent="0.3">
      <c r="H1244" s="86"/>
      <c r="I1244" s="86"/>
      <c r="J1244" s="86"/>
    </row>
    <row r="1245" spans="8:10" x14ac:dyDescent="0.3">
      <c r="H1245" s="86"/>
      <c r="I1245" s="86"/>
      <c r="J1245" s="86"/>
    </row>
    <row r="1246" spans="8:10" x14ac:dyDescent="0.3">
      <c r="H1246" s="86"/>
      <c r="I1246" s="86"/>
      <c r="J1246" s="86"/>
    </row>
    <row r="1247" spans="8:10" x14ac:dyDescent="0.3">
      <c r="H1247" s="86"/>
      <c r="I1247" s="86"/>
      <c r="J1247" s="86"/>
    </row>
    <row r="1248" spans="8:10" x14ac:dyDescent="0.3">
      <c r="H1248" s="86"/>
      <c r="I1248" s="86"/>
      <c r="J1248" s="86"/>
    </row>
    <row r="1249" spans="8:10" x14ac:dyDescent="0.3">
      <c r="H1249" s="86"/>
      <c r="I1249" s="86"/>
      <c r="J1249" s="86"/>
    </row>
    <row r="1250" spans="8:10" x14ac:dyDescent="0.3">
      <c r="H1250" s="86"/>
      <c r="I1250" s="86"/>
      <c r="J1250" s="86"/>
    </row>
    <row r="1251" spans="8:10" x14ac:dyDescent="0.3">
      <c r="H1251" s="86"/>
      <c r="I1251" s="86"/>
      <c r="J1251" s="86"/>
    </row>
    <row r="1252" spans="8:10" x14ac:dyDescent="0.3">
      <c r="H1252" s="86"/>
      <c r="I1252" s="86"/>
      <c r="J1252" s="86"/>
    </row>
  </sheetData>
  <autoFilter ref="B9:D9">
    <sortState ref="B10:D115">
      <sortCondition ref="B9"/>
    </sortState>
  </autoFilter>
  <mergeCells count="5">
    <mergeCell ref="B7:D7"/>
    <mergeCell ref="F7:G7"/>
    <mergeCell ref="I7:J7"/>
    <mergeCell ref="B5:D5"/>
    <mergeCell ref="B2:L2"/>
  </mergeCells>
  <pageMargins left="0.23622047244094491" right="0" top="0.39370078740157483" bottom="0" header="0.31496062992125984" footer="0.31496062992125984"/>
  <pageSetup paperSize="9" scale="9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69"/>
  <sheetViews>
    <sheetView showGridLines="0" workbookViewId="0">
      <pane ySplit="5" topLeftCell="A40" activePane="bottomLeft" state="frozen"/>
      <selection pane="bottomLeft" activeCell="M31" sqref="M31"/>
    </sheetView>
  </sheetViews>
  <sheetFormatPr defaultRowHeight="14.4" x14ac:dyDescent="0.3"/>
  <cols>
    <col min="1" max="1" width="1.88671875" customWidth="1"/>
    <col min="2" max="2" width="31.6640625" customWidth="1"/>
    <col min="3" max="6" width="2.33203125" customWidth="1"/>
    <col min="7" max="9" width="11.77734375" customWidth="1"/>
    <col min="10" max="10" width="14" bestFit="1" customWidth="1"/>
    <col min="11" max="11" width="12.44140625" customWidth="1"/>
  </cols>
  <sheetData>
    <row r="1" spans="2:12" ht="5.4" customHeight="1" x14ac:dyDescent="0.3"/>
    <row r="2" spans="2:12" ht="40.799999999999997" customHeight="1" x14ac:dyDescent="0.35">
      <c r="B2" s="218" t="str">
        <f>'Data Sheet'!B1</f>
        <v>ORACLE FINANCIAL SERVICES SOFTWARE LTD</v>
      </c>
      <c r="C2" s="218"/>
      <c r="D2" s="218"/>
      <c r="E2" s="218"/>
      <c r="F2" s="218"/>
      <c r="G2" s="218"/>
      <c r="H2" s="211"/>
      <c r="I2" s="211"/>
      <c r="J2" s="211"/>
      <c r="K2" s="211"/>
      <c r="L2" s="211"/>
    </row>
    <row r="3" spans="2:12" ht="11.4" customHeight="1" x14ac:dyDescent="0.3">
      <c r="B3" s="208" t="s">
        <v>374</v>
      </c>
      <c r="C3" s="206"/>
      <c r="D3" s="206"/>
      <c r="E3" s="206"/>
      <c r="F3" s="206"/>
      <c r="G3" s="206"/>
      <c r="H3" s="206"/>
      <c r="I3" s="206"/>
      <c r="J3" s="206"/>
      <c r="K3" s="206"/>
      <c r="L3" s="206"/>
    </row>
    <row r="4" spans="2:12" ht="11.4" customHeight="1" thickBot="1" x14ac:dyDescent="0.35">
      <c r="B4" s="209" t="s">
        <v>373</v>
      </c>
      <c r="C4" s="210"/>
      <c r="D4" s="210"/>
      <c r="E4" s="210"/>
      <c r="F4" s="210"/>
      <c r="G4" s="210"/>
      <c r="H4" s="210"/>
      <c r="I4" s="210"/>
      <c r="J4" s="210"/>
      <c r="K4" s="210"/>
      <c r="L4" s="206"/>
    </row>
    <row r="5" spans="2:12" ht="2.4" customHeight="1" x14ac:dyDescent="0.3"/>
    <row r="6" spans="2:12" x14ac:dyDescent="0.3">
      <c r="B6" s="29" t="s">
        <v>293</v>
      </c>
      <c r="C6" s="29"/>
      <c r="D6" s="29"/>
      <c r="E6" s="29"/>
      <c r="F6" s="29"/>
      <c r="G6" s="30">
        <f>'Data Room'!E2</f>
        <v>43891</v>
      </c>
      <c r="H6" s="30">
        <f>'Data Room'!F2</f>
        <v>44256</v>
      </c>
      <c r="I6" s="30">
        <f>'Data Room'!G2</f>
        <v>44621</v>
      </c>
      <c r="J6" s="30">
        <f>'Data Room'!H2</f>
        <v>44986</v>
      </c>
      <c r="K6" s="30">
        <f>'Data Room'!I2</f>
        <v>45352</v>
      </c>
    </row>
    <row r="7" spans="2:12" ht="3.6" customHeight="1" x14ac:dyDescent="0.3"/>
    <row r="8" spans="2:12" x14ac:dyDescent="0.3">
      <c r="B8" s="8" t="s">
        <v>294</v>
      </c>
      <c r="C8" s="11"/>
      <c r="D8" s="11"/>
      <c r="E8" s="11"/>
      <c r="F8" s="11"/>
      <c r="G8" s="141"/>
      <c r="H8" s="141"/>
      <c r="I8" s="141"/>
      <c r="J8" s="141"/>
      <c r="K8" s="141"/>
    </row>
    <row r="9" spans="2:12" x14ac:dyDescent="0.3">
      <c r="B9" s="153" t="str">
        <f>'Data Room'!B31</f>
        <v>Trade receivables -</v>
      </c>
      <c r="C9" s="153"/>
      <c r="D9" s="153"/>
      <c r="E9" s="153"/>
      <c r="F9" s="153"/>
      <c r="G9" s="154">
        <f>'Data Room'!E31</f>
        <v>925</v>
      </c>
      <c r="H9" s="154">
        <f>'Data Room'!F31</f>
        <v>803</v>
      </c>
      <c r="I9" s="154">
        <f>'Data Room'!G31</f>
        <v>926</v>
      </c>
      <c r="J9" s="154">
        <f>'Data Room'!H31</f>
        <v>1083</v>
      </c>
      <c r="K9" s="154">
        <f>'Data Room'!I31</f>
        <v>1319</v>
      </c>
    </row>
    <row r="10" spans="2:12" x14ac:dyDescent="0.3">
      <c r="B10" s="153" t="str">
        <f>'Data Room'!B32</f>
        <v>Receivables over 6m</v>
      </c>
      <c r="C10" s="153"/>
      <c r="D10" s="153"/>
      <c r="E10" s="153"/>
      <c r="F10" s="153"/>
      <c r="G10" s="154">
        <f>'Data Room'!E32</f>
        <v>0</v>
      </c>
      <c r="H10" s="154">
        <f>'Data Room'!F32</f>
        <v>0</v>
      </c>
      <c r="I10" s="154">
        <f>'Data Room'!G32</f>
        <v>31</v>
      </c>
      <c r="J10" s="154">
        <f>'Data Room'!H32</f>
        <v>75</v>
      </c>
      <c r="K10" s="154">
        <f>'Data Room'!I32</f>
        <v>135</v>
      </c>
    </row>
    <row r="11" spans="2:12" x14ac:dyDescent="0.3">
      <c r="B11" s="153" t="str">
        <f>'Data Room'!B33</f>
        <v>Receivables under 6m</v>
      </c>
      <c r="C11" s="153"/>
      <c r="D11" s="153"/>
      <c r="E11" s="153"/>
      <c r="F11" s="153"/>
      <c r="G11" s="154">
        <f>'Data Room'!E33</f>
        <v>961</v>
      </c>
      <c r="H11" s="154">
        <f>'Data Room'!F33</f>
        <v>815</v>
      </c>
      <c r="I11" s="154">
        <f>'Data Room'!G33</f>
        <v>912</v>
      </c>
      <c r="J11" s="154">
        <f>'Data Room'!H33</f>
        <v>1046</v>
      </c>
      <c r="K11" s="154">
        <f>'Data Room'!I33</f>
        <v>1272</v>
      </c>
    </row>
    <row r="12" spans="2:12" x14ac:dyDescent="0.3">
      <c r="B12" s="153" t="str">
        <f>'Data Room'!B36</f>
        <v>Loans n Advances</v>
      </c>
      <c r="C12" s="153"/>
      <c r="D12" s="153"/>
      <c r="E12" s="153"/>
      <c r="F12" s="153"/>
      <c r="G12" s="154">
        <f>'Data Room'!E36</f>
        <v>106</v>
      </c>
      <c r="H12" s="154">
        <f>'Data Room'!F36</f>
        <v>112</v>
      </c>
      <c r="I12" s="154">
        <f>'Data Room'!G36</f>
        <v>118</v>
      </c>
      <c r="J12" s="154">
        <f>'Data Room'!H36</f>
        <v>74</v>
      </c>
      <c r="K12" s="154">
        <f>'Data Room'!I36</f>
        <v>47</v>
      </c>
    </row>
    <row r="13" spans="2:12" x14ac:dyDescent="0.3">
      <c r="B13" s="11" t="s">
        <v>64</v>
      </c>
      <c r="C13" s="11"/>
      <c r="D13" s="11"/>
      <c r="E13" s="11"/>
      <c r="F13" s="11"/>
      <c r="G13" s="141">
        <f>'Data Room'!E37</f>
        <v>1429</v>
      </c>
      <c r="H13" s="141">
        <f>'Data Room'!F37</f>
        <v>1440</v>
      </c>
      <c r="I13" s="141">
        <f>'Data Room'!G37</f>
        <v>1550</v>
      </c>
      <c r="J13" s="141">
        <f>'Data Room'!H37</f>
        <v>1645</v>
      </c>
      <c r="K13" s="141">
        <f>'Data Room'!I37</f>
        <v>2037</v>
      </c>
    </row>
    <row r="14" spans="2:12" x14ac:dyDescent="0.3">
      <c r="B14" s="242" t="s">
        <v>108</v>
      </c>
      <c r="C14" s="242"/>
      <c r="D14" s="243"/>
      <c r="E14" s="243"/>
      <c r="F14" s="243"/>
      <c r="G14" s="244">
        <f>SUM(G9:G13)</f>
        <v>3421</v>
      </c>
      <c r="H14" s="244">
        <f t="shared" ref="H14:K14" si="0">SUM(H9:H13)</f>
        <v>3170</v>
      </c>
      <c r="I14" s="244">
        <f t="shared" si="0"/>
        <v>3537</v>
      </c>
      <c r="J14" s="244">
        <f t="shared" si="0"/>
        <v>3923</v>
      </c>
      <c r="K14" s="244">
        <f t="shared" si="0"/>
        <v>4810</v>
      </c>
    </row>
    <row r="15" spans="2:12" ht="5.4" customHeight="1" x14ac:dyDescent="0.3">
      <c r="B15" s="11"/>
      <c r="C15" s="11"/>
      <c r="D15" s="11"/>
      <c r="E15" s="11"/>
      <c r="F15" s="11"/>
      <c r="G15" s="141"/>
      <c r="H15" s="141"/>
      <c r="I15" s="141"/>
      <c r="J15" s="141"/>
      <c r="K15" s="141"/>
    </row>
    <row r="16" spans="2:12" x14ac:dyDescent="0.3">
      <c r="B16" s="8" t="s">
        <v>296</v>
      </c>
      <c r="C16" s="8"/>
      <c r="D16" s="11"/>
      <c r="E16" s="11"/>
      <c r="F16" s="11"/>
      <c r="G16" s="148"/>
      <c r="H16" s="148"/>
      <c r="I16" s="148"/>
      <c r="J16" s="148"/>
      <c r="K16" s="148"/>
    </row>
    <row r="17" spans="1:14 16374:16374" x14ac:dyDescent="0.3">
      <c r="B17" s="143" t="str">
        <f>'Data Room'!B9</f>
        <v>Trade Payables</v>
      </c>
      <c r="C17" s="143"/>
      <c r="D17" s="143"/>
      <c r="E17" s="143"/>
      <c r="F17" s="143"/>
      <c r="G17" s="150">
        <f>'Data Room'!E9</f>
        <v>35</v>
      </c>
      <c r="H17" s="150">
        <f>'Data Room'!F9</f>
        <v>46</v>
      </c>
      <c r="I17" s="150">
        <f>'Data Room'!G9</f>
        <v>40</v>
      </c>
      <c r="J17" s="150">
        <f>'Data Room'!H9</f>
        <v>38</v>
      </c>
      <c r="K17" s="150">
        <f>'Data Room'!I9</f>
        <v>102</v>
      </c>
    </row>
    <row r="18" spans="1:14 16374:16374" x14ac:dyDescent="0.3">
      <c r="B18" s="143" t="str">
        <f>'Data Room'!B10</f>
        <v>Advance from Customers</v>
      </c>
      <c r="C18" s="143"/>
      <c r="D18" s="143"/>
      <c r="E18" s="143"/>
      <c r="F18" s="143"/>
      <c r="G18" s="150">
        <f>'Data Room'!E10</f>
        <v>0</v>
      </c>
      <c r="H18" s="150">
        <f>'Data Room'!F10</f>
        <v>0</v>
      </c>
      <c r="I18" s="150">
        <f>'Data Room'!G10</f>
        <v>0</v>
      </c>
      <c r="J18" s="150">
        <f>'Data Room'!H10</f>
        <v>0</v>
      </c>
      <c r="K18" s="150">
        <f>'Data Room'!I10</f>
        <v>0</v>
      </c>
    </row>
    <row r="19" spans="1:14 16374:16374" x14ac:dyDescent="0.3">
      <c r="B19" s="143" t="str">
        <f>'Data Room'!B11</f>
        <v>Other liability items</v>
      </c>
      <c r="C19" s="143"/>
      <c r="D19" s="143"/>
      <c r="E19" s="143"/>
      <c r="F19" s="143"/>
      <c r="G19" s="150">
        <f>'Data Room'!E11</f>
        <v>1200</v>
      </c>
      <c r="H19" s="150">
        <f>'Data Room'!F11</f>
        <v>1188</v>
      </c>
      <c r="I19" s="150">
        <f>'Data Room'!G11</f>
        <v>1370</v>
      </c>
      <c r="J19" s="150">
        <f>'Data Room'!H11</f>
        <v>1552</v>
      </c>
      <c r="K19" s="150">
        <f>'Data Room'!I11</f>
        <v>1746</v>
      </c>
    </row>
    <row r="20" spans="1:14 16374:16374" x14ac:dyDescent="0.3">
      <c r="B20" s="43" t="s">
        <v>295</v>
      </c>
      <c r="C20" s="43"/>
      <c r="D20" s="43"/>
      <c r="E20" s="43"/>
      <c r="F20" s="43"/>
      <c r="G20" s="245">
        <f>SUM(G17:G19)</f>
        <v>1235</v>
      </c>
      <c r="H20" s="245">
        <f t="shared" ref="H20:K20" si="1">SUM(H17:H19)</f>
        <v>1234</v>
      </c>
      <c r="I20" s="245">
        <f t="shared" si="1"/>
        <v>1410</v>
      </c>
      <c r="J20" s="245">
        <f t="shared" si="1"/>
        <v>1590</v>
      </c>
      <c r="K20" s="245">
        <f t="shared" si="1"/>
        <v>1848</v>
      </c>
    </row>
    <row r="21" spans="1:14 16374:16374" x14ac:dyDescent="0.3">
      <c r="G21" s="147"/>
      <c r="H21" s="147"/>
      <c r="I21" s="147"/>
      <c r="J21" s="147"/>
      <c r="K21" s="147"/>
    </row>
    <row r="22" spans="1:14 16374:16374" ht="15" thickBot="1" x14ac:dyDescent="0.35">
      <c r="A22" s="36" t="s">
        <v>82</v>
      </c>
      <c r="B22" s="142" t="s">
        <v>298</v>
      </c>
      <c r="C22" s="142"/>
      <c r="D22" s="142"/>
      <c r="E22" s="142"/>
      <c r="F22" s="142"/>
      <c r="G22" s="149">
        <f>G14-G20</f>
        <v>2186</v>
      </c>
      <c r="H22" s="149">
        <f t="shared" ref="H22:K22" si="2">H14-H20</f>
        <v>1936</v>
      </c>
      <c r="I22" s="149">
        <f t="shared" si="2"/>
        <v>2127</v>
      </c>
      <c r="J22" s="149">
        <f t="shared" si="2"/>
        <v>2333</v>
      </c>
      <c r="K22" s="149">
        <f t="shared" si="2"/>
        <v>2962</v>
      </c>
      <c r="N22" s="246"/>
    </row>
    <row r="23" spans="1:14 16374:16374" ht="3.6" customHeight="1" x14ac:dyDescent="0.3">
      <c r="G23" s="147"/>
      <c r="H23" s="147"/>
      <c r="I23" s="147"/>
      <c r="J23" s="147"/>
      <c r="K23" s="147"/>
    </row>
    <row r="24" spans="1:14 16374:16374" x14ac:dyDescent="0.3">
      <c r="B24" s="8" t="s">
        <v>299</v>
      </c>
      <c r="C24" s="8"/>
      <c r="D24" s="11"/>
      <c r="E24" s="11"/>
      <c r="F24" s="11"/>
      <c r="G24" s="148"/>
      <c r="H24" s="148"/>
      <c r="I24" s="148"/>
      <c r="J24" s="148"/>
      <c r="K24" s="148"/>
    </row>
    <row r="25" spans="1:14 16374:16374" x14ac:dyDescent="0.3">
      <c r="B25" s="143" t="str">
        <f>'Data Room'!B15</f>
        <v>Land</v>
      </c>
      <c r="C25" s="143"/>
      <c r="D25" s="143"/>
      <c r="E25" s="143"/>
      <c r="F25" s="143"/>
      <c r="G25" s="150">
        <f>'Data Room'!E15</f>
        <v>44</v>
      </c>
      <c r="H25" s="150">
        <f>'Data Room'!F15</f>
        <v>44</v>
      </c>
      <c r="I25" s="150">
        <f>'Data Room'!G15</f>
        <v>44</v>
      </c>
      <c r="J25" s="150">
        <f>'Data Room'!H15</f>
        <v>44</v>
      </c>
      <c r="K25" s="150">
        <f>'Data Room'!I15</f>
        <v>44</v>
      </c>
    </row>
    <row r="26" spans="1:14 16374:16374" x14ac:dyDescent="0.3">
      <c r="B26" s="143" t="str">
        <f>'Data Room'!B16</f>
        <v>Building</v>
      </c>
      <c r="C26" s="143"/>
      <c r="D26" s="143"/>
      <c r="E26" s="143"/>
      <c r="F26" s="143"/>
      <c r="G26" s="150">
        <f>'Data Room'!E16</f>
        <v>259</v>
      </c>
      <c r="H26" s="150">
        <f>'Data Room'!F16</f>
        <v>258</v>
      </c>
      <c r="I26" s="150">
        <f>'Data Room'!G16</f>
        <v>245</v>
      </c>
      <c r="J26" s="150">
        <f>'Data Room'!H16</f>
        <v>240</v>
      </c>
      <c r="K26" s="150">
        <f>'Data Room'!I16</f>
        <v>235</v>
      </c>
    </row>
    <row r="27" spans="1:14 16374:16374" x14ac:dyDescent="0.3">
      <c r="B27" s="143" t="str">
        <f>'Data Room'!B17</f>
        <v>Equipments</v>
      </c>
      <c r="C27" s="143"/>
      <c r="D27" s="143"/>
      <c r="E27" s="143"/>
      <c r="F27" s="143"/>
      <c r="G27" s="150">
        <f>'Data Room'!E17</f>
        <v>27</v>
      </c>
      <c r="H27" s="150">
        <f>'Data Room'!F17</f>
        <v>27</v>
      </c>
      <c r="I27" s="150">
        <f>'Data Room'!G17</f>
        <v>26</v>
      </c>
      <c r="J27" s="150">
        <f>'Data Room'!H17</f>
        <v>26</v>
      </c>
      <c r="K27" s="150">
        <f>'Data Room'!I17</f>
        <v>19</v>
      </c>
    </row>
    <row r="28" spans="1:14 16374:16374" x14ac:dyDescent="0.3">
      <c r="B28" s="143" t="str">
        <f>'Data Room'!B18</f>
        <v>Computers</v>
      </c>
      <c r="C28" s="143"/>
      <c r="D28" s="143"/>
      <c r="E28" s="143"/>
      <c r="F28" s="143"/>
      <c r="G28" s="150">
        <f>'Data Room'!E18</f>
        <v>289</v>
      </c>
      <c r="H28" s="150">
        <f>'Data Room'!F18</f>
        <v>296</v>
      </c>
      <c r="I28" s="150">
        <f>'Data Room'!G18</f>
        <v>322</v>
      </c>
      <c r="J28" s="150">
        <f>'Data Room'!H18</f>
        <v>346</v>
      </c>
      <c r="K28" s="150">
        <f>'Data Room'!I18</f>
        <v>342</v>
      </c>
    </row>
    <row r="29" spans="1:14 16374:16374" x14ac:dyDescent="0.3">
      <c r="B29" s="143" t="str">
        <f>'Data Room'!B19</f>
        <v>Furniture n fittings</v>
      </c>
      <c r="C29" s="143"/>
      <c r="D29" s="143"/>
      <c r="E29" s="143"/>
      <c r="F29" s="143"/>
      <c r="G29" s="150">
        <f>'Data Room'!E19</f>
        <v>203</v>
      </c>
      <c r="H29" s="150">
        <f>'Data Room'!F19</f>
        <v>201</v>
      </c>
      <c r="I29" s="150">
        <f>'Data Room'!G19</f>
        <v>198</v>
      </c>
      <c r="J29" s="150">
        <f>'Data Room'!H19</f>
        <v>200</v>
      </c>
      <c r="K29" s="150">
        <f>'Data Room'!I19</f>
        <v>203</v>
      </c>
      <c r="XET29" t="s">
        <v>297</v>
      </c>
    </row>
    <row r="30" spans="1:14 16374:16374" x14ac:dyDescent="0.3">
      <c r="B30" s="143" t="str">
        <f>'Data Room'!B20</f>
        <v>Vehicles</v>
      </c>
      <c r="C30" s="143"/>
      <c r="D30" s="143"/>
      <c r="E30" s="143"/>
      <c r="F30" s="143"/>
      <c r="G30" s="150">
        <f>'Data Room'!E20</f>
        <v>0</v>
      </c>
      <c r="H30" s="150">
        <f>'Data Room'!F20</f>
        <v>0</v>
      </c>
      <c r="I30" s="150">
        <f>'Data Room'!G20</f>
        <v>0</v>
      </c>
      <c r="J30" s="150">
        <f>'Data Room'!H20</f>
        <v>0</v>
      </c>
      <c r="K30" s="150">
        <f>'Data Room'!I20</f>
        <v>0</v>
      </c>
    </row>
    <row r="31" spans="1:14 16374:16374" x14ac:dyDescent="0.3">
      <c r="B31" s="143" t="str">
        <f>'Data Room'!B21</f>
        <v>Intangible Assets</v>
      </c>
      <c r="C31" s="143"/>
      <c r="D31" s="143"/>
      <c r="E31" s="143"/>
      <c r="F31" s="143"/>
      <c r="G31" s="150">
        <f>'Data Room'!E21</f>
        <v>609</v>
      </c>
      <c r="H31" s="150">
        <f>'Data Room'!F21</f>
        <v>609</v>
      </c>
      <c r="I31" s="150">
        <f>'Data Room'!G21</f>
        <v>609</v>
      </c>
      <c r="J31" s="150">
        <f>'Data Room'!H21</f>
        <v>609</v>
      </c>
      <c r="K31" s="150">
        <f>'Data Room'!I21</f>
        <v>609</v>
      </c>
    </row>
    <row r="32" spans="1:14 16374:16374" x14ac:dyDescent="0.3">
      <c r="B32" s="143" t="str">
        <f>'Data Room'!B22</f>
        <v>Other fixed assets</v>
      </c>
      <c r="C32" s="143"/>
      <c r="D32" s="143"/>
      <c r="E32" s="143"/>
      <c r="F32" s="143"/>
      <c r="G32" s="150">
        <f>'Data Room'!E22</f>
        <v>173</v>
      </c>
      <c r="H32" s="150">
        <f>'Data Room'!F22</f>
        <v>140</v>
      </c>
      <c r="I32" s="150">
        <f>'Data Room'!G22</f>
        <v>147</v>
      </c>
      <c r="J32" s="150">
        <f>'Data Room'!H22</f>
        <v>144</v>
      </c>
      <c r="K32" s="150">
        <f>'Data Room'!I22</f>
        <v>115</v>
      </c>
    </row>
    <row r="33" spans="1:12" x14ac:dyDescent="0.3">
      <c r="B33" s="143"/>
      <c r="C33" s="143"/>
      <c r="D33" s="143"/>
      <c r="E33" s="143"/>
      <c r="F33" s="143"/>
      <c r="G33" s="150"/>
      <c r="H33" s="150"/>
      <c r="I33" s="150"/>
      <c r="J33" s="150"/>
      <c r="K33" s="150"/>
    </row>
    <row r="34" spans="1:12" ht="4.2" customHeight="1" thickBot="1" x14ac:dyDescent="0.35">
      <c r="B34" s="11"/>
      <c r="C34" s="11"/>
      <c r="D34" s="11"/>
      <c r="E34" s="11"/>
      <c r="F34" s="11"/>
      <c r="G34" s="141"/>
      <c r="H34" s="141"/>
      <c r="I34" s="141"/>
      <c r="J34" s="141"/>
      <c r="K34" s="141"/>
    </row>
    <row r="35" spans="1:12" x14ac:dyDescent="0.3">
      <c r="B35" s="144" t="s">
        <v>286</v>
      </c>
      <c r="C35" s="144"/>
      <c r="D35" s="144"/>
      <c r="E35" s="144"/>
      <c r="F35" s="144"/>
      <c r="G35" s="151">
        <f>SUM(G25:G33)</f>
        <v>1604</v>
      </c>
      <c r="H35" s="151">
        <f>SUM(H25:H33)</f>
        <v>1575</v>
      </c>
      <c r="I35" s="151">
        <f>SUM(I25:I33)</f>
        <v>1591</v>
      </c>
      <c r="J35" s="151">
        <f>SUM(J25:J33)</f>
        <v>1609</v>
      </c>
      <c r="K35" s="151">
        <f>SUM(K25:K33)</f>
        <v>1567</v>
      </c>
      <c r="L35" s="77"/>
    </row>
    <row r="36" spans="1:12" x14ac:dyDescent="0.3">
      <c r="B36" t="str">
        <f>'Data Room'!B24</f>
        <v>Accumulated Depreciation</v>
      </c>
      <c r="G36" s="147">
        <f>-'Data Room'!E24</f>
        <v>-640</v>
      </c>
      <c r="H36" s="147">
        <f>-'Data Room'!F24</f>
        <v>-690</v>
      </c>
      <c r="I36" s="147">
        <f>-'Data Room'!G24</f>
        <v>-719</v>
      </c>
      <c r="J36" s="147">
        <f>-'Data Room'!H24</f>
        <v>-762</v>
      </c>
      <c r="K36" s="147">
        <f>-'Data Room'!I24</f>
        <v>-761</v>
      </c>
    </row>
    <row r="37" spans="1:12" ht="15" thickBot="1" x14ac:dyDescent="0.35">
      <c r="A37" t="s">
        <v>82</v>
      </c>
      <c r="B37" s="142" t="s">
        <v>300</v>
      </c>
      <c r="C37" s="142"/>
      <c r="D37" s="142"/>
      <c r="E37" s="142"/>
      <c r="F37" s="142"/>
      <c r="G37" s="149">
        <f>SUM(G35:G36)</f>
        <v>964</v>
      </c>
      <c r="H37" s="149">
        <f>SUM(H35:H36)</f>
        <v>885</v>
      </c>
      <c r="I37" s="149">
        <f>SUM(I35:I36)</f>
        <v>872</v>
      </c>
      <c r="J37" s="149">
        <f>SUM(J35:J36)</f>
        <v>847</v>
      </c>
      <c r="K37" s="149">
        <f>SUM(K35:K36)</f>
        <v>806</v>
      </c>
    </row>
    <row r="38" spans="1:12" ht="3.6" customHeight="1" x14ac:dyDescent="0.3">
      <c r="G38" s="147"/>
      <c r="H38" s="147"/>
      <c r="I38" s="147"/>
      <c r="J38" s="147"/>
      <c r="K38" s="147"/>
    </row>
    <row r="39" spans="1:12" x14ac:dyDescent="0.3">
      <c r="A39" t="s">
        <v>82</v>
      </c>
      <c r="B39" s="77" t="s">
        <v>301</v>
      </c>
      <c r="C39" s="77"/>
      <c r="D39" s="77"/>
      <c r="E39" s="77"/>
      <c r="F39" s="77"/>
      <c r="G39" s="152">
        <f>G37+G22</f>
        <v>3150</v>
      </c>
      <c r="H39" s="152">
        <f>H37+H22</f>
        <v>2821</v>
      </c>
      <c r="I39" s="152">
        <f>I37+I22</f>
        <v>2999</v>
      </c>
      <c r="J39" s="152">
        <f>J37+J22</f>
        <v>3180</v>
      </c>
      <c r="K39" s="152">
        <f>K37+K22</f>
        <v>3768</v>
      </c>
    </row>
    <row r="40" spans="1:12" x14ac:dyDescent="0.3">
      <c r="B40" s="77" t="s">
        <v>302</v>
      </c>
      <c r="C40" s="77"/>
      <c r="D40" s="77"/>
      <c r="E40" s="77"/>
      <c r="F40" s="77"/>
      <c r="G40" s="152">
        <f>'Historical FS'!H31+'Historical FS'!H25</f>
        <v>2122.3099999999995</v>
      </c>
      <c r="H40" s="152">
        <f>'Historical FS'!I31+'Historical FS'!I25</f>
        <v>2364.4900000000002</v>
      </c>
      <c r="I40" s="152">
        <f>'Historical FS'!J31+'Historical FS'!J25</f>
        <v>2406.1399999999994</v>
      </c>
      <c r="J40" s="152">
        <f>'Historical FS'!K31+'Historical FS'!K25</f>
        <v>2390.73</v>
      </c>
      <c r="K40" s="152">
        <f>'Historical FS'!L31+'Historical FS'!L25</f>
        <v>2708.25</v>
      </c>
    </row>
    <row r="41" spans="1:12" ht="3.6" customHeight="1" thickBot="1" x14ac:dyDescent="0.35"/>
    <row r="42" spans="1:12" ht="15.6" thickTop="1" thickBot="1" x14ac:dyDescent="0.35">
      <c r="A42" t="s">
        <v>82</v>
      </c>
      <c r="B42" s="145" t="s">
        <v>303</v>
      </c>
      <c r="C42" s="145"/>
      <c r="D42" s="145"/>
      <c r="E42" s="145"/>
      <c r="F42" s="145"/>
      <c r="G42" s="146">
        <f>G40/G39</f>
        <v>0.67374920634920621</v>
      </c>
      <c r="H42" s="146">
        <f>H40/H39</f>
        <v>0.83817440623892248</v>
      </c>
      <c r="I42" s="146">
        <f>I40/I39</f>
        <v>0.80231410470156694</v>
      </c>
      <c r="J42" s="146">
        <f>J40/J39</f>
        <v>0.75180188679245286</v>
      </c>
      <c r="K42" s="146">
        <f>K40/K39</f>
        <v>0.71875</v>
      </c>
    </row>
    <row r="43" spans="1:12" ht="4.2" customHeight="1" thickTop="1" x14ac:dyDescent="0.3"/>
    <row r="44" spans="1:12" ht="4.8" customHeight="1" x14ac:dyDescent="0.3"/>
    <row r="45" spans="1:12" x14ac:dyDescent="0.3">
      <c r="B45" s="29" t="s">
        <v>293</v>
      </c>
      <c r="C45" s="29"/>
      <c r="D45" s="29"/>
      <c r="E45" s="29"/>
      <c r="F45" s="29"/>
      <c r="G45" s="30">
        <f>G6</f>
        <v>43891</v>
      </c>
      <c r="H45" s="30">
        <f t="shared" ref="H45:K45" si="3">H6</f>
        <v>44256</v>
      </c>
      <c r="I45" s="30">
        <f t="shared" si="3"/>
        <v>44621</v>
      </c>
      <c r="J45" s="30">
        <f t="shared" si="3"/>
        <v>44986</v>
      </c>
      <c r="K45" s="30">
        <f t="shared" si="3"/>
        <v>45352</v>
      </c>
    </row>
    <row r="46" spans="1:12" ht="3.6" customHeight="1" x14ac:dyDescent="0.3"/>
    <row r="47" spans="1:12" x14ac:dyDescent="0.3">
      <c r="B47" s="155" t="s">
        <v>304</v>
      </c>
      <c r="C47" s="155"/>
      <c r="D47" s="155"/>
      <c r="E47" s="155"/>
      <c r="F47" s="155"/>
      <c r="G47" s="156">
        <f>-SUM('Data Room'!J51:J53)</f>
        <v>54</v>
      </c>
      <c r="H47" s="156">
        <f>-SUM('Data Room'!K51:K53)</f>
        <v>19</v>
      </c>
      <c r="I47" s="156">
        <f>-SUM('Data Room'!L51:L53)</f>
        <v>37</v>
      </c>
      <c r="J47" s="156">
        <f>-SUM('Data Room'!M51:M53)</f>
        <v>38</v>
      </c>
      <c r="K47" s="156">
        <f>-SUM('Data Room'!N51:N53)</f>
        <v>30</v>
      </c>
    </row>
    <row r="48" spans="1:12" x14ac:dyDescent="0.3">
      <c r="B48" s="155" t="s">
        <v>305</v>
      </c>
      <c r="C48" s="155"/>
      <c r="D48" s="155"/>
      <c r="E48" s="155"/>
      <c r="F48" s="155"/>
      <c r="G48" s="156"/>
      <c r="H48" s="156">
        <f>H22-G22</f>
        <v>-250</v>
      </c>
      <c r="I48" s="156">
        <f t="shared" ref="I48:K48" si="4">I22-H22</f>
        <v>191</v>
      </c>
      <c r="J48" s="156">
        <f t="shared" si="4"/>
        <v>206</v>
      </c>
      <c r="K48" s="156">
        <f t="shared" si="4"/>
        <v>629</v>
      </c>
    </row>
    <row r="49" spans="2:11" x14ac:dyDescent="0.3">
      <c r="B49" s="155"/>
      <c r="C49" s="155"/>
      <c r="D49" s="155"/>
      <c r="E49" s="155"/>
      <c r="F49" s="155"/>
      <c r="G49" s="156"/>
      <c r="H49" s="156"/>
      <c r="I49" s="156"/>
      <c r="J49" s="156"/>
      <c r="K49" s="156"/>
    </row>
    <row r="50" spans="2:11" x14ac:dyDescent="0.3">
      <c r="B50" s="155" t="s">
        <v>302</v>
      </c>
      <c r="C50" s="155"/>
      <c r="D50" s="155"/>
      <c r="E50" s="155"/>
      <c r="F50" s="155"/>
      <c r="G50" s="156">
        <f>G40</f>
        <v>2122.3099999999995</v>
      </c>
      <c r="H50" s="156">
        <f>H40</f>
        <v>2364.4900000000002</v>
      </c>
      <c r="I50" s="156">
        <f>I40</f>
        <v>2406.1399999999994</v>
      </c>
      <c r="J50" s="156">
        <f>J40</f>
        <v>2390.73</v>
      </c>
      <c r="K50" s="156">
        <f>K40</f>
        <v>2708.25</v>
      </c>
    </row>
    <row r="51" spans="2:11" x14ac:dyDescent="0.3">
      <c r="B51" s="155" t="s">
        <v>306</v>
      </c>
      <c r="C51" s="155"/>
      <c r="D51" s="155"/>
      <c r="E51" s="155"/>
      <c r="F51" s="155"/>
      <c r="G51" s="165">
        <v>0.25</v>
      </c>
      <c r="H51" s="165">
        <v>0.25</v>
      </c>
      <c r="I51" s="165">
        <v>0.25</v>
      </c>
      <c r="J51" s="165">
        <v>0.25</v>
      </c>
      <c r="K51" s="165">
        <v>0.25</v>
      </c>
    </row>
    <row r="52" spans="2:11" x14ac:dyDescent="0.3">
      <c r="B52" s="155" t="s">
        <v>308</v>
      </c>
      <c r="C52" s="155"/>
      <c r="D52" s="155"/>
      <c r="E52" s="155"/>
      <c r="F52" s="155"/>
      <c r="G52" s="156">
        <f>G50*(1-G51)</f>
        <v>1591.7324999999996</v>
      </c>
      <c r="H52" s="156">
        <f>H50*(1-H51)</f>
        <v>1773.3675000000003</v>
      </c>
      <c r="I52" s="156">
        <f>I50*(1-I51)</f>
        <v>1804.6049999999996</v>
      </c>
      <c r="J52" s="156">
        <f>J50*(1-J51)</f>
        <v>1793.0475000000001</v>
      </c>
      <c r="K52" s="156">
        <f>K50*(1-K51)</f>
        <v>2031.1875</v>
      </c>
    </row>
    <row r="53" spans="2:11" x14ac:dyDescent="0.3">
      <c r="B53" s="155"/>
      <c r="C53" s="155"/>
      <c r="D53" s="155"/>
      <c r="E53" s="155"/>
      <c r="F53" s="155"/>
      <c r="G53" s="156"/>
      <c r="H53" s="156"/>
      <c r="I53" s="156"/>
      <c r="J53" s="156"/>
      <c r="K53" s="156"/>
    </row>
    <row r="54" spans="2:11" x14ac:dyDescent="0.3">
      <c r="B54" s="155" t="s">
        <v>307</v>
      </c>
      <c r="C54" s="155"/>
      <c r="D54" s="155"/>
      <c r="E54" s="155"/>
      <c r="F54" s="155"/>
      <c r="G54" s="156"/>
      <c r="H54" s="156">
        <f>SUM(H47:H48)</f>
        <v>-231</v>
      </c>
      <c r="I54" s="156">
        <f>SUM(I47:I48)</f>
        <v>228</v>
      </c>
      <c r="J54" s="156">
        <f>SUM(J47:J48)</f>
        <v>244</v>
      </c>
      <c r="K54" s="156">
        <f>SUM(K47:K48)</f>
        <v>659</v>
      </c>
    </row>
    <row r="55" spans="2:11" ht="4.8" customHeight="1" thickBot="1" x14ac:dyDescent="0.35"/>
    <row r="56" spans="2:11" ht="15" thickBot="1" x14ac:dyDescent="0.35">
      <c r="B56" s="157" t="s">
        <v>309</v>
      </c>
      <c r="C56" s="157"/>
      <c r="D56" s="157"/>
      <c r="E56" s="157"/>
      <c r="F56" s="157"/>
      <c r="G56" s="157"/>
      <c r="H56" s="158">
        <f>H54/H52</f>
        <v>-0.13026064817360189</v>
      </c>
      <c r="I56" s="158">
        <f>I54/I52</f>
        <v>0.12634343803768694</v>
      </c>
      <c r="J56" s="158">
        <f>J54/J52</f>
        <v>0.13608116907109263</v>
      </c>
      <c r="K56" s="158">
        <f>K54/K52</f>
        <v>0.32444075202313916</v>
      </c>
    </row>
    <row r="57" spans="2:11" ht="7.2" customHeight="1" thickTop="1" x14ac:dyDescent="0.3">
      <c r="B57" s="77"/>
      <c r="C57" s="77"/>
      <c r="D57" s="77"/>
      <c r="E57" s="77"/>
      <c r="F57" s="77"/>
      <c r="G57" s="77"/>
      <c r="H57" s="83"/>
      <c r="I57" s="83"/>
      <c r="J57" s="83"/>
      <c r="K57" s="83"/>
    </row>
    <row r="58" spans="2:11" x14ac:dyDescent="0.3">
      <c r="J58" s="123" t="s">
        <v>310</v>
      </c>
      <c r="K58" s="159">
        <f>AVERAGE(H56:K56)</f>
        <v>0.11415117773957921</v>
      </c>
    </row>
    <row r="59" spans="2:11" x14ac:dyDescent="0.3">
      <c r="J59" s="123" t="s">
        <v>311</v>
      </c>
      <c r="K59" s="159">
        <f>MEDIAN(H56:K56)</f>
        <v>0.13121230355438979</v>
      </c>
    </row>
    <row r="60" spans="2:11" ht="7.2" customHeight="1" x14ac:dyDescent="0.3"/>
    <row r="61" spans="2:11" x14ac:dyDescent="0.3">
      <c r="B61" s="29" t="s">
        <v>312</v>
      </c>
      <c r="C61" s="29"/>
      <c r="D61" s="29"/>
      <c r="E61" s="29"/>
      <c r="F61" s="29"/>
      <c r="G61" s="30">
        <f>G45</f>
        <v>43891</v>
      </c>
      <c r="H61" s="30">
        <f t="shared" ref="H61:K61" si="5">H45</f>
        <v>44256</v>
      </c>
      <c r="I61" s="30">
        <f t="shared" si="5"/>
        <v>44621</v>
      </c>
      <c r="J61" s="30">
        <f t="shared" si="5"/>
        <v>44986</v>
      </c>
      <c r="K61" s="30">
        <f t="shared" si="5"/>
        <v>45352</v>
      </c>
    </row>
    <row r="62" spans="2:11" ht="3.6" customHeight="1" x14ac:dyDescent="0.3"/>
    <row r="63" spans="2:11" x14ac:dyDescent="0.3">
      <c r="B63" s="160" t="s">
        <v>309</v>
      </c>
      <c r="C63" s="155"/>
      <c r="D63" s="155"/>
      <c r="E63" s="155"/>
      <c r="F63" s="155"/>
      <c r="G63" s="155"/>
      <c r="H63" s="161">
        <f>H56</f>
        <v>-0.13026064817360189</v>
      </c>
      <c r="I63" s="161">
        <f>I56</f>
        <v>0.12634343803768694</v>
      </c>
      <c r="J63" s="161">
        <f>J56</f>
        <v>0.13608116907109263</v>
      </c>
      <c r="K63" s="161">
        <f>K56</f>
        <v>0.32444075202313916</v>
      </c>
    </row>
    <row r="64" spans="2:11" x14ac:dyDescent="0.3">
      <c r="B64" s="155" t="s">
        <v>303</v>
      </c>
      <c r="C64" s="155"/>
      <c r="D64" s="155"/>
      <c r="E64" s="155"/>
      <c r="F64" s="155"/>
      <c r="G64" s="155"/>
      <c r="H64" s="161">
        <f>H42</f>
        <v>0.83817440623892248</v>
      </c>
      <c r="I64" s="161">
        <f>I42</f>
        <v>0.80231410470156694</v>
      </c>
      <c r="J64" s="161">
        <f>J42</f>
        <v>0.75180188679245286</v>
      </c>
      <c r="K64" s="161">
        <f>K42</f>
        <v>0.71875</v>
      </c>
    </row>
    <row r="65" spans="2:11" ht="4.8" customHeight="1" thickBot="1" x14ac:dyDescent="0.35"/>
    <row r="66" spans="2:11" ht="15" thickBot="1" x14ac:dyDescent="0.35">
      <c r="B66" s="157" t="s">
        <v>313</v>
      </c>
      <c r="C66" s="157"/>
      <c r="D66" s="157"/>
      <c r="E66" s="157"/>
      <c r="F66" s="157"/>
      <c r="G66" s="157"/>
      <c r="H66" s="162">
        <f>H63*H64</f>
        <v>-0.10918114143920594</v>
      </c>
      <c r="I66" s="162">
        <f>I63*I64</f>
        <v>0.10136712237412469</v>
      </c>
      <c r="J66" s="162">
        <f>J63*J64</f>
        <v>0.10230607966457023</v>
      </c>
      <c r="K66" s="162">
        <f>K63*K64</f>
        <v>0.23319179051663128</v>
      </c>
    </row>
    <row r="67" spans="2:11" ht="9" customHeight="1" thickTop="1" x14ac:dyDescent="0.3"/>
    <row r="68" spans="2:11" x14ac:dyDescent="0.3">
      <c r="J68" s="123" t="s">
        <v>310</v>
      </c>
      <c r="K68" s="159">
        <f>AVERAGE(H66:K66)</f>
        <v>8.1920962779030063E-2</v>
      </c>
    </row>
    <row r="69" spans="2:11" x14ac:dyDescent="0.3">
      <c r="J69" s="123" t="s">
        <v>311</v>
      </c>
      <c r="K69" s="159">
        <f>MEDIAN(H66:K66)</f>
        <v>0.10183660101934747</v>
      </c>
    </row>
  </sheetData>
  <pageMargins left="0.43307086614173229" right="0.43307086614173229" top="0.51181102362204722" bottom="0.31496062992125984" header="0.31496062992125984" footer="0.31496062992125984"/>
  <pageSetup paperSize="9" scale="90" orientation="portrait" r:id="rId1"/>
  <ignoredErrors>
    <ignoredError sqref="G47:K47" formulaRange="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5"/>
  <sheetViews>
    <sheetView showGridLines="0" workbookViewId="0">
      <selection activeCell="J28" sqref="J28"/>
    </sheetView>
  </sheetViews>
  <sheetFormatPr defaultRowHeight="14.4" outlineLevelRow="1" x14ac:dyDescent="0.3"/>
  <cols>
    <col min="1" max="1" width="1.88671875" customWidth="1"/>
    <col min="2" max="2" width="32.5546875" bestFit="1" customWidth="1"/>
    <col min="3" max="3" width="2.77734375" customWidth="1"/>
    <col min="4" max="4" width="12" bestFit="1" customWidth="1"/>
    <col min="5" max="10" width="8.77734375" customWidth="1"/>
  </cols>
  <sheetData>
    <row r="2" spans="2:12" ht="36.6" customHeight="1" x14ac:dyDescent="0.3">
      <c r="B2" s="271" t="str">
        <f>'Data Sheet'!B1</f>
        <v>ORACLE FINANCIAL SERVICES SOFTWARE LTD</v>
      </c>
      <c r="C2" s="271"/>
      <c r="D2" s="271"/>
      <c r="E2" s="271"/>
      <c r="F2" s="271"/>
      <c r="G2" s="271"/>
      <c r="H2" s="271"/>
      <c r="I2" s="271"/>
      <c r="J2" s="271"/>
    </row>
    <row r="3" spans="2:12" ht="11.4" customHeight="1" x14ac:dyDescent="0.3">
      <c r="B3" s="208" t="s">
        <v>374</v>
      </c>
      <c r="C3" s="206"/>
      <c r="D3" s="206"/>
      <c r="E3" s="206"/>
      <c r="F3" s="206"/>
      <c r="G3" s="206"/>
      <c r="H3" s="206"/>
      <c r="I3" s="206"/>
    </row>
    <row r="4" spans="2:12" ht="11.4" customHeight="1" thickBot="1" x14ac:dyDescent="0.35">
      <c r="B4" s="209" t="s">
        <v>373</v>
      </c>
      <c r="C4" s="210"/>
      <c r="D4" s="210"/>
      <c r="E4" s="210"/>
      <c r="F4" s="210"/>
      <c r="G4" s="210"/>
      <c r="H4" s="210"/>
      <c r="I4" s="210"/>
      <c r="J4" s="214"/>
    </row>
    <row r="5" spans="2:12" ht="3.6" customHeight="1" x14ac:dyDescent="0.3"/>
    <row r="6" spans="2:12" x14ac:dyDescent="0.3">
      <c r="B6" s="29" t="s">
        <v>314</v>
      </c>
      <c r="C6" s="29"/>
      <c r="D6" s="29"/>
      <c r="E6" s="226">
        <f>'Intrisic growth'!K6</f>
        <v>45352</v>
      </c>
      <c r="F6" s="227">
        <f>E6+365</f>
        <v>45717</v>
      </c>
      <c r="G6" s="227">
        <f>F6+365</f>
        <v>46082</v>
      </c>
      <c r="H6" s="227">
        <f>G6+365</f>
        <v>46447</v>
      </c>
      <c r="I6" s="227">
        <f>H6+365</f>
        <v>46812</v>
      </c>
      <c r="J6" s="227">
        <f>I6+365</f>
        <v>47177</v>
      </c>
      <c r="K6" s="28"/>
      <c r="L6" s="28"/>
    </row>
    <row r="8" spans="2:12" x14ac:dyDescent="0.3">
      <c r="B8" s="153" t="s">
        <v>302</v>
      </c>
      <c r="C8" s="153"/>
      <c r="D8" s="153"/>
      <c r="E8" s="182">
        <f>'Data Sheet'!K32-'Data Sheet'!K26</f>
        <v>3050.44</v>
      </c>
      <c r="F8" s="182">
        <f>'Data Sheet'!C32-'Data Sheet'!C26</f>
        <v>1747.5900000000001</v>
      </c>
      <c r="G8" s="182">
        <f>'Data Sheet'!D32-'Data Sheet'!D26</f>
        <v>1756.98</v>
      </c>
      <c r="H8" s="182">
        <f>'Data Sheet'!E32-'Data Sheet'!E26</f>
        <v>1840.44</v>
      </c>
      <c r="I8" s="182">
        <f>'Data Sheet'!F32-'Data Sheet'!F26</f>
        <v>2266.9900000000002</v>
      </c>
      <c r="J8" s="182">
        <f>'Data Sheet'!G32-'Data Sheet'!G26</f>
        <v>2299.66</v>
      </c>
    </row>
    <row r="9" spans="2:12" x14ac:dyDescent="0.3">
      <c r="B9" s="153" t="s">
        <v>315</v>
      </c>
      <c r="C9" s="153"/>
      <c r="D9" s="153"/>
      <c r="E9" s="174">
        <v>0.25</v>
      </c>
      <c r="F9" s="172">
        <f>E9</f>
        <v>0.25</v>
      </c>
      <c r="G9" s="172">
        <f>F9</f>
        <v>0.25</v>
      </c>
      <c r="H9" s="172">
        <f>G9</f>
        <v>0.25</v>
      </c>
      <c r="I9" s="172">
        <f>H9</f>
        <v>0.25</v>
      </c>
      <c r="J9" s="172">
        <f>I9</f>
        <v>0.25</v>
      </c>
    </row>
    <row r="10" spans="2:12" x14ac:dyDescent="0.3">
      <c r="B10" s="153" t="s">
        <v>316</v>
      </c>
      <c r="C10" s="153"/>
      <c r="D10" s="153"/>
      <c r="E10" s="182">
        <f>E8*(1-E9)</f>
        <v>2287.83</v>
      </c>
      <c r="F10" s="183">
        <f t="shared" ref="F10:J10" si="0">F8*(1-F9)</f>
        <v>1310.6925000000001</v>
      </c>
      <c r="G10" s="183">
        <f t="shared" si="0"/>
        <v>1317.7350000000001</v>
      </c>
      <c r="H10" s="183">
        <f t="shared" si="0"/>
        <v>1380.33</v>
      </c>
      <c r="I10" s="183">
        <f t="shared" si="0"/>
        <v>1700.2425000000003</v>
      </c>
      <c r="J10" s="183">
        <f t="shared" si="0"/>
        <v>1724.7449999999999</v>
      </c>
    </row>
    <row r="11" spans="2:12" x14ac:dyDescent="0.3">
      <c r="B11" s="153" t="s">
        <v>317</v>
      </c>
      <c r="C11" s="153"/>
      <c r="D11" s="153"/>
      <c r="E11" s="175">
        <f>'Intrisic growth'!K59</f>
        <v>0.13121230355438979</v>
      </c>
      <c r="F11" s="172">
        <f>E11+(($J$11-$E$11)/4)</f>
        <v>0.24355922766579235</v>
      </c>
      <c r="G11" s="172">
        <f>F11+(($J$11-$E$11)/4)</f>
        <v>0.35590615177719492</v>
      </c>
      <c r="H11" s="172">
        <f>G11+(($J$11-$E$11)/4)</f>
        <v>0.46825307588859749</v>
      </c>
      <c r="I11" s="172">
        <f>H11+(($J$11-$E$11)/4)</f>
        <v>0.5806</v>
      </c>
      <c r="J11" s="172">
        <v>0.5806</v>
      </c>
    </row>
    <row r="12" spans="2:12" x14ac:dyDescent="0.3">
      <c r="B12" s="153" t="s">
        <v>318</v>
      </c>
      <c r="C12" s="153"/>
      <c r="D12" s="153"/>
      <c r="E12" s="182">
        <f>E10*(1-E11)</f>
        <v>1987.6385555591605</v>
      </c>
      <c r="F12" s="183">
        <f t="shared" ref="F12:J12" si="1">F10*(1-F11)</f>
        <v>991.46124699265363</v>
      </c>
      <c r="G12" s="183">
        <f t="shared" si="1"/>
        <v>848.74500708787821</v>
      </c>
      <c r="H12" s="183">
        <f t="shared" si="1"/>
        <v>733.98623175869227</v>
      </c>
      <c r="I12" s="183">
        <f t="shared" si="1"/>
        <v>713.08170450000011</v>
      </c>
      <c r="J12" s="183">
        <f t="shared" si="1"/>
        <v>723.35805299999993</v>
      </c>
    </row>
    <row r="13" spans="2:12" x14ac:dyDescent="0.3">
      <c r="B13" s="153" t="s">
        <v>319</v>
      </c>
      <c r="C13" s="153"/>
      <c r="D13" s="153"/>
      <c r="E13" s="173">
        <v>0.5</v>
      </c>
      <c r="F13" s="153">
        <f>E13+1</f>
        <v>1.5</v>
      </c>
      <c r="G13" s="153">
        <f>F13+1</f>
        <v>2.5</v>
      </c>
      <c r="H13" s="153">
        <f>G13+1</f>
        <v>3.5</v>
      </c>
      <c r="I13" s="153">
        <f>H13+1</f>
        <v>4.5</v>
      </c>
      <c r="J13" s="153">
        <f>I13+1</f>
        <v>5.5</v>
      </c>
    </row>
    <row r="14" spans="2:12" x14ac:dyDescent="0.3">
      <c r="B14" t="s">
        <v>320</v>
      </c>
      <c r="F14" s="176">
        <f>1/(1+$D$20)^E13</f>
        <v>0.92881824975631722</v>
      </c>
      <c r="G14" s="176">
        <f>1/(1+$D$20)^F13</f>
        <v>0.80129460732121349</v>
      </c>
      <c r="H14" s="176">
        <f>1/(1+$D$20)^G13</f>
        <v>0.69127953492570871</v>
      </c>
      <c r="I14" s="176">
        <f>1/(1+$D$20)^H13</f>
        <v>0.59636916440090604</v>
      </c>
      <c r="J14" s="176">
        <f>1/(1+$D$20)^I13</f>
        <v>0.51448967064598106</v>
      </c>
    </row>
    <row r="15" spans="2:12" ht="5.4" customHeight="1" x14ac:dyDescent="0.3">
      <c r="F15" s="176"/>
      <c r="G15" s="176"/>
      <c r="H15" s="176"/>
      <c r="I15" s="176"/>
      <c r="J15" s="176"/>
    </row>
    <row r="16" spans="2:12" x14ac:dyDescent="0.3">
      <c r="B16" s="140" t="s">
        <v>321</v>
      </c>
      <c r="C16" s="140"/>
      <c r="D16" s="140"/>
      <c r="E16" s="140"/>
      <c r="F16" s="184">
        <f>F12*F14</f>
        <v>920.8873001329323</v>
      </c>
      <c r="G16" s="184">
        <f>G12*G14</f>
        <v>680.09479717032195</v>
      </c>
      <c r="H16" s="184">
        <f>H12*H14</f>
        <v>507.38966093202225</v>
      </c>
      <c r="I16" s="184">
        <f>I12*I14</f>
        <v>425.25994026223884</v>
      </c>
      <c r="J16" s="184">
        <f>J12*J14</f>
        <v>372.16024644708807</v>
      </c>
    </row>
    <row r="18" spans="2:11" outlineLevel="1" x14ac:dyDescent="0.3">
      <c r="B18" s="170" t="s">
        <v>322</v>
      </c>
      <c r="C18" s="170"/>
      <c r="D18" s="171">
        <f>'Intrisic growth'!K68</f>
        <v>8.1920962779030063E-2</v>
      </c>
    </row>
    <row r="19" spans="2:11" outlineLevel="1" x14ac:dyDescent="0.3">
      <c r="B19" s="170" t="s">
        <v>323</v>
      </c>
      <c r="C19" s="170"/>
      <c r="D19" s="171">
        <v>5.3800000000000001E-2</v>
      </c>
    </row>
    <row r="20" spans="2:11" outlineLevel="1" x14ac:dyDescent="0.3">
      <c r="B20" s="170" t="s">
        <v>269</v>
      </c>
      <c r="C20" s="170"/>
      <c r="D20" s="171">
        <f>WACC!K47</f>
        <v>0.15914701193537856</v>
      </c>
    </row>
    <row r="22" spans="2:11" x14ac:dyDescent="0.3">
      <c r="B22" s="29" t="s">
        <v>324</v>
      </c>
      <c r="C22" s="120"/>
      <c r="D22" s="120"/>
      <c r="F22" s="277" t="s">
        <v>419</v>
      </c>
      <c r="G22" s="277"/>
      <c r="H22" s="277"/>
      <c r="I22" s="277"/>
      <c r="J22" s="277"/>
    </row>
    <row r="23" spans="2:11" x14ac:dyDescent="0.3">
      <c r="F23" s="201">
        <f>D42</f>
        <v>1293.024992920806</v>
      </c>
      <c r="G23" s="202">
        <v>0.13</v>
      </c>
      <c r="H23" s="202">
        <v>0.15909999999999999</v>
      </c>
      <c r="I23" s="202">
        <v>0.17</v>
      </c>
      <c r="J23" s="202">
        <v>0.19</v>
      </c>
      <c r="K23" s="202"/>
    </row>
    <row r="24" spans="2:11" x14ac:dyDescent="0.3">
      <c r="B24" t="s">
        <v>325</v>
      </c>
      <c r="D24" s="178">
        <f>J12*(1+D18)</f>
        <v>782.61624113572452</v>
      </c>
      <c r="F24" s="204">
        <v>0.03</v>
      </c>
      <c r="G24" s="178">
        <f t="dataTable" ref="G24:J28" dt2D="1" dtr="1" r1="D25" r2="D26"/>
        <v>1314.6441537492631</v>
      </c>
      <c r="H24" s="178">
        <v>1218.6341144826854</v>
      </c>
      <c r="I24" s="178">
        <v>1192.9465978404246</v>
      </c>
      <c r="J24" s="178">
        <v>1154.9161116189127</v>
      </c>
    </row>
    <row r="25" spans="2:11" x14ac:dyDescent="0.3">
      <c r="B25" t="s">
        <v>269</v>
      </c>
      <c r="D25" s="166">
        <f>D20</f>
        <v>0.15914701193537856</v>
      </c>
      <c r="F25" s="204">
        <v>0.04</v>
      </c>
      <c r="G25" s="178">
        <v>1361.9709810471447</v>
      </c>
      <c r="H25" s="178">
        <v>1246.3361637198268</v>
      </c>
      <c r="I25" s="178">
        <v>1216.3499739767399</v>
      </c>
      <c r="J25" s="178">
        <v>1172.6636718556183</v>
      </c>
    </row>
    <row r="26" spans="2:11" x14ac:dyDescent="0.3">
      <c r="B26" t="s">
        <v>326</v>
      </c>
      <c r="D26" s="166">
        <f>D19</f>
        <v>5.3800000000000001E-2</v>
      </c>
      <c r="F26" s="204">
        <v>5.3800000000000001E-2</v>
      </c>
      <c r="G26" s="217">
        <v>1447.6809832401584</v>
      </c>
      <c r="H26" s="258">
        <v>1293.2055054861203</v>
      </c>
      <c r="I26" s="178">
        <v>1255.2616114082032</v>
      </c>
      <c r="J26" s="178">
        <v>1201.4350470411148</v>
      </c>
    </row>
    <row r="27" spans="2:11" x14ac:dyDescent="0.3">
      <c r="F27" s="204">
        <v>0.06</v>
      </c>
      <c r="G27" s="178">
        <v>1497.1904876125202</v>
      </c>
      <c r="H27" s="178">
        <v>1318.512441348787</v>
      </c>
      <c r="I27" s="178">
        <v>1275.9222041419055</v>
      </c>
      <c r="J27" s="178">
        <v>1216.3499739767399</v>
      </c>
    </row>
    <row r="28" spans="2:11" ht="15" thickBot="1" x14ac:dyDescent="0.35">
      <c r="B28" s="177" t="s">
        <v>327</v>
      </c>
      <c r="C28" s="177"/>
      <c r="D28" s="180">
        <f>D24/(D25-D26)</f>
        <v>7428.9363006877984</v>
      </c>
      <c r="F28" s="204">
        <v>7.0000000000000007E-2</v>
      </c>
      <c r="G28" s="178">
        <v>1598.6051175365524</v>
      </c>
      <c r="H28" s="178">
        <v>1366.7514686529912</v>
      </c>
      <c r="I28" s="178">
        <v>1314.6441537492631</v>
      </c>
      <c r="J28" s="178">
        <v>1243.6539128024408</v>
      </c>
    </row>
    <row r="29" spans="2:11" x14ac:dyDescent="0.3">
      <c r="B29" s="8"/>
      <c r="C29" s="8"/>
      <c r="D29" s="8"/>
    </row>
    <row r="31" spans="2:11" x14ac:dyDescent="0.3">
      <c r="B31" s="29" t="s">
        <v>332</v>
      </c>
      <c r="C31" s="120"/>
      <c r="D31" s="120"/>
      <c r="F31" s="278"/>
      <c r="G31" s="278"/>
      <c r="H31" s="278"/>
      <c r="I31" s="278"/>
      <c r="J31" s="278"/>
    </row>
    <row r="32" spans="2:11" x14ac:dyDescent="0.3">
      <c r="F32" s="178"/>
      <c r="G32" s="200"/>
      <c r="H32" s="202"/>
      <c r="I32" s="202"/>
      <c r="J32" s="202"/>
      <c r="K32" s="202"/>
    </row>
    <row r="33" spans="2:10" x14ac:dyDescent="0.3">
      <c r="B33" t="s">
        <v>321</v>
      </c>
      <c r="D33" s="178">
        <f>SUM(F16:J16)</f>
        <v>2905.7919449446035</v>
      </c>
      <c r="F33" s="204"/>
      <c r="G33" s="203"/>
      <c r="H33" s="203"/>
      <c r="I33" s="203"/>
      <c r="J33" s="203"/>
    </row>
    <row r="34" spans="2:10" x14ac:dyDescent="0.3">
      <c r="B34" t="s">
        <v>328</v>
      </c>
      <c r="D34" s="178">
        <f>D28*J14</f>
        <v>3822.1109905908384</v>
      </c>
      <c r="F34" s="204"/>
      <c r="G34" s="203"/>
      <c r="H34" s="203"/>
      <c r="I34" s="203"/>
      <c r="J34" s="203"/>
    </row>
    <row r="35" spans="2:10" x14ac:dyDescent="0.3">
      <c r="B35" s="77" t="s">
        <v>329</v>
      </c>
      <c r="C35" s="77"/>
      <c r="D35" s="179">
        <f>SUM(D33:D34)</f>
        <v>6727.9029355354414</v>
      </c>
      <c r="F35" s="204"/>
      <c r="G35" s="203"/>
      <c r="H35" s="203"/>
      <c r="I35" s="203"/>
      <c r="J35" s="203"/>
    </row>
    <row r="36" spans="2:10" x14ac:dyDescent="0.3">
      <c r="F36" s="204"/>
      <c r="G36" s="203"/>
      <c r="H36" s="203"/>
      <c r="I36" s="203"/>
      <c r="J36" s="203"/>
    </row>
    <row r="37" spans="2:10" x14ac:dyDescent="0.3">
      <c r="B37" t="s">
        <v>330</v>
      </c>
      <c r="D37">
        <f>'Data Sheet'!K69</f>
        <v>5538.19</v>
      </c>
      <c r="F37" s="204"/>
      <c r="G37" s="203"/>
      <c r="H37" s="203"/>
      <c r="I37" s="203"/>
      <c r="J37" s="203"/>
    </row>
    <row r="38" spans="2:10" x14ac:dyDescent="0.3">
      <c r="B38" t="s">
        <v>331</v>
      </c>
      <c r="D38">
        <f>'Historical FS'!L53</f>
        <v>42.96</v>
      </c>
      <c r="G38" s="203"/>
      <c r="H38" s="203"/>
      <c r="I38" s="203"/>
      <c r="J38" s="203"/>
    </row>
    <row r="39" spans="2:10" x14ac:dyDescent="0.3">
      <c r="B39" s="77" t="s">
        <v>333</v>
      </c>
      <c r="C39" s="77"/>
      <c r="D39" s="179">
        <f>D35+D37-D38</f>
        <v>12223.132935535443</v>
      </c>
    </row>
    <row r="40" spans="2:10" x14ac:dyDescent="0.3">
      <c r="B40" t="s">
        <v>334</v>
      </c>
      <c r="D40" s="178">
        <f>'Data Sheet'!B6</f>
        <v>9.4531296784331182</v>
      </c>
    </row>
    <row r="41" spans="2:10" ht="4.8" customHeight="1" x14ac:dyDescent="0.3">
      <c r="D41" s="178"/>
    </row>
    <row r="42" spans="2:10" ht="15" thickBot="1" x14ac:dyDescent="0.35">
      <c r="B42" s="177" t="s">
        <v>364</v>
      </c>
      <c r="C42" s="177"/>
      <c r="D42" s="180">
        <f>D39/D40</f>
        <v>1293.024992920806</v>
      </c>
    </row>
    <row r="44" spans="2:10" x14ac:dyDescent="0.3">
      <c r="B44" t="s">
        <v>335</v>
      </c>
      <c r="D44">
        <v>8082</v>
      </c>
    </row>
    <row r="45" spans="2:10" x14ac:dyDescent="0.3">
      <c r="B45" t="s">
        <v>336</v>
      </c>
      <c r="D45" s="181">
        <f>D44/D42</f>
        <v>6.2504592287451626</v>
      </c>
    </row>
  </sheetData>
  <mergeCells count="3">
    <mergeCell ref="F22:J22"/>
    <mergeCell ref="F31:J31"/>
    <mergeCell ref="B2:J2"/>
  </mergeCells>
  <pageMargins left="0.23622047244094491" right="0.23622047244094491" top="0.39370078740157483" bottom="0.74803149606299213" header="0.31496062992125984" footer="0.31496062992125984"/>
  <pageSetup paperSize="9" scale="95" orientation="portrait" r:id="rId1"/>
  <ignoredErrors>
    <ignoredError sqref="E11:I11" formula="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9"/>
  <sheetViews>
    <sheetView showGridLines="0" topLeftCell="A8" workbookViewId="0">
      <selection activeCell="T28" sqref="T28"/>
    </sheetView>
  </sheetViews>
  <sheetFormatPr defaultRowHeight="14.4" x14ac:dyDescent="0.3"/>
  <cols>
    <col min="1" max="1" width="1.88671875" customWidth="1"/>
    <col min="2" max="2" width="27.88671875" bestFit="1" customWidth="1"/>
    <col min="4" max="4" width="11.33203125" customWidth="1"/>
    <col min="5" max="5" width="8.5546875" customWidth="1"/>
    <col min="6" max="6" width="11.5546875" bestFit="1" customWidth="1"/>
    <col min="8" max="8" width="14.109375" bestFit="1" customWidth="1"/>
    <col min="9" max="9" width="4.33203125" customWidth="1"/>
    <col min="10" max="10" width="5" customWidth="1"/>
    <col min="13" max="13" width="8.88671875" customWidth="1"/>
    <col min="14" max="14" width="4.33203125" customWidth="1"/>
    <col min="15" max="15" width="11.44140625" bestFit="1" customWidth="1"/>
    <col min="16" max="17" width="10.21875" bestFit="1" customWidth="1"/>
  </cols>
  <sheetData>
    <row r="1" spans="2:17" s="188" customFormat="1" x14ac:dyDescent="0.3"/>
    <row r="2" spans="2:17" ht="38.4" customHeight="1" x14ac:dyDescent="0.3">
      <c r="B2" s="271" t="str">
        <f>'Data Sheet'!B1</f>
        <v>ORACLE FINANCIAL SERVICES SOFTWARE LTD</v>
      </c>
      <c r="C2" s="271"/>
      <c r="D2" s="271"/>
      <c r="E2" s="271"/>
      <c r="F2" s="271"/>
      <c r="G2" s="271"/>
      <c r="H2" s="271"/>
      <c r="I2" s="271"/>
      <c r="J2" s="271"/>
      <c r="K2" s="271"/>
      <c r="L2" s="271"/>
      <c r="M2" s="271"/>
      <c r="N2" s="271"/>
      <c r="O2" s="271"/>
      <c r="P2" s="271"/>
      <c r="Q2" s="271"/>
    </row>
    <row r="3" spans="2:17" ht="11.4" customHeight="1" x14ac:dyDescent="0.3">
      <c r="B3" s="208" t="s">
        <v>374</v>
      </c>
      <c r="C3" s="206"/>
      <c r="D3" s="206"/>
      <c r="E3" s="206"/>
      <c r="F3" s="206"/>
      <c r="G3" s="206"/>
      <c r="H3" s="206"/>
      <c r="I3" s="206"/>
      <c r="K3" s="188"/>
      <c r="L3" s="188"/>
      <c r="M3" s="188"/>
      <c r="N3" s="188"/>
      <c r="O3" s="188"/>
      <c r="P3" s="188"/>
      <c r="Q3" s="188"/>
    </row>
    <row r="4" spans="2:17" ht="11.4" customHeight="1" thickBot="1" x14ac:dyDescent="0.35">
      <c r="B4" s="209" t="s">
        <v>373</v>
      </c>
      <c r="C4" s="210"/>
      <c r="D4" s="210"/>
      <c r="E4" s="210"/>
      <c r="F4" s="210"/>
      <c r="G4" s="210"/>
      <c r="H4" s="210"/>
      <c r="I4" s="210"/>
      <c r="J4" s="214"/>
      <c r="K4" s="214"/>
      <c r="L4" s="214"/>
      <c r="M4" s="214"/>
      <c r="N4" s="214"/>
      <c r="O4" s="214"/>
      <c r="P4" s="214"/>
      <c r="Q4" s="214"/>
    </row>
    <row r="5" spans="2:17" ht="3.6" customHeight="1" x14ac:dyDescent="0.3"/>
    <row r="6" spans="2:17" x14ac:dyDescent="0.3">
      <c r="B6" s="36" t="s">
        <v>362</v>
      </c>
    </row>
    <row r="7" spans="2:17" x14ac:dyDescent="0.3">
      <c r="B7" s="59" t="s">
        <v>337</v>
      </c>
      <c r="C7" s="59"/>
      <c r="D7" s="59"/>
      <c r="E7" s="59"/>
      <c r="F7" s="59"/>
      <c r="G7" s="59"/>
      <c r="H7" s="59"/>
      <c r="I7" s="59"/>
      <c r="J7" s="59"/>
      <c r="K7" s="59"/>
      <c r="L7" s="59"/>
      <c r="M7" s="59"/>
      <c r="N7" s="59"/>
      <c r="O7" s="59"/>
      <c r="P7" s="59"/>
      <c r="Q7" s="59"/>
    </row>
    <row r="8" spans="2:17" ht="4.8" customHeight="1" x14ac:dyDescent="0.3"/>
    <row r="9" spans="2:17" x14ac:dyDescent="0.3">
      <c r="B9" s="29"/>
      <c r="C9" s="29"/>
      <c r="D9" s="279" t="s">
        <v>350</v>
      </c>
      <c r="E9" s="279"/>
      <c r="F9" s="279"/>
      <c r="G9" s="279"/>
      <c r="H9" s="279"/>
      <c r="I9" s="29"/>
      <c r="J9" s="29"/>
      <c r="K9" s="279" t="s">
        <v>351</v>
      </c>
      <c r="L9" s="279"/>
      <c r="M9" s="279"/>
      <c r="N9" s="29"/>
      <c r="O9" s="279" t="s">
        <v>352</v>
      </c>
      <c r="P9" s="279"/>
      <c r="Q9" s="279"/>
    </row>
    <row r="10" spans="2:17" ht="43.2" x14ac:dyDescent="0.3">
      <c r="B10" s="29" t="s">
        <v>343</v>
      </c>
      <c r="C10" s="29" t="s">
        <v>344</v>
      </c>
      <c r="D10" s="247" t="s">
        <v>335</v>
      </c>
      <c r="E10" s="247" t="s">
        <v>338</v>
      </c>
      <c r="F10" s="247" t="s">
        <v>339</v>
      </c>
      <c r="G10" s="29" t="s">
        <v>340</v>
      </c>
      <c r="H10" s="29" t="s">
        <v>342</v>
      </c>
      <c r="I10" s="29"/>
      <c r="J10" s="29"/>
      <c r="K10" s="29" t="s">
        <v>348</v>
      </c>
      <c r="L10" s="29" t="s">
        <v>177</v>
      </c>
      <c r="M10" s="29" t="s">
        <v>347</v>
      </c>
      <c r="N10" s="29"/>
      <c r="O10" s="29" t="s">
        <v>345</v>
      </c>
      <c r="P10" s="29" t="s">
        <v>346</v>
      </c>
      <c r="Q10" s="29" t="s">
        <v>349</v>
      </c>
    </row>
    <row r="11" spans="2:17" s="188" customFormat="1" ht="3.6" customHeight="1" x14ac:dyDescent="0.3">
      <c r="B11" s="194"/>
      <c r="C11" s="194"/>
      <c r="D11" s="195"/>
      <c r="E11" s="195"/>
      <c r="F11" s="195"/>
      <c r="G11" s="194"/>
      <c r="H11" s="194"/>
      <c r="I11" s="194"/>
      <c r="J11" s="194"/>
      <c r="K11" s="194"/>
      <c r="L11" s="194"/>
      <c r="M11" s="194"/>
      <c r="N11" s="194"/>
      <c r="O11" s="194"/>
      <c r="P11" s="194"/>
      <c r="Q11" s="194"/>
    </row>
    <row r="12" spans="2:17" x14ac:dyDescent="0.3">
      <c r="B12" s="251" t="str">
        <f>Sheet4!C10</f>
        <v>Oracle Fin.Serv.</v>
      </c>
      <c r="C12" s="251"/>
      <c r="D12" s="252">
        <v>8082.3</v>
      </c>
      <c r="E12" s="252">
        <f>Sheet4!E10</f>
        <v>8.68</v>
      </c>
      <c r="F12" s="253">
        <f>D12*E12</f>
        <v>70154.364000000001</v>
      </c>
      <c r="G12" s="252">
        <f>Sheet4!I10</f>
        <v>-5507.5899999999992</v>
      </c>
      <c r="H12" s="252">
        <f>F12+G12</f>
        <v>64646.774000000005</v>
      </c>
      <c r="I12" s="252"/>
      <c r="J12" s="252"/>
      <c r="K12" s="252">
        <f>Sheet4!L10</f>
        <v>6772.9</v>
      </c>
      <c r="L12" s="252">
        <f>Sheet4!M10</f>
        <v>3124</v>
      </c>
      <c r="M12" s="252">
        <f>Sheet4!N10</f>
        <v>2295.8000000000002</v>
      </c>
      <c r="N12" s="251"/>
      <c r="O12" s="254">
        <f>$H12/K12</f>
        <v>9.544917834310267</v>
      </c>
      <c r="P12" s="254">
        <f>$H12/L12</f>
        <v>20.693589628681181</v>
      </c>
      <c r="Q12" s="254">
        <f>F12/M12</f>
        <v>30.557698405784475</v>
      </c>
    </row>
    <row r="13" spans="2:17" x14ac:dyDescent="0.3">
      <c r="B13" s="248" t="str">
        <f>Sheet4!C3</f>
        <v>TCS</v>
      </c>
      <c r="C13" s="248"/>
      <c r="D13" s="249">
        <f>Sheet4!D3</f>
        <v>3533</v>
      </c>
      <c r="E13" s="249">
        <f>Sheet4!E3</f>
        <v>361.81</v>
      </c>
      <c r="F13" s="250">
        <f>D13*E13</f>
        <v>1278274.73</v>
      </c>
      <c r="G13" s="249">
        <f>Sheet4!I3</f>
        <v>-4240</v>
      </c>
      <c r="H13" s="249">
        <f>F13+G13</f>
        <v>1274034.73</v>
      </c>
      <c r="I13" s="249"/>
      <c r="J13" s="249"/>
      <c r="K13" s="249">
        <f>Sheet4!L3</f>
        <v>252082</v>
      </c>
      <c r="L13" s="249">
        <f>Sheet4!M3</f>
        <v>68700</v>
      </c>
      <c r="M13" s="249">
        <f>Sheet4!N3</f>
        <v>49006</v>
      </c>
      <c r="N13" s="248"/>
      <c r="O13" s="205">
        <f t="shared" ref="O13:O21" si="0">$H13/K13</f>
        <v>5.0540488015804383</v>
      </c>
      <c r="P13" s="205">
        <f t="shared" ref="P13:P21" si="1">$H13/L13</f>
        <v>18.544901455604077</v>
      </c>
      <c r="Q13" s="205">
        <f>F13/M13</f>
        <v>26.084045423009428</v>
      </c>
    </row>
    <row r="14" spans="2:17" x14ac:dyDescent="0.3">
      <c r="B14" s="248" t="str">
        <f>Sheet4!C4</f>
        <v>Infosys</v>
      </c>
      <c r="C14" s="248"/>
      <c r="D14" s="249">
        <f>Sheet4!D4</f>
        <v>1683</v>
      </c>
      <c r="E14" s="249">
        <f>Sheet4!E4</f>
        <v>415.27</v>
      </c>
      <c r="F14" s="250">
        <f t="shared" ref="F14:F21" si="2">D14*E14</f>
        <v>698899.40999999992</v>
      </c>
      <c r="G14" s="249">
        <f>Sheet4!I4</f>
        <v>-6565</v>
      </c>
      <c r="H14" s="249">
        <f t="shared" ref="H14:H21" si="3">F14+G14</f>
        <v>692334.40999999992</v>
      </c>
      <c r="I14" s="249"/>
      <c r="J14" s="249"/>
      <c r="K14" s="249">
        <f>Sheet4!L4</f>
        <v>159988</v>
      </c>
      <c r="L14" s="249">
        <f>Sheet4!M4</f>
        <v>40851</v>
      </c>
      <c r="M14" s="249">
        <f>Sheet4!N4</f>
        <v>27687</v>
      </c>
      <c r="N14" s="248"/>
      <c r="O14" s="205">
        <f t="shared" si="0"/>
        <v>4.3274146185963946</v>
      </c>
      <c r="P14" s="205">
        <f t="shared" si="1"/>
        <v>16.947795892389411</v>
      </c>
      <c r="Q14" s="205">
        <f t="shared" ref="Q14:Q21" si="4">F14/M14</f>
        <v>25.242872467222881</v>
      </c>
    </row>
    <row r="15" spans="2:17" x14ac:dyDescent="0.3">
      <c r="B15" s="248" t="str">
        <f>Sheet4!C5</f>
        <v>HCL Technologies</v>
      </c>
      <c r="C15" s="248"/>
      <c r="D15" s="249">
        <f>Sheet4!D5</f>
        <v>1535.2</v>
      </c>
      <c r="E15" s="249">
        <f>Sheet4!E5</f>
        <v>271.37</v>
      </c>
      <c r="F15" s="250">
        <f t="shared" si="2"/>
        <v>416607.22400000005</v>
      </c>
      <c r="G15" s="249">
        <f>Sheet4!I5</f>
        <v>-14359</v>
      </c>
      <c r="H15" s="249">
        <f t="shared" si="3"/>
        <v>402248.22400000005</v>
      </c>
      <c r="I15" s="249"/>
      <c r="J15" s="249"/>
      <c r="K15" s="249">
        <f>Sheet4!L5</f>
        <v>115308</v>
      </c>
      <c r="L15" s="249">
        <f>Sheet4!M5</f>
        <v>25521</v>
      </c>
      <c r="M15" s="249">
        <f>Sheet4!N5</f>
        <v>17085</v>
      </c>
      <c r="N15" s="248"/>
      <c r="O15" s="205">
        <f t="shared" si="0"/>
        <v>3.4884676171644644</v>
      </c>
      <c r="P15" s="205">
        <f t="shared" si="1"/>
        <v>15.761460130872617</v>
      </c>
      <c r="Q15" s="205">
        <f t="shared" si="4"/>
        <v>24.384385367281244</v>
      </c>
    </row>
    <row r="16" spans="2:17" x14ac:dyDescent="0.3">
      <c r="B16" s="248" t="str">
        <f>Sheet4!C6</f>
        <v>Wipro</v>
      </c>
      <c r="C16" s="248"/>
      <c r="D16" s="249">
        <f>Sheet4!D6</f>
        <v>280</v>
      </c>
      <c r="E16" s="249">
        <f>Sheet4!E6</f>
        <v>1047.1600000000001</v>
      </c>
      <c r="F16" s="250">
        <f t="shared" si="2"/>
        <v>293204.80000000005</v>
      </c>
      <c r="G16" s="249">
        <f>Sheet4!I6</f>
        <v>9586.9000000000015</v>
      </c>
      <c r="H16" s="249">
        <f t="shared" si="3"/>
        <v>302791.70000000007</v>
      </c>
      <c r="I16" s="249"/>
      <c r="J16" s="249"/>
      <c r="K16" s="249">
        <f>Sheet4!L6</f>
        <v>88792.5</v>
      </c>
      <c r="L16" s="249">
        <f>Sheet4!M6</f>
        <v>19176</v>
      </c>
      <c r="M16" s="249">
        <f>Sheet4!N6</f>
        <v>12488.1</v>
      </c>
      <c r="N16" s="248"/>
      <c r="O16" s="205">
        <f t="shared" si="0"/>
        <v>3.4101044570205823</v>
      </c>
      <c r="P16" s="205">
        <f t="shared" si="1"/>
        <v>15.790138715060495</v>
      </c>
      <c r="Q16" s="205">
        <f t="shared" si="4"/>
        <v>23.478735756440134</v>
      </c>
    </row>
    <row r="17" spans="2:18" x14ac:dyDescent="0.3">
      <c r="B17" s="248" t="str">
        <f>Sheet4!C7</f>
        <v>Tech Mahindra</v>
      </c>
      <c r="C17" s="248"/>
      <c r="D17" s="249">
        <f>Sheet4!D7</f>
        <v>1485.3</v>
      </c>
      <c r="E17" s="249">
        <f>Sheet4!E7</f>
        <v>97.89</v>
      </c>
      <c r="F17" s="250">
        <f t="shared" si="2"/>
        <v>145396.01699999999</v>
      </c>
      <c r="G17" s="249">
        <f>Sheet4!I7</f>
        <v>-2700.4</v>
      </c>
      <c r="H17" s="249">
        <f t="shared" si="3"/>
        <v>142695.617</v>
      </c>
      <c r="I17" s="249"/>
      <c r="J17" s="249"/>
      <c r="K17" s="249">
        <f>Sheet4!L7</f>
        <v>52475.6</v>
      </c>
      <c r="L17" s="249">
        <f>Sheet4!M7</f>
        <v>5431</v>
      </c>
      <c r="M17" s="249">
        <f>Sheet4!N7</f>
        <v>3775.3</v>
      </c>
      <c r="N17" s="248"/>
      <c r="O17" s="205">
        <f t="shared" si="0"/>
        <v>2.719275568073543</v>
      </c>
      <c r="P17" s="205">
        <f t="shared" si="1"/>
        <v>26.274280427177317</v>
      </c>
      <c r="Q17" s="205">
        <f t="shared" si="4"/>
        <v>38.512440600746956</v>
      </c>
    </row>
    <row r="18" spans="2:18" x14ac:dyDescent="0.3">
      <c r="B18" s="248" t="str">
        <f>Sheet4!C8</f>
        <v>LTIMindtree</v>
      </c>
      <c r="C18" s="248"/>
      <c r="D18" s="249">
        <f>Sheet4!D8</f>
        <v>4704</v>
      </c>
      <c r="E18" s="249">
        <f>Sheet4!E8</f>
        <v>29.63</v>
      </c>
      <c r="F18" s="250">
        <f t="shared" si="2"/>
        <v>139379.51999999999</v>
      </c>
      <c r="G18" s="249">
        <f>Sheet4!I8</f>
        <v>-490.40000000000009</v>
      </c>
      <c r="H18" s="249">
        <f t="shared" si="3"/>
        <v>138889.12</v>
      </c>
      <c r="I18" s="249"/>
      <c r="J18" s="249"/>
      <c r="K18" s="249">
        <f>Sheet4!L8</f>
        <v>37129.300000000003</v>
      </c>
      <c r="L18" s="249">
        <f>Sheet4!M8</f>
        <v>7089</v>
      </c>
      <c r="M18" s="249">
        <f>Sheet4!N8</f>
        <v>4574.1000000000004</v>
      </c>
      <c r="N18" s="248"/>
      <c r="O18" s="205">
        <f t="shared" si="0"/>
        <v>3.7406878125900564</v>
      </c>
      <c r="P18" s="205">
        <f t="shared" si="1"/>
        <v>19.592202003103399</v>
      </c>
      <c r="Q18" s="205">
        <f t="shared" si="4"/>
        <v>30.471463238669898</v>
      </c>
    </row>
    <row r="19" spans="2:18" x14ac:dyDescent="0.3">
      <c r="B19" s="248" t="str">
        <f>Sheet4!C9</f>
        <v>Persistent Sys</v>
      </c>
      <c r="C19" s="248"/>
      <c r="D19" s="249">
        <f>Sheet4!D9</f>
        <v>5141.95</v>
      </c>
      <c r="E19" s="249">
        <f>Sheet4!E9</f>
        <v>15.46</v>
      </c>
      <c r="F19" s="250">
        <f t="shared" si="2"/>
        <v>79494.547000000006</v>
      </c>
      <c r="G19" s="249">
        <f>Sheet4!I9</f>
        <v>-446.30999999999995</v>
      </c>
      <c r="H19" s="249">
        <f t="shared" si="3"/>
        <v>79048.237000000008</v>
      </c>
      <c r="I19" s="249"/>
      <c r="J19" s="249"/>
      <c r="K19" s="249">
        <f>Sheet4!L9</f>
        <v>11287.13</v>
      </c>
      <c r="L19" s="249">
        <f>Sheet4!M9</f>
        <v>1772</v>
      </c>
      <c r="M19" s="249">
        <f>Sheet4!N9</f>
        <v>1319.73</v>
      </c>
      <c r="N19" s="248"/>
      <c r="O19" s="205">
        <f t="shared" si="0"/>
        <v>7.003395637332078</v>
      </c>
      <c r="P19" s="205">
        <f t="shared" si="1"/>
        <v>44.60961455981942</v>
      </c>
      <c r="Q19" s="205">
        <f t="shared" si="4"/>
        <v>60.235462556735094</v>
      </c>
    </row>
    <row r="20" spans="2:18" x14ac:dyDescent="0.3">
      <c r="B20" s="248" t="str">
        <f>Sheet4!C11</f>
        <v>PB Fintech.</v>
      </c>
      <c r="C20" s="248"/>
      <c r="D20" s="249">
        <f>Sheet4!D11</f>
        <v>1412</v>
      </c>
      <c r="E20" s="249">
        <f>Sheet4!E11</f>
        <v>45.93</v>
      </c>
      <c r="F20" s="250">
        <f t="shared" si="2"/>
        <v>64853.159999999996</v>
      </c>
      <c r="G20" s="249">
        <f>Sheet4!I11</f>
        <v>-400.41</v>
      </c>
      <c r="H20" s="249">
        <f t="shared" si="3"/>
        <v>64452.749999999993</v>
      </c>
      <c r="I20" s="249"/>
      <c r="J20" s="249"/>
      <c r="K20" s="249">
        <f>Sheet4!L11</f>
        <v>4558.91</v>
      </c>
      <c r="L20" s="249">
        <f>Sheet4!M11</f>
        <v>192</v>
      </c>
      <c r="M20" s="249">
        <f>Sheet4!N11</f>
        <v>242.69</v>
      </c>
      <c r="N20" s="248"/>
      <c r="O20" s="205">
        <f t="shared" si="0"/>
        <v>14.137754419367786</v>
      </c>
      <c r="P20" s="205">
        <f t="shared" si="1"/>
        <v>335.69140624999994</v>
      </c>
      <c r="Q20" s="205">
        <f t="shared" si="4"/>
        <v>267.22633812682847</v>
      </c>
    </row>
    <row r="21" spans="2:18" x14ac:dyDescent="0.3">
      <c r="B21" s="248" t="str">
        <f>Sheet4!C12</f>
        <v>Hexaware Tech.</v>
      </c>
      <c r="C21" s="248"/>
      <c r="D21" s="249">
        <f>Sheet4!D12</f>
        <v>801.15</v>
      </c>
      <c r="E21" s="249">
        <f>Sheet4!E12</f>
        <v>60.77</v>
      </c>
      <c r="F21" s="250">
        <f t="shared" si="2"/>
        <v>48685.885500000004</v>
      </c>
      <c r="G21" s="249">
        <f>Sheet4!I12</f>
        <v>-1704.5</v>
      </c>
      <c r="H21" s="249">
        <f t="shared" si="3"/>
        <v>46981.385500000004</v>
      </c>
      <c r="I21" s="249"/>
      <c r="J21" s="249"/>
      <c r="K21" s="249">
        <f>Sheet4!L12</f>
        <v>10380.299999999999</v>
      </c>
      <c r="L21" s="249">
        <f>Sheet4!M12</f>
        <v>1585</v>
      </c>
      <c r="M21" s="249">
        <f>Sheet4!N12</f>
        <v>997.6</v>
      </c>
      <c r="N21" s="248"/>
      <c r="O21" s="205">
        <f t="shared" si="0"/>
        <v>4.5260142288758525</v>
      </c>
      <c r="P21" s="205">
        <f t="shared" si="1"/>
        <v>29.641252681388014</v>
      </c>
      <c r="Q21" s="205">
        <f t="shared" si="4"/>
        <v>48.803012730553334</v>
      </c>
    </row>
    <row r="22" spans="2:18" ht="3.6" customHeight="1" x14ac:dyDescent="0.3">
      <c r="O22" s="205" t="e">
        <f>H$13/K22</f>
        <v>#DIV/0!</v>
      </c>
    </row>
    <row r="23" spans="2:18" x14ac:dyDescent="0.3">
      <c r="B23" s="251" t="s">
        <v>353</v>
      </c>
      <c r="C23" s="251"/>
      <c r="D23" s="251"/>
      <c r="E23" s="251"/>
      <c r="F23" s="251"/>
      <c r="G23" s="251"/>
      <c r="H23" s="251"/>
      <c r="I23" s="251"/>
      <c r="J23" s="251"/>
      <c r="K23" s="251"/>
      <c r="L23" s="251"/>
      <c r="M23" s="251"/>
      <c r="N23" s="251"/>
      <c r="O23" s="254">
        <f>MAX(O12:O21)</f>
        <v>14.137754419367786</v>
      </c>
      <c r="P23" s="254">
        <f>MAX(P12:P21)</f>
        <v>335.69140624999994</v>
      </c>
      <c r="Q23" s="254">
        <f>MAX(Q12:Q21)</f>
        <v>267.22633812682847</v>
      </c>
      <c r="R23" s="196"/>
    </row>
    <row r="24" spans="2:18" x14ac:dyDescent="0.3">
      <c r="B24" s="251" t="s">
        <v>354</v>
      </c>
      <c r="C24" s="251"/>
      <c r="D24" s="251"/>
      <c r="E24" s="251"/>
      <c r="F24" s="251"/>
      <c r="G24" s="251"/>
      <c r="H24" s="251"/>
      <c r="I24" s="251"/>
      <c r="J24" s="251"/>
      <c r="K24" s="251"/>
      <c r="L24" s="251"/>
      <c r="M24" s="251"/>
      <c r="N24" s="251"/>
      <c r="O24" s="254">
        <f>QUARTILE(O12:O21,3)</f>
        <v>6.5160589283941679</v>
      </c>
      <c r="P24" s="254">
        <f>QUARTILE(P12:P21,3)</f>
        <v>28.799509617835341</v>
      </c>
      <c r="Q24" s="254">
        <f>QUARTILE(Q12:Q21,3)</f>
        <v>46.23036969810174</v>
      </c>
    </row>
    <row r="25" spans="2:18" x14ac:dyDescent="0.3">
      <c r="B25" s="255" t="s">
        <v>234</v>
      </c>
      <c r="C25" s="255"/>
      <c r="D25" s="255"/>
      <c r="E25" s="255"/>
      <c r="F25" s="255"/>
      <c r="G25" s="255"/>
      <c r="H25" s="255"/>
      <c r="I25" s="255"/>
      <c r="J25" s="255"/>
      <c r="K25" s="255"/>
      <c r="L25" s="255"/>
      <c r="M25" s="255"/>
      <c r="N25" s="255"/>
      <c r="O25" s="256">
        <f>AVERAGE(O12:O21)</f>
        <v>5.7952080994911457</v>
      </c>
      <c r="P25" s="256">
        <f>AVERAGE(P12:P21)</f>
        <v>54.354664174409585</v>
      </c>
      <c r="Q25" s="256">
        <f>AVERAGE(Q12:Q21)</f>
        <v>57.499645467327198</v>
      </c>
      <c r="R25" s="196"/>
    </row>
    <row r="26" spans="2:18" x14ac:dyDescent="0.3">
      <c r="B26" s="255" t="s">
        <v>172</v>
      </c>
      <c r="C26" s="255"/>
      <c r="D26" s="255"/>
      <c r="E26" s="255"/>
      <c r="F26" s="255"/>
      <c r="G26" s="255"/>
      <c r="H26" s="255"/>
      <c r="I26" s="255"/>
      <c r="J26" s="255"/>
      <c r="K26" s="255"/>
      <c r="L26" s="255"/>
      <c r="M26" s="255"/>
      <c r="N26" s="255"/>
      <c r="O26" s="256">
        <f>MEDIAN(O13:O21)</f>
        <v>4.3274146185963946</v>
      </c>
      <c r="P26" s="256">
        <f>MEDIAN(P13:P21)</f>
        <v>19.592202003103399</v>
      </c>
      <c r="Q26" s="256">
        <f>MEDIAN(Q13:Q21)</f>
        <v>30.471463238669898</v>
      </c>
      <c r="R26" s="196"/>
    </row>
    <row r="27" spans="2:18" x14ac:dyDescent="0.3">
      <c r="B27" s="251" t="s">
        <v>355</v>
      </c>
      <c r="C27" s="251"/>
      <c r="D27" s="251"/>
      <c r="E27" s="251"/>
      <c r="F27" s="251"/>
      <c r="G27" s="251"/>
      <c r="H27" s="251"/>
      <c r="I27" s="251"/>
      <c r="J27" s="251"/>
      <c r="K27" s="251"/>
      <c r="L27" s="251"/>
      <c r="M27" s="251"/>
      <c r="N27" s="251"/>
      <c r="O27" s="254">
        <f>QUARTILE(O12:O21,)</f>
        <v>2.719275568073543</v>
      </c>
      <c r="P27" s="254">
        <f>QUARTILE(P12:P21,)</f>
        <v>15.761460130872617</v>
      </c>
      <c r="Q27" s="254">
        <f>QUARTILE(Q12:Q21,)</f>
        <v>23.478735756440134</v>
      </c>
    </row>
    <row r="28" spans="2:18" x14ac:dyDescent="0.3">
      <c r="B28" s="251" t="s">
        <v>356</v>
      </c>
      <c r="C28" s="251"/>
      <c r="D28" s="251"/>
      <c r="E28" s="251"/>
      <c r="F28" s="251"/>
      <c r="G28" s="251"/>
      <c r="H28" s="251"/>
      <c r="I28" s="251"/>
      <c r="J28" s="251"/>
      <c r="K28" s="251"/>
      <c r="L28" s="251"/>
      <c r="M28" s="251"/>
      <c r="N28" s="251"/>
      <c r="O28" s="254">
        <f>MIN(O12:O21)</f>
        <v>2.719275568073543</v>
      </c>
      <c r="P28" s="254">
        <f>MIN(P12:P21)</f>
        <v>15.761460130872617</v>
      </c>
      <c r="Q28" s="254">
        <f>MIN(Q12:Q21)</f>
        <v>23.478735756440134</v>
      </c>
      <c r="R28" s="196"/>
    </row>
    <row r="30" spans="2:18" x14ac:dyDescent="0.3">
      <c r="B30" s="257" t="s">
        <v>418</v>
      </c>
      <c r="C30" s="29"/>
      <c r="D30" s="29"/>
      <c r="E30" s="120"/>
      <c r="F30" s="120"/>
      <c r="G30" s="120"/>
      <c r="H30" s="120"/>
      <c r="I30" s="120"/>
      <c r="J30" s="120"/>
      <c r="K30" s="120"/>
      <c r="L30" s="120"/>
      <c r="M30" s="120"/>
      <c r="N30" s="120"/>
      <c r="O30" s="29" t="s">
        <v>345</v>
      </c>
      <c r="P30" s="29" t="s">
        <v>346</v>
      </c>
      <c r="Q30" s="29" t="s">
        <v>349</v>
      </c>
    </row>
    <row r="31" spans="2:18" ht="3.6" customHeight="1" x14ac:dyDescent="0.3"/>
    <row r="32" spans="2:18" x14ac:dyDescent="0.3">
      <c r="B32" s="155" t="s">
        <v>357</v>
      </c>
      <c r="C32" s="155"/>
      <c r="D32" s="155"/>
      <c r="E32" s="155"/>
      <c r="F32" s="155"/>
      <c r="G32" s="155"/>
      <c r="H32" s="155"/>
      <c r="I32" s="155"/>
      <c r="J32" s="155"/>
      <c r="K32" s="155"/>
      <c r="L32" s="155"/>
      <c r="M32" s="155"/>
      <c r="N32" s="155"/>
      <c r="O32" s="198">
        <f>O$26*K12</f>
        <v>29309.146470291518</v>
      </c>
      <c r="P32" s="198">
        <f>P$26*L12</f>
        <v>61206.039057695016</v>
      </c>
      <c r="Q32" s="198">
        <f>+Q34+Q33</f>
        <v>64448.795303338367</v>
      </c>
    </row>
    <row r="33" spans="2:17" x14ac:dyDescent="0.3">
      <c r="B33" s="155" t="s">
        <v>340</v>
      </c>
      <c r="C33" s="155"/>
      <c r="D33" s="155"/>
      <c r="E33" s="155"/>
      <c r="F33" s="155"/>
      <c r="G33" s="155"/>
      <c r="H33" s="155"/>
      <c r="I33" s="155"/>
      <c r="J33" s="155"/>
      <c r="K33" s="155"/>
      <c r="L33" s="155"/>
      <c r="M33" s="155"/>
      <c r="N33" s="155"/>
      <c r="O33" s="197">
        <f>$G$12</f>
        <v>-5507.5899999999992</v>
      </c>
      <c r="P33" s="197">
        <f t="shared" ref="P33:Q33" si="5">$G$12</f>
        <v>-5507.5899999999992</v>
      </c>
      <c r="Q33" s="197">
        <f t="shared" si="5"/>
        <v>-5507.5899999999992</v>
      </c>
    </row>
    <row r="34" spans="2:17" x14ac:dyDescent="0.3">
      <c r="B34" s="155" t="s">
        <v>358</v>
      </c>
      <c r="C34" s="155"/>
      <c r="D34" s="155"/>
      <c r="E34" s="155"/>
      <c r="F34" s="155"/>
      <c r="G34" s="155"/>
      <c r="H34" s="155"/>
      <c r="I34" s="155"/>
      <c r="J34" s="155"/>
      <c r="K34" s="155"/>
      <c r="L34" s="155"/>
      <c r="M34" s="155"/>
      <c r="N34" s="155"/>
      <c r="O34" s="198">
        <f>O32-O33</f>
        <v>34816.736470291515</v>
      </c>
      <c r="P34" s="198">
        <f>P32-P33</f>
        <v>66713.629057695012</v>
      </c>
      <c r="Q34" s="198">
        <f>Q26*M12</f>
        <v>69956.385303338364</v>
      </c>
    </row>
    <row r="35" spans="2:17" x14ac:dyDescent="0.3">
      <c r="B35" s="155" t="s">
        <v>359</v>
      </c>
      <c r="C35" s="155"/>
      <c r="D35" s="155"/>
      <c r="E35" s="155"/>
      <c r="F35" s="155"/>
      <c r="G35" s="155"/>
      <c r="H35" s="155"/>
      <c r="I35" s="155"/>
      <c r="J35" s="155"/>
      <c r="K35" s="155"/>
      <c r="L35" s="155"/>
      <c r="M35" s="155"/>
      <c r="N35" s="155"/>
      <c r="O35" s="198">
        <f>$E$12</f>
        <v>8.68</v>
      </c>
      <c r="P35" s="198">
        <f t="shared" ref="P35:Q35" si="6">$E$12</f>
        <v>8.68</v>
      </c>
      <c r="Q35" s="198">
        <f t="shared" si="6"/>
        <v>8.68</v>
      </c>
    </row>
    <row r="36" spans="2:17" ht="3.6" customHeight="1" x14ac:dyDescent="0.3">
      <c r="B36" s="11"/>
      <c r="C36" s="11"/>
      <c r="D36" s="11"/>
      <c r="E36" s="11"/>
      <c r="F36" s="11"/>
      <c r="G36" s="11"/>
      <c r="H36" s="11"/>
      <c r="I36" s="11"/>
      <c r="J36" s="11"/>
      <c r="K36" s="11"/>
      <c r="L36" s="11"/>
      <c r="M36" s="11"/>
      <c r="N36" s="11"/>
      <c r="O36" s="199"/>
      <c r="P36" s="199"/>
      <c r="Q36" s="199"/>
    </row>
    <row r="37" spans="2:17" x14ac:dyDescent="0.3">
      <c r="B37" s="215" t="s">
        <v>360</v>
      </c>
      <c r="C37" s="215"/>
      <c r="D37" s="215"/>
      <c r="E37" s="215"/>
      <c r="F37" s="215"/>
      <c r="G37" s="215"/>
      <c r="H37" s="215"/>
      <c r="I37" s="215"/>
      <c r="J37" s="215"/>
      <c r="K37" s="215"/>
      <c r="L37" s="215"/>
      <c r="M37" s="215"/>
      <c r="N37" s="215"/>
      <c r="O37" s="216">
        <f>O34/O35</f>
        <v>4011.1447546418799</v>
      </c>
      <c r="P37" s="216">
        <f>P34/P35</f>
        <v>7685.9019651722365</v>
      </c>
      <c r="Q37" s="216">
        <f>Q34/Q35</f>
        <v>8059.4913943938209</v>
      </c>
    </row>
    <row r="38" spans="2:17" ht="3.6" customHeight="1" x14ac:dyDescent="0.3"/>
    <row r="39" spans="2:17" x14ac:dyDescent="0.3">
      <c r="B39" s="36" t="s">
        <v>361</v>
      </c>
      <c r="O39" t="str">
        <f>IF(O37&gt;$D$12,"Undervalued","Overvalued")</f>
        <v>Overvalued</v>
      </c>
      <c r="P39" t="str">
        <f>IF(P37&gt;$D$12,"Undervalued","Overvalued")</f>
        <v>Overvalued</v>
      </c>
      <c r="Q39" t="str">
        <f>IF(Q37&gt;$D$12,"Undervalued","Overvalued")</f>
        <v>Overvalued</v>
      </c>
    </row>
  </sheetData>
  <mergeCells count="4">
    <mergeCell ref="D9:H9"/>
    <mergeCell ref="K9:M9"/>
    <mergeCell ref="O9:Q9"/>
    <mergeCell ref="B2:Q2"/>
  </mergeCells>
  <pageMargins left="0.27559055118110237" right="0.27559055118110237" top="0.39370078740157483" bottom="0.74803149606299213" header="0.31496062992125984" footer="0.31496062992125984"/>
  <pageSetup paperSize="9" scale="85" orientation="landscape" r:id="rId1"/>
  <ignoredErrors>
    <ignoredError sqref="O22" evalErro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2"/>
  <sheetViews>
    <sheetView showGridLines="0" workbookViewId="0">
      <selection activeCell="K1" sqref="K1"/>
    </sheetView>
  </sheetViews>
  <sheetFormatPr defaultRowHeight="14.4" x14ac:dyDescent="0.3"/>
  <cols>
    <col min="1" max="1" width="1.88671875" customWidth="1"/>
  </cols>
  <sheetData>
    <row r="2" spans="2:17" ht="37.799999999999997" customHeight="1" x14ac:dyDescent="0.3">
      <c r="B2" s="271" t="str">
        <f>'Data Sheet'!B1</f>
        <v>ORACLE FINANCIAL SERVICES SOFTWARE LTD</v>
      </c>
      <c r="C2" s="271"/>
      <c r="D2" s="271"/>
      <c r="E2" s="271"/>
      <c r="F2" s="271"/>
      <c r="G2" s="271"/>
      <c r="H2" s="271"/>
      <c r="I2" s="271"/>
      <c r="J2" s="271"/>
      <c r="K2" s="271"/>
      <c r="L2" s="271"/>
      <c r="M2" s="271"/>
      <c r="N2" s="271"/>
      <c r="O2" s="271"/>
      <c r="P2" s="271"/>
      <c r="Q2" s="271"/>
    </row>
    <row r="3" spans="2:17" ht="11.4" customHeight="1" x14ac:dyDescent="0.3">
      <c r="B3" s="208" t="s">
        <v>374</v>
      </c>
      <c r="C3" s="206"/>
      <c r="D3" s="206"/>
      <c r="E3" s="206"/>
      <c r="F3" s="206"/>
      <c r="G3" s="206"/>
      <c r="H3" s="206"/>
      <c r="I3" s="206"/>
      <c r="K3" s="188"/>
      <c r="L3" s="188"/>
      <c r="M3" s="188"/>
      <c r="N3" s="188"/>
      <c r="O3" s="188"/>
      <c r="P3" s="188"/>
      <c r="Q3" s="188"/>
    </row>
    <row r="4" spans="2:17" ht="11.4" customHeight="1" thickBot="1" x14ac:dyDescent="0.35">
      <c r="B4" s="209" t="s">
        <v>373</v>
      </c>
      <c r="C4" s="210"/>
      <c r="D4" s="210"/>
      <c r="E4" s="210"/>
      <c r="F4" s="210"/>
      <c r="G4" s="210"/>
      <c r="H4" s="210"/>
      <c r="I4" s="210"/>
      <c r="J4" s="214"/>
      <c r="K4" s="214"/>
      <c r="L4" s="214"/>
      <c r="M4" s="214"/>
      <c r="N4" s="214"/>
      <c r="O4" s="214"/>
      <c r="P4" s="214"/>
      <c r="Q4" s="18"/>
    </row>
    <row r="5" spans="2:17" ht="3.6" customHeight="1" x14ac:dyDescent="0.3"/>
    <row r="6" spans="2:17" x14ac:dyDescent="0.3">
      <c r="K6" s="29" t="s">
        <v>365</v>
      </c>
      <c r="L6" s="29"/>
      <c r="M6" s="29"/>
      <c r="N6" s="120"/>
      <c r="O6" s="120"/>
      <c r="P6" s="120"/>
    </row>
    <row r="7" spans="2:17" x14ac:dyDescent="0.3">
      <c r="M7" t="s">
        <v>371</v>
      </c>
      <c r="N7" t="s">
        <v>356</v>
      </c>
      <c r="O7" t="s">
        <v>372</v>
      </c>
      <c r="P7" t="s">
        <v>353</v>
      </c>
    </row>
    <row r="8" spans="2:17" x14ac:dyDescent="0.3">
      <c r="K8" t="s">
        <v>366</v>
      </c>
      <c r="M8" s="48">
        <v>4011</v>
      </c>
      <c r="N8" s="48">
        <v>4011</v>
      </c>
      <c r="O8" s="48">
        <v>8059</v>
      </c>
      <c r="P8" s="48">
        <v>8059</v>
      </c>
    </row>
    <row r="9" spans="2:17" x14ac:dyDescent="0.3">
      <c r="K9" t="s">
        <v>367</v>
      </c>
      <c r="M9" s="48">
        <v>1154.92</v>
      </c>
      <c r="N9" s="48">
        <v>1154.92</v>
      </c>
      <c r="O9" s="178">
        <v>1243.6539128024408</v>
      </c>
      <c r="P9" s="178">
        <v>1243.6539128024408</v>
      </c>
    </row>
    <row r="10" spans="2:17" x14ac:dyDescent="0.3">
      <c r="K10" t="s">
        <v>368</v>
      </c>
      <c r="M10" s="48">
        <v>1218.6300000000001</v>
      </c>
      <c r="N10" s="48">
        <v>1218.6300000000001</v>
      </c>
      <c r="O10" s="48">
        <v>1366.75</v>
      </c>
      <c r="P10" s="48">
        <v>1366.75</v>
      </c>
    </row>
    <row r="11" spans="2:17" x14ac:dyDescent="0.3">
      <c r="K11" t="s">
        <v>369</v>
      </c>
      <c r="M11" s="48">
        <v>1314.64</v>
      </c>
      <c r="N11" s="48">
        <v>1314.64</v>
      </c>
      <c r="O11" s="48">
        <v>1598.61</v>
      </c>
      <c r="P11" s="48">
        <v>1598.61</v>
      </c>
    </row>
    <row r="12" spans="2:17" x14ac:dyDescent="0.3">
      <c r="K12" t="s">
        <v>370</v>
      </c>
      <c r="M12" s="48">
        <v>7052</v>
      </c>
      <c r="N12" s="48">
        <v>7052</v>
      </c>
      <c r="O12" s="48">
        <v>13200</v>
      </c>
      <c r="P12" s="48">
        <v>13200</v>
      </c>
    </row>
  </sheetData>
  <mergeCells count="1">
    <mergeCell ref="B2:Q2"/>
  </mergeCells>
  <pageMargins left="0.39370078740157483" right="0.39370078740157483" top="0.39370078740157483" bottom="0.74803149606299213" header="0.31496062992125984" footer="0.31496062992125984"/>
  <pageSetup paperSize="9"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election activeCell="C15" sqref="C15"/>
    </sheetView>
  </sheetViews>
  <sheetFormatPr defaultRowHeight="14.4" x14ac:dyDescent="0.3"/>
  <cols>
    <col min="1" max="1" width="2.5546875" style="98" customWidth="1"/>
    <col min="2" max="2" width="25.77734375" bestFit="1" customWidth="1"/>
  </cols>
  <sheetData>
    <row r="1" spans="1:9" ht="28.8" x14ac:dyDescent="0.3">
      <c r="A1" s="98" t="s">
        <v>390</v>
      </c>
    </row>
    <row r="2" spans="1:9" x14ac:dyDescent="0.3">
      <c r="B2" s="233"/>
      <c r="C2" s="234">
        <v>43160</v>
      </c>
      <c r="D2" s="234">
        <v>43525</v>
      </c>
      <c r="E2" s="234">
        <v>43891</v>
      </c>
      <c r="F2" s="234">
        <v>44256</v>
      </c>
      <c r="G2" s="234">
        <v>44621</v>
      </c>
      <c r="H2" s="234">
        <v>44986</v>
      </c>
      <c r="I2" s="234">
        <v>45352</v>
      </c>
    </row>
    <row r="3" spans="1:9" x14ac:dyDescent="0.3">
      <c r="B3" t="s">
        <v>270</v>
      </c>
      <c r="C3" s="153">
        <v>43</v>
      </c>
      <c r="D3" s="153">
        <v>43</v>
      </c>
      <c r="E3" s="153">
        <v>43</v>
      </c>
      <c r="F3" s="153">
        <v>43</v>
      </c>
      <c r="G3" s="153">
        <v>43</v>
      </c>
      <c r="H3" s="153">
        <v>43</v>
      </c>
      <c r="I3" s="153">
        <v>43</v>
      </c>
    </row>
    <row r="4" spans="1:9" x14ac:dyDescent="0.3">
      <c r="B4" t="s">
        <v>25</v>
      </c>
      <c r="C4" s="235">
        <v>4665</v>
      </c>
      <c r="D4" s="235">
        <v>4894</v>
      </c>
      <c r="E4" s="235">
        <v>6527</v>
      </c>
      <c r="F4" s="235">
        <v>6806</v>
      </c>
      <c r="G4" s="235">
        <v>7057</v>
      </c>
      <c r="H4" s="235">
        <v>7416</v>
      </c>
      <c r="I4" s="235">
        <v>7816</v>
      </c>
    </row>
    <row r="5" spans="1:9" x14ac:dyDescent="0.3">
      <c r="B5" s="77" t="s">
        <v>271</v>
      </c>
      <c r="C5" s="153"/>
      <c r="D5" s="153"/>
      <c r="E5" s="153"/>
      <c r="F5" s="153"/>
      <c r="G5" s="153"/>
      <c r="H5" s="153"/>
      <c r="I5" s="153"/>
    </row>
    <row r="6" spans="1:9" x14ac:dyDescent="0.3">
      <c r="B6" t="s">
        <v>272</v>
      </c>
      <c r="C6" s="153">
        <v>0</v>
      </c>
      <c r="D6" s="153">
        <v>0</v>
      </c>
      <c r="E6" s="153">
        <v>114.68</v>
      </c>
      <c r="F6" s="153">
        <v>69.760000000000005</v>
      </c>
      <c r="G6" s="153">
        <v>83.38</v>
      </c>
      <c r="H6" s="153">
        <v>69.400000000000006</v>
      </c>
      <c r="I6" s="153">
        <v>42.97</v>
      </c>
    </row>
    <row r="7" spans="1:9" x14ac:dyDescent="0.3">
      <c r="B7" t="s">
        <v>273</v>
      </c>
      <c r="C7" s="153">
        <v>0</v>
      </c>
      <c r="D7" s="153">
        <v>0</v>
      </c>
      <c r="E7" s="153">
        <v>0</v>
      </c>
      <c r="F7" s="153">
        <v>0</v>
      </c>
      <c r="G7" s="153">
        <v>0.01</v>
      </c>
      <c r="H7" s="153">
        <v>0</v>
      </c>
      <c r="I7" s="153">
        <v>-0.01</v>
      </c>
    </row>
    <row r="8" spans="1:9" x14ac:dyDescent="0.3">
      <c r="B8" s="77" t="s">
        <v>274</v>
      </c>
      <c r="C8" s="235"/>
      <c r="D8" s="235"/>
      <c r="E8" s="235"/>
      <c r="F8" s="235"/>
      <c r="G8" s="235"/>
      <c r="H8" s="235"/>
      <c r="I8" s="235"/>
    </row>
    <row r="9" spans="1:9" x14ac:dyDescent="0.3">
      <c r="B9" t="s">
        <v>275</v>
      </c>
      <c r="C9" s="153">
        <v>65</v>
      </c>
      <c r="D9" s="153">
        <v>57</v>
      </c>
      <c r="E9" s="153">
        <v>35</v>
      </c>
      <c r="F9" s="153">
        <v>46</v>
      </c>
      <c r="G9" s="153">
        <v>40</v>
      </c>
      <c r="H9" s="153">
        <v>38</v>
      </c>
      <c r="I9" s="153">
        <v>102</v>
      </c>
    </row>
    <row r="10" spans="1:9" x14ac:dyDescent="0.3">
      <c r="B10" t="s">
        <v>385</v>
      </c>
      <c r="C10" s="153">
        <v>0</v>
      </c>
      <c r="D10" s="153">
        <v>0</v>
      </c>
      <c r="E10" s="153">
        <v>0</v>
      </c>
      <c r="F10" s="153">
        <v>0</v>
      </c>
      <c r="G10" s="153">
        <v>0</v>
      </c>
      <c r="H10" s="153">
        <v>0</v>
      </c>
      <c r="I10" s="153">
        <v>0</v>
      </c>
    </row>
    <row r="11" spans="1:9" ht="15" thickBot="1" x14ac:dyDescent="0.35">
      <c r="B11" t="s">
        <v>276</v>
      </c>
      <c r="C11" s="236">
        <v>1161</v>
      </c>
      <c r="D11" s="236">
        <v>1135</v>
      </c>
      <c r="E11" s="236">
        <v>1200</v>
      </c>
      <c r="F11" s="236">
        <v>1188</v>
      </c>
      <c r="G11" s="236">
        <v>1370</v>
      </c>
      <c r="H11" s="236">
        <v>1552</v>
      </c>
      <c r="I11" s="236">
        <v>1746</v>
      </c>
    </row>
    <row r="12" spans="1:9" ht="15" thickBot="1" x14ac:dyDescent="0.35">
      <c r="B12" s="237" t="s">
        <v>176</v>
      </c>
      <c r="C12" s="238">
        <v>5933</v>
      </c>
      <c r="D12" s="238">
        <v>6128</v>
      </c>
      <c r="E12" s="238">
        <v>7920</v>
      </c>
      <c r="F12" s="238">
        <v>8153</v>
      </c>
      <c r="G12" s="238">
        <v>8592</v>
      </c>
      <c r="H12" s="238">
        <v>9119</v>
      </c>
      <c r="I12" s="238">
        <v>9749</v>
      </c>
    </row>
    <row r="13" spans="1:9" x14ac:dyDescent="0.3">
      <c r="C13" s="39"/>
      <c r="D13" s="39"/>
      <c r="E13" s="39"/>
      <c r="F13" s="39"/>
      <c r="G13" s="39"/>
      <c r="H13" s="39"/>
      <c r="I13" s="39"/>
    </row>
    <row r="14" spans="1:9" x14ac:dyDescent="0.3">
      <c r="B14" s="77" t="s">
        <v>277</v>
      </c>
    </row>
    <row r="15" spans="1:9" x14ac:dyDescent="0.3">
      <c r="B15" t="s">
        <v>278</v>
      </c>
      <c r="C15" s="153">
        <v>44</v>
      </c>
      <c r="D15" s="153">
        <v>44</v>
      </c>
      <c r="E15" s="153">
        <v>44</v>
      </c>
      <c r="F15" s="153">
        <v>44</v>
      </c>
      <c r="G15" s="153">
        <v>44</v>
      </c>
      <c r="H15" s="153">
        <v>44</v>
      </c>
      <c r="I15" s="153">
        <v>44</v>
      </c>
    </row>
    <row r="16" spans="1:9" x14ac:dyDescent="0.3">
      <c r="B16" t="s">
        <v>279</v>
      </c>
      <c r="C16" s="153">
        <v>269</v>
      </c>
      <c r="D16" s="153">
        <v>258</v>
      </c>
      <c r="E16" s="153">
        <v>259</v>
      </c>
      <c r="F16" s="153">
        <v>258</v>
      </c>
      <c r="G16" s="153">
        <v>245</v>
      </c>
      <c r="H16" s="153">
        <v>240</v>
      </c>
      <c r="I16" s="153">
        <v>235</v>
      </c>
    </row>
    <row r="17" spans="2:9" x14ac:dyDescent="0.3">
      <c r="B17" t="s">
        <v>280</v>
      </c>
      <c r="C17" s="153">
        <v>27</v>
      </c>
      <c r="D17" s="153">
        <v>28</v>
      </c>
      <c r="E17" s="153">
        <v>27</v>
      </c>
      <c r="F17" s="153">
        <v>27</v>
      </c>
      <c r="G17" s="153">
        <v>26</v>
      </c>
      <c r="H17" s="153">
        <v>26</v>
      </c>
      <c r="I17" s="153">
        <v>19</v>
      </c>
    </row>
    <row r="18" spans="2:9" x14ac:dyDescent="0.3">
      <c r="B18" t="s">
        <v>281</v>
      </c>
      <c r="C18" s="153">
        <v>211</v>
      </c>
      <c r="D18" s="153">
        <v>270</v>
      </c>
      <c r="E18" s="153">
        <v>289</v>
      </c>
      <c r="F18" s="153">
        <v>296</v>
      </c>
      <c r="G18" s="153">
        <v>322</v>
      </c>
      <c r="H18" s="153">
        <v>346</v>
      </c>
      <c r="I18" s="153">
        <v>342</v>
      </c>
    </row>
    <row r="19" spans="2:9" x14ac:dyDescent="0.3">
      <c r="B19" t="s">
        <v>282</v>
      </c>
      <c r="C19" s="153">
        <v>192</v>
      </c>
      <c r="D19" s="153">
        <v>196</v>
      </c>
      <c r="E19" s="153">
        <v>203</v>
      </c>
      <c r="F19" s="153">
        <v>201</v>
      </c>
      <c r="G19" s="153">
        <v>198</v>
      </c>
      <c r="H19" s="153">
        <v>200</v>
      </c>
      <c r="I19" s="153">
        <v>203</v>
      </c>
    </row>
    <row r="20" spans="2:9" x14ac:dyDescent="0.3">
      <c r="B20" t="s">
        <v>283</v>
      </c>
      <c r="C20" s="153">
        <v>0</v>
      </c>
      <c r="D20" s="153">
        <v>0</v>
      </c>
      <c r="E20" s="153">
        <v>0</v>
      </c>
      <c r="F20" s="153">
        <v>0</v>
      </c>
      <c r="G20" s="153">
        <v>0</v>
      </c>
      <c r="H20" s="153">
        <v>0</v>
      </c>
      <c r="I20" s="153">
        <v>0</v>
      </c>
    </row>
    <row r="21" spans="2:9" x14ac:dyDescent="0.3">
      <c r="B21" t="s">
        <v>284</v>
      </c>
      <c r="C21" s="153">
        <v>609</v>
      </c>
      <c r="D21" s="153">
        <v>609</v>
      </c>
      <c r="E21" s="153">
        <v>609</v>
      </c>
      <c r="F21" s="153">
        <v>609</v>
      </c>
      <c r="G21" s="153">
        <v>609</v>
      </c>
      <c r="H21" s="153">
        <v>609</v>
      </c>
      <c r="I21" s="153">
        <v>609</v>
      </c>
    </row>
    <row r="22" spans="2:9" x14ac:dyDescent="0.3">
      <c r="B22" t="s">
        <v>285</v>
      </c>
      <c r="C22" s="153">
        <v>10</v>
      </c>
      <c r="D22" s="153">
        <v>10</v>
      </c>
      <c r="E22" s="153">
        <v>173</v>
      </c>
      <c r="F22" s="153">
        <v>140</v>
      </c>
      <c r="G22" s="153">
        <v>147</v>
      </c>
      <c r="H22" s="153">
        <v>144</v>
      </c>
      <c r="I22" s="153">
        <v>115</v>
      </c>
    </row>
    <row r="23" spans="2:9" x14ac:dyDescent="0.3">
      <c r="B23" s="77" t="s">
        <v>286</v>
      </c>
      <c r="C23" s="235">
        <v>1362</v>
      </c>
      <c r="D23" s="235">
        <v>1414</v>
      </c>
      <c r="E23" s="235">
        <v>1603</v>
      </c>
      <c r="F23" s="235">
        <v>1574</v>
      </c>
      <c r="G23" s="235">
        <v>1590</v>
      </c>
      <c r="H23" s="235">
        <v>1609</v>
      </c>
      <c r="I23" s="235">
        <v>1566</v>
      </c>
    </row>
    <row r="24" spans="2:9" ht="15" thickBot="1" x14ac:dyDescent="0.35">
      <c r="B24" s="240" t="s">
        <v>287</v>
      </c>
      <c r="C24" s="241">
        <v>525</v>
      </c>
      <c r="D24" s="241">
        <v>550</v>
      </c>
      <c r="E24" s="241">
        <v>640</v>
      </c>
      <c r="F24" s="241">
        <v>690</v>
      </c>
      <c r="G24" s="241">
        <v>719</v>
      </c>
      <c r="H24" s="241">
        <v>762</v>
      </c>
      <c r="I24" s="241">
        <v>761</v>
      </c>
    </row>
    <row r="25" spans="2:9" x14ac:dyDescent="0.3">
      <c r="B25" s="8" t="s">
        <v>27</v>
      </c>
      <c r="C25" s="199">
        <f t="shared" ref="C25:I25" si="0">C23-C24</f>
        <v>837</v>
      </c>
      <c r="D25" s="199">
        <f t="shared" si="0"/>
        <v>864</v>
      </c>
      <c r="E25" s="199">
        <f t="shared" si="0"/>
        <v>963</v>
      </c>
      <c r="F25" s="199">
        <f t="shared" si="0"/>
        <v>884</v>
      </c>
      <c r="G25" s="199">
        <f t="shared" si="0"/>
        <v>871</v>
      </c>
      <c r="H25" s="199">
        <f t="shared" si="0"/>
        <v>847</v>
      </c>
      <c r="I25" s="199">
        <f t="shared" si="0"/>
        <v>805</v>
      </c>
    </row>
    <row r="26" spans="2:9" x14ac:dyDescent="0.3">
      <c r="B26" s="8"/>
      <c r="C26" s="199"/>
      <c r="D26" s="199"/>
      <c r="E26" s="199"/>
      <c r="F26" s="199"/>
      <c r="G26" s="199"/>
      <c r="H26" s="199"/>
      <c r="I26" s="199"/>
    </row>
    <row r="27" spans="2:9" x14ac:dyDescent="0.3">
      <c r="B27" s="77" t="s">
        <v>288</v>
      </c>
      <c r="C27" s="239">
        <v>3</v>
      </c>
      <c r="D27" s="239">
        <v>0</v>
      </c>
      <c r="E27" s="239">
        <v>0</v>
      </c>
      <c r="F27" s="239">
        <v>0</v>
      </c>
      <c r="G27" s="239">
        <v>4</v>
      </c>
      <c r="H27" s="239">
        <v>1</v>
      </c>
      <c r="I27" s="239">
        <v>3</v>
      </c>
    </row>
    <row r="28" spans="2:9" x14ac:dyDescent="0.3">
      <c r="B28" s="77" t="s">
        <v>29</v>
      </c>
      <c r="C28">
        <v>0</v>
      </c>
      <c r="D28">
        <v>0</v>
      </c>
      <c r="E28">
        <v>0</v>
      </c>
      <c r="F28">
        <v>0</v>
      </c>
      <c r="G28">
        <v>0</v>
      </c>
      <c r="H28">
        <v>0</v>
      </c>
      <c r="I28">
        <v>0</v>
      </c>
    </row>
    <row r="29" spans="2:9" x14ac:dyDescent="0.3">
      <c r="B29" s="77"/>
    </row>
    <row r="30" spans="2:9" x14ac:dyDescent="0.3">
      <c r="B30" s="77" t="s">
        <v>289</v>
      </c>
      <c r="C30" s="39"/>
      <c r="D30" s="39"/>
      <c r="E30" s="39"/>
      <c r="F30" s="39"/>
      <c r="G30" s="39"/>
      <c r="H30" s="39"/>
      <c r="I30" s="39"/>
    </row>
    <row r="31" spans="2:9" x14ac:dyDescent="0.3">
      <c r="B31" t="s">
        <v>389</v>
      </c>
      <c r="C31" s="235">
        <v>1007</v>
      </c>
      <c r="D31" s="153">
        <v>947</v>
      </c>
      <c r="E31" s="153">
        <v>925</v>
      </c>
      <c r="F31" s="153">
        <v>803</v>
      </c>
      <c r="G31" s="153">
        <v>926</v>
      </c>
      <c r="H31" s="235">
        <v>1083</v>
      </c>
      <c r="I31" s="235">
        <v>1319</v>
      </c>
    </row>
    <row r="32" spans="2:9" x14ac:dyDescent="0.3">
      <c r="B32" t="s">
        <v>386</v>
      </c>
      <c r="C32" s="153">
        <v>0</v>
      </c>
      <c r="D32" s="153">
        <v>0</v>
      </c>
      <c r="E32" s="153">
        <v>0</v>
      </c>
      <c r="F32" s="153">
        <v>0</v>
      </c>
      <c r="G32" s="153">
        <v>31</v>
      </c>
      <c r="H32" s="153">
        <v>75</v>
      </c>
      <c r="I32" s="153">
        <v>135</v>
      </c>
    </row>
    <row r="33" spans="2:14" x14ac:dyDescent="0.3">
      <c r="B33" t="s">
        <v>387</v>
      </c>
      <c r="C33" s="235">
        <v>1113</v>
      </c>
      <c r="D33" s="153">
        <v>992</v>
      </c>
      <c r="E33" s="153">
        <v>961</v>
      </c>
      <c r="F33" s="153">
        <v>815</v>
      </c>
      <c r="G33" s="153">
        <v>912</v>
      </c>
      <c r="H33" s="235">
        <v>1046</v>
      </c>
      <c r="I33" s="235">
        <v>1272</v>
      </c>
    </row>
    <row r="34" spans="2:14" x14ac:dyDescent="0.3">
      <c r="B34" t="s">
        <v>388</v>
      </c>
      <c r="C34" s="153">
        <v>-106</v>
      </c>
      <c r="D34" s="153">
        <v>-45</v>
      </c>
      <c r="E34" s="153">
        <v>-36</v>
      </c>
      <c r="F34" s="153">
        <v>-12</v>
      </c>
      <c r="G34" s="153">
        <v>-17</v>
      </c>
      <c r="H34" s="153">
        <v>-38</v>
      </c>
      <c r="I34" s="153">
        <v>-88</v>
      </c>
    </row>
    <row r="35" spans="2:14" x14ac:dyDescent="0.3">
      <c r="B35" t="s">
        <v>290</v>
      </c>
      <c r="C35" s="235">
        <v>2646</v>
      </c>
      <c r="D35" s="235">
        <v>2828</v>
      </c>
      <c r="E35" s="235">
        <v>4497</v>
      </c>
      <c r="F35" s="235">
        <v>4914</v>
      </c>
      <c r="G35" s="235">
        <v>5122</v>
      </c>
      <c r="H35" s="235">
        <v>5470</v>
      </c>
      <c r="I35" s="235">
        <v>5538</v>
      </c>
    </row>
    <row r="36" spans="2:14" x14ac:dyDescent="0.3">
      <c r="B36" t="s">
        <v>291</v>
      </c>
      <c r="C36" s="153">
        <v>39</v>
      </c>
      <c r="D36" s="153">
        <v>38</v>
      </c>
      <c r="E36" s="153">
        <v>106</v>
      </c>
      <c r="F36" s="153">
        <v>112</v>
      </c>
      <c r="G36" s="153">
        <v>118</v>
      </c>
      <c r="H36" s="153">
        <v>74</v>
      </c>
      <c r="I36" s="153">
        <v>47</v>
      </c>
    </row>
    <row r="37" spans="2:14" x14ac:dyDescent="0.3">
      <c r="B37" t="s">
        <v>292</v>
      </c>
      <c r="C37" s="235">
        <v>1400</v>
      </c>
      <c r="D37" s="235">
        <v>1451</v>
      </c>
      <c r="E37" s="235">
        <v>1429</v>
      </c>
      <c r="F37" s="235">
        <v>1440</v>
      </c>
      <c r="G37" s="235">
        <v>1550</v>
      </c>
      <c r="H37" s="235">
        <v>1645</v>
      </c>
      <c r="I37" s="235">
        <v>2037</v>
      </c>
    </row>
    <row r="38" spans="2:14" x14ac:dyDescent="0.3">
      <c r="B38" s="77" t="s">
        <v>109</v>
      </c>
      <c r="C38" s="232">
        <v>5933</v>
      </c>
      <c r="D38" s="232">
        <v>6128</v>
      </c>
      <c r="E38" s="232">
        <v>7920</v>
      </c>
      <c r="F38" s="232">
        <v>8153</v>
      </c>
      <c r="G38" s="232">
        <v>8592</v>
      </c>
      <c r="H38" s="232">
        <v>9119</v>
      </c>
      <c r="I38" s="232">
        <v>9749</v>
      </c>
    </row>
    <row r="40" spans="2:14" x14ac:dyDescent="0.3">
      <c r="B40" s="28"/>
      <c r="C40" s="28">
        <v>41334</v>
      </c>
      <c r="D40" s="28">
        <v>41699</v>
      </c>
      <c r="E40" s="28">
        <v>42064</v>
      </c>
      <c r="F40" s="28">
        <v>42430</v>
      </c>
      <c r="G40" s="28">
        <v>42795</v>
      </c>
      <c r="H40" s="28">
        <v>43160</v>
      </c>
      <c r="I40" s="28">
        <v>43525</v>
      </c>
      <c r="J40" s="28">
        <v>43891</v>
      </c>
      <c r="K40" s="28">
        <v>44256</v>
      </c>
      <c r="L40" s="28">
        <v>44621</v>
      </c>
      <c r="M40" s="28">
        <v>44986</v>
      </c>
      <c r="N40" s="28">
        <v>45352</v>
      </c>
    </row>
    <row r="41" spans="2:14" x14ac:dyDescent="0.3">
      <c r="B41" t="s">
        <v>111</v>
      </c>
      <c r="C41" s="39">
        <v>1134</v>
      </c>
      <c r="D41">
        <v>673</v>
      </c>
      <c r="E41" s="39">
        <v>1060</v>
      </c>
      <c r="F41">
        <v>712</v>
      </c>
      <c r="G41" s="39">
        <v>1121</v>
      </c>
      <c r="H41" s="39">
        <v>1157</v>
      </c>
      <c r="I41" s="39">
        <v>1380</v>
      </c>
      <c r="J41" s="39">
        <v>1522</v>
      </c>
      <c r="K41" s="39">
        <v>1920</v>
      </c>
      <c r="L41" s="39">
        <v>1856</v>
      </c>
      <c r="M41" s="39">
        <v>1758</v>
      </c>
      <c r="N41" s="39">
        <v>1791</v>
      </c>
    </row>
    <row r="42" spans="2:14" x14ac:dyDescent="0.3">
      <c r="B42" t="s">
        <v>112</v>
      </c>
      <c r="C42" s="39">
        <v>1231</v>
      </c>
      <c r="D42" s="39">
        <v>1630</v>
      </c>
      <c r="E42" s="39">
        <v>1591</v>
      </c>
      <c r="F42" s="39">
        <v>1666</v>
      </c>
      <c r="G42" s="39">
        <v>1859</v>
      </c>
      <c r="H42" s="39">
        <v>1869</v>
      </c>
      <c r="I42" s="39">
        <v>2254</v>
      </c>
      <c r="J42" s="39">
        <v>2297</v>
      </c>
      <c r="K42" s="39">
        <v>2536</v>
      </c>
      <c r="L42" s="39">
        <v>2590</v>
      </c>
      <c r="M42" s="39">
        <v>2556</v>
      </c>
      <c r="N42" s="39">
        <v>2950</v>
      </c>
    </row>
    <row r="43" spans="2:14" x14ac:dyDescent="0.3">
      <c r="B43" t="s">
        <v>69</v>
      </c>
      <c r="C43">
        <v>187</v>
      </c>
      <c r="D43">
        <v>31</v>
      </c>
      <c r="E43">
        <v>28</v>
      </c>
      <c r="F43">
        <v>-201</v>
      </c>
      <c r="G43">
        <v>4</v>
      </c>
      <c r="H43">
        <v>-240</v>
      </c>
      <c r="I43">
        <v>62</v>
      </c>
      <c r="J43">
        <v>63</v>
      </c>
      <c r="K43">
        <v>152</v>
      </c>
      <c r="L43">
        <v>-133</v>
      </c>
      <c r="M43">
        <v>-134</v>
      </c>
      <c r="N43">
        <v>-303</v>
      </c>
    </row>
    <row r="44" spans="2:14" x14ac:dyDescent="0.3">
      <c r="B44" t="s">
        <v>113</v>
      </c>
      <c r="C44">
        <v>-3</v>
      </c>
      <c r="D44">
        <v>21</v>
      </c>
      <c r="E44">
        <v>-11</v>
      </c>
      <c r="F44">
        <v>1</v>
      </c>
      <c r="G44">
        <v>-27</v>
      </c>
      <c r="H44">
        <v>54</v>
      </c>
      <c r="I44">
        <v>4</v>
      </c>
      <c r="J44">
        <v>-22</v>
      </c>
      <c r="K44">
        <v>10</v>
      </c>
      <c r="L44">
        <v>-9</v>
      </c>
      <c r="M44">
        <v>-1</v>
      </c>
      <c r="N44">
        <v>62</v>
      </c>
    </row>
    <row r="45" spans="2:14" x14ac:dyDescent="0.3">
      <c r="B45" t="s">
        <v>114</v>
      </c>
      <c r="C45">
        <v>6</v>
      </c>
      <c r="D45">
        <v>-29</v>
      </c>
      <c r="E45">
        <v>14</v>
      </c>
      <c r="F45">
        <v>0</v>
      </c>
      <c r="G45">
        <v>0</v>
      </c>
      <c r="H45">
        <v>0</v>
      </c>
      <c r="I45">
        <v>0</v>
      </c>
      <c r="J45">
        <v>0</v>
      </c>
      <c r="K45">
        <v>0</v>
      </c>
      <c r="L45">
        <v>0</v>
      </c>
      <c r="M45">
        <v>0</v>
      </c>
      <c r="N45">
        <v>0</v>
      </c>
    </row>
    <row r="46" spans="2:14" x14ac:dyDescent="0.3">
      <c r="B46" t="s">
        <v>115</v>
      </c>
      <c r="C46">
        <v>188</v>
      </c>
      <c r="D46">
        <v>-329</v>
      </c>
      <c r="E46">
        <v>179</v>
      </c>
      <c r="F46">
        <v>-51</v>
      </c>
      <c r="G46">
        <v>2</v>
      </c>
      <c r="H46">
        <v>100</v>
      </c>
      <c r="I46">
        <v>24</v>
      </c>
      <c r="J46">
        <v>-45</v>
      </c>
      <c r="K46">
        <v>-67</v>
      </c>
      <c r="L46">
        <v>108</v>
      </c>
      <c r="M46">
        <v>30</v>
      </c>
      <c r="N46">
        <v>-113</v>
      </c>
    </row>
    <row r="47" spans="2:14" x14ac:dyDescent="0.3">
      <c r="B47" t="s">
        <v>116</v>
      </c>
      <c r="C47">
        <v>378</v>
      </c>
      <c r="D47">
        <v>-305</v>
      </c>
      <c r="E47">
        <v>210</v>
      </c>
      <c r="F47">
        <v>-251</v>
      </c>
      <c r="G47">
        <v>-21</v>
      </c>
      <c r="H47">
        <v>-86</v>
      </c>
      <c r="I47">
        <v>90</v>
      </c>
      <c r="J47">
        <v>-3</v>
      </c>
      <c r="K47">
        <v>95</v>
      </c>
      <c r="L47">
        <v>-34</v>
      </c>
      <c r="M47">
        <v>-105</v>
      </c>
      <c r="N47">
        <v>-354</v>
      </c>
    </row>
    <row r="48" spans="2:14" x14ac:dyDescent="0.3">
      <c r="B48" t="s">
        <v>117</v>
      </c>
      <c r="C48">
        <v>-475</v>
      </c>
      <c r="D48">
        <v>0</v>
      </c>
      <c r="E48">
        <v>-741</v>
      </c>
      <c r="F48">
        <v>-703</v>
      </c>
      <c r="G48">
        <v>-718</v>
      </c>
      <c r="H48">
        <v>-625</v>
      </c>
      <c r="I48">
        <v>-964</v>
      </c>
      <c r="J48">
        <v>-772</v>
      </c>
      <c r="K48">
        <v>-711</v>
      </c>
      <c r="L48">
        <v>-700</v>
      </c>
      <c r="M48">
        <v>-693</v>
      </c>
      <c r="N48">
        <v>-806</v>
      </c>
    </row>
    <row r="49" spans="2:14" x14ac:dyDescent="0.3">
      <c r="B49" t="s">
        <v>391</v>
      </c>
      <c r="C49">
        <v>0</v>
      </c>
      <c r="D49">
        <v>-652</v>
      </c>
      <c r="E49">
        <v>0</v>
      </c>
      <c r="F49">
        <v>0</v>
      </c>
      <c r="G49">
        <v>0</v>
      </c>
      <c r="H49">
        <v>0</v>
      </c>
      <c r="I49">
        <v>0</v>
      </c>
      <c r="J49">
        <v>0</v>
      </c>
      <c r="K49">
        <v>0</v>
      </c>
      <c r="L49">
        <v>0</v>
      </c>
      <c r="M49">
        <v>0</v>
      </c>
      <c r="N49">
        <v>0</v>
      </c>
    </row>
    <row r="50" spans="2:14" x14ac:dyDescent="0.3">
      <c r="B50" t="s">
        <v>119</v>
      </c>
      <c r="C50" s="39">
        <v>-1160</v>
      </c>
      <c r="D50">
        <v>-672</v>
      </c>
      <c r="E50" s="39">
        <v>3701</v>
      </c>
      <c r="F50" s="39">
        <v>1018</v>
      </c>
      <c r="G50" s="39">
        <v>1823</v>
      </c>
      <c r="H50" s="39">
        <v>-1313</v>
      </c>
      <c r="I50">
        <v>220</v>
      </c>
      <c r="J50" s="39">
        <v>-1299</v>
      </c>
      <c r="K50">
        <v>34</v>
      </c>
      <c r="L50">
        <v>-138</v>
      </c>
      <c r="M50">
        <v>267</v>
      </c>
      <c r="N50" s="39">
        <v>1611</v>
      </c>
    </row>
    <row r="51" spans="2:14" x14ac:dyDescent="0.3">
      <c r="B51" t="s">
        <v>120</v>
      </c>
      <c r="C51">
        <v>-43</v>
      </c>
      <c r="D51">
        <v>-31</v>
      </c>
      <c r="E51">
        <v>-15</v>
      </c>
      <c r="F51">
        <v>-27</v>
      </c>
      <c r="G51">
        <v>-61</v>
      </c>
      <c r="H51">
        <v>-31</v>
      </c>
      <c r="I51">
        <v>-77</v>
      </c>
      <c r="J51">
        <v>-54</v>
      </c>
      <c r="K51">
        <v>-19</v>
      </c>
      <c r="L51">
        <v>-38</v>
      </c>
      <c r="M51">
        <v>-38</v>
      </c>
      <c r="N51">
        <v>-30</v>
      </c>
    </row>
    <row r="52" spans="2:14" x14ac:dyDescent="0.3">
      <c r="B52" t="s">
        <v>121</v>
      </c>
      <c r="C52">
        <v>1</v>
      </c>
      <c r="D52">
        <v>0</v>
      </c>
      <c r="E52">
        <v>2</v>
      </c>
      <c r="F52">
        <v>1</v>
      </c>
      <c r="G52">
        <v>4</v>
      </c>
      <c r="H52">
        <v>0</v>
      </c>
      <c r="I52">
        <v>0</v>
      </c>
      <c r="J52">
        <v>0</v>
      </c>
      <c r="K52">
        <v>0</v>
      </c>
      <c r="L52">
        <v>1</v>
      </c>
      <c r="M52">
        <v>0</v>
      </c>
      <c r="N52">
        <v>0</v>
      </c>
    </row>
    <row r="53" spans="2:14" x14ac:dyDescent="0.3">
      <c r="B53" t="s">
        <v>123</v>
      </c>
      <c r="C53">
        <v>0</v>
      </c>
      <c r="D53">
        <v>1</v>
      </c>
      <c r="E53">
        <v>0</v>
      </c>
      <c r="F53">
        <v>0</v>
      </c>
      <c r="G53">
        <v>0</v>
      </c>
      <c r="H53">
        <v>2</v>
      </c>
      <c r="I53">
        <v>0</v>
      </c>
      <c r="J53">
        <v>0</v>
      </c>
      <c r="K53">
        <v>0</v>
      </c>
      <c r="L53">
        <v>0</v>
      </c>
      <c r="M53">
        <v>0</v>
      </c>
      <c r="N53">
        <v>0</v>
      </c>
    </row>
    <row r="54" spans="2:14" x14ac:dyDescent="0.3">
      <c r="B54" t="s">
        <v>124</v>
      </c>
      <c r="C54">
        <v>366</v>
      </c>
      <c r="D54">
        <v>436</v>
      </c>
      <c r="E54">
        <v>558</v>
      </c>
      <c r="F54">
        <v>205</v>
      </c>
      <c r="G54">
        <v>156</v>
      </c>
      <c r="H54">
        <v>48</v>
      </c>
      <c r="I54">
        <v>111</v>
      </c>
      <c r="J54">
        <v>128</v>
      </c>
      <c r="K54">
        <v>129</v>
      </c>
      <c r="L54">
        <v>90</v>
      </c>
      <c r="M54">
        <v>156</v>
      </c>
      <c r="N54">
        <v>249</v>
      </c>
    </row>
    <row r="55" spans="2:14" x14ac:dyDescent="0.3">
      <c r="B55" t="s">
        <v>127</v>
      </c>
      <c r="C55" s="39">
        <v>-1484</v>
      </c>
      <c r="D55" s="39">
        <v>-1079</v>
      </c>
      <c r="E55" s="39">
        <v>3157</v>
      </c>
      <c r="F55">
        <v>840</v>
      </c>
      <c r="G55" s="39">
        <v>1724</v>
      </c>
      <c r="H55" s="39">
        <v>-1333</v>
      </c>
      <c r="I55">
        <v>185</v>
      </c>
      <c r="J55" s="39">
        <v>-1374</v>
      </c>
      <c r="K55">
        <v>-77</v>
      </c>
      <c r="L55">
        <v>-191</v>
      </c>
      <c r="M55">
        <v>149</v>
      </c>
      <c r="N55" s="39">
        <v>1392</v>
      </c>
    </row>
    <row r="56" spans="2:14" x14ac:dyDescent="0.3">
      <c r="B56" t="s">
        <v>128</v>
      </c>
      <c r="C56">
        <v>15</v>
      </c>
      <c r="D56">
        <v>14</v>
      </c>
      <c r="E56" s="39">
        <v>-4690</v>
      </c>
      <c r="F56" s="39">
        <v>-1776</v>
      </c>
      <c r="G56">
        <v>-931</v>
      </c>
      <c r="H56" s="39">
        <v>-1630</v>
      </c>
      <c r="I56" s="39">
        <v>-1250</v>
      </c>
      <c r="J56">
        <v>-47</v>
      </c>
      <c r="K56" s="39">
        <v>-1590</v>
      </c>
      <c r="L56" s="39">
        <v>-1733</v>
      </c>
      <c r="M56" s="39">
        <v>-1665</v>
      </c>
      <c r="N56" s="39">
        <v>-1958</v>
      </c>
    </row>
    <row r="57" spans="2:14" x14ac:dyDescent="0.3">
      <c r="B57" t="s">
        <v>129</v>
      </c>
      <c r="C57">
        <v>16</v>
      </c>
      <c r="D57">
        <v>15</v>
      </c>
      <c r="E57">
        <v>109</v>
      </c>
      <c r="F57">
        <v>58</v>
      </c>
      <c r="G57">
        <v>59</v>
      </c>
      <c r="H57">
        <v>95</v>
      </c>
      <c r="I57">
        <v>92</v>
      </c>
      <c r="J57">
        <v>13</v>
      </c>
      <c r="K57">
        <v>6</v>
      </c>
      <c r="L57">
        <v>26</v>
      </c>
      <c r="M57">
        <v>8</v>
      </c>
      <c r="N57">
        <v>21</v>
      </c>
    </row>
    <row r="58" spans="2:14" x14ac:dyDescent="0.3">
      <c r="B58" t="s">
        <v>132</v>
      </c>
      <c r="C58">
        <v>0</v>
      </c>
      <c r="D58">
        <v>0</v>
      </c>
      <c r="E58">
        <v>0</v>
      </c>
      <c r="F58">
        <v>0</v>
      </c>
      <c r="G58">
        <v>0</v>
      </c>
      <c r="H58">
        <v>0</v>
      </c>
      <c r="I58">
        <v>0</v>
      </c>
      <c r="J58">
        <v>-12</v>
      </c>
      <c r="K58">
        <v>-8</v>
      </c>
      <c r="L58">
        <v>-5</v>
      </c>
      <c r="M58">
        <v>-5</v>
      </c>
      <c r="N58">
        <v>-3</v>
      </c>
    </row>
    <row r="59" spans="2:14" x14ac:dyDescent="0.3">
      <c r="B59" t="s">
        <v>133</v>
      </c>
      <c r="C59">
        <v>0</v>
      </c>
      <c r="D59">
        <v>0</v>
      </c>
      <c r="E59" s="39">
        <v>-4102</v>
      </c>
      <c r="F59" s="39">
        <v>-1523</v>
      </c>
      <c r="G59">
        <v>-848</v>
      </c>
      <c r="H59" s="39">
        <v>-1447</v>
      </c>
      <c r="I59" s="39">
        <v>-1112</v>
      </c>
      <c r="J59">
        <v>-4</v>
      </c>
      <c r="K59" s="39">
        <v>-1547</v>
      </c>
      <c r="L59" s="39">
        <v>-1726</v>
      </c>
      <c r="M59" s="39">
        <v>-1642</v>
      </c>
      <c r="N59" s="39">
        <v>-1946</v>
      </c>
    </row>
    <row r="60" spans="2:14" x14ac:dyDescent="0.3">
      <c r="B60" t="s">
        <v>134</v>
      </c>
      <c r="C60">
        <v>-1</v>
      </c>
      <c r="D60">
        <v>0</v>
      </c>
      <c r="E60">
        <v>0</v>
      </c>
      <c r="F60">
        <v>0</v>
      </c>
      <c r="G60">
        <v>0</v>
      </c>
      <c r="H60">
        <v>0</v>
      </c>
      <c r="I60">
        <v>0</v>
      </c>
      <c r="J60">
        <v>-45</v>
      </c>
      <c r="K60">
        <v>-41</v>
      </c>
      <c r="L60">
        <v>-28</v>
      </c>
      <c r="M60">
        <v>-27</v>
      </c>
      <c r="N60">
        <v>-30</v>
      </c>
    </row>
    <row r="61" spans="2:14" x14ac:dyDescent="0.3">
      <c r="B61" t="s">
        <v>135</v>
      </c>
      <c r="C61">
        <v>0</v>
      </c>
      <c r="D61">
        <v>0</v>
      </c>
      <c r="E61">
        <v>-697</v>
      </c>
      <c r="F61">
        <v>-311</v>
      </c>
      <c r="G61">
        <v>-142</v>
      </c>
      <c r="H61">
        <v>-277</v>
      </c>
      <c r="I61">
        <v>-229</v>
      </c>
      <c r="J61">
        <v>0</v>
      </c>
      <c r="K61">
        <v>0</v>
      </c>
      <c r="L61">
        <v>0</v>
      </c>
      <c r="M61">
        <v>0</v>
      </c>
      <c r="N61">
        <v>0</v>
      </c>
    </row>
    <row r="62" spans="2:14" x14ac:dyDescent="0.3">
      <c r="B62" t="s">
        <v>35</v>
      </c>
      <c r="C62">
        <v>-11</v>
      </c>
      <c r="D62">
        <v>15</v>
      </c>
      <c r="E62">
        <v>72</v>
      </c>
      <c r="F62">
        <v>-45</v>
      </c>
      <c r="G62" s="39">
        <v>2013</v>
      </c>
      <c r="H62" s="39">
        <v>-1785</v>
      </c>
      <c r="I62">
        <v>350</v>
      </c>
      <c r="J62">
        <v>175</v>
      </c>
      <c r="K62">
        <v>363</v>
      </c>
      <c r="L62">
        <v>-15</v>
      </c>
      <c r="M62">
        <v>360</v>
      </c>
      <c r="N62" s="39">
        <v>1443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G13"/>
  <sheetViews>
    <sheetView workbookViewId="0">
      <selection activeCell="L20" sqref="L20"/>
    </sheetView>
  </sheetViews>
  <sheetFormatPr defaultRowHeight="14.4" x14ac:dyDescent="0.3"/>
  <cols>
    <col min="3" max="3" width="15.44140625" bestFit="1" customWidth="1"/>
    <col min="4" max="4" width="8" bestFit="1" customWidth="1"/>
    <col min="6" max="6" width="10.109375" bestFit="1" customWidth="1"/>
  </cols>
  <sheetData>
    <row r="5" spans="2:7" x14ac:dyDescent="0.3">
      <c r="B5" t="s">
        <v>341</v>
      </c>
      <c r="C5" t="s">
        <v>257</v>
      </c>
      <c r="D5" t="s">
        <v>258</v>
      </c>
      <c r="E5" t="s">
        <v>259</v>
      </c>
      <c r="F5" t="s">
        <v>260</v>
      </c>
      <c r="G5" t="s">
        <v>375</v>
      </c>
    </row>
    <row r="6" spans="2:7" x14ac:dyDescent="0.3">
      <c r="B6">
        <v>1</v>
      </c>
      <c r="C6" t="s">
        <v>376</v>
      </c>
      <c r="D6">
        <v>3629.55</v>
      </c>
      <c r="E6">
        <v>1313453.1000000001</v>
      </c>
      <c r="F6">
        <v>9046</v>
      </c>
      <c r="G6">
        <v>0.09</v>
      </c>
    </row>
    <row r="7" spans="2:7" x14ac:dyDescent="0.3">
      <c r="B7">
        <v>2</v>
      </c>
      <c r="C7" t="s">
        <v>377</v>
      </c>
      <c r="D7">
        <v>1767.7</v>
      </c>
      <c r="E7">
        <v>734057.94</v>
      </c>
      <c r="F7">
        <v>8221</v>
      </c>
      <c r="G7">
        <v>0.09</v>
      </c>
    </row>
    <row r="8" spans="2:7" x14ac:dyDescent="0.3">
      <c r="B8">
        <v>3</v>
      </c>
      <c r="C8" t="s">
        <v>378</v>
      </c>
      <c r="D8">
        <v>1636.1</v>
      </c>
      <c r="E8">
        <v>443888.25</v>
      </c>
      <c r="F8">
        <v>5791</v>
      </c>
      <c r="G8">
        <v>0.08</v>
      </c>
    </row>
    <row r="9" spans="2:7" x14ac:dyDescent="0.3">
      <c r="B9">
        <v>4</v>
      </c>
      <c r="C9" t="s">
        <v>379</v>
      </c>
      <c r="D9">
        <v>291.3</v>
      </c>
      <c r="E9">
        <v>305086.95</v>
      </c>
      <c r="F9">
        <v>19282.2</v>
      </c>
      <c r="G9">
        <v>0.24</v>
      </c>
    </row>
    <row r="10" spans="2:7" x14ac:dyDescent="0.3">
      <c r="B10">
        <v>5</v>
      </c>
      <c r="C10" t="s">
        <v>380</v>
      </c>
      <c r="D10">
        <v>1593.95</v>
      </c>
      <c r="E10">
        <v>156069.85999999999</v>
      </c>
      <c r="F10">
        <v>2035.1</v>
      </c>
      <c r="G10">
        <v>0.08</v>
      </c>
    </row>
    <row r="11" spans="2:7" x14ac:dyDescent="0.3">
      <c r="B11">
        <v>6</v>
      </c>
      <c r="C11" t="s">
        <v>381</v>
      </c>
      <c r="D11">
        <v>4963.2</v>
      </c>
      <c r="E11">
        <v>147109.26999999999</v>
      </c>
      <c r="F11">
        <v>2325.6</v>
      </c>
      <c r="G11">
        <v>0.11</v>
      </c>
    </row>
    <row r="12" spans="2:7" x14ac:dyDescent="0.3">
      <c r="B12">
        <v>7</v>
      </c>
      <c r="C12" t="s">
        <v>382</v>
      </c>
      <c r="D12">
        <v>5508.1</v>
      </c>
      <c r="E12">
        <v>85817.87</v>
      </c>
      <c r="F12">
        <v>576.58000000000004</v>
      </c>
      <c r="G12">
        <v>0.1</v>
      </c>
    </row>
    <row r="13" spans="2:7" x14ac:dyDescent="0.3">
      <c r="B13">
        <v>8</v>
      </c>
      <c r="C13" t="s">
        <v>383</v>
      </c>
      <c r="D13">
        <v>8208.9</v>
      </c>
      <c r="E13">
        <v>71219.83</v>
      </c>
      <c r="F13">
        <v>30.6</v>
      </c>
      <c r="G13">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H33"/>
  <sheetViews>
    <sheetView showGridLines="0" topLeftCell="A2" workbookViewId="0">
      <selection activeCell="K18" sqref="K18"/>
    </sheetView>
  </sheetViews>
  <sheetFormatPr defaultRowHeight="14.4" x14ac:dyDescent="0.3"/>
  <cols>
    <col min="1" max="1" width="1.88671875" customWidth="1"/>
    <col min="6" max="6" width="13.5546875" bestFit="1" customWidth="1"/>
  </cols>
  <sheetData>
    <row r="6" spans="2:8" x14ac:dyDescent="0.3">
      <c r="B6" s="77" t="s">
        <v>263</v>
      </c>
    </row>
    <row r="7" spans="2:8" x14ac:dyDescent="0.3">
      <c r="B7" s="77"/>
    </row>
    <row r="8" spans="2:8" x14ac:dyDescent="0.3">
      <c r="B8" t="s">
        <v>262</v>
      </c>
      <c r="D8" t="s">
        <v>261</v>
      </c>
    </row>
    <row r="9" spans="2:8" x14ac:dyDescent="0.3">
      <c r="B9">
        <v>2000</v>
      </c>
      <c r="D9" s="38">
        <v>-0.14649999999999999</v>
      </c>
      <c r="F9" t="s">
        <v>264</v>
      </c>
      <c r="H9" s="121">
        <f>AVERAGE(D9:D32)</f>
        <v>0.15609166666666666</v>
      </c>
    </row>
    <row r="10" spans="2:8" ht="16.2" x14ac:dyDescent="0.3">
      <c r="B10">
        <v>2001</v>
      </c>
      <c r="D10" s="38">
        <v>-0.1618</v>
      </c>
      <c r="F10" t="s">
        <v>265</v>
      </c>
      <c r="H10" s="70" t="s">
        <v>384</v>
      </c>
    </row>
    <row r="11" spans="2:8" x14ac:dyDescent="0.3">
      <c r="B11">
        <v>2002</v>
      </c>
      <c r="D11" s="38">
        <v>3.2500000000000001E-2</v>
      </c>
      <c r="F11" s="123" t="s">
        <v>266</v>
      </c>
      <c r="G11" s="123"/>
      <c r="H11" s="231">
        <f>SUM(H9:H10)</f>
        <v>0.15609166666666666</v>
      </c>
    </row>
    <row r="12" spans="2:8" x14ac:dyDescent="0.3">
      <c r="B12">
        <v>2003</v>
      </c>
      <c r="D12" s="38">
        <v>0.71900000000000008</v>
      </c>
    </row>
    <row r="13" spans="2:8" x14ac:dyDescent="0.3">
      <c r="B13">
        <v>2004</v>
      </c>
      <c r="D13" s="38">
        <v>0.10679999999999999</v>
      </c>
    </row>
    <row r="14" spans="2:8" x14ac:dyDescent="0.3">
      <c r="B14">
        <v>2005</v>
      </c>
      <c r="D14" s="38">
        <v>0.36340000000000006</v>
      </c>
    </row>
    <row r="15" spans="2:8" x14ac:dyDescent="0.3">
      <c r="B15">
        <v>2006</v>
      </c>
      <c r="D15" s="38">
        <v>0.39829999999999999</v>
      </c>
    </row>
    <row r="16" spans="2:8" x14ac:dyDescent="0.3">
      <c r="B16">
        <v>2007</v>
      </c>
      <c r="D16" s="38">
        <v>0.54770000000000008</v>
      </c>
    </row>
    <row r="17" spans="2:7" x14ac:dyDescent="0.3">
      <c r="B17">
        <v>2008</v>
      </c>
      <c r="D17" s="38">
        <v>-0.51790000000000003</v>
      </c>
    </row>
    <row r="18" spans="2:7" x14ac:dyDescent="0.3">
      <c r="B18">
        <v>2009</v>
      </c>
      <c r="D18" s="38">
        <v>0.75760000000000005</v>
      </c>
    </row>
    <row r="19" spans="2:7" x14ac:dyDescent="0.3">
      <c r="B19">
        <v>2010</v>
      </c>
      <c r="D19" s="38">
        <v>0.17949999999999999</v>
      </c>
    </row>
    <row r="20" spans="2:7" x14ac:dyDescent="0.3">
      <c r="B20">
        <v>2011</v>
      </c>
      <c r="D20" s="38">
        <v>-0.2462</v>
      </c>
      <c r="G20" s="98"/>
    </row>
    <row r="21" spans="2:7" x14ac:dyDescent="0.3">
      <c r="B21">
        <v>2012</v>
      </c>
      <c r="D21" s="38">
        <v>0.27699999999999997</v>
      </c>
    </row>
    <row r="22" spans="2:7" x14ac:dyDescent="0.3">
      <c r="B22">
        <v>2013</v>
      </c>
      <c r="D22" s="38">
        <v>6.7599999999999993E-2</v>
      </c>
    </row>
    <row r="23" spans="2:7" x14ac:dyDescent="0.3">
      <c r="B23">
        <v>2014</v>
      </c>
      <c r="D23" s="38">
        <v>0.31390000000000001</v>
      </c>
    </row>
    <row r="24" spans="2:7" x14ac:dyDescent="0.3">
      <c r="B24">
        <v>2015</v>
      </c>
      <c r="D24" s="38">
        <v>-4.0599999999999997E-2</v>
      </c>
    </row>
    <row r="25" spans="2:7" x14ac:dyDescent="0.3">
      <c r="B25">
        <v>2016</v>
      </c>
      <c r="D25" s="38">
        <v>3.0099999999999998E-2</v>
      </c>
    </row>
    <row r="26" spans="2:7" x14ac:dyDescent="0.3">
      <c r="B26">
        <v>2017</v>
      </c>
      <c r="D26" s="38">
        <v>0.28649999999999998</v>
      </c>
    </row>
    <row r="27" spans="2:7" x14ac:dyDescent="0.3">
      <c r="B27">
        <v>2018</v>
      </c>
      <c r="D27" s="38">
        <v>3.15E-2</v>
      </c>
    </row>
    <row r="28" spans="2:7" x14ac:dyDescent="0.3">
      <c r="B28">
        <v>2019</v>
      </c>
      <c r="D28" s="38">
        <v>0.1202</v>
      </c>
    </row>
    <row r="29" spans="2:7" x14ac:dyDescent="0.3">
      <c r="B29">
        <v>2020</v>
      </c>
      <c r="D29" s="38">
        <v>0.14899999999999999</v>
      </c>
    </row>
    <row r="30" spans="2:7" x14ac:dyDescent="0.3">
      <c r="B30">
        <v>2021</v>
      </c>
      <c r="D30" s="38">
        <v>0.2412</v>
      </c>
    </row>
    <row r="31" spans="2:7" x14ac:dyDescent="0.3">
      <c r="B31">
        <v>2022</v>
      </c>
      <c r="D31" s="38">
        <v>4.3200000000000002E-2</v>
      </c>
    </row>
    <row r="32" spans="2:7" x14ac:dyDescent="0.3">
      <c r="B32">
        <v>2023</v>
      </c>
      <c r="D32" s="38">
        <v>0.19420000000000001</v>
      </c>
    </row>
    <row r="33" spans="2:2" x14ac:dyDescent="0.3">
      <c r="B33">
        <v>2024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9"/>
  <sheetViews>
    <sheetView topLeftCell="A2" workbookViewId="0">
      <selection activeCell="D1" sqref="D1"/>
    </sheetView>
  </sheetViews>
  <sheetFormatPr defaultRowHeight="14.4" x14ac:dyDescent="0.3"/>
  <cols>
    <col min="2" max="2" width="25.77734375" bestFit="1" customWidth="1"/>
  </cols>
  <sheetData>
    <row r="1" spans="2:14" x14ac:dyDescent="0.3">
      <c r="C1" s="41">
        <v>41334</v>
      </c>
      <c r="D1" s="41">
        <v>41699</v>
      </c>
      <c r="E1" s="41">
        <v>42064</v>
      </c>
      <c r="F1" s="41">
        <v>42430</v>
      </c>
      <c r="G1" s="41">
        <v>42795</v>
      </c>
      <c r="H1" s="41">
        <v>43160</v>
      </c>
      <c r="I1" s="41">
        <v>43525</v>
      </c>
      <c r="J1" s="41">
        <v>43891</v>
      </c>
      <c r="K1" s="41">
        <v>44256</v>
      </c>
      <c r="L1" s="41">
        <v>44621</v>
      </c>
      <c r="M1" s="41">
        <v>44986</v>
      </c>
      <c r="N1" s="41">
        <v>45352</v>
      </c>
    </row>
    <row r="2" spans="2:14" x14ac:dyDescent="0.3">
      <c r="B2" t="s">
        <v>111</v>
      </c>
      <c r="C2">
        <v>25</v>
      </c>
      <c r="D2">
        <v>27</v>
      </c>
      <c r="E2">
        <v>76</v>
      </c>
      <c r="F2">
        <v>127</v>
      </c>
      <c r="G2">
        <v>150</v>
      </c>
      <c r="H2">
        <v>239</v>
      </c>
      <c r="I2">
        <v>-82</v>
      </c>
      <c r="J2">
        <v>1</v>
      </c>
      <c r="K2">
        <v>158</v>
      </c>
      <c r="L2">
        <v>-17</v>
      </c>
      <c r="M2">
        <v>-380</v>
      </c>
      <c r="N2" s="39">
        <v>-2036</v>
      </c>
    </row>
    <row r="3" spans="2:14" x14ac:dyDescent="0.3">
      <c r="B3" t="s">
        <v>112</v>
      </c>
      <c r="C3">
        <v>23</v>
      </c>
      <c r="D3">
        <v>114</v>
      </c>
      <c r="E3">
        <v>92</v>
      </c>
      <c r="F3">
        <v>128</v>
      </c>
      <c r="G3">
        <v>187</v>
      </c>
      <c r="H3">
        <v>170</v>
      </c>
      <c r="I3">
        <v>226</v>
      </c>
      <c r="J3">
        <v>25</v>
      </c>
      <c r="K3">
        <v>83</v>
      </c>
      <c r="L3">
        <v>26</v>
      </c>
      <c r="M3">
        <v>43</v>
      </c>
      <c r="N3">
        <v>376</v>
      </c>
    </row>
    <row r="4" spans="2:14" x14ac:dyDescent="0.3">
      <c r="B4" t="s">
        <v>69</v>
      </c>
      <c r="C4">
        <v>-63</v>
      </c>
      <c r="D4">
        <v>-90</v>
      </c>
      <c r="E4">
        <v>-26</v>
      </c>
      <c r="F4">
        <v>-35</v>
      </c>
      <c r="G4">
        <v>-24</v>
      </c>
      <c r="H4">
        <v>82</v>
      </c>
      <c r="I4">
        <v>-359</v>
      </c>
      <c r="J4">
        <v>196</v>
      </c>
      <c r="K4">
        <v>22</v>
      </c>
      <c r="L4">
        <v>36</v>
      </c>
      <c r="M4">
        <v>-169</v>
      </c>
      <c r="N4">
        <v>-969</v>
      </c>
    </row>
    <row r="5" spans="2:14" x14ac:dyDescent="0.3">
      <c r="B5" t="s">
        <v>45</v>
      </c>
      <c r="C5">
        <v>14</v>
      </c>
      <c r="D5">
        <v>8</v>
      </c>
      <c r="E5">
        <v>-12</v>
      </c>
      <c r="F5">
        <v>-11</v>
      </c>
      <c r="G5">
        <v>50</v>
      </c>
      <c r="H5">
        <v>-9</v>
      </c>
      <c r="I5">
        <v>10</v>
      </c>
      <c r="J5">
        <v>-71</v>
      </c>
      <c r="K5">
        <v>38</v>
      </c>
      <c r="L5">
        <v>-64</v>
      </c>
      <c r="M5">
        <v>-354</v>
      </c>
      <c r="N5" s="39">
        <v>-3091</v>
      </c>
    </row>
    <row r="6" spans="2:14" x14ac:dyDescent="0.3">
      <c r="B6" t="s">
        <v>113</v>
      </c>
      <c r="C6">
        <v>53</v>
      </c>
      <c r="D6">
        <v>32</v>
      </c>
      <c r="E6">
        <v>-2</v>
      </c>
      <c r="F6">
        <v>61</v>
      </c>
      <c r="G6">
        <v>-56</v>
      </c>
      <c r="H6">
        <v>-2</v>
      </c>
      <c r="I6">
        <v>57</v>
      </c>
      <c r="J6">
        <v>-89</v>
      </c>
      <c r="K6">
        <v>18</v>
      </c>
      <c r="L6">
        <v>19</v>
      </c>
      <c r="M6">
        <v>177</v>
      </c>
      <c r="N6" s="39">
        <v>1536</v>
      </c>
    </row>
    <row r="7" spans="2:14" x14ac:dyDescent="0.3">
      <c r="B7" t="s">
        <v>114</v>
      </c>
      <c r="C7">
        <v>4</v>
      </c>
      <c r="D7">
        <v>0</v>
      </c>
      <c r="E7">
        <v>8</v>
      </c>
      <c r="F7">
        <v>-2</v>
      </c>
      <c r="G7">
        <v>-1</v>
      </c>
      <c r="H7">
        <v>15</v>
      </c>
      <c r="I7">
        <v>1</v>
      </c>
      <c r="J7">
        <v>-1</v>
      </c>
      <c r="K7">
        <v>0</v>
      </c>
      <c r="L7">
        <v>0</v>
      </c>
      <c r="M7">
        <v>0</v>
      </c>
      <c r="N7">
        <v>0</v>
      </c>
    </row>
    <row r="8" spans="2:14" x14ac:dyDescent="0.3">
      <c r="B8" t="s">
        <v>115</v>
      </c>
      <c r="C8">
        <v>-6</v>
      </c>
      <c r="D8">
        <v>-34</v>
      </c>
      <c r="E8">
        <v>19</v>
      </c>
      <c r="F8">
        <v>-12</v>
      </c>
      <c r="G8">
        <v>1</v>
      </c>
      <c r="H8">
        <v>18</v>
      </c>
      <c r="I8">
        <v>8</v>
      </c>
      <c r="J8">
        <v>-49</v>
      </c>
      <c r="K8">
        <v>1</v>
      </c>
      <c r="L8">
        <v>-63</v>
      </c>
      <c r="M8">
        <v>-88</v>
      </c>
      <c r="N8">
        <v>134</v>
      </c>
    </row>
    <row r="9" spans="2:14" x14ac:dyDescent="0.3">
      <c r="B9" t="s">
        <v>116</v>
      </c>
      <c r="C9">
        <v>2</v>
      </c>
      <c r="D9">
        <v>-84</v>
      </c>
      <c r="E9">
        <v>-14</v>
      </c>
      <c r="F9">
        <v>1</v>
      </c>
      <c r="G9">
        <v>-30</v>
      </c>
      <c r="H9">
        <v>103</v>
      </c>
      <c r="I9">
        <v>-284</v>
      </c>
      <c r="J9">
        <v>-14</v>
      </c>
      <c r="K9">
        <v>79</v>
      </c>
      <c r="L9">
        <v>-73</v>
      </c>
      <c r="M9">
        <v>-435</v>
      </c>
      <c r="N9" s="39">
        <v>-2389</v>
      </c>
    </row>
    <row r="10" spans="2:14" x14ac:dyDescent="0.3">
      <c r="B10" t="s">
        <v>117</v>
      </c>
      <c r="C10">
        <v>0</v>
      </c>
      <c r="D10">
        <v>-3</v>
      </c>
      <c r="E10">
        <v>-2</v>
      </c>
      <c r="F10">
        <v>-2</v>
      </c>
      <c r="G10">
        <v>-6</v>
      </c>
      <c r="H10">
        <v>-33</v>
      </c>
      <c r="I10">
        <v>-24</v>
      </c>
      <c r="J10">
        <v>-11</v>
      </c>
      <c r="K10">
        <v>-5</v>
      </c>
      <c r="L10">
        <v>29</v>
      </c>
      <c r="M10">
        <v>11</v>
      </c>
      <c r="N10">
        <v>-23</v>
      </c>
    </row>
    <row r="11" spans="2:14" x14ac:dyDescent="0.3">
      <c r="B11" t="s">
        <v>118</v>
      </c>
      <c r="C11">
        <v>0</v>
      </c>
      <c r="D11">
        <v>0</v>
      </c>
      <c r="E11">
        <v>0</v>
      </c>
      <c r="F11">
        <v>1</v>
      </c>
      <c r="G11">
        <v>0</v>
      </c>
      <c r="H11">
        <v>0</v>
      </c>
      <c r="I11">
        <v>0</v>
      </c>
      <c r="J11">
        <v>0</v>
      </c>
      <c r="K11">
        <v>0</v>
      </c>
      <c r="L11">
        <v>0</v>
      </c>
      <c r="M11">
        <v>0</v>
      </c>
      <c r="N11">
        <v>0</v>
      </c>
    </row>
    <row r="12" spans="2:14" x14ac:dyDescent="0.3">
      <c r="B12" t="s">
        <v>119</v>
      </c>
      <c r="C12">
        <v>0</v>
      </c>
      <c r="D12">
        <v>-74</v>
      </c>
      <c r="E12">
        <v>-29</v>
      </c>
      <c r="F12">
        <v>-50</v>
      </c>
      <c r="G12">
        <v>-140</v>
      </c>
      <c r="H12">
        <v>-213</v>
      </c>
      <c r="I12">
        <v>-104</v>
      </c>
      <c r="J12">
        <v>71</v>
      </c>
      <c r="K12">
        <v>-167</v>
      </c>
      <c r="L12">
        <v>-828</v>
      </c>
      <c r="M12">
        <v>-581</v>
      </c>
      <c r="N12">
        <v>430</v>
      </c>
    </row>
    <row r="13" spans="2:14" x14ac:dyDescent="0.3">
      <c r="B13" t="s">
        <v>120</v>
      </c>
      <c r="C13">
        <v>-23</v>
      </c>
      <c r="D13">
        <v>-56</v>
      </c>
      <c r="E13">
        <v>-39</v>
      </c>
      <c r="F13">
        <v>-46</v>
      </c>
      <c r="G13">
        <v>-52</v>
      </c>
      <c r="H13">
        <v>-68</v>
      </c>
      <c r="I13">
        <v>-80</v>
      </c>
      <c r="J13">
        <v>-93</v>
      </c>
      <c r="K13">
        <v>-83</v>
      </c>
      <c r="L13">
        <v>-117</v>
      </c>
      <c r="M13">
        <v>-249</v>
      </c>
      <c r="N13">
        <v>-408</v>
      </c>
    </row>
    <row r="14" spans="2:14" x14ac:dyDescent="0.3">
      <c r="B14" t="s">
        <v>121</v>
      </c>
      <c r="C14">
        <v>0</v>
      </c>
      <c r="D14">
        <v>0</v>
      </c>
      <c r="E14">
        <v>0</v>
      </c>
      <c r="F14">
        <v>0</v>
      </c>
      <c r="G14">
        <v>0</v>
      </c>
      <c r="H14">
        <v>0</v>
      </c>
      <c r="I14">
        <v>0</v>
      </c>
      <c r="J14">
        <v>0</v>
      </c>
      <c r="K14">
        <v>0</v>
      </c>
      <c r="L14">
        <v>0</v>
      </c>
      <c r="M14">
        <v>0</v>
      </c>
      <c r="N14">
        <v>0</v>
      </c>
    </row>
    <row r="15" spans="2:14" x14ac:dyDescent="0.3">
      <c r="B15" t="s">
        <v>122</v>
      </c>
      <c r="C15">
        <v>0</v>
      </c>
      <c r="D15">
        <v>0</v>
      </c>
      <c r="E15">
        <v>0</v>
      </c>
      <c r="F15">
        <v>0</v>
      </c>
      <c r="G15">
        <v>0</v>
      </c>
      <c r="H15">
        <v>-485</v>
      </c>
      <c r="I15">
        <v>-776</v>
      </c>
      <c r="J15">
        <v>-727</v>
      </c>
      <c r="K15">
        <v>-555</v>
      </c>
      <c r="L15" s="39">
        <v>-2370</v>
      </c>
      <c r="M15" s="39">
        <v>-3963</v>
      </c>
      <c r="N15" s="39">
        <v>-3100</v>
      </c>
    </row>
    <row r="16" spans="2:14" x14ac:dyDescent="0.3">
      <c r="B16" t="s">
        <v>123</v>
      </c>
      <c r="C16">
        <v>16</v>
      </c>
      <c r="D16">
        <v>0</v>
      </c>
      <c r="E16">
        <v>0</v>
      </c>
      <c r="F16">
        <v>0</v>
      </c>
      <c r="G16">
        <v>0</v>
      </c>
      <c r="H16">
        <v>412</v>
      </c>
      <c r="I16">
        <v>771</v>
      </c>
      <c r="J16">
        <v>767</v>
      </c>
      <c r="K16">
        <v>571</v>
      </c>
      <c r="L16" s="39">
        <v>2014</v>
      </c>
      <c r="M16" s="39">
        <v>4122</v>
      </c>
      <c r="N16" s="39">
        <v>3051</v>
      </c>
    </row>
    <row r="17" spans="2:14" x14ac:dyDescent="0.3">
      <c r="B17" t="s">
        <v>124</v>
      </c>
      <c r="C17">
        <v>5</v>
      </c>
      <c r="D17">
        <v>4</v>
      </c>
      <c r="E17">
        <v>3</v>
      </c>
      <c r="F17">
        <v>4</v>
      </c>
      <c r="G17">
        <v>6</v>
      </c>
      <c r="H17">
        <v>16</v>
      </c>
      <c r="I17">
        <v>21</v>
      </c>
      <c r="J17">
        <v>21</v>
      </c>
      <c r="K17">
        <v>10</v>
      </c>
      <c r="L17">
        <v>24</v>
      </c>
      <c r="M17">
        <v>52</v>
      </c>
      <c r="N17">
        <v>44</v>
      </c>
    </row>
    <row r="18" spans="2:14" x14ac:dyDescent="0.3">
      <c r="B18" t="s">
        <v>125</v>
      </c>
      <c r="C18">
        <v>0</v>
      </c>
      <c r="D18">
        <v>0</v>
      </c>
      <c r="E18">
        <v>0</v>
      </c>
      <c r="F18">
        <v>0</v>
      </c>
      <c r="G18">
        <v>0</v>
      </c>
      <c r="H18">
        <v>0</v>
      </c>
      <c r="I18">
        <v>0</v>
      </c>
      <c r="J18">
        <v>0</v>
      </c>
      <c r="K18">
        <v>0</v>
      </c>
      <c r="L18">
        <v>0</v>
      </c>
      <c r="M18">
        <v>0</v>
      </c>
      <c r="N18">
        <v>0</v>
      </c>
    </row>
    <row r="19" spans="2:14" x14ac:dyDescent="0.3">
      <c r="B19" t="s">
        <v>126</v>
      </c>
      <c r="C19">
        <v>0</v>
      </c>
      <c r="D19">
        <v>0</v>
      </c>
      <c r="E19">
        <v>0</v>
      </c>
      <c r="F19">
        <v>0</v>
      </c>
      <c r="G19">
        <v>0</v>
      </c>
      <c r="H19">
        <v>0</v>
      </c>
      <c r="I19">
        <v>0</v>
      </c>
      <c r="J19">
        <v>0</v>
      </c>
      <c r="K19">
        <v>0</v>
      </c>
      <c r="L19">
        <v>0</v>
      </c>
      <c r="M19">
        <v>-240</v>
      </c>
      <c r="N19">
        <v>0</v>
      </c>
    </row>
    <row r="20" spans="2:14" x14ac:dyDescent="0.3">
      <c r="B20" t="s">
        <v>127</v>
      </c>
      <c r="C20">
        <v>2</v>
      </c>
      <c r="D20">
        <v>-22</v>
      </c>
      <c r="E20">
        <v>7</v>
      </c>
      <c r="F20">
        <v>-8</v>
      </c>
      <c r="G20">
        <v>-94</v>
      </c>
      <c r="H20">
        <v>-88</v>
      </c>
      <c r="I20">
        <v>-39</v>
      </c>
      <c r="J20">
        <v>103</v>
      </c>
      <c r="K20">
        <v>-111</v>
      </c>
      <c r="L20">
        <v>-379</v>
      </c>
      <c r="M20">
        <v>-303</v>
      </c>
      <c r="N20">
        <v>844</v>
      </c>
    </row>
    <row r="21" spans="2:14" x14ac:dyDescent="0.3">
      <c r="B21" t="s">
        <v>128</v>
      </c>
      <c r="C21">
        <v>8</v>
      </c>
      <c r="D21">
        <v>15</v>
      </c>
      <c r="E21">
        <v>-40</v>
      </c>
      <c r="F21">
        <v>-41</v>
      </c>
      <c r="G21">
        <v>-28</v>
      </c>
      <c r="H21">
        <v>157</v>
      </c>
      <c r="I21">
        <v>-11</v>
      </c>
      <c r="J21">
        <v>-22</v>
      </c>
      <c r="K21">
        <v>-3</v>
      </c>
      <c r="L21">
        <v>839</v>
      </c>
      <c r="M21">
        <v>999</v>
      </c>
      <c r="N21" s="39">
        <v>1713</v>
      </c>
    </row>
    <row r="22" spans="2:14" x14ac:dyDescent="0.3">
      <c r="B22" t="s">
        <v>129</v>
      </c>
      <c r="C22">
        <v>39</v>
      </c>
      <c r="D22">
        <v>0</v>
      </c>
      <c r="E22">
        <v>25</v>
      </c>
      <c r="F22">
        <v>0</v>
      </c>
      <c r="G22">
        <v>100</v>
      </c>
      <c r="H22">
        <v>468</v>
      </c>
      <c r="I22">
        <v>7</v>
      </c>
      <c r="J22">
        <v>3</v>
      </c>
      <c r="K22">
        <v>6</v>
      </c>
      <c r="L22">
        <v>511</v>
      </c>
      <c r="M22" s="39">
        <v>1021</v>
      </c>
      <c r="N22">
        <v>10</v>
      </c>
    </row>
    <row r="23" spans="2:14" x14ac:dyDescent="0.3">
      <c r="B23" t="s">
        <v>130</v>
      </c>
      <c r="C23">
        <v>5</v>
      </c>
      <c r="D23">
        <v>61</v>
      </c>
      <c r="E23">
        <v>0</v>
      </c>
      <c r="F23">
        <v>9</v>
      </c>
      <c r="G23">
        <v>0</v>
      </c>
      <c r="H23">
        <v>0</v>
      </c>
      <c r="I23">
        <v>0</v>
      </c>
      <c r="J23">
        <v>0</v>
      </c>
      <c r="K23">
        <v>0</v>
      </c>
      <c r="L23">
        <v>0</v>
      </c>
      <c r="M23">
        <v>0</v>
      </c>
      <c r="N23" s="39">
        <v>1917</v>
      </c>
    </row>
    <row r="24" spans="2:14" x14ac:dyDescent="0.3">
      <c r="B24" t="s">
        <v>131</v>
      </c>
      <c r="C24">
        <v>0</v>
      </c>
      <c r="D24">
        <v>0</v>
      </c>
      <c r="E24">
        <v>-16</v>
      </c>
      <c r="F24">
        <v>0</v>
      </c>
      <c r="G24">
        <v>0</v>
      </c>
      <c r="H24">
        <v>0</v>
      </c>
      <c r="I24">
        <v>-1</v>
      </c>
      <c r="J24">
        <v>-1</v>
      </c>
      <c r="K24">
        <v>0</v>
      </c>
      <c r="L24">
        <v>0</v>
      </c>
      <c r="M24">
        <v>0</v>
      </c>
      <c r="N24">
        <v>-191</v>
      </c>
    </row>
    <row r="25" spans="2:14" x14ac:dyDescent="0.3">
      <c r="B25" t="s">
        <v>132</v>
      </c>
      <c r="C25">
        <v>-36</v>
      </c>
      <c r="D25">
        <v>-46</v>
      </c>
      <c r="E25">
        <v>-48</v>
      </c>
      <c r="F25">
        <v>-49</v>
      </c>
      <c r="G25">
        <v>-32</v>
      </c>
      <c r="H25">
        <v>-14</v>
      </c>
      <c r="I25">
        <v>-17</v>
      </c>
      <c r="J25">
        <v>-7</v>
      </c>
      <c r="K25">
        <v>-3</v>
      </c>
      <c r="L25">
        <v>-3</v>
      </c>
      <c r="M25">
        <v>-15</v>
      </c>
      <c r="N25">
        <v>-18</v>
      </c>
    </row>
    <row r="26" spans="2:14" x14ac:dyDescent="0.3">
      <c r="B26" t="s">
        <v>133</v>
      </c>
      <c r="C26">
        <v>0</v>
      </c>
      <c r="D26">
        <v>0</v>
      </c>
      <c r="E26">
        <v>0</v>
      </c>
      <c r="F26">
        <v>0</v>
      </c>
      <c r="G26">
        <v>0</v>
      </c>
      <c r="H26">
        <v>0</v>
      </c>
      <c r="I26">
        <v>0</v>
      </c>
      <c r="J26">
        <v>-11</v>
      </c>
      <c r="K26">
        <v>0</v>
      </c>
      <c r="L26">
        <v>0</v>
      </c>
      <c r="M26">
        <v>0</v>
      </c>
      <c r="N26">
        <v>0</v>
      </c>
    </row>
    <row r="27" spans="2:14" x14ac:dyDescent="0.3">
      <c r="B27" t="s">
        <v>134</v>
      </c>
      <c r="C27">
        <v>0</v>
      </c>
      <c r="D27">
        <v>0</v>
      </c>
      <c r="E27">
        <v>0</v>
      </c>
      <c r="F27">
        <v>0</v>
      </c>
      <c r="G27">
        <v>0</v>
      </c>
      <c r="H27">
        <v>0</v>
      </c>
      <c r="I27">
        <v>0</v>
      </c>
      <c r="J27">
        <v>-6</v>
      </c>
      <c r="K27">
        <v>-6</v>
      </c>
      <c r="L27">
        <v>-6</v>
      </c>
      <c r="M27">
        <v>-7</v>
      </c>
      <c r="N27">
        <v>-6</v>
      </c>
    </row>
    <row r="28" spans="2:14" x14ac:dyDescent="0.3">
      <c r="B28" t="s">
        <v>135</v>
      </c>
      <c r="C28">
        <v>0</v>
      </c>
      <c r="D28">
        <v>0</v>
      </c>
      <c r="E28">
        <v>0</v>
      </c>
      <c r="F28">
        <v>0</v>
      </c>
      <c r="G28">
        <v>-96</v>
      </c>
      <c r="H28">
        <v>-297</v>
      </c>
      <c r="I28">
        <v>0</v>
      </c>
      <c r="J28">
        <v>0</v>
      </c>
      <c r="K28">
        <v>0</v>
      </c>
      <c r="L28">
        <v>338</v>
      </c>
      <c r="M28">
        <v>0</v>
      </c>
      <c r="N28">
        <v>0</v>
      </c>
    </row>
    <row r="29" spans="2:14" x14ac:dyDescent="0.3">
      <c r="B29" t="s">
        <v>35</v>
      </c>
      <c r="C29">
        <v>34</v>
      </c>
      <c r="D29">
        <v>-32</v>
      </c>
      <c r="E29">
        <v>8</v>
      </c>
      <c r="F29">
        <v>37</v>
      </c>
      <c r="G29">
        <v>-18</v>
      </c>
      <c r="H29">
        <v>183</v>
      </c>
      <c r="I29">
        <v>-197</v>
      </c>
      <c r="J29">
        <v>50</v>
      </c>
      <c r="K29">
        <v>-13</v>
      </c>
      <c r="L29">
        <v>-6</v>
      </c>
      <c r="M29">
        <v>38</v>
      </c>
      <c r="N29">
        <v>107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0"/>
  <sheetViews>
    <sheetView showGridLines="0" workbookViewId="0">
      <selection activeCell="J23" sqref="J23"/>
    </sheetView>
  </sheetViews>
  <sheetFormatPr defaultRowHeight="14.4" x14ac:dyDescent="0.3"/>
  <cols>
    <col min="1" max="1" width="1.88671875" customWidth="1"/>
    <col min="2" max="2" width="5.44140625" bestFit="1" customWidth="1"/>
    <col min="3" max="3" width="15.6640625" bestFit="1" customWidth="1"/>
    <col min="4" max="4" width="8" bestFit="1" customWidth="1"/>
    <col min="5" max="5" width="15.6640625" bestFit="1" customWidth="1"/>
    <col min="6" max="6" width="15.6640625" customWidth="1"/>
    <col min="7" max="7" width="10.109375" bestFit="1" customWidth="1"/>
    <col min="8" max="8" width="13.6640625" bestFit="1" customWidth="1"/>
    <col min="9" max="10" width="13.6640625" customWidth="1"/>
    <col min="11" max="11" width="11" bestFit="1" customWidth="1"/>
    <col min="12" max="12" width="10.33203125" bestFit="1" customWidth="1"/>
    <col min="13" max="13" width="10.77734375" bestFit="1" customWidth="1"/>
    <col min="14" max="14" width="12.6640625" bestFit="1" customWidth="1"/>
    <col min="15" max="15" width="13.6640625" bestFit="1" customWidth="1"/>
  </cols>
  <sheetData>
    <row r="2" spans="2:15" x14ac:dyDescent="0.3">
      <c r="B2" t="s">
        <v>341</v>
      </c>
      <c r="C2" t="s">
        <v>257</v>
      </c>
      <c r="D2" t="s">
        <v>258</v>
      </c>
      <c r="E2" t="s">
        <v>392</v>
      </c>
      <c r="F2" t="s">
        <v>414</v>
      </c>
      <c r="G2" t="s">
        <v>260</v>
      </c>
      <c r="H2" t="s">
        <v>393</v>
      </c>
      <c r="I2" t="s">
        <v>417</v>
      </c>
      <c r="J2" t="s">
        <v>415</v>
      </c>
      <c r="K2" t="s">
        <v>394</v>
      </c>
      <c r="L2" t="s">
        <v>395</v>
      </c>
      <c r="M2" t="s">
        <v>416</v>
      </c>
      <c r="N2" t="s">
        <v>396</v>
      </c>
      <c r="O2" t="s">
        <v>259</v>
      </c>
    </row>
    <row r="3" spans="2:15" x14ac:dyDescent="0.3">
      <c r="B3">
        <v>1</v>
      </c>
      <c r="C3" t="s">
        <v>376</v>
      </c>
      <c r="D3">
        <v>3533</v>
      </c>
      <c r="E3">
        <v>361.81</v>
      </c>
      <c r="F3">
        <f>E3*D3</f>
        <v>1278274.73</v>
      </c>
      <c r="G3">
        <v>9046</v>
      </c>
      <c r="H3">
        <v>13286</v>
      </c>
      <c r="I3">
        <f>G3-H3</f>
        <v>-4240</v>
      </c>
      <c r="J3">
        <f>F3+G3-H3</f>
        <v>1274034.73</v>
      </c>
      <c r="K3">
        <v>1270583.29</v>
      </c>
      <c r="L3">
        <v>252082</v>
      </c>
      <c r="M3">
        <v>68700</v>
      </c>
      <c r="N3">
        <v>49006</v>
      </c>
      <c r="O3">
        <v>1278270.29</v>
      </c>
    </row>
    <row r="4" spans="2:15" x14ac:dyDescent="0.3">
      <c r="B4">
        <v>2</v>
      </c>
      <c r="C4" t="s">
        <v>377</v>
      </c>
      <c r="D4">
        <v>1683</v>
      </c>
      <c r="E4">
        <v>415.27</v>
      </c>
      <c r="F4">
        <f t="shared" ref="F4:F30" si="0">E4*D4</f>
        <v>698899.40999999992</v>
      </c>
      <c r="G4">
        <v>8221</v>
      </c>
      <c r="H4">
        <v>14786</v>
      </c>
      <c r="I4">
        <f t="shared" ref="I4:I12" si="1">G4-H4</f>
        <v>-6565</v>
      </c>
      <c r="J4">
        <f t="shared" ref="J4:J30" si="2">F4+G4-H4</f>
        <v>692334.40999999992</v>
      </c>
      <c r="K4">
        <v>684322.17</v>
      </c>
      <c r="L4">
        <v>159988</v>
      </c>
      <c r="M4">
        <v>40851</v>
      </c>
      <c r="N4">
        <v>27687</v>
      </c>
      <c r="O4">
        <v>698905.17</v>
      </c>
    </row>
    <row r="5" spans="2:15" x14ac:dyDescent="0.3">
      <c r="B5">
        <v>3</v>
      </c>
      <c r="C5" t="s">
        <v>378</v>
      </c>
      <c r="D5">
        <v>1535.2</v>
      </c>
      <c r="E5">
        <v>271.37</v>
      </c>
      <c r="F5">
        <f t="shared" si="0"/>
        <v>416607.22400000005</v>
      </c>
      <c r="G5">
        <v>5791</v>
      </c>
      <c r="H5">
        <v>20150</v>
      </c>
      <c r="I5">
        <f t="shared" si="1"/>
        <v>-14359</v>
      </c>
      <c r="J5">
        <f t="shared" si="2"/>
        <v>402248.22400000005</v>
      </c>
      <c r="K5">
        <v>402879.89</v>
      </c>
      <c r="L5">
        <v>115308</v>
      </c>
      <c r="M5">
        <v>25521</v>
      </c>
      <c r="N5">
        <v>17085</v>
      </c>
      <c r="O5">
        <v>416601.89</v>
      </c>
    </row>
    <row r="6" spans="2:15" x14ac:dyDescent="0.3">
      <c r="B6">
        <v>4</v>
      </c>
      <c r="C6" t="s">
        <v>379</v>
      </c>
      <c r="D6">
        <v>280</v>
      </c>
      <c r="E6">
        <v>1047.1600000000001</v>
      </c>
      <c r="F6">
        <f t="shared" si="0"/>
        <v>293204.80000000005</v>
      </c>
      <c r="G6">
        <v>19282.2</v>
      </c>
      <c r="H6">
        <v>9695.2999999999993</v>
      </c>
      <c r="I6">
        <f t="shared" si="1"/>
        <v>9586.9000000000015</v>
      </c>
      <c r="J6">
        <f t="shared" si="2"/>
        <v>302791.70000000007</v>
      </c>
      <c r="K6">
        <v>302026.56</v>
      </c>
      <c r="L6">
        <v>88792.5</v>
      </c>
      <c r="M6">
        <v>19176</v>
      </c>
      <c r="N6">
        <v>12488.1</v>
      </c>
      <c r="O6">
        <v>293203.56</v>
      </c>
    </row>
    <row r="7" spans="2:15" x14ac:dyDescent="0.3">
      <c r="B7">
        <v>5</v>
      </c>
      <c r="C7" t="s">
        <v>380</v>
      </c>
      <c r="D7">
        <v>1485.3</v>
      </c>
      <c r="E7">
        <v>97.89</v>
      </c>
      <c r="F7">
        <f t="shared" si="0"/>
        <v>145396.01699999999</v>
      </c>
      <c r="G7">
        <v>2035.1</v>
      </c>
      <c r="H7">
        <v>4735.5</v>
      </c>
      <c r="I7">
        <f t="shared" si="1"/>
        <v>-2700.4</v>
      </c>
      <c r="J7">
        <f t="shared" si="2"/>
        <v>142695.617</v>
      </c>
      <c r="K7">
        <v>143121.71</v>
      </c>
      <c r="L7">
        <v>52475.6</v>
      </c>
      <c r="M7">
        <v>5431</v>
      </c>
      <c r="N7">
        <v>3775.3</v>
      </c>
      <c r="O7">
        <v>145398.71</v>
      </c>
    </row>
    <row r="8" spans="2:15" x14ac:dyDescent="0.3">
      <c r="B8">
        <v>6</v>
      </c>
      <c r="C8" t="s">
        <v>381</v>
      </c>
      <c r="D8">
        <v>4704</v>
      </c>
      <c r="E8">
        <v>29.63</v>
      </c>
      <c r="F8">
        <f t="shared" si="0"/>
        <v>139379.51999999999</v>
      </c>
      <c r="G8">
        <v>2325.6</v>
      </c>
      <c r="H8">
        <v>2816</v>
      </c>
      <c r="I8">
        <f t="shared" si="1"/>
        <v>-490.40000000000009</v>
      </c>
      <c r="J8">
        <f t="shared" si="2"/>
        <v>138889.12</v>
      </c>
      <c r="K8">
        <v>139353.94</v>
      </c>
      <c r="L8">
        <v>37129.300000000003</v>
      </c>
      <c r="M8">
        <v>7089</v>
      </c>
      <c r="N8">
        <v>4574.1000000000004</v>
      </c>
      <c r="O8">
        <v>139372.74</v>
      </c>
    </row>
    <row r="9" spans="2:15" x14ac:dyDescent="0.3">
      <c r="B9">
        <v>7</v>
      </c>
      <c r="C9" t="s">
        <v>382</v>
      </c>
      <c r="D9">
        <v>5141.95</v>
      </c>
      <c r="E9">
        <v>15.46</v>
      </c>
      <c r="F9">
        <f t="shared" si="0"/>
        <v>79494.547000000006</v>
      </c>
      <c r="G9">
        <v>576.58000000000004</v>
      </c>
      <c r="H9">
        <v>1022.89</v>
      </c>
      <c r="I9">
        <f t="shared" si="1"/>
        <v>-446.30999999999995</v>
      </c>
      <c r="J9">
        <f t="shared" si="2"/>
        <v>79048.237000000008</v>
      </c>
      <c r="K9">
        <v>79726.820000000007</v>
      </c>
      <c r="L9">
        <v>11287.13</v>
      </c>
      <c r="M9">
        <v>1772</v>
      </c>
      <c r="N9">
        <v>1319.73</v>
      </c>
      <c r="O9">
        <v>80137.279999999999</v>
      </c>
    </row>
    <row r="10" spans="2:15" x14ac:dyDescent="0.3">
      <c r="B10">
        <v>8</v>
      </c>
      <c r="C10" t="s">
        <v>383</v>
      </c>
      <c r="D10">
        <v>7955.3</v>
      </c>
      <c r="E10">
        <v>8.68</v>
      </c>
      <c r="F10">
        <f t="shared" si="0"/>
        <v>69052.004000000001</v>
      </c>
      <c r="G10">
        <v>30.6</v>
      </c>
      <c r="H10">
        <v>5538.19</v>
      </c>
      <c r="I10">
        <f t="shared" si="1"/>
        <v>-5507.5899999999992</v>
      </c>
      <c r="J10">
        <f t="shared" si="2"/>
        <v>63544.414000000004</v>
      </c>
      <c r="K10">
        <v>61533.25</v>
      </c>
      <c r="L10">
        <v>6772.9</v>
      </c>
      <c r="M10">
        <v>3124</v>
      </c>
      <c r="N10">
        <v>2295.8000000000002</v>
      </c>
      <c r="O10">
        <v>66303.649999999994</v>
      </c>
    </row>
    <row r="11" spans="2:15" x14ac:dyDescent="0.3">
      <c r="B11">
        <v>9</v>
      </c>
      <c r="C11" t="s">
        <v>397</v>
      </c>
      <c r="D11">
        <v>1412</v>
      </c>
      <c r="E11">
        <v>45.93</v>
      </c>
      <c r="F11">
        <f t="shared" si="0"/>
        <v>64853.159999999996</v>
      </c>
      <c r="G11">
        <v>334.56</v>
      </c>
      <c r="H11">
        <v>734.97</v>
      </c>
      <c r="I11">
        <f t="shared" si="1"/>
        <v>-400.41</v>
      </c>
      <c r="J11">
        <f t="shared" si="2"/>
        <v>64452.749999999993</v>
      </c>
      <c r="K11">
        <v>64863.27</v>
      </c>
      <c r="L11">
        <v>4558.91</v>
      </c>
      <c r="M11">
        <v>192</v>
      </c>
      <c r="N11">
        <v>242.69</v>
      </c>
      <c r="O11">
        <v>64847.14</v>
      </c>
    </row>
    <row r="12" spans="2:15" x14ac:dyDescent="0.3">
      <c r="B12">
        <v>10</v>
      </c>
      <c r="C12" t="s">
        <v>398</v>
      </c>
      <c r="D12">
        <v>801.15</v>
      </c>
      <c r="E12">
        <v>60.77</v>
      </c>
      <c r="F12">
        <f t="shared" si="0"/>
        <v>48685.885500000004</v>
      </c>
      <c r="G12">
        <v>79.2</v>
      </c>
      <c r="H12">
        <v>1783.7</v>
      </c>
      <c r="I12">
        <f t="shared" si="1"/>
        <v>-1704.5</v>
      </c>
      <c r="J12">
        <f t="shared" si="2"/>
        <v>46981.385500000004</v>
      </c>
      <c r="K12">
        <v>46981.05</v>
      </c>
      <c r="L12">
        <v>10380.299999999999</v>
      </c>
      <c r="M12">
        <v>1585</v>
      </c>
      <c r="N12">
        <v>997.6</v>
      </c>
      <c r="O12">
        <v>48685.55</v>
      </c>
    </row>
    <row r="16" spans="2:15" x14ac:dyDescent="0.3">
      <c r="B16">
        <v>11</v>
      </c>
      <c r="C16" t="s">
        <v>399</v>
      </c>
      <c r="D16">
        <v>7228</v>
      </c>
      <c r="E16">
        <v>6.69</v>
      </c>
      <c r="F16">
        <f t="shared" si="0"/>
        <v>48355.32</v>
      </c>
      <c r="G16">
        <v>1063.7</v>
      </c>
      <c r="H16">
        <v>335.2</v>
      </c>
      <c r="J16">
        <f t="shared" si="2"/>
        <v>49083.82</v>
      </c>
      <c r="K16">
        <v>47859</v>
      </c>
      <c r="L16">
        <v>11139.8</v>
      </c>
      <c r="M16">
        <v>1489</v>
      </c>
      <c r="N16">
        <v>858</v>
      </c>
      <c r="O16">
        <v>48335.9</v>
      </c>
    </row>
    <row r="17" spans="2:15" x14ac:dyDescent="0.3">
      <c r="B17">
        <v>12</v>
      </c>
      <c r="C17" t="s">
        <v>400</v>
      </c>
      <c r="D17">
        <v>4556.6000000000004</v>
      </c>
      <c r="E17">
        <v>10.59</v>
      </c>
      <c r="F17">
        <f t="shared" si="0"/>
        <v>48254.394</v>
      </c>
      <c r="G17">
        <v>611.6</v>
      </c>
      <c r="H17">
        <v>1177.9000000000001</v>
      </c>
      <c r="J17">
        <f t="shared" si="2"/>
        <v>47688.093999999997</v>
      </c>
      <c r="K17">
        <v>47907.11</v>
      </c>
      <c r="L17">
        <v>9334.2000000000007</v>
      </c>
      <c r="M17">
        <v>1966.9</v>
      </c>
      <c r="N17">
        <v>1235.7</v>
      </c>
      <c r="O17">
        <v>48244.21</v>
      </c>
    </row>
    <row r="18" spans="2:15" x14ac:dyDescent="0.3">
      <c r="B18">
        <v>13</v>
      </c>
      <c r="C18" t="s">
        <v>401</v>
      </c>
      <c r="D18">
        <v>2246.6</v>
      </c>
      <c r="E18">
        <v>19</v>
      </c>
      <c r="F18">
        <f t="shared" si="0"/>
        <v>42685.4</v>
      </c>
      <c r="G18">
        <v>1820.13</v>
      </c>
      <c r="H18">
        <v>814.37</v>
      </c>
      <c r="J18">
        <f t="shared" si="2"/>
        <v>43691.159999999996</v>
      </c>
      <c r="K18">
        <v>43451.67</v>
      </c>
      <c r="L18">
        <v>13932</v>
      </c>
      <c r="M18">
        <v>15.29</v>
      </c>
      <c r="N18">
        <v>1648.87</v>
      </c>
      <c r="O18">
        <v>42680.23</v>
      </c>
    </row>
    <row r="19" spans="2:15" x14ac:dyDescent="0.3">
      <c r="B19">
        <v>14</v>
      </c>
      <c r="C19" t="s">
        <v>402</v>
      </c>
      <c r="D19">
        <v>5389.05</v>
      </c>
      <c r="E19">
        <v>6.23</v>
      </c>
      <c r="F19">
        <f t="shared" si="0"/>
        <v>33573.781500000005</v>
      </c>
      <c r="G19">
        <v>205.78</v>
      </c>
      <c r="H19">
        <v>1357.1</v>
      </c>
      <c r="J19">
        <f t="shared" si="2"/>
        <v>32422.461500000005</v>
      </c>
      <c r="K19">
        <v>32454.12</v>
      </c>
      <c r="L19">
        <v>3726.66</v>
      </c>
      <c r="M19">
        <v>27.12</v>
      </c>
      <c r="N19">
        <v>809.45</v>
      </c>
      <c r="O19">
        <v>33564.959999999999</v>
      </c>
    </row>
    <row r="20" spans="2:15" x14ac:dyDescent="0.3">
      <c r="B20">
        <v>15</v>
      </c>
      <c r="C20" t="s">
        <v>403</v>
      </c>
      <c r="D20">
        <v>1214.6500000000001</v>
      </c>
      <c r="E20">
        <v>27.41</v>
      </c>
      <c r="F20">
        <f t="shared" si="0"/>
        <v>33293.556500000006</v>
      </c>
      <c r="G20">
        <v>349.25</v>
      </c>
      <c r="H20">
        <v>770.53</v>
      </c>
      <c r="J20">
        <f t="shared" si="2"/>
        <v>32872.276500000007</v>
      </c>
      <c r="K20">
        <v>32751.83</v>
      </c>
      <c r="L20">
        <v>5631.8</v>
      </c>
      <c r="M20">
        <v>25.1</v>
      </c>
      <c r="N20">
        <v>760.8</v>
      </c>
      <c r="O20">
        <v>33298.89</v>
      </c>
    </row>
    <row r="21" spans="2:15" x14ac:dyDescent="0.3">
      <c r="B21">
        <v>16</v>
      </c>
      <c r="C21" t="s">
        <v>404</v>
      </c>
      <c r="D21">
        <v>1750.6</v>
      </c>
      <c r="E21">
        <v>17.16</v>
      </c>
      <c r="F21">
        <f t="shared" si="0"/>
        <v>30040.295999999998</v>
      </c>
      <c r="G21">
        <v>1311.1</v>
      </c>
      <c r="H21">
        <v>331.81</v>
      </c>
      <c r="J21">
        <f t="shared" si="2"/>
        <v>31019.585999999996</v>
      </c>
      <c r="K21">
        <v>31014.89</v>
      </c>
      <c r="L21">
        <v>1817.93</v>
      </c>
      <c r="M21">
        <v>55.27</v>
      </c>
      <c r="N21">
        <v>370.49</v>
      </c>
      <c r="O21">
        <v>30035.599999999999</v>
      </c>
    </row>
    <row r="22" spans="2:15" x14ac:dyDescent="0.3">
      <c r="B22">
        <v>17</v>
      </c>
      <c r="C22" t="s">
        <v>405</v>
      </c>
      <c r="D22">
        <v>645.70000000000005</v>
      </c>
      <c r="E22">
        <v>40.57</v>
      </c>
      <c r="F22">
        <f t="shared" si="0"/>
        <v>26196.049000000003</v>
      </c>
      <c r="G22">
        <v>260.08</v>
      </c>
      <c r="H22">
        <v>913.39</v>
      </c>
      <c r="J22">
        <f t="shared" si="2"/>
        <v>25542.739000000005</v>
      </c>
      <c r="K22">
        <v>25640.97</v>
      </c>
      <c r="L22">
        <v>5183.8500000000004</v>
      </c>
      <c r="M22">
        <v>24.84</v>
      </c>
      <c r="N22">
        <v>645.32000000000005</v>
      </c>
      <c r="O22">
        <v>26193.96</v>
      </c>
    </row>
    <row r="23" spans="2:15" x14ac:dyDescent="0.3">
      <c r="B23">
        <v>18</v>
      </c>
      <c r="C23" t="s">
        <v>406</v>
      </c>
      <c r="D23">
        <v>353.85</v>
      </c>
      <c r="E23">
        <v>70.7</v>
      </c>
      <c r="F23">
        <f t="shared" si="0"/>
        <v>25017.195000000003</v>
      </c>
      <c r="G23">
        <v>2251.91</v>
      </c>
      <c r="H23">
        <v>188.46</v>
      </c>
      <c r="J23">
        <f t="shared" si="2"/>
        <v>27080.645000000004</v>
      </c>
      <c r="K23">
        <v>27054.25</v>
      </c>
      <c r="L23">
        <v>7489.32</v>
      </c>
      <c r="M23">
        <v>24.05</v>
      </c>
      <c r="N23">
        <v>567.27</v>
      </c>
      <c r="O23">
        <v>25018.22</v>
      </c>
    </row>
    <row r="24" spans="2:15" x14ac:dyDescent="0.3">
      <c r="B24">
        <v>19</v>
      </c>
      <c r="C24" t="s">
        <v>407</v>
      </c>
      <c r="D24">
        <v>1425</v>
      </c>
      <c r="E24">
        <v>14.05</v>
      </c>
      <c r="F24">
        <f t="shared" si="0"/>
        <v>20021.25</v>
      </c>
      <c r="G24">
        <v>134.71</v>
      </c>
      <c r="H24">
        <v>1236.55</v>
      </c>
      <c r="J24">
        <f t="shared" si="2"/>
        <v>18919.41</v>
      </c>
      <c r="K24">
        <v>18941.990000000002</v>
      </c>
      <c r="L24">
        <v>2170.27</v>
      </c>
      <c r="M24">
        <v>34.479999999999997</v>
      </c>
      <c r="N24">
        <v>366.29</v>
      </c>
      <c r="O24">
        <v>20020.740000000002</v>
      </c>
    </row>
    <row r="25" spans="2:15" x14ac:dyDescent="0.3">
      <c r="B25">
        <v>20</v>
      </c>
      <c r="C25" t="s">
        <v>408</v>
      </c>
      <c r="D25">
        <v>711.7</v>
      </c>
      <c r="E25">
        <v>22.71</v>
      </c>
      <c r="F25">
        <f t="shared" si="0"/>
        <v>16162.707000000002</v>
      </c>
      <c r="G25">
        <v>146.9</v>
      </c>
      <c r="H25">
        <v>724.1</v>
      </c>
      <c r="J25">
        <f t="shared" si="2"/>
        <v>15585.507000000001</v>
      </c>
      <c r="K25">
        <v>15735.38</v>
      </c>
      <c r="L25">
        <v>5151.3999999999996</v>
      </c>
      <c r="M25">
        <v>16.16</v>
      </c>
      <c r="N25">
        <v>646.70000000000005</v>
      </c>
      <c r="O25">
        <v>16161.48</v>
      </c>
    </row>
    <row r="26" spans="2:15" x14ac:dyDescent="0.3">
      <c r="B26">
        <v>21</v>
      </c>
      <c r="C26" t="s">
        <v>409</v>
      </c>
      <c r="D26">
        <v>343.85</v>
      </c>
      <c r="E26">
        <v>41.17</v>
      </c>
      <c r="F26">
        <f t="shared" si="0"/>
        <v>14156.304500000002</v>
      </c>
      <c r="G26">
        <v>378.9</v>
      </c>
      <c r="H26">
        <v>962.13</v>
      </c>
      <c r="J26">
        <f t="shared" si="2"/>
        <v>13573.074500000002</v>
      </c>
      <c r="K26">
        <v>13524.5</v>
      </c>
      <c r="L26">
        <v>1948.24</v>
      </c>
      <c r="M26">
        <v>21.95</v>
      </c>
      <c r="N26">
        <v>479.87</v>
      </c>
      <c r="O26">
        <v>14157.68</v>
      </c>
    </row>
    <row r="27" spans="2:15" x14ac:dyDescent="0.3">
      <c r="B27">
        <v>22</v>
      </c>
      <c r="C27" t="s">
        <v>410</v>
      </c>
      <c r="D27">
        <v>949.55</v>
      </c>
      <c r="E27">
        <v>14.16</v>
      </c>
      <c r="F27">
        <f t="shared" si="0"/>
        <v>13445.627999999999</v>
      </c>
      <c r="G27">
        <v>37.380000000000003</v>
      </c>
      <c r="H27">
        <v>250.14</v>
      </c>
      <c r="J27">
        <f t="shared" si="2"/>
        <v>13232.867999999999</v>
      </c>
      <c r="K27">
        <v>13278.95</v>
      </c>
      <c r="L27">
        <v>1310.06</v>
      </c>
      <c r="M27">
        <v>33.35</v>
      </c>
      <c r="N27">
        <v>293.19</v>
      </c>
      <c r="O27">
        <v>13447.98</v>
      </c>
    </row>
    <row r="28" spans="2:15" x14ac:dyDescent="0.3">
      <c r="B28">
        <v>23</v>
      </c>
      <c r="C28" t="s">
        <v>411</v>
      </c>
      <c r="D28">
        <v>1209</v>
      </c>
      <c r="E28">
        <v>11.1</v>
      </c>
      <c r="F28">
        <f t="shared" si="0"/>
        <v>13419.9</v>
      </c>
      <c r="G28">
        <v>570</v>
      </c>
      <c r="H28">
        <v>983.5</v>
      </c>
      <c r="J28">
        <f t="shared" si="2"/>
        <v>13006.4</v>
      </c>
      <c r="K28">
        <v>12610.7</v>
      </c>
      <c r="L28">
        <v>7312</v>
      </c>
      <c r="M28">
        <v>10.050000000000001</v>
      </c>
      <c r="N28">
        <v>658.8</v>
      </c>
      <c r="O28">
        <v>13423.2</v>
      </c>
    </row>
    <row r="29" spans="2:15" x14ac:dyDescent="0.3">
      <c r="B29">
        <v>24</v>
      </c>
      <c r="C29" t="s">
        <v>412</v>
      </c>
      <c r="D29">
        <v>2673.9</v>
      </c>
      <c r="E29">
        <v>4.9000000000000004</v>
      </c>
      <c r="F29">
        <f t="shared" si="0"/>
        <v>13102.11</v>
      </c>
      <c r="G29">
        <v>289.72000000000003</v>
      </c>
      <c r="H29">
        <v>692.09</v>
      </c>
      <c r="J29">
        <f t="shared" si="2"/>
        <v>12699.74</v>
      </c>
      <c r="K29">
        <v>12875.09</v>
      </c>
      <c r="L29">
        <v>3234.11</v>
      </c>
      <c r="M29">
        <v>14.92</v>
      </c>
      <c r="N29">
        <v>518.63</v>
      </c>
      <c r="O29">
        <v>13108.92</v>
      </c>
    </row>
    <row r="30" spans="2:15" x14ac:dyDescent="0.3">
      <c r="B30">
        <v>25</v>
      </c>
      <c r="C30" t="s">
        <v>413</v>
      </c>
      <c r="D30">
        <v>418.3</v>
      </c>
      <c r="E30">
        <v>27.75</v>
      </c>
      <c r="F30">
        <f t="shared" si="0"/>
        <v>11607.825000000001</v>
      </c>
      <c r="G30">
        <v>145.35</v>
      </c>
      <c r="H30">
        <v>424.94</v>
      </c>
      <c r="J30">
        <f t="shared" si="2"/>
        <v>11328.235000000001</v>
      </c>
      <c r="K30">
        <v>11334.5</v>
      </c>
      <c r="L30">
        <v>5420.9</v>
      </c>
      <c r="M30">
        <v>12.88</v>
      </c>
      <c r="N30">
        <v>574.74</v>
      </c>
      <c r="O30">
        <v>11606.07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Profit &amp; Loss</vt:lpstr>
      <vt:lpstr>Quarters</vt:lpstr>
      <vt:lpstr>Balance Sheet</vt:lpstr>
      <vt:lpstr>Cash Flow</vt:lpstr>
      <vt:lpstr>Data Sheet</vt:lpstr>
      <vt:lpstr>Historical FS</vt:lpstr>
      <vt:lpstr>Ratio Analysis</vt:lpstr>
      <vt:lpstr>Forecast</vt:lpstr>
      <vt:lpstr>Common size statement</vt:lpstr>
      <vt:lpstr>WACC</vt:lpstr>
      <vt:lpstr>Dupont Report</vt:lpstr>
      <vt:lpstr>Beta - Regression</vt:lpstr>
      <vt:lpstr>Intrisic growth</vt:lpstr>
      <vt:lpstr>DCF</vt:lpstr>
      <vt:lpstr>Comp Valuation</vt:lpstr>
      <vt:lpstr>Football Field </vt:lpstr>
      <vt:lpstr>Data Room</vt:lpstr>
      <vt:lpstr>Sheet3</vt:lpstr>
      <vt:lpstr>Sheet2</vt:lpstr>
      <vt:lpstr>Cash Flow data</vt:lpstr>
      <vt:lpstr>Sheet4</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DELL</cp:lastModifiedBy>
  <cp:lastPrinted>2025-03-06T18:39:15Z</cp:lastPrinted>
  <dcterms:created xsi:type="dcterms:W3CDTF">2012-08-17T09:55:37Z</dcterms:created>
  <dcterms:modified xsi:type="dcterms:W3CDTF">2025-05-21T17:52:38Z</dcterms:modified>
</cp:coreProperties>
</file>